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amp\Documents\GitHub\TDEC_BacteriaModeling\WTM\"/>
    </mc:Choice>
  </mc:AlternateContent>
  <xr:revisionPtr revIDLastSave="0" documentId="8_{CCB19F67-E8CF-45C9-A700-A6C86C07FCDE}" xr6:coauthVersionLast="47" xr6:coauthVersionMax="47" xr10:uidLastSave="{00000000-0000-0000-0000-000000000000}"/>
  <bookViews>
    <workbookView xWindow="28680" yWindow="-120" windowWidth="29040" windowHeight="15840" tabRatio="831" firstSheet="1" activeTab="9" xr2:uid="{00000000-000D-0000-FFFF-FFFF00000000}"/>
  </bookViews>
  <sheets>
    <sheet name="Metadata" sheetId="5" r:id="rId1"/>
    <sheet name="QC_Notes" sheetId="16" r:id="rId2"/>
    <sheet name="LandUse-LandCover" sheetId="3" r:id="rId3"/>
    <sheet name="Watershed Data" sheetId="1" r:id="rId4"/>
    <sheet name="BMPs" sheetId="7" r:id="rId5"/>
    <sheet name="SewageData" sheetId="2" r:id="rId6"/>
    <sheet name="Scenarios" sheetId="6" r:id="rId7"/>
    <sheet name="Loads" sheetId="4" r:id="rId8"/>
    <sheet name="Baseline" sheetId="9" r:id="rId9"/>
    <sheet name="Completed" sheetId="10" r:id="rId10"/>
    <sheet name="Permit" sheetId="14" r:id="rId11"/>
    <sheet name="Programmed" sheetId="11" r:id="rId12"/>
    <sheet name="Identified" sheetId="12" r:id="rId13"/>
    <sheet name="Potential" sheetId="13" r:id="rId14"/>
    <sheet name="Summary-Loads" sheetId="8" r:id="rId15"/>
    <sheet name="Summary-Reductions" sheetId="15" r:id="rId16"/>
  </sheets>
  <definedNames>
    <definedName name="Density_NoPerAcre">'Watershed Data'!$A$39:$A$41</definedName>
    <definedName name="Management_Value">'Watershed Data'!$F$39:$F$41</definedName>
    <definedName name="_xlnm.Print_Area" localSheetId="14">'Summary-Loads'!$A$1:$I$91</definedName>
    <definedName name="Separation_from_GW">'Watershed Data'!$C$39:$C$41</definedName>
    <definedName name="Septic_Management">'Watershed Data'!$E$39:$E$41</definedName>
    <definedName name="Soil_Type">'Watershed Data'!$A$33:$A$34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10" l="1"/>
  <c r="F23" i="4"/>
  <c r="E29" i="3"/>
  <c r="F13" i="4"/>
  <c r="I13" i="4"/>
  <c r="I2" i="4"/>
  <c r="P17" i="3"/>
  <c r="H2" i="4"/>
  <c r="F2" i="4"/>
  <c r="E2" i="4"/>
  <c r="B76" i="2"/>
  <c r="B19" i="2"/>
  <c r="B8" i="2"/>
  <c r="B14" i="2"/>
  <c r="K29" i="10"/>
  <c r="G80" i="10"/>
  <c r="O47" i="10"/>
  <c r="K10" i="10"/>
  <c r="E55" i="9" l="1"/>
  <c r="G51" i="7"/>
  <c r="H3" i="13"/>
  <c r="K3" i="13"/>
  <c r="E30" i="3"/>
  <c r="G48" i="9"/>
  <c r="J3" i="3"/>
  <c r="L29" i="10" l="1"/>
  <c r="L47" i="10"/>
  <c r="D112" i="9"/>
  <c r="L2" i="3"/>
  <c r="F4" i="11"/>
  <c r="N46" i="2" l="1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45" i="2"/>
  <c r="H13" i="4"/>
  <c r="D102" i="13" l="1"/>
  <c r="I9" i="4"/>
  <c r="B40" i="2"/>
  <c r="H3" i="10"/>
  <c r="H47" i="10"/>
  <c r="F47" i="10"/>
  <c r="C47" i="10"/>
  <c r="D109" i="9"/>
  <c r="B69" i="2"/>
  <c r="D95" i="9"/>
  <c r="D88" i="9"/>
  <c r="I2" i="9"/>
  <c r="F26" i="4"/>
  <c r="E28" i="9"/>
  <c r="C28" i="9"/>
  <c r="R48" i="6" l="1"/>
  <c r="S58" i="6"/>
  <c r="R58" i="6"/>
  <c r="S52" i="6"/>
  <c r="R52" i="6"/>
  <c r="S3" i="6"/>
  <c r="S45" i="6" s="1"/>
  <c r="S4" i="6"/>
  <c r="S5" i="6"/>
  <c r="S6" i="6"/>
  <c r="S7" i="6"/>
  <c r="S8" i="6"/>
  <c r="S9" i="6"/>
  <c r="S10" i="6"/>
  <c r="S11" i="6"/>
  <c r="S12" i="6"/>
  <c r="S13" i="6"/>
  <c r="S14" i="6"/>
  <c r="S15" i="6"/>
  <c r="V21" i="6" s="1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R3" i="6"/>
  <c r="R4" i="6"/>
  <c r="R45" i="6" s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U21" i="6" s="1"/>
  <c r="R22" i="6"/>
  <c r="R23" i="6"/>
  <c r="R24" i="6"/>
  <c r="R25" i="6"/>
  <c r="R26" i="6"/>
  <c r="R27" i="6"/>
  <c r="R28" i="6"/>
  <c r="R29" i="6"/>
  <c r="U30" i="6" s="1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V30" i="6"/>
  <c r="Q76" i="6"/>
  <c r="D58" i="12"/>
  <c r="O144" i="6"/>
  <c r="B13" i="2"/>
  <c r="S103" i="6"/>
  <c r="S104" i="6"/>
  <c r="S105" i="6"/>
  <c r="S106" i="6"/>
  <c r="S107" i="6"/>
  <c r="S108" i="6"/>
  <c r="S109" i="6"/>
  <c r="S110" i="6"/>
  <c r="S111" i="6"/>
  <c r="S124" i="6" s="1"/>
  <c r="S112" i="6"/>
  <c r="S113" i="6"/>
  <c r="S114" i="6"/>
  <c r="S115" i="6"/>
  <c r="S116" i="6"/>
  <c r="S117" i="6"/>
  <c r="S118" i="6"/>
  <c r="S119" i="6"/>
  <c r="S120" i="6"/>
  <c r="S121" i="6"/>
  <c r="S122" i="6"/>
  <c r="S123" i="6"/>
  <c r="M144" i="6"/>
  <c r="P103" i="6"/>
  <c r="P104" i="6"/>
  <c r="P105" i="6"/>
  <c r="P106" i="6"/>
  <c r="P107" i="6"/>
  <c r="P123" i="6" s="1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K144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I144" i="6"/>
  <c r="J103" i="6"/>
  <c r="J123" i="6" s="1"/>
  <c r="J104" i="6"/>
  <c r="J124" i="6" s="1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B103" i="6"/>
  <c r="D103" i="6" s="1"/>
  <c r="C103" i="6"/>
  <c r="B104" i="6"/>
  <c r="D104" i="6" s="1"/>
  <c r="C104" i="6"/>
  <c r="B105" i="6"/>
  <c r="D105" i="6" s="1"/>
  <c r="C105" i="6"/>
  <c r="B106" i="6"/>
  <c r="C106" i="6"/>
  <c r="D106" i="6"/>
  <c r="B107" i="6"/>
  <c r="D107" i="6" s="1"/>
  <c r="C107" i="6"/>
  <c r="B108" i="6"/>
  <c r="D108" i="6" s="1"/>
  <c r="C108" i="6"/>
  <c r="B109" i="6"/>
  <c r="D109" i="6" s="1"/>
  <c r="C109" i="6"/>
  <c r="B110" i="6"/>
  <c r="C110" i="6"/>
  <c r="D110" i="6"/>
  <c r="B111" i="6"/>
  <c r="D111" i="6" s="1"/>
  <c r="C111" i="6"/>
  <c r="B112" i="6"/>
  <c r="D112" i="6" s="1"/>
  <c r="C112" i="6"/>
  <c r="B113" i="6"/>
  <c r="D113" i="6" s="1"/>
  <c r="C113" i="6"/>
  <c r="B114" i="6"/>
  <c r="C114" i="6"/>
  <c r="D114" i="6"/>
  <c r="B115" i="6"/>
  <c r="D115" i="6" s="1"/>
  <c r="C115" i="6"/>
  <c r="B116" i="6"/>
  <c r="D116" i="6" s="1"/>
  <c r="C116" i="6"/>
  <c r="B117" i="6"/>
  <c r="D117" i="6" s="1"/>
  <c r="C117" i="6"/>
  <c r="B118" i="6"/>
  <c r="C118" i="6"/>
  <c r="D118" i="6"/>
  <c r="B119" i="6"/>
  <c r="D119" i="6" s="1"/>
  <c r="C119" i="6"/>
  <c r="B120" i="6"/>
  <c r="D120" i="6" s="1"/>
  <c r="C120" i="6"/>
  <c r="B121" i="6"/>
  <c r="D121" i="6" s="1"/>
  <c r="C121" i="6"/>
  <c r="B122" i="6"/>
  <c r="C122" i="6"/>
  <c r="D122" i="6"/>
  <c r="B41" i="2"/>
  <c r="D33" i="2"/>
  <c r="D95" i="13"/>
  <c r="D95" i="12"/>
  <c r="D95" i="11"/>
  <c r="B75" i="2"/>
  <c r="G105" i="6"/>
  <c r="G123" i="6" s="1"/>
  <c r="O132" i="6"/>
  <c r="K132" i="6"/>
  <c r="I132" i="6"/>
  <c r="G132" i="6"/>
  <c r="M132" i="6"/>
  <c r="G144" i="6"/>
  <c r="D9" i="2"/>
  <c r="O140" i="6"/>
  <c r="M140" i="6"/>
  <c r="K140" i="6"/>
  <c r="I140" i="6"/>
  <c r="O136" i="6"/>
  <c r="M136" i="6"/>
  <c r="K136" i="6"/>
  <c r="I136" i="6"/>
  <c r="G140" i="6"/>
  <c r="G136" i="6"/>
  <c r="Q47" i="12"/>
  <c r="H47" i="12"/>
  <c r="F47" i="12"/>
  <c r="Q47" i="13"/>
  <c r="H47" i="13"/>
  <c r="O47" i="13" s="1"/>
  <c r="N47" i="13"/>
  <c r="F47" i="13"/>
  <c r="Q47" i="11"/>
  <c r="H47" i="11"/>
  <c r="F47" i="11"/>
  <c r="C47" i="13"/>
  <c r="E28" i="3"/>
  <c r="C47" i="12"/>
  <c r="N47" i="12"/>
  <c r="O47" i="12" s="1"/>
  <c r="E47" i="12"/>
  <c r="E47" i="13"/>
  <c r="Q47" i="10"/>
  <c r="N47" i="10"/>
  <c r="C47" i="11"/>
  <c r="E47" i="11" s="1"/>
  <c r="E47" i="10"/>
  <c r="B26" i="2"/>
  <c r="D90" i="13"/>
  <c r="D90" i="12"/>
  <c r="D90" i="11"/>
  <c r="D90" i="9"/>
  <c r="D91" i="9"/>
  <c r="D55" i="14"/>
  <c r="Q47" i="14"/>
  <c r="H47" i="14"/>
  <c r="N47" i="14" s="1"/>
  <c r="F47" i="14"/>
  <c r="B48" i="6"/>
  <c r="E47" i="14"/>
  <c r="C10" i="8"/>
  <c r="C53" i="8"/>
  <c r="B10" i="8"/>
  <c r="B53" i="8" s="1"/>
  <c r="D83" i="13"/>
  <c r="D82" i="13"/>
  <c r="D81" i="13"/>
  <c r="G81" i="13" s="1"/>
  <c r="D80" i="13"/>
  <c r="D79" i="13"/>
  <c r="G79" i="13" s="1"/>
  <c r="D78" i="13"/>
  <c r="D77" i="13"/>
  <c r="D76" i="13"/>
  <c r="D75" i="13"/>
  <c r="D74" i="13"/>
  <c r="D73" i="13"/>
  <c r="D67" i="13"/>
  <c r="G67" i="13" s="1"/>
  <c r="G23" i="15" s="1"/>
  <c r="D64" i="13"/>
  <c r="D63" i="13"/>
  <c r="D62" i="13"/>
  <c r="D61" i="13"/>
  <c r="D59" i="13"/>
  <c r="D58" i="13"/>
  <c r="D57" i="13"/>
  <c r="D56" i="13"/>
  <c r="D55" i="13"/>
  <c r="D83" i="12"/>
  <c r="D82" i="12"/>
  <c r="D81" i="12"/>
  <c r="G81" i="12" s="1"/>
  <c r="D80" i="12"/>
  <c r="D79" i="12"/>
  <c r="G79" i="12" s="1"/>
  <c r="D78" i="12"/>
  <c r="D77" i="12"/>
  <c r="D76" i="12"/>
  <c r="D75" i="12"/>
  <c r="D74" i="12"/>
  <c r="D73" i="12"/>
  <c r="D67" i="12"/>
  <c r="D65" i="12"/>
  <c r="D64" i="12"/>
  <c r="D63" i="12"/>
  <c r="D62" i="12"/>
  <c r="D61" i="12"/>
  <c r="D59" i="12"/>
  <c r="D57" i="12"/>
  <c r="D56" i="12"/>
  <c r="D55" i="12"/>
  <c r="D83" i="11"/>
  <c r="D82" i="11"/>
  <c r="D81" i="11"/>
  <c r="G81" i="11" s="1"/>
  <c r="D80" i="11"/>
  <c r="D79" i="11"/>
  <c r="G79" i="11"/>
  <c r="D78" i="11"/>
  <c r="D77" i="11"/>
  <c r="D76" i="11"/>
  <c r="D75" i="11"/>
  <c r="D74" i="11"/>
  <c r="D73" i="11"/>
  <c r="D67" i="11"/>
  <c r="D65" i="11"/>
  <c r="G65" i="11" s="1"/>
  <c r="E28" i="15" s="1"/>
  <c r="D64" i="11"/>
  <c r="D63" i="11"/>
  <c r="D62" i="11"/>
  <c r="D61" i="11"/>
  <c r="D59" i="11"/>
  <c r="D58" i="11"/>
  <c r="D57" i="11"/>
  <c r="D56" i="11"/>
  <c r="D55" i="11"/>
  <c r="D83" i="14"/>
  <c r="D82" i="14"/>
  <c r="D81" i="14"/>
  <c r="G81" i="14" s="1"/>
  <c r="D80" i="14"/>
  <c r="D79" i="14"/>
  <c r="G79" i="14"/>
  <c r="D78" i="14"/>
  <c r="D77" i="14"/>
  <c r="D76" i="14"/>
  <c r="D75" i="14"/>
  <c r="D74" i="14"/>
  <c r="D73" i="14"/>
  <c r="D67" i="14"/>
  <c r="D65" i="14"/>
  <c r="D64" i="14"/>
  <c r="G64" i="14" s="1"/>
  <c r="C22" i="15" s="1"/>
  <c r="D63" i="14"/>
  <c r="D61" i="14"/>
  <c r="D59" i="14"/>
  <c r="D58" i="14"/>
  <c r="D57" i="14"/>
  <c r="D56" i="14"/>
  <c r="D74" i="10"/>
  <c r="D75" i="10"/>
  <c r="D76" i="10"/>
  <c r="D77" i="10"/>
  <c r="D78" i="10"/>
  <c r="D79" i="10"/>
  <c r="D80" i="10"/>
  <c r="D81" i="10"/>
  <c r="D82" i="10"/>
  <c r="D83" i="10"/>
  <c r="D73" i="10"/>
  <c r="D67" i="10"/>
  <c r="D65" i="10"/>
  <c r="D64" i="10"/>
  <c r="D63" i="10"/>
  <c r="D62" i="10"/>
  <c r="D61" i="10"/>
  <c r="G61" i="10" s="1"/>
  <c r="D25" i="15" s="1"/>
  <c r="D59" i="10"/>
  <c r="D58" i="10"/>
  <c r="D57" i="10"/>
  <c r="D56" i="10"/>
  <c r="D55" i="10"/>
  <c r="B72" i="12"/>
  <c r="A71" i="12"/>
  <c r="E67" i="12"/>
  <c r="G67" i="12" s="1"/>
  <c r="F23" i="15" s="1"/>
  <c r="B67" i="12"/>
  <c r="A67" i="12"/>
  <c r="E65" i="12"/>
  <c r="G65" i="12" s="1"/>
  <c r="F28" i="15" s="1"/>
  <c r="B65" i="12"/>
  <c r="A65" i="12"/>
  <c r="E64" i="12"/>
  <c r="B64" i="12"/>
  <c r="A64" i="12"/>
  <c r="E63" i="12"/>
  <c r="B63" i="12"/>
  <c r="A63" i="12"/>
  <c r="E62" i="12"/>
  <c r="G62" i="12" s="1"/>
  <c r="F26" i="15" s="1"/>
  <c r="B62" i="12"/>
  <c r="A62" i="12"/>
  <c r="E61" i="12"/>
  <c r="B61" i="12"/>
  <c r="A61" i="12"/>
  <c r="G60" i="12"/>
  <c r="B59" i="12"/>
  <c r="A59" i="12"/>
  <c r="B58" i="12"/>
  <c r="A58" i="12"/>
  <c r="B57" i="12"/>
  <c r="A57" i="12"/>
  <c r="B56" i="12"/>
  <c r="A56" i="12"/>
  <c r="B55" i="12"/>
  <c r="A55" i="12"/>
  <c r="B72" i="13"/>
  <c r="A71" i="13"/>
  <c r="E67" i="13"/>
  <c r="B67" i="13"/>
  <c r="A67" i="13"/>
  <c r="E65" i="13"/>
  <c r="D65" i="13"/>
  <c r="G65" i="13" s="1"/>
  <c r="G28" i="15" s="1"/>
  <c r="B65" i="13"/>
  <c r="A65" i="13"/>
  <c r="E64" i="13"/>
  <c r="B64" i="13"/>
  <c r="A64" i="13"/>
  <c r="E63" i="13"/>
  <c r="B63" i="13"/>
  <c r="A63" i="13"/>
  <c r="E62" i="13"/>
  <c r="G62" i="13"/>
  <c r="G26" i="15" s="1"/>
  <c r="B62" i="13"/>
  <c r="A62" i="13"/>
  <c r="E61" i="13"/>
  <c r="G61" i="13" s="1"/>
  <c r="G25" i="15" s="1"/>
  <c r="B61" i="13"/>
  <c r="A61" i="13"/>
  <c r="G60" i="13"/>
  <c r="B59" i="13"/>
  <c r="A59" i="13"/>
  <c r="B58" i="13"/>
  <c r="A58" i="13"/>
  <c r="B57" i="13"/>
  <c r="A57" i="13"/>
  <c r="B56" i="13"/>
  <c r="A56" i="13"/>
  <c r="B55" i="13"/>
  <c r="A55" i="13"/>
  <c r="B72" i="11"/>
  <c r="A71" i="11"/>
  <c r="E67" i="11"/>
  <c r="G67" i="11" s="1"/>
  <c r="E23" i="15" s="1"/>
  <c r="B67" i="11"/>
  <c r="A67" i="11"/>
  <c r="E65" i="11"/>
  <c r="B65" i="11"/>
  <c r="A65" i="11"/>
  <c r="E64" i="11"/>
  <c r="G64" i="11" s="1"/>
  <c r="E22" i="15" s="1"/>
  <c r="B64" i="11"/>
  <c r="A64" i="11"/>
  <c r="E63" i="11"/>
  <c r="G63" i="11" s="1"/>
  <c r="E27" i="15" s="1"/>
  <c r="B63" i="11"/>
  <c r="A63" i="11"/>
  <c r="E62" i="11"/>
  <c r="B62" i="11"/>
  <c r="A62" i="11"/>
  <c r="E61" i="11"/>
  <c r="B61" i="11"/>
  <c r="A61" i="11"/>
  <c r="G60" i="11"/>
  <c r="B59" i="11"/>
  <c r="A59" i="11"/>
  <c r="B58" i="11"/>
  <c r="A58" i="11"/>
  <c r="B57" i="11"/>
  <c r="A57" i="11"/>
  <c r="B56" i="11"/>
  <c r="A56" i="11"/>
  <c r="B55" i="11"/>
  <c r="A55" i="11"/>
  <c r="B72" i="14"/>
  <c r="A71" i="14"/>
  <c r="E67" i="14"/>
  <c r="G67" i="14" s="1"/>
  <c r="C23" i="15" s="1"/>
  <c r="B67" i="14"/>
  <c r="A67" i="14"/>
  <c r="E65" i="14"/>
  <c r="B65" i="14"/>
  <c r="A65" i="14"/>
  <c r="E64" i="14"/>
  <c r="B64" i="14"/>
  <c r="A64" i="14"/>
  <c r="E63" i="14"/>
  <c r="B63" i="14"/>
  <c r="A63" i="14"/>
  <c r="E62" i="14"/>
  <c r="G62" i="14" s="1"/>
  <c r="C26" i="15" s="1"/>
  <c r="B62" i="14"/>
  <c r="A62" i="14"/>
  <c r="E61" i="14"/>
  <c r="G61" i="14" s="1"/>
  <c r="C25" i="15" s="1"/>
  <c r="B61" i="14"/>
  <c r="A61" i="14"/>
  <c r="G60" i="14"/>
  <c r="B59" i="14"/>
  <c r="A59" i="14"/>
  <c r="B58" i="14"/>
  <c r="A58" i="14"/>
  <c r="B57" i="14"/>
  <c r="A57" i="14"/>
  <c r="B56" i="14"/>
  <c r="A56" i="14"/>
  <c r="B55" i="14"/>
  <c r="A55" i="14"/>
  <c r="G63" i="13"/>
  <c r="G27" i="15" s="1"/>
  <c r="G61" i="12"/>
  <c r="F25" i="15" s="1"/>
  <c r="G64" i="12"/>
  <c r="F22" i="15" s="1"/>
  <c r="G62" i="11"/>
  <c r="E26" i="15" s="1"/>
  <c r="G61" i="11"/>
  <c r="E25" i="15"/>
  <c r="G64" i="13"/>
  <c r="G22" i="15" s="1"/>
  <c r="G63" i="12"/>
  <c r="F27" i="15" s="1"/>
  <c r="G63" i="14"/>
  <c r="C27" i="15"/>
  <c r="G65" i="14"/>
  <c r="C28" i="15" s="1"/>
  <c r="G81" i="10"/>
  <c r="G79" i="10"/>
  <c r="B72" i="10"/>
  <c r="A71" i="10"/>
  <c r="E67" i="10"/>
  <c r="G67" i="10" s="1"/>
  <c r="D23" i="15" s="1"/>
  <c r="B67" i="10"/>
  <c r="A67" i="10"/>
  <c r="E65" i="10"/>
  <c r="G65" i="10" s="1"/>
  <c r="D28" i="15" s="1"/>
  <c r="B65" i="10"/>
  <c r="A65" i="10"/>
  <c r="E64" i="10"/>
  <c r="G64" i="10" s="1"/>
  <c r="D22" i="15" s="1"/>
  <c r="B64" i="10"/>
  <c r="A64" i="10"/>
  <c r="E63" i="10"/>
  <c r="G63" i="10"/>
  <c r="D27" i="15"/>
  <c r="B63" i="10"/>
  <c r="A63" i="10"/>
  <c r="E62" i="10"/>
  <c r="G62" i="10" s="1"/>
  <c r="D26" i="15" s="1"/>
  <c r="B62" i="10"/>
  <c r="A62" i="10"/>
  <c r="E61" i="10"/>
  <c r="B61" i="10"/>
  <c r="A61" i="10"/>
  <c r="B59" i="10"/>
  <c r="A59" i="10"/>
  <c r="B58" i="10"/>
  <c r="A58" i="10"/>
  <c r="B57" i="10"/>
  <c r="A57" i="10"/>
  <c r="B56" i="10"/>
  <c r="A56" i="10"/>
  <c r="B55" i="10"/>
  <c r="A55" i="10"/>
  <c r="B67" i="9"/>
  <c r="A67" i="9"/>
  <c r="B65" i="9"/>
  <c r="A65" i="9"/>
  <c r="B64" i="9"/>
  <c r="A64" i="9"/>
  <c r="B63" i="9"/>
  <c r="A63" i="9"/>
  <c r="B62" i="9"/>
  <c r="A62" i="9"/>
  <c r="B61" i="9"/>
  <c r="A61" i="9"/>
  <c r="B59" i="9"/>
  <c r="A59" i="9"/>
  <c r="B58" i="9"/>
  <c r="A58" i="9"/>
  <c r="B57" i="9"/>
  <c r="A57" i="9"/>
  <c r="B56" i="9"/>
  <c r="A56" i="9"/>
  <c r="B55" i="9"/>
  <c r="A55" i="9"/>
  <c r="G53" i="7"/>
  <c r="G52" i="7"/>
  <c r="G60" i="9"/>
  <c r="D55" i="9"/>
  <c r="E67" i="9"/>
  <c r="E65" i="9"/>
  <c r="G65" i="9" s="1"/>
  <c r="E64" i="9"/>
  <c r="E63" i="9"/>
  <c r="E62" i="9"/>
  <c r="E61" i="9"/>
  <c r="D83" i="9"/>
  <c r="D82" i="9"/>
  <c r="D81" i="9"/>
  <c r="G81" i="9"/>
  <c r="D80" i="9"/>
  <c r="D79" i="9"/>
  <c r="G79" i="9" s="1"/>
  <c r="D78" i="9"/>
  <c r="D77" i="9"/>
  <c r="D76" i="9"/>
  <c r="D75" i="9"/>
  <c r="D74" i="9"/>
  <c r="D73" i="9"/>
  <c r="B79" i="6"/>
  <c r="B78" i="6"/>
  <c r="B82" i="10" s="1"/>
  <c r="B77" i="6"/>
  <c r="B81" i="14" s="1"/>
  <c r="B76" i="6"/>
  <c r="B80" i="12" s="1"/>
  <c r="B75" i="6"/>
  <c r="B79" i="14" s="1"/>
  <c r="B74" i="6"/>
  <c r="B78" i="11" s="1"/>
  <c r="B73" i="6"/>
  <c r="B77" i="14" s="1"/>
  <c r="B72" i="6"/>
  <c r="B76" i="13" s="1"/>
  <c r="B71" i="6"/>
  <c r="B75" i="12" s="1"/>
  <c r="B70" i="6"/>
  <c r="B74" i="10" s="1"/>
  <c r="B69" i="6"/>
  <c r="D67" i="9"/>
  <c r="D65" i="9"/>
  <c r="D64" i="9"/>
  <c r="G64" i="9" s="1"/>
  <c r="D63" i="9"/>
  <c r="G63" i="9" s="1"/>
  <c r="D62" i="9"/>
  <c r="G62" i="9" s="1"/>
  <c r="D61" i="9"/>
  <c r="G61" i="9" s="1"/>
  <c r="D59" i="9"/>
  <c r="D58" i="9"/>
  <c r="D57" i="9"/>
  <c r="D56" i="9"/>
  <c r="B77" i="10"/>
  <c r="B79" i="12"/>
  <c r="B79" i="13"/>
  <c r="B79" i="11"/>
  <c r="B81" i="13"/>
  <c r="B75" i="14"/>
  <c r="B75" i="10"/>
  <c r="B83" i="12"/>
  <c r="B83" i="13"/>
  <c r="B83" i="11"/>
  <c r="B83" i="14"/>
  <c r="B83" i="10"/>
  <c r="B73" i="14"/>
  <c r="B73" i="13"/>
  <c r="B73" i="12"/>
  <c r="B73" i="11"/>
  <c r="B73" i="10"/>
  <c r="B74" i="12"/>
  <c r="B74" i="11"/>
  <c r="B74" i="13"/>
  <c r="B74" i="14"/>
  <c r="B76" i="11"/>
  <c r="B76" i="12"/>
  <c r="B76" i="10"/>
  <c r="G67" i="9"/>
  <c r="B83" i="9"/>
  <c r="B72" i="9"/>
  <c r="A71" i="9"/>
  <c r="B64" i="6"/>
  <c r="A64" i="6"/>
  <c r="B62" i="6"/>
  <c r="A62" i="6"/>
  <c r="B61" i="6"/>
  <c r="A61" i="6"/>
  <c r="B60" i="6"/>
  <c r="A60" i="6"/>
  <c r="B59" i="6"/>
  <c r="A59" i="6"/>
  <c r="B58" i="6"/>
  <c r="A58" i="6"/>
  <c r="B56" i="6"/>
  <c r="A56" i="6"/>
  <c r="B55" i="6"/>
  <c r="A55" i="6"/>
  <c r="B54" i="6"/>
  <c r="A54" i="6"/>
  <c r="B53" i="6"/>
  <c r="A53" i="6"/>
  <c r="B52" i="6"/>
  <c r="A52" i="6"/>
  <c r="B79" i="9"/>
  <c r="B78" i="9"/>
  <c r="B77" i="9"/>
  <c r="B76" i="9"/>
  <c r="B75" i="9"/>
  <c r="B74" i="9"/>
  <c r="B73" i="9"/>
  <c r="P45" i="6"/>
  <c r="O45" i="6"/>
  <c r="N45" i="6"/>
  <c r="M45" i="6"/>
  <c r="J45" i="6"/>
  <c r="I45" i="6"/>
  <c r="F45" i="6"/>
  <c r="E45" i="6"/>
  <c r="D45" i="6"/>
  <c r="C45" i="6"/>
  <c r="H45" i="6"/>
  <c r="G45" i="6"/>
  <c r="K45" i="6"/>
  <c r="L45" i="6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0" i="3"/>
  <c r="C77" i="6"/>
  <c r="J26" i="3"/>
  <c r="M26" i="3" s="1"/>
  <c r="K12" i="3"/>
  <c r="K11" i="3"/>
  <c r="L11" i="3" s="1"/>
  <c r="J9" i="3"/>
  <c r="K9" i="3" s="1"/>
  <c r="K8" i="3"/>
  <c r="J7" i="3"/>
  <c r="J6" i="3"/>
  <c r="J5" i="3"/>
  <c r="K5" i="3"/>
  <c r="F5" i="3"/>
  <c r="C72" i="6"/>
  <c r="J4" i="3"/>
  <c r="K3" i="3"/>
  <c r="J2" i="3"/>
  <c r="K2" i="3" s="1"/>
  <c r="L8" i="3"/>
  <c r="F8" i="3"/>
  <c r="C75" i="6" s="1"/>
  <c r="L12" i="3"/>
  <c r="F12" i="3"/>
  <c r="C79" i="6" s="1"/>
  <c r="L5" i="3"/>
  <c r="K7" i="3"/>
  <c r="K6" i="3"/>
  <c r="L7" i="3"/>
  <c r="F7" i="3"/>
  <c r="C74" i="6" s="1"/>
  <c r="L6" i="3"/>
  <c r="F6" i="3"/>
  <c r="C73" i="6" s="1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2" i="9"/>
  <c r="J3" i="9"/>
  <c r="J4" i="9"/>
  <c r="J5" i="9"/>
  <c r="J6" i="9"/>
  <c r="J7" i="9"/>
  <c r="J8" i="9"/>
  <c r="J9" i="9"/>
  <c r="J10" i="9"/>
  <c r="J11" i="9"/>
  <c r="J12" i="9"/>
  <c r="J13" i="9"/>
  <c r="J44" i="9" s="1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L45" i="9"/>
  <c r="A31" i="8"/>
  <c r="A32" i="8"/>
  <c r="C32" i="8"/>
  <c r="A103" i="6"/>
  <c r="D95" i="14"/>
  <c r="D90" i="14"/>
  <c r="C132" i="6"/>
  <c r="D85" i="2"/>
  <c r="O143" i="6"/>
  <c r="M143" i="6"/>
  <c r="K143" i="6"/>
  <c r="I143" i="6"/>
  <c r="G143" i="6"/>
  <c r="D96" i="9"/>
  <c r="C124" i="6"/>
  <c r="C123" i="6"/>
  <c r="B123" i="6"/>
  <c r="B124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4" i="6"/>
  <c r="G103" i="6"/>
  <c r="A84" i="2"/>
  <c r="A104" i="6"/>
  <c r="D95" i="10"/>
  <c r="A85" i="2"/>
  <c r="A86" i="2"/>
  <c r="A87" i="2" s="1"/>
  <c r="A105" i="6"/>
  <c r="D96" i="12"/>
  <c r="D96" i="14"/>
  <c r="D96" i="10"/>
  <c r="D96" i="13"/>
  <c r="D96" i="11"/>
  <c r="A35" i="8"/>
  <c r="A34" i="8"/>
  <c r="A33" i="8"/>
  <c r="B10" i="1"/>
  <c r="B23" i="2"/>
  <c r="B30" i="2" s="1"/>
  <c r="B34" i="2" s="1"/>
  <c r="I41" i="4"/>
  <c r="C35" i="8"/>
  <c r="B41" i="4"/>
  <c r="D84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83" i="2"/>
  <c r="J50" i="2"/>
  <c r="J55" i="2"/>
  <c r="J64" i="2"/>
  <c r="J63" i="2"/>
  <c r="J62" i="2"/>
  <c r="J61" i="2"/>
  <c r="J60" i="2"/>
  <c r="J59" i="2"/>
  <c r="J58" i="2"/>
  <c r="J57" i="2"/>
  <c r="J56" i="2"/>
  <c r="J54" i="2"/>
  <c r="J53" i="2"/>
  <c r="J52" i="2"/>
  <c r="J51" i="2"/>
  <c r="J49" i="2"/>
  <c r="J48" i="2"/>
  <c r="J47" i="2"/>
  <c r="J46" i="2"/>
  <c r="J45" i="2"/>
  <c r="J65" i="2"/>
  <c r="D103" i="2"/>
  <c r="D101" i="13"/>
  <c r="B12" i="2"/>
  <c r="D102" i="11"/>
  <c r="D100" i="9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E20" i="13" s="1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E43" i="13" s="1"/>
  <c r="D44" i="13"/>
  <c r="E44" i="13" s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E27" i="13" s="1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E42" i="13" s="1"/>
  <c r="C43" i="13"/>
  <c r="C44" i="13"/>
  <c r="D3" i="13"/>
  <c r="C3" i="13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E32" i="12" s="1"/>
  <c r="D33" i="12"/>
  <c r="D34" i="12"/>
  <c r="D35" i="12"/>
  <c r="D36" i="12"/>
  <c r="D37" i="12"/>
  <c r="D38" i="12"/>
  <c r="D39" i="12"/>
  <c r="D40" i="12"/>
  <c r="D41" i="12"/>
  <c r="D42" i="12"/>
  <c r="D43" i="12"/>
  <c r="D44" i="12"/>
  <c r="E44" i="12" s="1"/>
  <c r="D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E38" i="12" s="1"/>
  <c r="C39" i="12"/>
  <c r="C40" i="12"/>
  <c r="C41" i="12"/>
  <c r="C42" i="12"/>
  <c r="C43" i="12"/>
  <c r="C44" i="12"/>
  <c r="C3" i="12"/>
  <c r="U44" i="13"/>
  <c r="T44" i="13"/>
  <c r="M44" i="13"/>
  <c r="F44" i="13"/>
  <c r="B44" i="13"/>
  <c r="A44" i="13"/>
  <c r="H44" i="13"/>
  <c r="U43" i="13"/>
  <c r="T43" i="13"/>
  <c r="V43" i="13" s="1"/>
  <c r="M43" i="13"/>
  <c r="F43" i="13"/>
  <c r="B43" i="13"/>
  <c r="A43" i="13"/>
  <c r="H43" i="13" s="1"/>
  <c r="U42" i="13"/>
  <c r="T42" i="13"/>
  <c r="V42" i="13" s="1"/>
  <c r="M42" i="13"/>
  <c r="F42" i="13"/>
  <c r="B42" i="13"/>
  <c r="A42" i="13"/>
  <c r="H42" i="13" s="1"/>
  <c r="U41" i="13"/>
  <c r="T41" i="13"/>
  <c r="M41" i="13"/>
  <c r="F41" i="13"/>
  <c r="B41" i="13"/>
  <c r="A41" i="13"/>
  <c r="H41" i="13" s="1"/>
  <c r="N41" i="13" s="1"/>
  <c r="U40" i="13"/>
  <c r="T40" i="13"/>
  <c r="M40" i="13"/>
  <c r="F40" i="13"/>
  <c r="B40" i="13"/>
  <c r="A40" i="13"/>
  <c r="H40" i="13"/>
  <c r="U39" i="13"/>
  <c r="V39" i="13" s="1"/>
  <c r="T39" i="13"/>
  <c r="M39" i="13"/>
  <c r="F39" i="13"/>
  <c r="B39" i="13"/>
  <c r="A39" i="13"/>
  <c r="H39" i="13" s="1"/>
  <c r="U38" i="13"/>
  <c r="T38" i="13"/>
  <c r="V38" i="13"/>
  <c r="M38" i="13"/>
  <c r="F38" i="13"/>
  <c r="E38" i="13"/>
  <c r="B38" i="13"/>
  <c r="A38" i="13"/>
  <c r="H38" i="13"/>
  <c r="N38" i="13" s="1"/>
  <c r="U37" i="13"/>
  <c r="T37" i="13"/>
  <c r="M37" i="13"/>
  <c r="F37" i="13"/>
  <c r="B37" i="13"/>
  <c r="A37" i="13"/>
  <c r="H37" i="13" s="1"/>
  <c r="U36" i="13"/>
  <c r="T36" i="13"/>
  <c r="V36" i="13" s="1"/>
  <c r="M36" i="13"/>
  <c r="F36" i="13"/>
  <c r="E36" i="13"/>
  <c r="B36" i="13"/>
  <c r="A36" i="13"/>
  <c r="H36" i="13" s="1"/>
  <c r="N36" i="13"/>
  <c r="U35" i="13"/>
  <c r="T35" i="13"/>
  <c r="M35" i="13"/>
  <c r="F35" i="13"/>
  <c r="B35" i="13"/>
  <c r="A35" i="13"/>
  <c r="H35" i="13"/>
  <c r="N35" i="13" s="1"/>
  <c r="O35" i="13" s="1"/>
  <c r="U34" i="13"/>
  <c r="T34" i="13"/>
  <c r="M34" i="13"/>
  <c r="F34" i="13"/>
  <c r="E34" i="13"/>
  <c r="B34" i="13"/>
  <c r="A34" i="13"/>
  <c r="H34" i="13" s="1"/>
  <c r="N34" i="13" s="1"/>
  <c r="U33" i="13"/>
  <c r="T33" i="13"/>
  <c r="M33" i="13"/>
  <c r="F33" i="13"/>
  <c r="B33" i="13"/>
  <c r="A33" i="13"/>
  <c r="H33" i="13"/>
  <c r="N33" i="13" s="1"/>
  <c r="O33" i="13" s="1"/>
  <c r="U32" i="13"/>
  <c r="T32" i="13"/>
  <c r="M32" i="13"/>
  <c r="F32" i="13"/>
  <c r="B32" i="13"/>
  <c r="A32" i="13"/>
  <c r="H32" i="13"/>
  <c r="U31" i="13"/>
  <c r="T31" i="13"/>
  <c r="V31" i="13" s="1"/>
  <c r="M31" i="13"/>
  <c r="F31" i="13"/>
  <c r="B31" i="13"/>
  <c r="A31" i="13"/>
  <c r="H31" i="13" s="1"/>
  <c r="N31" i="13" s="1"/>
  <c r="O31" i="13" s="1"/>
  <c r="U30" i="13"/>
  <c r="T30" i="13"/>
  <c r="V30" i="13" s="1"/>
  <c r="M30" i="13"/>
  <c r="F30" i="13"/>
  <c r="E30" i="13"/>
  <c r="B30" i="13"/>
  <c r="A30" i="13"/>
  <c r="H30" i="13" s="1"/>
  <c r="U29" i="13"/>
  <c r="T29" i="13"/>
  <c r="V29" i="13" s="1"/>
  <c r="M29" i="13"/>
  <c r="F29" i="13"/>
  <c r="B29" i="13"/>
  <c r="A29" i="13"/>
  <c r="H29" i="13" s="1"/>
  <c r="N29" i="13" s="1"/>
  <c r="U28" i="13"/>
  <c r="T28" i="13"/>
  <c r="V28" i="13" s="1"/>
  <c r="M28" i="13"/>
  <c r="F28" i="13"/>
  <c r="E28" i="13"/>
  <c r="B28" i="13"/>
  <c r="A28" i="13"/>
  <c r="H28" i="13" s="1"/>
  <c r="N28" i="13" s="1"/>
  <c r="U27" i="13"/>
  <c r="T27" i="13"/>
  <c r="M27" i="13"/>
  <c r="F27" i="13"/>
  <c r="B27" i="13"/>
  <c r="A27" i="13"/>
  <c r="H27" i="13" s="1"/>
  <c r="N27" i="13" s="1"/>
  <c r="U26" i="13"/>
  <c r="V26" i="13" s="1"/>
  <c r="T26" i="13"/>
  <c r="M26" i="13"/>
  <c r="F26" i="13"/>
  <c r="B26" i="13"/>
  <c r="A26" i="13"/>
  <c r="H26" i="13" s="1"/>
  <c r="U25" i="13"/>
  <c r="T25" i="13"/>
  <c r="M25" i="13"/>
  <c r="F25" i="13"/>
  <c r="E25" i="13"/>
  <c r="B25" i="13"/>
  <c r="A25" i="13"/>
  <c r="H25" i="13"/>
  <c r="N25" i="13" s="1"/>
  <c r="U24" i="13"/>
  <c r="V24" i="13" s="1"/>
  <c r="T24" i="13"/>
  <c r="M24" i="13"/>
  <c r="F24" i="13"/>
  <c r="B24" i="13"/>
  <c r="A24" i="13"/>
  <c r="H24" i="13"/>
  <c r="U23" i="13"/>
  <c r="T23" i="13"/>
  <c r="M23" i="13"/>
  <c r="F23" i="13"/>
  <c r="E23" i="13"/>
  <c r="B23" i="13"/>
  <c r="A23" i="13"/>
  <c r="H23" i="13"/>
  <c r="U22" i="13"/>
  <c r="T22" i="13"/>
  <c r="M22" i="13"/>
  <c r="F22" i="13"/>
  <c r="B22" i="13"/>
  <c r="A22" i="13"/>
  <c r="H22" i="13"/>
  <c r="N22" i="13" s="1"/>
  <c r="O22" i="13" s="1"/>
  <c r="U21" i="13"/>
  <c r="T21" i="13"/>
  <c r="M21" i="13"/>
  <c r="F21" i="13"/>
  <c r="E21" i="13"/>
  <c r="B21" i="13"/>
  <c r="A21" i="13"/>
  <c r="H21" i="13" s="1"/>
  <c r="U20" i="13"/>
  <c r="T20" i="13"/>
  <c r="V20" i="13" s="1"/>
  <c r="M20" i="13"/>
  <c r="F20" i="13"/>
  <c r="B20" i="13"/>
  <c r="A20" i="13"/>
  <c r="H20" i="13"/>
  <c r="N20" i="13" s="1"/>
  <c r="U19" i="13"/>
  <c r="T19" i="13"/>
  <c r="M19" i="13"/>
  <c r="F19" i="13"/>
  <c r="E19" i="13"/>
  <c r="B19" i="13"/>
  <c r="A19" i="13"/>
  <c r="H19" i="13"/>
  <c r="U18" i="13"/>
  <c r="T18" i="13"/>
  <c r="M18" i="13"/>
  <c r="F18" i="13"/>
  <c r="E18" i="13"/>
  <c r="B18" i="13"/>
  <c r="A18" i="13"/>
  <c r="H18" i="13" s="1"/>
  <c r="N18" i="13" s="1"/>
  <c r="U17" i="13"/>
  <c r="T17" i="13"/>
  <c r="M17" i="13"/>
  <c r="E17" i="13"/>
  <c r="B17" i="13"/>
  <c r="A17" i="13"/>
  <c r="H17" i="13"/>
  <c r="N17" i="13" s="1"/>
  <c r="U16" i="13"/>
  <c r="V16" i="13" s="1"/>
  <c r="T16" i="13"/>
  <c r="M16" i="13"/>
  <c r="F16" i="13"/>
  <c r="B16" i="13"/>
  <c r="A16" i="13"/>
  <c r="H16" i="13"/>
  <c r="N16" i="13" s="1"/>
  <c r="U15" i="13"/>
  <c r="T15" i="13"/>
  <c r="M15" i="13"/>
  <c r="F15" i="13"/>
  <c r="B15" i="13"/>
  <c r="A15" i="13"/>
  <c r="H15" i="13"/>
  <c r="N15" i="13" s="1"/>
  <c r="U14" i="13"/>
  <c r="T14" i="13"/>
  <c r="M14" i="13"/>
  <c r="F14" i="13"/>
  <c r="B14" i="13"/>
  <c r="A14" i="13"/>
  <c r="H14" i="13" s="1"/>
  <c r="N14" i="13" s="1"/>
  <c r="U13" i="13"/>
  <c r="T13" i="13"/>
  <c r="M13" i="13"/>
  <c r="F13" i="13"/>
  <c r="B13" i="13"/>
  <c r="A13" i="13"/>
  <c r="H13" i="13"/>
  <c r="N13" i="13" s="1"/>
  <c r="U12" i="13"/>
  <c r="T12" i="13"/>
  <c r="M12" i="13"/>
  <c r="F12" i="13"/>
  <c r="B12" i="13"/>
  <c r="A12" i="13"/>
  <c r="H12" i="13" s="1"/>
  <c r="N12" i="13" s="1"/>
  <c r="U11" i="13"/>
  <c r="T11" i="13"/>
  <c r="M11" i="13"/>
  <c r="F11" i="13"/>
  <c r="B11" i="13"/>
  <c r="A11" i="13"/>
  <c r="H11" i="13" s="1"/>
  <c r="N11" i="13" s="1"/>
  <c r="U10" i="13"/>
  <c r="V10" i="13" s="1"/>
  <c r="T10" i="13"/>
  <c r="M10" i="13"/>
  <c r="F10" i="13"/>
  <c r="E10" i="13"/>
  <c r="B10" i="13"/>
  <c r="A10" i="13"/>
  <c r="H10" i="13"/>
  <c r="U9" i="13"/>
  <c r="V9" i="13" s="1"/>
  <c r="T9" i="13"/>
  <c r="M9" i="13"/>
  <c r="F9" i="13"/>
  <c r="B9" i="13"/>
  <c r="A9" i="13"/>
  <c r="H9" i="13"/>
  <c r="N9" i="13" s="1"/>
  <c r="U8" i="13"/>
  <c r="V8" i="13" s="1"/>
  <c r="T8" i="13"/>
  <c r="M8" i="13"/>
  <c r="F8" i="13"/>
  <c r="B8" i="13"/>
  <c r="A8" i="13"/>
  <c r="H8" i="13" s="1"/>
  <c r="N8" i="13"/>
  <c r="U7" i="13"/>
  <c r="V7" i="13" s="1"/>
  <c r="T7" i="13"/>
  <c r="M7" i="13"/>
  <c r="F7" i="13"/>
  <c r="E7" i="13"/>
  <c r="B7" i="13"/>
  <c r="A7" i="13"/>
  <c r="H7" i="13" s="1"/>
  <c r="N7" i="13" s="1"/>
  <c r="U6" i="13"/>
  <c r="T6" i="13"/>
  <c r="M6" i="13"/>
  <c r="F6" i="13"/>
  <c r="B6" i="13"/>
  <c r="A6" i="13"/>
  <c r="H6" i="13" s="1"/>
  <c r="U5" i="13"/>
  <c r="T5" i="13"/>
  <c r="M5" i="13"/>
  <c r="F5" i="13"/>
  <c r="E5" i="13"/>
  <c r="B5" i="13"/>
  <c r="A5" i="13"/>
  <c r="H5" i="13"/>
  <c r="N5" i="13" s="1"/>
  <c r="U4" i="13"/>
  <c r="T4" i="13"/>
  <c r="M4" i="13"/>
  <c r="F4" i="13"/>
  <c r="B4" i="13"/>
  <c r="A4" i="13"/>
  <c r="H4" i="13"/>
  <c r="N4" i="13" s="1"/>
  <c r="U3" i="13"/>
  <c r="T3" i="13"/>
  <c r="M3" i="13"/>
  <c r="F3" i="13"/>
  <c r="B3" i="13"/>
  <c r="A3" i="13"/>
  <c r="H2" i="13"/>
  <c r="F2" i="13"/>
  <c r="B2" i="13"/>
  <c r="A2" i="13"/>
  <c r="U44" i="12"/>
  <c r="T44" i="12"/>
  <c r="M44" i="12"/>
  <c r="F44" i="12"/>
  <c r="B44" i="12"/>
  <c r="A44" i="12"/>
  <c r="H44" i="12" s="1"/>
  <c r="N44" i="12"/>
  <c r="U43" i="12"/>
  <c r="T43" i="12"/>
  <c r="M43" i="12"/>
  <c r="F43" i="12"/>
  <c r="E43" i="12"/>
  <c r="B43" i="12"/>
  <c r="A43" i="12"/>
  <c r="H43" i="12" s="1"/>
  <c r="N43" i="12" s="1"/>
  <c r="O43" i="12" s="1"/>
  <c r="U42" i="12"/>
  <c r="V42" i="12" s="1"/>
  <c r="T42" i="12"/>
  <c r="M42" i="12"/>
  <c r="F42" i="12"/>
  <c r="E42" i="12"/>
  <c r="B42" i="12"/>
  <c r="A42" i="12"/>
  <c r="H42" i="12" s="1"/>
  <c r="U41" i="12"/>
  <c r="T41" i="12"/>
  <c r="V41" i="12" s="1"/>
  <c r="M41" i="12"/>
  <c r="F41" i="12"/>
  <c r="E41" i="12"/>
  <c r="B41" i="12"/>
  <c r="A41" i="12"/>
  <c r="H41" i="12"/>
  <c r="N41" i="12" s="1"/>
  <c r="U40" i="12"/>
  <c r="V40" i="12" s="1"/>
  <c r="T40" i="12"/>
  <c r="M40" i="12"/>
  <c r="F40" i="12"/>
  <c r="E40" i="12"/>
  <c r="B40" i="12"/>
  <c r="A40" i="12"/>
  <c r="H40" i="12" s="1"/>
  <c r="N40" i="12" s="1"/>
  <c r="U39" i="12"/>
  <c r="T39" i="12"/>
  <c r="M39" i="12"/>
  <c r="F39" i="12"/>
  <c r="E39" i="12"/>
  <c r="B39" i="12"/>
  <c r="A39" i="12"/>
  <c r="H39" i="12" s="1"/>
  <c r="N39" i="12" s="1"/>
  <c r="O39" i="12" s="1"/>
  <c r="U38" i="12"/>
  <c r="T38" i="12"/>
  <c r="V38" i="12" s="1"/>
  <c r="M38" i="12"/>
  <c r="F38" i="12"/>
  <c r="B38" i="12"/>
  <c r="A38" i="12"/>
  <c r="H38" i="12" s="1"/>
  <c r="U37" i="12"/>
  <c r="T37" i="12"/>
  <c r="M37" i="12"/>
  <c r="F37" i="12"/>
  <c r="E37" i="12"/>
  <c r="B37" i="12"/>
  <c r="A37" i="12"/>
  <c r="H37" i="12" s="1"/>
  <c r="N37" i="12" s="1"/>
  <c r="U36" i="12"/>
  <c r="T36" i="12"/>
  <c r="V36" i="12"/>
  <c r="M36" i="12"/>
  <c r="F36" i="12"/>
  <c r="B36" i="12"/>
  <c r="A36" i="12"/>
  <c r="H36" i="12"/>
  <c r="U35" i="12"/>
  <c r="V35" i="12" s="1"/>
  <c r="T35" i="12"/>
  <c r="M35" i="12"/>
  <c r="F35" i="12"/>
  <c r="E35" i="12"/>
  <c r="B35" i="12"/>
  <c r="A35" i="12"/>
  <c r="H35" i="12" s="1"/>
  <c r="N35" i="12" s="1"/>
  <c r="U34" i="12"/>
  <c r="T34" i="12"/>
  <c r="M34" i="12"/>
  <c r="F34" i="12"/>
  <c r="E34" i="12"/>
  <c r="B34" i="12"/>
  <c r="A34" i="12"/>
  <c r="H34" i="12" s="1"/>
  <c r="N34" i="12" s="1"/>
  <c r="U33" i="12"/>
  <c r="T33" i="12"/>
  <c r="M33" i="12"/>
  <c r="F33" i="12"/>
  <c r="E33" i="12"/>
  <c r="B33" i="12"/>
  <c r="A33" i="12"/>
  <c r="H33" i="12" s="1"/>
  <c r="N33" i="12" s="1"/>
  <c r="O33" i="12" s="1"/>
  <c r="U32" i="12"/>
  <c r="T32" i="12"/>
  <c r="M32" i="12"/>
  <c r="F32" i="12"/>
  <c r="B32" i="12"/>
  <c r="A32" i="12"/>
  <c r="H32" i="12"/>
  <c r="N32" i="12" s="1"/>
  <c r="U31" i="12"/>
  <c r="T31" i="12"/>
  <c r="M31" i="12"/>
  <c r="F31" i="12"/>
  <c r="B31" i="12"/>
  <c r="A31" i="12"/>
  <c r="H31" i="12" s="1"/>
  <c r="N31" i="12"/>
  <c r="U30" i="12"/>
  <c r="T30" i="12"/>
  <c r="M30" i="12"/>
  <c r="F30" i="12"/>
  <c r="E30" i="12"/>
  <c r="B30" i="12"/>
  <c r="A30" i="12"/>
  <c r="H30" i="12" s="1"/>
  <c r="N30" i="12"/>
  <c r="U29" i="12"/>
  <c r="T29" i="12"/>
  <c r="M29" i="12"/>
  <c r="F29" i="12"/>
  <c r="E29" i="12"/>
  <c r="B29" i="12"/>
  <c r="A29" i="12"/>
  <c r="H29" i="12" s="1"/>
  <c r="U28" i="12"/>
  <c r="T28" i="12"/>
  <c r="M28" i="12"/>
  <c r="F28" i="12"/>
  <c r="E28" i="12"/>
  <c r="B28" i="12"/>
  <c r="A28" i="12"/>
  <c r="H28" i="12"/>
  <c r="N28" i="12" s="1"/>
  <c r="U27" i="12"/>
  <c r="T27" i="12"/>
  <c r="M27" i="12"/>
  <c r="F27" i="12"/>
  <c r="E27" i="12"/>
  <c r="B27" i="12"/>
  <c r="A27" i="12"/>
  <c r="H27" i="12"/>
  <c r="N27" i="12" s="1"/>
  <c r="U26" i="12"/>
  <c r="T26" i="12"/>
  <c r="V26" i="12"/>
  <c r="M26" i="12"/>
  <c r="F26" i="12"/>
  <c r="E26" i="12"/>
  <c r="B26" i="12"/>
  <c r="A26" i="12"/>
  <c r="H26" i="12" s="1"/>
  <c r="U25" i="12"/>
  <c r="T25" i="12"/>
  <c r="M25" i="12"/>
  <c r="F25" i="12"/>
  <c r="B25" i="12"/>
  <c r="A25" i="12"/>
  <c r="H25" i="12"/>
  <c r="N25" i="12" s="1"/>
  <c r="U24" i="12"/>
  <c r="T24" i="12"/>
  <c r="M24" i="12"/>
  <c r="F24" i="12"/>
  <c r="B24" i="12"/>
  <c r="A24" i="12"/>
  <c r="H24" i="12"/>
  <c r="N24" i="12" s="1"/>
  <c r="U23" i="12"/>
  <c r="T23" i="12"/>
  <c r="M23" i="12"/>
  <c r="F23" i="12"/>
  <c r="E23" i="12"/>
  <c r="B23" i="12"/>
  <c r="A23" i="12"/>
  <c r="H23" i="12" s="1"/>
  <c r="U22" i="12"/>
  <c r="T22" i="12"/>
  <c r="M22" i="12"/>
  <c r="F22" i="12"/>
  <c r="E22" i="12"/>
  <c r="B22" i="12"/>
  <c r="A22" i="12"/>
  <c r="H22" i="12" s="1"/>
  <c r="N22" i="12" s="1"/>
  <c r="U21" i="12"/>
  <c r="T21" i="12"/>
  <c r="V21" i="12" s="1"/>
  <c r="M21" i="12"/>
  <c r="F21" i="12"/>
  <c r="E21" i="12"/>
  <c r="B21" i="12"/>
  <c r="A21" i="12"/>
  <c r="H21" i="12" s="1"/>
  <c r="N21" i="12"/>
  <c r="U20" i="12"/>
  <c r="V20" i="12" s="1"/>
  <c r="T20" i="12"/>
  <c r="M20" i="12"/>
  <c r="F20" i="12"/>
  <c r="B20" i="12"/>
  <c r="A20" i="12"/>
  <c r="H20" i="12" s="1"/>
  <c r="N20" i="12" s="1"/>
  <c r="U19" i="12"/>
  <c r="T19" i="12"/>
  <c r="M19" i="12"/>
  <c r="F19" i="12"/>
  <c r="E19" i="12"/>
  <c r="B19" i="12"/>
  <c r="A19" i="12"/>
  <c r="H19" i="12" s="1"/>
  <c r="U18" i="12"/>
  <c r="T18" i="12"/>
  <c r="V18" i="12"/>
  <c r="M18" i="12"/>
  <c r="F18" i="12"/>
  <c r="E18" i="12"/>
  <c r="B18" i="12"/>
  <c r="A18" i="12"/>
  <c r="H18" i="12"/>
  <c r="N18" i="12" s="1"/>
  <c r="U17" i="12"/>
  <c r="T17" i="12"/>
  <c r="V17" i="12" s="1"/>
  <c r="M17" i="12"/>
  <c r="B17" i="12"/>
  <c r="A17" i="12"/>
  <c r="H17" i="12"/>
  <c r="U16" i="12"/>
  <c r="T16" i="12"/>
  <c r="M16" i="12"/>
  <c r="F16" i="12"/>
  <c r="B16" i="12"/>
  <c r="A16" i="12"/>
  <c r="H16" i="12"/>
  <c r="N16" i="12" s="1"/>
  <c r="U15" i="12"/>
  <c r="T15" i="12"/>
  <c r="V15" i="12" s="1"/>
  <c r="M15" i="12"/>
  <c r="F15" i="12"/>
  <c r="E15" i="12"/>
  <c r="B15" i="12"/>
  <c r="A15" i="12"/>
  <c r="H15" i="12"/>
  <c r="N15" i="12" s="1"/>
  <c r="U14" i="12"/>
  <c r="T14" i="12"/>
  <c r="M14" i="12"/>
  <c r="F14" i="12"/>
  <c r="B14" i="12"/>
  <c r="A14" i="12"/>
  <c r="H14" i="12" s="1"/>
  <c r="U13" i="12"/>
  <c r="T13" i="12"/>
  <c r="M13" i="12"/>
  <c r="F13" i="12"/>
  <c r="B13" i="12"/>
  <c r="A13" i="12"/>
  <c r="H13" i="12" s="1"/>
  <c r="N13" i="12" s="1"/>
  <c r="U12" i="12"/>
  <c r="V12" i="12" s="1"/>
  <c r="T12" i="12"/>
  <c r="M12" i="12"/>
  <c r="F12" i="12"/>
  <c r="B12" i="12"/>
  <c r="A12" i="12"/>
  <c r="H12" i="12" s="1"/>
  <c r="U11" i="12"/>
  <c r="V11" i="12" s="1"/>
  <c r="T11" i="12"/>
  <c r="M11" i="12"/>
  <c r="F11" i="12"/>
  <c r="B11" i="12"/>
  <c r="A11" i="12"/>
  <c r="H11" i="12"/>
  <c r="N11" i="12" s="1"/>
  <c r="U10" i="12"/>
  <c r="V10" i="12" s="1"/>
  <c r="T10" i="12"/>
  <c r="M10" i="12"/>
  <c r="F10" i="12"/>
  <c r="B10" i="12"/>
  <c r="A10" i="12"/>
  <c r="H10" i="12" s="1"/>
  <c r="N10" i="12"/>
  <c r="U9" i="12"/>
  <c r="V9" i="12" s="1"/>
  <c r="T9" i="12"/>
  <c r="M9" i="12"/>
  <c r="F9" i="12"/>
  <c r="E9" i="12"/>
  <c r="B9" i="12"/>
  <c r="A9" i="12"/>
  <c r="H9" i="12"/>
  <c r="U8" i="12"/>
  <c r="T8" i="12"/>
  <c r="V8" i="12" s="1"/>
  <c r="M8" i="12"/>
  <c r="F8" i="12"/>
  <c r="B8" i="12"/>
  <c r="A8" i="12"/>
  <c r="H8" i="12"/>
  <c r="N8" i="12" s="1"/>
  <c r="U7" i="12"/>
  <c r="T7" i="12"/>
  <c r="V7" i="12" s="1"/>
  <c r="M7" i="12"/>
  <c r="F7" i="12"/>
  <c r="B7" i="12"/>
  <c r="A7" i="12"/>
  <c r="H7" i="12" s="1"/>
  <c r="U6" i="12"/>
  <c r="T6" i="12"/>
  <c r="V6" i="12" s="1"/>
  <c r="M6" i="12"/>
  <c r="F6" i="12"/>
  <c r="B6" i="12"/>
  <c r="A6" i="12"/>
  <c r="H6" i="12" s="1"/>
  <c r="N6" i="12" s="1"/>
  <c r="U5" i="12"/>
  <c r="T5" i="12"/>
  <c r="V5" i="12" s="1"/>
  <c r="M5" i="12"/>
  <c r="F5" i="12"/>
  <c r="E5" i="12"/>
  <c r="B5" i="12"/>
  <c r="A5" i="12"/>
  <c r="H5" i="12" s="1"/>
  <c r="N5" i="12"/>
  <c r="U4" i="12"/>
  <c r="V4" i="12" s="1"/>
  <c r="T4" i="12"/>
  <c r="M4" i="12"/>
  <c r="F4" i="12"/>
  <c r="B4" i="12"/>
  <c r="A4" i="12"/>
  <c r="H4" i="12" s="1"/>
  <c r="U3" i="12"/>
  <c r="T3" i="12"/>
  <c r="M3" i="12"/>
  <c r="F3" i="12"/>
  <c r="B3" i="12"/>
  <c r="A3" i="12"/>
  <c r="H3" i="12"/>
  <c r="N3" i="12" s="1"/>
  <c r="H2" i="12"/>
  <c r="F2" i="12"/>
  <c r="B2" i="12"/>
  <c r="A2" i="12"/>
  <c r="V27" i="13"/>
  <c r="V4" i="13"/>
  <c r="V40" i="13"/>
  <c r="V14" i="13"/>
  <c r="V44" i="13"/>
  <c r="V39" i="12"/>
  <c r="V21" i="13"/>
  <c r="E12" i="13"/>
  <c r="E16" i="13"/>
  <c r="E37" i="13"/>
  <c r="E9" i="13"/>
  <c r="E6" i="13"/>
  <c r="E11" i="13"/>
  <c r="E13" i="13"/>
  <c r="E14" i="13"/>
  <c r="E29" i="13"/>
  <c r="E41" i="13"/>
  <c r="E33" i="13"/>
  <c r="E24" i="13"/>
  <c r="O18" i="13"/>
  <c r="E40" i="13"/>
  <c r="V41" i="13"/>
  <c r="E22" i="13"/>
  <c r="E26" i="13"/>
  <c r="E31" i="13"/>
  <c r="E35" i="13"/>
  <c r="E12" i="12"/>
  <c r="E31" i="12"/>
  <c r="E7" i="12"/>
  <c r="E11" i="12"/>
  <c r="E6" i="12"/>
  <c r="E10" i="12"/>
  <c r="E13" i="12"/>
  <c r="E16" i="12"/>
  <c r="E17" i="12"/>
  <c r="E25" i="12"/>
  <c r="V31" i="12"/>
  <c r="E24" i="12"/>
  <c r="E36" i="12"/>
  <c r="D12" i="10"/>
  <c r="C12" i="10"/>
  <c r="C13" i="10"/>
  <c r="D13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D43" i="9"/>
  <c r="C43" i="9"/>
  <c r="E43" i="9" s="1"/>
  <c r="D42" i="9"/>
  <c r="C42" i="9"/>
  <c r="D41" i="9"/>
  <c r="C41" i="9"/>
  <c r="D40" i="9"/>
  <c r="C40" i="9"/>
  <c r="D39" i="9"/>
  <c r="C39" i="9"/>
  <c r="E39" i="9" s="1"/>
  <c r="D38" i="9"/>
  <c r="C38" i="9"/>
  <c r="E38" i="9" s="1"/>
  <c r="D37" i="9"/>
  <c r="C37" i="9"/>
  <c r="D36" i="9"/>
  <c r="C36" i="9"/>
  <c r="E36" i="9" s="1"/>
  <c r="D35" i="9"/>
  <c r="C35" i="9"/>
  <c r="D34" i="9"/>
  <c r="E34" i="9" s="1"/>
  <c r="C34" i="9"/>
  <c r="D33" i="9"/>
  <c r="C33" i="9"/>
  <c r="E33" i="9" s="1"/>
  <c r="D32" i="9"/>
  <c r="C32" i="9"/>
  <c r="E32" i="9" s="1"/>
  <c r="D31" i="9"/>
  <c r="C31" i="9"/>
  <c r="D30" i="9"/>
  <c r="C30" i="9"/>
  <c r="D29" i="9"/>
  <c r="C29" i="9"/>
  <c r="D28" i="9"/>
  <c r="D27" i="9"/>
  <c r="C27" i="9"/>
  <c r="E27" i="9" s="1"/>
  <c r="D26" i="9"/>
  <c r="C26" i="9"/>
  <c r="D25" i="9"/>
  <c r="C25" i="9"/>
  <c r="D24" i="9"/>
  <c r="C24" i="9"/>
  <c r="E24" i="9" s="1"/>
  <c r="D23" i="9"/>
  <c r="C23" i="9"/>
  <c r="D22" i="9"/>
  <c r="C22" i="9"/>
  <c r="D21" i="9"/>
  <c r="C21" i="9"/>
  <c r="E21" i="9" s="1"/>
  <c r="D20" i="9"/>
  <c r="C20" i="9"/>
  <c r="E20" i="9" s="1"/>
  <c r="D19" i="9"/>
  <c r="C19" i="9"/>
  <c r="E19" i="9" s="1"/>
  <c r="D18" i="9"/>
  <c r="C18" i="9"/>
  <c r="D17" i="9"/>
  <c r="C17" i="9"/>
  <c r="E17" i="9" s="1"/>
  <c r="D16" i="9"/>
  <c r="C16" i="9"/>
  <c r="D15" i="9"/>
  <c r="C15" i="9"/>
  <c r="E15" i="9" s="1"/>
  <c r="D14" i="9"/>
  <c r="C14" i="9"/>
  <c r="E14" i="9" s="1"/>
  <c r="D13" i="9"/>
  <c r="C13" i="9"/>
  <c r="E13" i="9" s="1"/>
  <c r="D12" i="9"/>
  <c r="C12" i="9"/>
  <c r="E12" i="9" s="1"/>
  <c r="D11" i="9"/>
  <c r="C11" i="9"/>
  <c r="D10" i="9"/>
  <c r="E10" i="9" s="1"/>
  <c r="C10" i="9"/>
  <c r="D9" i="9"/>
  <c r="C9" i="9"/>
  <c r="E9" i="9" s="1"/>
  <c r="D8" i="9"/>
  <c r="C8" i="9"/>
  <c r="E8" i="9" s="1"/>
  <c r="D7" i="9"/>
  <c r="C7" i="9"/>
  <c r="E7" i="9" s="1"/>
  <c r="E44" i="9" s="1"/>
  <c r="D6" i="9"/>
  <c r="C6" i="9"/>
  <c r="D5" i="9"/>
  <c r="C5" i="9"/>
  <c r="D4" i="9"/>
  <c r="C4" i="9"/>
  <c r="E4" i="9" s="1"/>
  <c r="D3" i="9"/>
  <c r="C3" i="9"/>
  <c r="E3" i="9" s="1"/>
  <c r="D2" i="9"/>
  <c r="C2" i="9"/>
  <c r="I23" i="1"/>
  <c r="H23" i="1"/>
  <c r="G26" i="4" s="1"/>
  <c r="C26" i="4"/>
  <c r="D26" i="4"/>
  <c r="G23" i="1"/>
  <c r="F23" i="1"/>
  <c r="E23" i="1"/>
  <c r="F51" i="7" s="1"/>
  <c r="F52" i="7"/>
  <c r="D23" i="1"/>
  <c r="E53" i="7"/>
  <c r="I53" i="7" s="1"/>
  <c r="E57" i="12" s="1"/>
  <c r="G57" i="12" s="1"/>
  <c r="F18" i="15" s="1"/>
  <c r="E11" i="9"/>
  <c r="E23" i="9"/>
  <c r="E31" i="9"/>
  <c r="E35" i="9"/>
  <c r="I51" i="7"/>
  <c r="F53" i="7"/>
  <c r="D102" i="9"/>
  <c r="D102" i="10"/>
  <c r="D102" i="12"/>
  <c r="D102" i="14"/>
  <c r="E5" i="9"/>
  <c r="E25" i="9"/>
  <c r="E29" i="9"/>
  <c r="E37" i="9"/>
  <c r="E41" i="9"/>
  <c r="E2" i="9"/>
  <c r="E6" i="9"/>
  <c r="E16" i="9"/>
  <c r="E18" i="9"/>
  <c r="E22" i="9"/>
  <c r="E26" i="9"/>
  <c r="E30" i="9"/>
  <c r="E40" i="9"/>
  <c r="E42" i="9"/>
  <c r="K43" i="12"/>
  <c r="K41" i="12"/>
  <c r="K17" i="12"/>
  <c r="K11" i="12"/>
  <c r="K28" i="13"/>
  <c r="K41" i="13"/>
  <c r="F29" i="3"/>
  <c r="K11" i="13"/>
  <c r="K9" i="13"/>
  <c r="K20" i="13"/>
  <c r="K12" i="13"/>
  <c r="K22" i="12"/>
  <c r="K6" i="12"/>
  <c r="K42" i="13"/>
  <c r="K40" i="13"/>
  <c r="D44" i="14"/>
  <c r="C44" i="14"/>
  <c r="D43" i="14"/>
  <c r="C43" i="14"/>
  <c r="D42" i="14"/>
  <c r="C42" i="14"/>
  <c r="D41" i="14"/>
  <c r="C41" i="14"/>
  <c r="D40" i="14"/>
  <c r="C40" i="14"/>
  <c r="E40" i="14" s="1"/>
  <c r="D39" i="14"/>
  <c r="C39" i="14"/>
  <c r="D38" i="14"/>
  <c r="C38" i="14"/>
  <c r="D37" i="14"/>
  <c r="C37" i="14"/>
  <c r="E37" i="14" s="1"/>
  <c r="D36" i="14"/>
  <c r="C36" i="14"/>
  <c r="D35" i="14"/>
  <c r="C35" i="14"/>
  <c r="D34" i="14"/>
  <c r="C34" i="14"/>
  <c r="D33" i="14"/>
  <c r="C33" i="14"/>
  <c r="K33" i="14" s="1"/>
  <c r="D32" i="14"/>
  <c r="C32" i="14"/>
  <c r="D31" i="14"/>
  <c r="K31" i="14" s="1"/>
  <c r="C31" i="14"/>
  <c r="E31" i="14" s="1"/>
  <c r="D30" i="14"/>
  <c r="C30" i="14"/>
  <c r="D29" i="14"/>
  <c r="C29" i="14"/>
  <c r="D28" i="14"/>
  <c r="C28" i="14"/>
  <c r="K28" i="14" s="1"/>
  <c r="D27" i="14"/>
  <c r="C27" i="14"/>
  <c r="E27" i="14" s="1"/>
  <c r="D26" i="14"/>
  <c r="C26" i="14"/>
  <c r="D25" i="14"/>
  <c r="K25" i="14" s="1"/>
  <c r="C25" i="14"/>
  <c r="E25" i="14" s="1"/>
  <c r="D24" i="14"/>
  <c r="C24" i="14"/>
  <c r="D23" i="14"/>
  <c r="C23" i="14"/>
  <c r="D22" i="14"/>
  <c r="C22" i="14"/>
  <c r="K22" i="14" s="1"/>
  <c r="D21" i="14"/>
  <c r="C21" i="14"/>
  <c r="E21" i="14" s="1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E14" i="14" s="1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U44" i="14"/>
  <c r="T44" i="14"/>
  <c r="V44" i="14" s="1"/>
  <c r="M44" i="14"/>
  <c r="F44" i="14"/>
  <c r="B44" i="14"/>
  <c r="A44" i="14"/>
  <c r="U43" i="14"/>
  <c r="T43" i="14"/>
  <c r="M43" i="14"/>
  <c r="F43" i="14"/>
  <c r="B43" i="14"/>
  <c r="A43" i="14"/>
  <c r="H43" i="14" s="1"/>
  <c r="U42" i="14"/>
  <c r="T42" i="14"/>
  <c r="M42" i="14"/>
  <c r="F42" i="14"/>
  <c r="B42" i="14"/>
  <c r="A42" i="14"/>
  <c r="U41" i="14"/>
  <c r="T41" i="14"/>
  <c r="M41" i="14"/>
  <c r="F41" i="14"/>
  <c r="B41" i="14"/>
  <c r="A41" i="14"/>
  <c r="H41" i="14" s="1"/>
  <c r="N41" i="14" s="1"/>
  <c r="U40" i="14"/>
  <c r="T40" i="14"/>
  <c r="M40" i="14"/>
  <c r="F40" i="14"/>
  <c r="B40" i="14"/>
  <c r="A40" i="14"/>
  <c r="U39" i="14"/>
  <c r="V39" i="14" s="1"/>
  <c r="T39" i="14"/>
  <c r="M39" i="14"/>
  <c r="F39" i="14"/>
  <c r="B39" i="14"/>
  <c r="A39" i="14"/>
  <c r="U38" i="14"/>
  <c r="T38" i="14"/>
  <c r="M38" i="14"/>
  <c r="F38" i="14"/>
  <c r="B38" i="14"/>
  <c r="A38" i="14"/>
  <c r="U37" i="14"/>
  <c r="T37" i="14"/>
  <c r="V37" i="14"/>
  <c r="M37" i="14"/>
  <c r="F37" i="14"/>
  <c r="B37" i="14"/>
  <c r="A37" i="14"/>
  <c r="H37" i="14" s="1"/>
  <c r="N37" i="14" s="1"/>
  <c r="U36" i="14"/>
  <c r="T36" i="14"/>
  <c r="M36" i="14"/>
  <c r="F36" i="14"/>
  <c r="B36" i="14"/>
  <c r="A36" i="14"/>
  <c r="U35" i="14"/>
  <c r="T35" i="14"/>
  <c r="M35" i="14"/>
  <c r="F35" i="14"/>
  <c r="B35" i="14"/>
  <c r="A35" i="14"/>
  <c r="H35" i="14" s="1"/>
  <c r="N35" i="14" s="1"/>
  <c r="U34" i="14"/>
  <c r="T34" i="14"/>
  <c r="M34" i="14"/>
  <c r="F34" i="14"/>
  <c r="B34" i="14"/>
  <c r="A34" i="14"/>
  <c r="H34" i="14" s="1"/>
  <c r="N34" i="14" s="1"/>
  <c r="U33" i="14"/>
  <c r="T33" i="14"/>
  <c r="V33" i="14" s="1"/>
  <c r="M33" i="14"/>
  <c r="F33" i="14"/>
  <c r="B33" i="14"/>
  <c r="A33" i="14"/>
  <c r="H33" i="14" s="1"/>
  <c r="U32" i="14"/>
  <c r="V32" i="14" s="1"/>
  <c r="T32" i="14"/>
  <c r="M32" i="14"/>
  <c r="F32" i="14"/>
  <c r="B32" i="14"/>
  <c r="A32" i="14"/>
  <c r="H32" i="14" s="1"/>
  <c r="U31" i="14"/>
  <c r="T31" i="14"/>
  <c r="M31" i="14"/>
  <c r="F31" i="14"/>
  <c r="B31" i="14"/>
  <c r="A31" i="14"/>
  <c r="U30" i="14"/>
  <c r="T30" i="14"/>
  <c r="M30" i="14"/>
  <c r="F30" i="14"/>
  <c r="B30" i="14"/>
  <c r="A30" i="14"/>
  <c r="H30" i="14" s="1"/>
  <c r="N30" i="14" s="1"/>
  <c r="U29" i="14"/>
  <c r="T29" i="14"/>
  <c r="V29" i="14" s="1"/>
  <c r="M29" i="14"/>
  <c r="F29" i="14"/>
  <c r="B29" i="14"/>
  <c r="A29" i="14"/>
  <c r="H29" i="14" s="1"/>
  <c r="N29" i="14" s="1"/>
  <c r="U28" i="14"/>
  <c r="T28" i="14"/>
  <c r="M28" i="14"/>
  <c r="F28" i="14"/>
  <c r="B28" i="14"/>
  <c r="A28" i="14"/>
  <c r="U27" i="14"/>
  <c r="T27" i="14"/>
  <c r="M27" i="14"/>
  <c r="F27" i="14"/>
  <c r="B27" i="14"/>
  <c r="A27" i="14"/>
  <c r="H27" i="14" s="1"/>
  <c r="U26" i="14"/>
  <c r="T26" i="14"/>
  <c r="M26" i="14"/>
  <c r="F26" i="14"/>
  <c r="B26" i="14"/>
  <c r="A26" i="14"/>
  <c r="U25" i="14"/>
  <c r="V25" i="14" s="1"/>
  <c r="T25" i="14"/>
  <c r="M25" i="14"/>
  <c r="F25" i="14"/>
  <c r="B25" i="14"/>
  <c r="A25" i="14"/>
  <c r="U24" i="14"/>
  <c r="T24" i="14"/>
  <c r="M24" i="14"/>
  <c r="F24" i="14"/>
  <c r="B24" i="14"/>
  <c r="A24" i="14"/>
  <c r="H24" i="14" s="1"/>
  <c r="N24" i="14" s="1"/>
  <c r="U23" i="14"/>
  <c r="T23" i="14"/>
  <c r="M23" i="14"/>
  <c r="F23" i="14"/>
  <c r="B23" i="14"/>
  <c r="A23" i="14"/>
  <c r="H23" i="14" s="1"/>
  <c r="N23" i="14" s="1"/>
  <c r="U22" i="14"/>
  <c r="T22" i="14"/>
  <c r="M22" i="14"/>
  <c r="F22" i="14"/>
  <c r="B22" i="14"/>
  <c r="A22" i="14"/>
  <c r="H22" i="14" s="1"/>
  <c r="N22" i="14" s="1"/>
  <c r="U21" i="14"/>
  <c r="T21" i="14"/>
  <c r="M21" i="14"/>
  <c r="F21" i="14"/>
  <c r="B21" i="14"/>
  <c r="A21" i="14"/>
  <c r="U20" i="14"/>
  <c r="T20" i="14"/>
  <c r="M20" i="14"/>
  <c r="F20" i="14"/>
  <c r="B20" i="14"/>
  <c r="A20" i="14"/>
  <c r="U19" i="14"/>
  <c r="T19" i="14"/>
  <c r="M19" i="14"/>
  <c r="F19" i="14"/>
  <c r="B19" i="14"/>
  <c r="A19" i="14"/>
  <c r="U18" i="14"/>
  <c r="T18" i="14"/>
  <c r="M18" i="14"/>
  <c r="F18" i="14"/>
  <c r="B18" i="14"/>
  <c r="A18" i="14"/>
  <c r="U17" i="14"/>
  <c r="T17" i="14"/>
  <c r="M17" i="14"/>
  <c r="B17" i="14"/>
  <c r="A17" i="14"/>
  <c r="U16" i="14"/>
  <c r="V16" i="14" s="1"/>
  <c r="T16" i="14"/>
  <c r="M16" i="14"/>
  <c r="F16" i="14"/>
  <c r="B16" i="14"/>
  <c r="A16" i="14"/>
  <c r="U15" i="14"/>
  <c r="V15" i="14" s="1"/>
  <c r="T15" i="14"/>
  <c r="M15" i="14"/>
  <c r="F15" i="14"/>
  <c r="B15" i="14"/>
  <c r="A15" i="14"/>
  <c r="H15" i="14" s="1"/>
  <c r="U14" i="14"/>
  <c r="T14" i="14"/>
  <c r="M14" i="14"/>
  <c r="F14" i="14"/>
  <c r="B14" i="14"/>
  <c r="A14" i="14"/>
  <c r="H14" i="14" s="1"/>
  <c r="N14" i="14"/>
  <c r="U13" i="14"/>
  <c r="T13" i="14"/>
  <c r="M13" i="14"/>
  <c r="F13" i="14"/>
  <c r="B13" i="14"/>
  <c r="A13" i="14"/>
  <c r="H13" i="14" s="1"/>
  <c r="N13" i="14" s="1"/>
  <c r="U12" i="14"/>
  <c r="V12" i="14" s="1"/>
  <c r="T12" i="14"/>
  <c r="M12" i="14"/>
  <c r="F12" i="14"/>
  <c r="B12" i="14"/>
  <c r="A12" i="14"/>
  <c r="H12" i="14"/>
  <c r="O12" i="14" s="1"/>
  <c r="N12" i="14"/>
  <c r="U11" i="14"/>
  <c r="T11" i="14"/>
  <c r="M11" i="14"/>
  <c r="F11" i="14"/>
  <c r="B11" i="14"/>
  <c r="A11" i="14"/>
  <c r="H11" i="14" s="1"/>
  <c r="U10" i="14"/>
  <c r="T10" i="14"/>
  <c r="M10" i="14"/>
  <c r="F10" i="14"/>
  <c r="B10" i="14"/>
  <c r="A10" i="14"/>
  <c r="H10" i="14" s="1"/>
  <c r="U9" i="14"/>
  <c r="T9" i="14"/>
  <c r="V9" i="14" s="1"/>
  <c r="M9" i="14"/>
  <c r="F9" i="14"/>
  <c r="B9" i="14"/>
  <c r="A9" i="14"/>
  <c r="U8" i="14"/>
  <c r="V8" i="14" s="1"/>
  <c r="T8" i="14"/>
  <c r="M8" i="14"/>
  <c r="F8" i="14"/>
  <c r="B8" i="14"/>
  <c r="A8" i="14"/>
  <c r="H8" i="14" s="1"/>
  <c r="U7" i="14"/>
  <c r="T7" i="14"/>
  <c r="M7" i="14"/>
  <c r="F7" i="14"/>
  <c r="B7" i="14"/>
  <c r="A7" i="14"/>
  <c r="H7" i="14" s="1"/>
  <c r="U6" i="14"/>
  <c r="T6" i="14"/>
  <c r="M6" i="14"/>
  <c r="F6" i="14"/>
  <c r="B6" i="14"/>
  <c r="A6" i="14"/>
  <c r="H6" i="14" s="1"/>
  <c r="U5" i="14"/>
  <c r="T5" i="14"/>
  <c r="M5" i="14"/>
  <c r="F5" i="14"/>
  <c r="B5" i="14"/>
  <c r="A5" i="14"/>
  <c r="U4" i="14"/>
  <c r="T4" i="14"/>
  <c r="V4" i="14"/>
  <c r="M4" i="14"/>
  <c r="F4" i="14"/>
  <c r="B4" i="14"/>
  <c r="A4" i="14"/>
  <c r="H4" i="14" s="1"/>
  <c r="N4" i="14"/>
  <c r="U3" i="14"/>
  <c r="T3" i="14"/>
  <c r="M3" i="14"/>
  <c r="F3" i="14"/>
  <c r="B3" i="14"/>
  <c r="A3" i="14"/>
  <c r="H2" i="14"/>
  <c r="F2" i="14"/>
  <c r="B2" i="14"/>
  <c r="A2" i="14"/>
  <c r="H3" i="14"/>
  <c r="N3" i="14"/>
  <c r="O3" i="14" s="1"/>
  <c r="H20" i="14"/>
  <c r="N20" i="14" s="1"/>
  <c r="H39" i="14"/>
  <c r="N39" i="14"/>
  <c r="H16" i="14"/>
  <c r="N16" i="14" s="1"/>
  <c r="H26" i="14"/>
  <c r="N26" i="14" s="1"/>
  <c r="H19" i="14"/>
  <c r="N19" i="14" s="1"/>
  <c r="O19" i="14" s="1"/>
  <c r="H21" i="14"/>
  <c r="O21" i="14" s="1"/>
  <c r="H36" i="14"/>
  <c r="N36" i="14" s="1"/>
  <c r="H38" i="14"/>
  <c r="N38" i="14"/>
  <c r="H40" i="14"/>
  <c r="N40" i="14" s="1"/>
  <c r="H42" i="14"/>
  <c r="N42" i="14"/>
  <c r="H44" i="14"/>
  <c r="N44" i="14" s="1"/>
  <c r="O44" i="14" s="1"/>
  <c r="H18" i="14"/>
  <c r="H5" i="14"/>
  <c r="H9" i="14"/>
  <c r="N9" i="14" s="1"/>
  <c r="H28" i="14"/>
  <c r="N10" i="14"/>
  <c r="H17" i="14"/>
  <c r="H25" i="14"/>
  <c r="N25" i="14" s="1"/>
  <c r="N27" i="14"/>
  <c r="O27" i="14" s="1"/>
  <c r="H31" i="14"/>
  <c r="K32" i="14"/>
  <c r="K36" i="14"/>
  <c r="K6" i="14"/>
  <c r="K10" i="14"/>
  <c r="K12" i="14"/>
  <c r="K14" i="14"/>
  <c r="K38" i="14"/>
  <c r="K42" i="14"/>
  <c r="K13" i="14"/>
  <c r="K17" i="14"/>
  <c r="K29" i="14"/>
  <c r="K5" i="14"/>
  <c r="E33" i="14"/>
  <c r="E35" i="14"/>
  <c r="E38" i="14"/>
  <c r="E42" i="14"/>
  <c r="E10" i="14"/>
  <c r="E16" i="14"/>
  <c r="E36" i="14"/>
  <c r="E44" i="14"/>
  <c r="E22" i="14"/>
  <c r="E28" i="14"/>
  <c r="E30" i="14"/>
  <c r="E32" i="14"/>
  <c r="V43" i="14"/>
  <c r="E17" i="14"/>
  <c r="E19" i="14"/>
  <c r="E23" i="14"/>
  <c r="E29" i="14"/>
  <c r="E39" i="14"/>
  <c r="E41" i="14"/>
  <c r="E43" i="14"/>
  <c r="E20" i="14"/>
  <c r="E12" i="14"/>
  <c r="E18" i="14"/>
  <c r="D45" i="14"/>
  <c r="E13" i="14"/>
  <c r="E6" i="14"/>
  <c r="E8" i="14"/>
  <c r="E7" i="14"/>
  <c r="E11" i="14"/>
  <c r="E24" i="14"/>
  <c r="D44" i="11"/>
  <c r="C44" i="11"/>
  <c r="D43" i="11"/>
  <c r="C43" i="11"/>
  <c r="D42" i="11"/>
  <c r="C42" i="11"/>
  <c r="K42" i="11" s="1"/>
  <c r="D41" i="11"/>
  <c r="C41" i="11"/>
  <c r="D40" i="11"/>
  <c r="C40" i="11"/>
  <c r="D39" i="11"/>
  <c r="C39" i="11"/>
  <c r="D38" i="11"/>
  <c r="C38" i="11"/>
  <c r="D37" i="11"/>
  <c r="C37" i="11"/>
  <c r="D36" i="11"/>
  <c r="C36" i="11"/>
  <c r="K36" i="11" s="1"/>
  <c r="D35" i="11"/>
  <c r="C35" i="11"/>
  <c r="D34" i="11"/>
  <c r="C34" i="11"/>
  <c r="D33" i="11"/>
  <c r="C33" i="11"/>
  <c r="D32" i="11"/>
  <c r="K32" i="11" s="1"/>
  <c r="C32" i="11"/>
  <c r="D31" i="11"/>
  <c r="C31" i="11"/>
  <c r="E31" i="11" s="1"/>
  <c r="D30" i="11"/>
  <c r="C30" i="11"/>
  <c r="D29" i="11"/>
  <c r="C29" i="11"/>
  <c r="D28" i="11"/>
  <c r="C28" i="11"/>
  <c r="D27" i="11"/>
  <c r="C27" i="11"/>
  <c r="D26" i="11"/>
  <c r="K26" i="11" s="1"/>
  <c r="C26" i="11"/>
  <c r="D25" i="11"/>
  <c r="C25" i="11"/>
  <c r="K25" i="11" s="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K14" i="11" s="1"/>
  <c r="C14" i="11"/>
  <c r="D13" i="11"/>
  <c r="C13" i="11"/>
  <c r="D12" i="11"/>
  <c r="C12" i="11"/>
  <c r="D11" i="11"/>
  <c r="C11" i="11"/>
  <c r="K11" i="11" s="1"/>
  <c r="D10" i="11"/>
  <c r="C10" i="11"/>
  <c r="D9" i="11"/>
  <c r="C9" i="11"/>
  <c r="D8" i="11"/>
  <c r="C8" i="11"/>
  <c r="D7" i="11"/>
  <c r="C7" i="11"/>
  <c r="E7" i="11" s="1"/>
  <c r="D6" i="11"/>
  <c r="C6" i="11"/>
  <c r="E6" i="11" s="1"/>
  <c r="D5" i="11"/>
  <c r="C5" i="11"/>
  <c r="D4" i="11"/>
  <c r="C4" i="11"/>
  <c r="D3" i="11"/>
  <c r="C3" i="11"/>
  <c r="U44" i="11"/>
  <c r="T44" i="11"/>
  <c r="M44" i="11"/>
  <c r="F44" i="11"/>
  <c r="B44" i="11"/>
  <c r="A44" i="11"/>
  <c r="H44" i="11" s="1"/>
  <c r="N44" i="11" s="1"/>
  <c r="O44" i="11" s="1"/>
  <c r="U43" i="11"/>
  <c r="T43" i="11"/>
  <c r="M43" i="11"/>
  <c r="F43" i="11"/>
  <c r="B43" i="11"/>
  <c r="A43" i="11"/>
  <c r="H43" i="11" s="1"/>
  <c r="U42" i="11"/>
  <c r="T42" i="11"/>
  <c r="M42" i="11"/>
  <c r="F42" i="11"/>
  <c r="B42" i="11"/>
  <c r="A42" i="11"/>
  <c r="H42" i="11" s="1"/>
  <c r="N42" i="11" s="1"/>
  <c r="U41" i="11"/>
  <c r="T41" i="11"/>
  <c r="M41" i="11"/>
  <c r="F41" i="11"/>
  <c r="B41" i="11"/>
  <c r="A41" i="11"/>
  <c r="H41" i="11"/>
  <c r="U40" i="11"/>
  <c r="T40" i="11"/>
  <c r="M40" i="11"/>
  <c r="F40" i="11"/>
  <c r="B40" i="11"/>
  <c r="A40" i="11"/>
  <c r="H40" i="11"/>
  <c r="N40" i="11" s="1"/>
  <c r="U39" i="11"/>
  <c r="T39" i="11"/>
  <c r="M39" i="11"/>
  <c r="F39" i="11"/>
  <c r="B39" i="11"/>
  <c r="A39" i="11"/>
  <c r="H39" i="11" s="1"/>
  <c r="U38" i="11"/>
  <c r="T38" i="11"/>
  <c r="M38" i="11"/>
  <c r="F38" i="11"/>
  <c r="B38" i="11"/>
  <c r="A38" i="11"/>
  <c r="H38" i="11" s="1"/>
  <c r="U37" i="11"/>
  <c r="T37" i="11"/>
  <c r="M37" i="11"/>
  <c r="F37" i="11"/>
  <c r="B37" i="11"/>
  <c r="A37" i="11"/>
  <c r="H37" i="11"/>
  <c r="U36" i="11"/>
  <c r="T36" i="11"/>
  <c r="M36" i="11"/>
  <c r="F36" i="11"/>
  <c r="B36" i="11"/>
  <c r="A36" i="11"/>
  <c r="H36" i="11" s="1"/>
  <c r="N36" i="11" s="1"/>
  <c r="O36" i="11" s="1"/>
  <c r="U35" i="11"/>
  <c r="T35" i="11"/>
  <c r="M35" i="11"/>
  <c r="F35" i="11"/>
  <c r="B35" i="11"/>
  <c r="A35" i="11"/>
  <c r="H35" i="11"/>
  <c r="N35" i="11" s="1"/>
  <c r="U34" i="11"/>
  <c r="V34" i="11" s="1"/>
  <c r="T34" i="11"/>
  <c r="M34" i="11"/>
  <c r="F34" i="11"/>
  <c r="B34" i="11"/>
  <c r="A34" i="11"/>
  <c r="H34" i="11"/>
  <c r="U33" i="11"/>
  <c r="T33" i="11"/>
  <c r="M33" i="11"/>
  <c r="F33" i="11"/>
  <c r="B33" i="11"/>
  <c r="A33" i="11"/>
  <c r="H33" i="11" s="1"/>
  <c r="N33" i="11" s="1"/>
  <c r="U32" i="11"/>
  <c r="T32" i="11"/>
  <c r="M32" i="11"/>
  <c r="F32" i="11"/>
  <c r="B32" i="11"/>
  <c r="A32" i="11"/>
  <c r="H32" i="11" s="1"/>
  <c r="U31" i="11"/>
  <c r="T31" i="11"/>
  <c r="M31" i="11"/>
  <c r="F31" i="11"/>
  <c r="B31" i="11"/>
  <c r="A31" i="11"/>
  <c r="H31" i="11"/>
  <c r="N31" i="11" s="1"/>
  <c r="U30" i="11"/>
  <c r="T30" i="11"/>
  <c r="M30" i="11"/>
  <c r="F30" i="11"/>
  <c r="B30" i="11"/>
  <c r="A30" i="11"/>
  <c r="H30" i="11"/>
  <c r="N30" i="11" s="1"/>
  <c r="U29" i="11"/>
  <c r="T29" i="11"/>
  <c r="M29" i="11"/>
  <c r="F29" i="11"/>
  <c r="B29" i="11"/>
  <c r="A29" i="11"/>
  <c r="H29" i="11"/>
  <c r="N29" i="11" s="1"/>
  <c r="U28" i="11"/>
  <c r="T28" i="11"/>
  <c r="M28" i="11"/>
  <c r="F28" i="11"/>
  <c r="B28" i="11"/>
  <c r="A28" i="11"/>
  <c r="H28" i="11" s="1"/>
  <c r="U27" i="11"/>
  <c r="T27" i="11"/>
  <c r="M27" i="11"/>
  <c r="F27" i="11"/>
  <c r="B27" i="11"/>
  <c r="A27" i="11"/>
  <c r="H27" i="11" s="1"/>
  <c r="U26" i="11"/>
  <c r="T26" i="11"/>
  <c r="M26" i="11"/>
  <c r="F26" i="11"/>
  <c r="B26" i="11"/>
  <c r="A26" i="11"/>
  <c r="H26" i="11"/>
  <c r="U25" i="11"/>
  <c r="T25" i="11"/>
  <c r="M25" i="11"/>
  <c r="F25" i="11"/>
  <c r="B25" i="11"/>
  <c r="A25" i="11"/>
  <c r="H25" i="11" s="1"/>
  <c r="U24" i="11"/>
  <c r="T24" i="11"/>
  <c r="M24" i="11"/>
  <c r="F24" i="11"/>
  <c r="B24" i="11"/>
  <c r="A24" i="11"/>
  <c r="H24" i="11" s="1"/>
  <c r="N24" i="11" s="1"/>
  <c r="U23" i="11"/>
  <c r="T23" i="11"/>
  <c r="M23" i="11"/>
  <c r="F23" i="11"/>
  <c r="B23" i="11"/>
  <c r="A23" i="11"/>
  <c r="H23" i="11"/>
  <c r="N23" i="11" s="1"/>
  <c r="U22" i="11"/>
  <c r="T22" i="11"/>
  <c r="M22" i="11"/>
  <c r="F22" i="11"/>
  <c r="B22" i="11"/>
  <c r="A22" i="11"/>
  <c r="H22" i="11" s="1"/>
  <c r="U21" i="11"/>
  <c r="T21" i="11"/>
  <c r="M21" i="11"/>
  <c r="F21" i="11"/>
  <c r="B21" i="11"/>
  <c r="A21" i="11"/>
  <c r="H21" i="11"/>
  <c r="U20" i="11"/>
  <c r="T20" i="11"/>
  <c r="M20" i="11"/>
  <c r="F20" i="11"/>
  <c r="B20" i="11"/>
  <c r="A20" i="11"/>
  <c r="H20" i="11"/>
  <c r="U19" i="11"/>
  <c r="T19" i="11"/>
  <c r="M19" i="11"/>
  <c r="F19" i="11"/>
  <c r="B19" i="11"/>
  <c r="A19" i="11"/>
  <c r="H19" i="11" s="1"/>
  <c r="N19" i="11" s="1"/>
  <c r="U18" i="11"/>
  <c r="T18" i="11"/>
  <c r="M18" i="11"/>
  <c r="F18" i="11"/>
  <c r="B18" i="11"/>
  <c r="A18" i="11"/>
  <c r="H18" i="11" s="1"/>
  <c r="N18" i="11" s="1"/>
  <c r="U17" i="11"/>
  <c r="V17" i="11" s="1"/>
  <c r="T17" i="11"/>
  <c r="M17" i="11"/>
  <c r="B17" i="11"/>
  <c r="A17" i="11"/>
  <c r="H17" i="11" s="1"/>
  <c r="U16" i="11"/>
  <c r="T16" i="11"/>
  <c r="M16" i="11"/>
  <c r="F16" i="11"/>
  <c r="B16" i="11"/>
  <c r="A16" i="11"/>
  <c r="H16" i="11" s="1"/>
  <c r="U15" i="11"/>
  <c r="V15" i="11" s="1"/>
  <c r="T15" i="11"/>
  <c r="M15" i="11"/>
  <c r="F15" i="11"/>
  <c r="B15" i="11"/>
  <c r="A15" i="11"/>
  <c r="H15" i="11" s="1"/>
  <c r="N15" i="11" s="1"/>
  <c r="U14" i="11"/>
  <c r="V14" i="11" s="1"/>
  <c r="T14" i="11"/>
  <c r="M14" i="11"/>
  <c r="F14" i="11"/>
  <c r="B14" i="11"/>
  <c r="A14" i="11"/>
  <c r="H14" i="11"/>
  <c r="N14" i="11" s="1"/>
  <c r="U13" i="11"/>
  <c r="T13" i="11"/>
  <c r="M13" i="11"/>
  <c r="F13" i="11"/>
  <c r="B13" i="11"/>
  <c r="A13" i="11"/>
  <c r="H13" i="11" s="1"/>
  <c r="N13" i="11" s="1"/>
  <c r="U12" i="11"/>
  <c r="V12" i="11" s="1"/>
  <c r="T12" i="11"/>
  <c r="M12" i="11"/>
  <c r="F12" i="11"/>
  <c r="B12" i="11"/>
  <c r="A12" i="11"/>
  <c r="H12" i="11" s="1"/>
  <c r="N12" i="11" s="1"/>
  <c r="O12" i="11" s="1"/>
  <c r="U11" i="11"/>
  <c r="V11" i="11" s="1"/>
  <c r="T11" i="11"/>
  <c r="M11" i="11"/>
  <c r="F11" i="11"/>
  <c r="B11" i="11"/>
  <c r="A11" i="11"/>
  <c r="H11" i="11"/>
  <c r="N11" i="11" s="1"/>
  <c r="O11" i="11" s="1"/>
  <c r="U10" i="11"/>
  <c r="T10" i="11"/>
  <c r="M10" i="11"/>
  <c r="F10" i="11"/>
  <c r="B10" i="11"/>
  <c r="A10" i="11"/>
  <c r="H10" i="11" s="1"/>
  <c r="N10" i="11" s="1"/>
  <c r="U9" i="11"/>
  <c r="V9" i="11" s="1"/>
  <c r="T9" i="11"/>
  <c r="M9" i="11"/>
  <c r="F9" i="11"/>
  <c r="B9" i="11"/>
  <c r="A9" i="11"/>
  <c r="H9" i="11"/>
  <c r="N9" i="11" s="1"/>
  <c r="U8" i="11"/>
  <c r="T8" i="11"/>
  <c r="M8" i="11"/>
  <c r="F8" i="11"/>
  <c r="B8" i="11"/>
  <c r="A8" i="11"/>
  <c r="H8" i="11"/>
  <c r="O8" i="11" s="1"/>
  <c r="U7" i="11"/>
  <c r="V7" i="11" s="1"/>
  <c r="T7" i="11"/>
  <c r="M7" i="11"/>
  <c r="F7" i="11"/>
  <c r="B7" i="11"/>
  <c r="A7" i="11"/>
  <c r="H7" i="11" s="1"/>
  <c r="N7" i="11"/>
  <c r="U6" i="11"/>
  <c r="T6" i="11"/>
  <c r="M6" i="11"/>
  <c r="F6" i="11"/>
  <c r="B6" i="11"/>
  <c r="A6" i="11"/>
  <c r="H6" i="11"/>
  <c r="N6" i="11" s="1"/>
  <c r="U5" i="11"/>
  <c r="T5" i="11"/>
  <c r="M5" i="11"/>
  <c r="F5" i="11"/>
  <c r="B5" i="11"/>
  <c r="A5" i="11"/>
  <c r="H5" i="11"/>
  <c r="N5" i="11" s="1"/>
  <c r="U4" i="11"/>
  <c r="V4" i="11" s="1"/>
  <c r="T4" i="11"/>
  <c r="M4" i="11"/>
  <c r="B4" i="11"/>
  <c r="A4" i="11"/>
  <c r="H4" i="11"/>
  <c r="N4" i="11" s="1"/>
  <c r="U3" i="11"/>
  <c r="V3" i="11" s="1"/>
  <c r="T3" i="11"/>
  <c r="M3" i="11"/>
  <c r="F3" i="11"/>
  <c r="B3" i="11"/>
  <c r="A3" i="11"/>
  <c r="H3" i="11" s="1"/>
  <c r="N3" i="11" s="1"/>
  <c r="H2" i="11"/>
  <c r="F2" i="11"/>
  <c r="B2" i="11"/>
  <c r="A2" i="11"/>
  <c r="T44" i="10"/>
  <c r="T43" i="10"/>
  <c r="V43" i="10" s="1"/>
  <c r="U43" i="10"/>
  <c r="T42" i="10"/>
  <c r="T41" i="10"/>
  <c r="V41" i="10" s="1"/>
  <c r="T40" i="10"/>
  <c r="T39" i="10"/>
  <c r="T38" i="10"/>
  <c r="T37" i="10"/>
  <c r="T36" i="10"/>
  <c r="T35" i="10"/>
  <c r="U35" i="10"/>
  <c r="V35" i="10"/>
  <c r="T34" i="10"/>
  <c r="T33" i="10"/>
  <c r="T32" i="10"/>
  <c r="T31" i="10"/>
  <c r="V31" i="10" s="1"/>
  <c r="T30" i="10"/>
  <c r="T29" i="10"/>
  <c r="T28" i="10"/>
  <c r="T27" i="10"/>
  <c r="U27" i="10"/>
  <c r="V27" i="10"/>
  <c r="T26" i="10"/>
  <c r="T25" i="10"/>
  <c r="V25" i="10" s="1"/>
  <c r="T24" i="10"/>
  <c r="U24" i="10"/>
  <c r="V24" i="10" s="1"/>
  <c r="T23" i="10"/>
  <c r="T22" i="10"/>
  <c r="T21" i="10"/>
  <c r="T20" i="10"/>
  <c r="T19" i="10"/>
  <c r="U19" i="10"/>
  <c r="V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V3" i="10" s="1"/>
  <c r="U3" i="10"/>
  <c r="U44" i="10"/>
  <c r="V44" i="10"/>
  <c r="U42" i="10"/>
  <c r="U41" i="10"/>
  <c r="U40" i="10"/>
  <c r="U39" i="10"/>
  <c r="V39" i="10"/>
  <c r="U38" i="10"/>
  <c r="U37" i="10"/>
  <c r="V37" i="10" s="1"/>
  <c r="U36" i="10"/>
  <c r="V36" i="10" s="1"/>
  <c r="U34" i="10"/>
  <c r="U33" i="10"/>
  <c r="U32" i="10"/>
  <c r="V32" i="10" s="1"/>
  <c r="U31" i="10"/>
  <c r="U30" i="10"/>
  <c r="V30" i="10" s="1"/>
  <c r="U29" i="10"/>
  <c r="U28" i="10"/>
  <c r="V28" i="10" s="1"/>
  <c r="U26" i="10"/>
  <c r="U25" i="10"/>
  <c r="U23" i="10"/>
  <c r="V23" i="10" s="1"/>
  <c r="U22" i="10"/>
  <c r="V22" i="10"/>
  <c r="U21" i="10"/>
  <c r="V21" i="10"/>
  <c r="U20" i="10"/>
  <c r="V20" i="10" s="1"/>
  <c r="U18" i="10"/>
  <c r="U17" i="10"/>
  <c r="U16" i="10"/>
  <c r="U15" i="10"/>
  <c r="U14" i="10"/>
  <c r="V14" i="10"/>
  <c r="U13" i="10"/>
  <c r="V13" i="10" s="1"/>
  <c r="U12" i="10"/>
  <c r="V12" i="10"/>
  <c r="U11" i="10"/>
  <c r="U10" i="10"/>
  <c r="U9" i="10"/>
  <c r="U8" i="10"/>
  <c r="U7" i="10"/>
  <c r="U6" i="10"/>
  <c r="V6" i="10" s="1"/>
  <c r="U5" i="10"/>
  <c r="V5" i="10"/>
  <c r="U4" i="10"/>
  <c r="V4" i="10" s="1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E44" i="11"/>
  <c r="K6" i="11"/>
  <c r="K8" i="11"/>
  <c r="K12" i="11"/>
  <c r="K18" i="11"/>
  <c r="K20" i="11"/>
  <c r="K24" i="11"/>
  <c r="K28" i="11"/>
  <c r="K38" i="11"/>
  <c r="K43" i="11"/>
  <c r="K44" i="11"/>
  <c r="K41" i="11"/>
  <c r="K3" i="11"/>
  <c r="K5" i="11"/>
  <c r="K7" i="11"/>
  <c r="K9" i="11"/>
  <c r="K13" i="11"/>
  <c r="K15" i="11"/>
  <c r="K17" i="11"/>
  <c r="K19" i="11"/>
  <c r="K21" i="11"/>
  <c r="K23" i="11"/>
  <c r="K27" i="11"/>
  <c r="K29" i="11"/>
  <c r="K31" i="11"/>
  <c r="K33" i="11"/>
  <c r="K35" i="11"/>
  <c r="K37" i="11"/>
  <c r="K39" i="11"/>
  <c r="V42" i="11"/>
  <c r="K30" i="11"/>
  <c r="E5" i="11"/>
  <c r="E9" i="11"/>
  <c r="E11" i="11"/>
  <c r="E13" i="11"/>
  <c r="E15" i="11"/>
  <c r="E17" i="11"/>
  <c r="E19" i="11"/>
  <c r="E29" i="11"/>
  <c r="E33" i="11"/>
  <c r="E35" i="11"/>
  <c r="E37" i="11"/>
  <c r="E39" i="11"/>
  <c r="E41" i="11"/>
  <c r="E43" i="11"/>
  <c r="E18" i="11"/>
  <c r="E20" i="11"/>
  <c r="E30" i="11"/>
  <c r="E36" i="11"/>
  <c r="E38" i="11"/>
  <c r="E42" i="11"/>
  <c r="V16" i="11"/>
  <c r="O29" i="11"/>
  <c r="V36" i="11"/>
  <c r="V43" i="11"/>
  <c r="V18" i="11"/>
  <c r="V27" i="11"/>
  <c r="E21" i="11"/>
  <c r="N8" i="11"/>
  <c r="E25" i="11"/>
  <c r="E23" i="11"/>
  <c r="C45" i="11"/>
  <c r="E8" i="11"/>
  <c r="E12" i="11"/>
  <c r="E26" i="11"/>
  <c r="V26" i="11"/>
  <c r="E27" i="11"/>
  <c r="E24" i="11"/>
  <c r="N41" i="11"/>
  <c r="O41" i="11"/>
  <c r="V15" i="10"/>
  <c r="V8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C18" i="10"/>
  <c r="D20" i="10"/>
  <c r="C20" i="10"/>
  <c r="D19" i="10"/>
  <c r="K19" i="10" s="1"/>
  <c r="C19" i="10"/>
  <c r="D18" i="10"/>
  <c r="C21" i="10"/>
  <c r="D21" i="10"/>
  <c r="K21" i="10" s="1"/>
  <c r="D24" i="10"/>
  <c r="E24" i="10" s="1"/>
  <c r="C24" i="10"/>
  <c r="D23" i="10"/>
  <c r="C23" i="10"/>
  <c r="D22" i="10"/>
  <c r="C22" i="10"/>
  <c r="D17" i="10"/>
  <c r="C17" i="10"/>
  <c r="E17" i="10" s="1"/>
  <c r="D16" i="10"/>
  <c r="E16" i="10" s="1"/>
  <c r="C16" i="10"/>
  <c r="D15" i="10"/>
  <c r="K15" i="10" s="1"/>
  <c r="C15" i="10"/>
  <c r="D44" i="10"/>
  <c r="E44" i="10" s="1"/>
  <c r="C44" i="10"/>
  <c r="D43" i="10"/>
  <c r="E43" i="10" s="1"/>
  <c r="C43" i="10"/>
  <c r="D42" i="10"/>
  <c r="C42" i="10"/>
  <c r="D41" i="10"/>
  <c r="C41" i="10"/>
  <c r="E41" i="10" s="1"/>
  <c r="D40" i="10"/>
  <c r="K40" i="10" s="1"/>
  <c r="C40" i="10"/>
  <c r="E40" i="10" s="1"/>
  <c r="D39" i="10"/>
  <c r="C39" i="10"/>
  <c r="D38" i="10"/>
  <c r="E38" i="10" s="1"/>
  <c r="C38" i="10"/>
  <c r="D37" i="10"/>
  <c r="K37" i="10" s="1"/>
  <c r="C37" i="10"/>
  <c r="D36" i="10"/>
  <c r="K36" i="10" s="1"/>
  <c r="C36" i="10"/>
  <c r="D35" i="10"/>
  <c r="C35" i="10"/>
  <c r="D34" i="10"/>
  <c r="C34" i="10"/>
  <c r="D33" i="10"/>
  <c r="K33" i="10" s="1"/>
  <c r="C33" i="10"/>
  <c r="D32" i="10"/>
  <c r="E32" i="10" s="1"/>
  <c r="C32" i="10"/>
  <c r="D31" i="10"/>
  <c r="K31" i="10" s="1"/>
  <c r="C31" i="10"/>
  <c r="D30" i="10"/>
  <c r="C30" i="10"/>
  <c r="D29" i="10"/>
  <c r="C29" i="10"/>
  <c r="E29" i="10" s="1"/>
  <c r="D28" i="10"/>
  <c r="K28" i="10" s="1"/>
  <c r="C28" i="10"/>
  <c r="E28" i="10" s="1"/>
  <c r="D27" i="10"/>
  <c r="C27" i="10"/>
  <c r="D26" i="10"/>
  <c r="K26" i="10" s="1"/>
  <c r="C26" i="10"/>
  <c r="D25" i="10"/>
  <c r="E25" i="10" s="1"/>
  <c r="C25" i="10"/>
  <c r="D14" i="10"/>
  <c r="C14" i="10"/>
  <c r="D11" i="10"/>
  <c r="K11" i="10" s="1"/>
  <c r="C11" i="10"/>
  <c r="D10" i="10"/>
  <c r="C10" i="10"/>
  <c r="E10" i="10" s="1"/>
  <c r="D9" i="10"/>
  <c r="K9" i="10" s="1"/>
  <c r="C9" i="10"/>
  <c r="E9" i="10" s="1"/>
  <c r="D8" i="10"/>
  <c r="E8" i="10" s="1"/>
  <c r="C8" i="10"/>
  <c r="D7" i="10"/>
  <c r="K7" i="10" s="1"/>
  <c r="C7" i="10"/>
  <c r="D6" i="10"/>
  <c r="E6" i="10" s="1"/>
  <c r="C6" i="10"/>
  <c r="D5" i="10"/>
  <c r="C5" i="10"/>
  <c r="E5" i="10" s="1"/>
  <c r="D4" i="10"/>
  <c r="K4" i="10" s="1"/>
  <c r="C4" i="10"/>
  <c r="C3" i="10"/>
  <c r="K3" i="10" s="1"/>
  <c r="D3" i="10"/>
  <c r="D29" i="3"/>
  <c r="D28" i="3"/>
  <c r="K18" i="10"/>
  <c r="K6" i="10"/>
  <c r="K14" i="10"/>
  <c r="K30" i="10"/>
  <c r="K34" i="10"/>
  <c r="K38" i="10"/>
  <c r="K42" i="10"/>
  <c r="K16" i="10"/>
  <c r="K22" i="10"/>
  <c r="K24" i="10"/>
  <c r="K8" i="10"/>
  <c r="K25" i="10"/>
  <c r="K27" i="10"/>
  <c r="K39" i="10"/>
  <c r="K17" i="10"/>
  <c r="K23" i="10"/>
  <c r="D30" i="3"/>
  <c r="E42" i="10"/>
  <c r="E39" i="10"/>
  <c r="E35" i="10"/>
  <c r="E34" i="10"/>
  <c r="E33" i="10"/>
  <c r="E30" i="10"/>
  <c r="E27" i="10"/>
  <c r="E23" i="10"/>
  <c r="E22" i="10"/>
  <c r="E21" i="10"/>
  <c r="E18" i="10"/>
  <c r="E7" i="10"/>
  <c r="E11" i="10"/>
  <c r="E12" i="10"/>
  <c r="E13" i="10"/>
  <c r="E14" i="10"/>
  <c r="E15" i="10"/>
  <c r="Q10" i="3"/>
  <c r="B44" i="10"/>
  <c r="A44" i="10"/>
  <c r="H44" i="10"/>
  <c r="N44" i="10" s="1"/>
  <c r="B43" i="10"/>
  <c r="A43" i="10"/>
  <c r="H43" i="10" s="1"/>
  <c r="B42" i="10"/>
  <c r="A42" i="10"/>
  <c r="H42" i="10"/>
  <c r="N42" i="10" s="1"/>
  <c r="B41" i="10"/>
  <c r="A41" i="10"/>
  <c r="H41" i="10"/>
  <c r="B40" i="10"/>
  <c r="A40" i="10"/>
  <c r="H40" i="10" s="1"/>
  <c r="B39" i="10"/>
  <c r="A39" i="10"/>
  <c r="H39" i="10"/>
  <c r="N39" i="10" s="1"/>
  <c r="O39" i="10" s="1"/>
  <c r="B38" i="10"/>
  <c r="A38" i="10"/>
  <c r="H38" i="10" s="1"/>
  <c r="N38" i="10" s="1"/>
  <c r="B37" i="10"/>
  <c r="A37" i="10"/>
  <c r="H37" i="10" s="1"/>
  <c r="N37" i="10" s="1"/>
  <c r="B36" i="10"/>
  <c r="A36" i="10"/>
  <c r="H36" i="10" s="1"/>
  <c r="B35" i="10"/>
  <c r="A35" i="10"/>
  <c r="H35" i="10"/>
  <c r="N35" i="10" s="1"/>
  <c r="O35" i="10" s="1"/>
  <c r="B34" i="10"/>
  <c r="A34" i="10"/>
  <c r="H34" i="10" s="1"/>
  <c r="N34" i="10" s="1"/>
  <c r="B33" i="10"/>
  <c r="A33" i="10"/>
  <c r="H33" i="10"/>
  <c r="B32" i="10"/>
  <c r="A32" i="10"/>
  <c r="H32" i="10" s="1"/>
  <c r="B31" i="10"/>
  <c r="A31" i="10"/>
  <c r="H31" i="10" s="1"/>
  <c r="N31" i="10" s="1"/>
  <c r="B30" i="10"/>
  <c r="A30" i="10"/>
  <c r="H30" i="10"/>
  <c r="N30" i="10" s="1"/>
  <c r="O30" i="10" s="1"/>
  <c r="B29" i="10"/>
  <c r="A29" i="10"/>
  <c r="H29" i="10" s="1"/>
  <c r="N29" i="10" s="1"/>
  <c r="B28" i="10"/>
  <c r="A28" i="10"/>
  <c r="H28" i="10"/>
  <c r="B27" i="10"/>
  <c r="A27" i="10"/>
  <c r="H27" i="10" s="1"/>
  <c r="B26" i="10"/>
  <c r="A26" i="10"/>
  <c r="H26" i="10" s="1"/>
  <c r="B25" i="10"/>
  <c r="A25" i="10"/>
  <c r="H25" i="10"/>
  <c r="N25" i="10" s="1"/>
  <c r="O25" i="10" s="1"/>
  <c r="B24" i="10"/>
  <c r="A24" i="10"/>
  <c r="H24" i="10" s="1"/>
  <c r="B23" i="10"/>
  <c r="A23" i="10"/>
  <c r="H23" i="10"/>
  <c r="B22" i="10"/>
  <c r="A22" i="10"/>
  <c r="H22" i="10" s="1"/>
  <c r="B21" i="10"/>
  <c r="A21" i="10"/>
  <c r="H21" i="10" s="1"/>
  <c r="N21" i="10" s="1"/>
  <c r="B20" i="10"/>
  <c r="A20" i="10"/>
  <c r="H20" i="10"/>
  <c r="N20" i="10" s="1"/>
  <c r="O20" i="10" s="1"/>
  <c r="B19" i="10"/>
  <c r="A19" i="10"/>
  <c r="H19" i="10" s="1"/>
  <c r="B18" i="10"/>
  <c r="A18" i="10"/>
  <c r="H18" i="10" s="1"/>
  <c r="B17" i="10"/>
  <c r="A17" i="10"/>
  <c r="H17" i="10" s="1"/>
  <c r="B16" i="10"/>
  <c r="A16" i="10"/>
  <c r="H16" i="10"/>
  <c r="N16" i="10" s="1"/>
  <c r="O16" i="10" s="1"/>
  <c r="B15" i="10"/>
  <c r="A15" i="10"/>
  <c r="H15" i="10"/>
  <c r="N15" i="10" s="1"/>
  <c r="B14" i="10"/>
  <c r="A14" i="10"/>
  <c r="H14" i="10" s="1"/>
  <c r="N14" i="10" s="1"/>
  <c r="B13" i="10"/>
  <c r="A13" i="10"/>
  <c r="H13" i="10" s="1"/>
  <c r="B12" i="10"/>
  <c r="A12" i="10"/>
  <c r="H12" i="10" s="1"/>
  <c r="N12" i="10"/>
  <c r="B11" i="10"/>
  <c r="A11" i="10"/>
  <c r="H11" i="10"/>
  <c r="N11" i="10" s="1"/>
  <c r="O11" i="10" s="1"/>
  <c r="B10" i="10"/>
  <c r="A10" i="10"/>
  <c r="H10" i="10" s="1"/>
  <c r="B9" i="10"/>
  <c r="A9" i="10"/>
  <c r="H9" i="10"/>
  <c r="B8" i="10"/>
  <c r="A8" i="10"/>
  <c r="H8" i="10" s="1"/>
  <c r="B7" i="10"/>
  <c r="A7" i="10"/>
  <c r="H7" i="10"/>
  <c r="N7" i="10" s="1"/>
  <c r="B6" i="10"/>
  <c r="A6" i="10"/>
  <c r="H6" i="10" s="1"/>
  <c r="B5" i="10"/>
  <c r="A5" i="10"/>
  <c r="H5" i="10"/>
  <c r="N5" i="10" s="1"/>
  <c r="B4" i="10"/>
  <c r="A4" i="10"/>
  <c r="H4" i="10"/>
  <c r="N4" i="10" s="1"/>
  <c r="O4" i="10" s="1"/>
  <c r="B3" i="10"/>
  <c r="A3" i="10"/>
  <c r="N3" i="10"/>
  <c r="H2" i="10"/>
  <c r="F2" i="10"/>
  <c r="B2" i="10"/>
  <c r="A2" i="10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45" i="9" s="1"/>
  <c r="G46" i="9" s="1"/>
  <c r="G1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45" i="9" s="1"/>
  <c r="F2" i="9"/>
  <c r="C24" i="4"/>
  <c r="C23" i="4"/>
  <c r="C22" i="4"/>
  <c r="C21" i="4"/>
  <c r="C20" i="4"/>
  <c r="C19" i="4"/>
  <c r="C18" i="4"/>
  <c r="C17" i="4"/>
  <c r="C16" i="4"/>
  <c r="F16" i="4" s="1"/>
  <c r="G16" i="4" s="1"/>
  <c r="C15" i="4"/>
  <c r="F15" i="4" s="1"/>
  <c r="G15" i="4" s="1"/>
  <c r="C14" i="4"/>
  <c r="C13" i="4"/>
  <c r="C1" i="4"/>
  <c r="D10" i="4"/>
  <c r="D25" i="4"/>
  <c r="G25" i="4" s="1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9" i="4"/>
  <c r="D8" i="4"/>
  <c r="D7" i="4"/>
  <c r="D6" i="4"/>
  <c r="D5" i="4"/>
  <c r="D4" i="4"/>
  <c r="D3" i="4"/>
  <c r="D2" i="4"/>
  <c r="D1" i="4"/>
  <c r="F1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1" i="9"/>
  <c r="A1" i="9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8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3" i="6"/>
  <c r="G23" i="4"/>
  <c r="D44" i="9"/>
  <c r="C44" i="9"/>
  <c r="H14" i="4"/>
  <c r="I14" i="4"/>
  <c r="H15" i="4"/>
  <c r="I15" i="4"/>
  <c r="H16" i="4"/>
  <c r="I16" i="4"/>
  <c r="H17" i="4"/>
  <c r="I17" i="4"/>
  <c r="H18" i="4"/>
  <c r="I18" i="4" s="1"/>
  <c r="H19" i="4"/>
  <c r="I19" i="4"/>
  <c r="I30" i="4" s="1"/>
  <c r="C24" i="8" s="1"/>
  <c r="H20" i="4"/>
  <c r="I20" i="4"/>
  <c r="H21" i="4"/>
  <c r="I21" i="4"/>
  <c r="H22" i="4"/>
  <c r="I22" i="4"/>
  <c r="H23" i="4"/>
  <c r="I23" i="4"/>
  <c r="I32" i="4" s="1"/>
  <c r="C26" i="8" s="1"/>
  <c r="H24" i="4"/>
  <c r="I24" i="4" s="1"/>
  <c r="H25" i="4"/>
  <c r="I25" i="4"/>
  <c r="H26" i="4"/>
  <c r="I26" i="4"/>
  <c r="C27" i="8"/>
  <c r="B10" i="4"/>
  <c r="A10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Q11" i="3"/>
  <c r="Q12" i="3"/>
  <c r="Q8" i="3"/>
  <c r="Q5" i="3"/>
  <c r="Q6" i="3"/>
  <c r="Q7" i="3"/>
  <c r="E10" i="4"/>
  <c r="E8" i="4"/>
  <c r="F8" i="4" s="1"/>
  <c r="G8" i="4" s="1"/>
  <c r="E12" i="4"/>
  <c r="F12" i="4" s="1"/>
  <c r="E11" i="4"/>
  <c r="F11" i="4" s="1"/>
  <c r="H11" i="4" s="1"/>
  <c r="E82" i="13" s="1"/>
  <c r="G82" i="13" s="1"/>
  <c r="E5" i="4"/>
  <c r="F5" i="4" s="1"/>
  <c r="G5" i="4" s="1"/>
  <c r="E6" i="4"/>
  <c r="F6" i="4"/>
  <c r="F18" i="4"/>
  <c r="F17" i="4"/>
  <c r="G17" i="4" s="1"/>
  <c r="F14" i="4"/>
  <c r="G14" i="4" s="1"/>
  <c r="F22" i="4"/>
  <c r="G22" i="4"/>
  <c r="F24" i="4"/>
  <c r="G24" i="4"/>
  <c r="F20" i="4"/>
  <c r="G20" i="4" s="1"/>
  <c r="F19" i="4"/>
  <c r="F21" i="4"/>
  <c r="G21" i="4" s="1"/>
  <c r="E7" i="4"/>
  <c r="F7" i="4"/>
  <c r="F10" i="4"/>
  <c r="H10" i="4" s="1"/>
  <c r="I10" i="4"/>
  <c r="H5" i="4"/>
  <c r="E76" i="9" s="1"/>
  <c r="G76" i="9" s="1"/>
  <c r="E55" i="13"/>
  <c r="G55" i="13" s="1"/>
  <c r="E55" i="11"/>
  <c r="G55" i="11" s="1"/>
  <c r="E16" i="15" s="1"/>
  <c r="V20" i="11"/>
  <c r="V21" i="11"/>
  <c r="V28" i="11"/>
  <c r="V37" i="11"/>
  <c r="V44" i="11"/>
  <c r="V22" i="13"/>
  <c r="V23" i="13"/>
  <c r="V26" i="10"/>
  <c r="V34" i="10"/>
  <c r="V40" i="14"/>
  <c r="V27" i="12"/>
  <c r="V28" i="12"/>
  <c r="V29" i="12"/>
  <c r="V32" i="12"/>
  <c r="V33" i="12"/>
  <c r="V37" i="12"/>
  <c r="V43" i="12"/>
  <c r="G10" i="4"/>
  <c r="V7" i="14"/>
  <c r="V35" i="14"/>
  <c r="O34" i="13"/>
  <c r="V14" i="12"/>
  <c r="V30" i="12"/>
  <c r="V34" i="12"/>
  <c r="O41" i="12"/>
  <c r="V44" i="12"/>
  <c r="V13" i="13"/>
  <c r="V8" i="11"/>
  <c r="V25" i="11"/>
  <c r="V33" i="11"/>
  <c r="V41" i="11"/>
  <c r="V24" i="14"/>
  <c r="V28" i="14"/>
  <c r="V34" i="14"/>
  <c r="K24" i="12"/>
  <c r="K17" i="13"/>
  <c r="K19" i="12"/>
  <c r="E55" i="7"/>
  <c r="I55" i="7"/>
  <c r="E59" i="11" s="1"/>
  <c r="G59" i="11"/>
  <c r="E21" i="15"/>
  <c r="V3" i="12"/>
  <c r="V13" i="12"/>
  <c r="V11" i="13"/>
  <c r="V12" i="13"/>
  <c r="V40" i="10"/>
  <c r="V5" i="11"/>
  <c r="V6" i="11"/>
  <c r="V32" i="11"/>
  <c r="V40" i="11"/>
  <c r="V6" i="14"/>
  <c r="V10" i="14"/>
  <c r="V19" i="14"/>
  <c r="K4" i="13"/>
  <c r="K32" i="12"/>
  <c r="K23" i="13"/>
  <c r="K25" i="12"/>
  <c r="V3" i="13"/>
  <c r="V5" i="13"/>
  <c r="V6" i="13"/>
  <c r="V9" i="10"/>
  <c r="V17" i="10"/>
  <c r="O9" i="11"/>
  <c r="N17" i="11"/>
  <c r="O17" i="11" s="1"/>
  <c r="V31" i="11"/>
  <c r="V39" i="11"/>
  <c r="N18" i="14"/>
  <c r="O18" i="14" s="1"/>
  <c r="V27" i="14"/>
  <c r="K26" i="13"/>
  <c r="K8" i="13"/>
  <c r="K35" i="13"/>
  <c r="K39" i="12"/>
  <c r="V25" i="13"/>
  <c r="N42" i="12"/>
  <c r="O42" i="12" s="1"/>
  <c r="O35" i="11"/>
  <c r="O4" i="14"/>
  <c r="V11" i="14"/>
  <c r="V20" i="14"/>
  <c r="V30" i="14"/>
  <c r="V36" i="14"/>
  <c r="V41" i="14"/>
  <c r="G55" i="9"/>
  <c r="V22" i="12"/>
  <c r="V23" i="12"/>
  <c r="V24" i="12"/>
  <c r="V25" i="12"/>
  <c r="O19" i="11"/>
  <c r="V22" i="11"/>
  <c r="V29" i="11"/>
  <c r="V30" i="11"/>
  <c r="V38" i="11"/>
  <c r="O25" i="14"/>
  <c r="K40" i="14"/>
  <c r="K27" i="14"/>
  <c r="K11" i="14"/>
  <c r="K24" i="14"/>
  <c r="K8" i="14"/>
  <c r="K30" i="14"/>
  <c r="K4" i="12"/>
  <c r="K30" i="12"/>
  <c r="K24" i="13"/>
  <c r="K19" i="13"/>
  <c r="K43" i="13"/>
  <c r="K23" i="12"/>
  <c r="O37" i="12"/>
  <c r="O41" i="13"/>
  <c r="O11" i="12"/>
  <c r="N14" i="12"/>
  <c r="O14" i="12" s="1"/>
  <c r="V16" i="12"/>
  <c r="V18" i="13"/>
  <c r="V19" i="13"/>
  <c r="V37" i="13"/>
  <c r="N44" i="13"/>
  <c r="O44" i="13"/>
  <c r="O18" i="12"/>
  <c r="N8" i="10"/>
  <c r="O8" i="10" s="1"/>
  <c r="O38" i="10"/>
  <c r="V7" i="10"/>
  <c r="K39" i="14"/>
  <c r="K23" i="14"/>
  <c r="K7" i="14"/>
  <c r="K20" i="14"/>
  <c r="K4" i="14"/>
  <c r="V22" i="14"/>
  <c r="V23" i="14"/>
  <c r="O29" i="14"/>
  <c r="K10" i="13"/>
  <c r="K8" i="12"/>
  <c r="K36" i="12"/>
  <c r="K44" i="13"/>
  <c r="K25" i="13"/>
  <c r="K3" i="12"/>
  <c r="K27" i="12"/>
  <c r="O21" i="12"/>
  <c r="V15" i="13"/>
  <c r="V32" i="13"/>
  <c r="V33" i="13"/>
  <c r="V35" i="13"/>
  <c r="V10" i="10"/>
  <c r="V18" i="10"/>
  <c r="V42" i="10"/>
  <c r="V16" i="10"/>
  <c r="K37" i="14"/>
  <c r="K21" i="14"/>
  <c r="K3" i="14"/>
  <c r="K18" i="14"/>
  <c r="K43" i="14"/>
  <c r="E55" i="12"/>
  <c r="G55" i="12" s="1"/>
  <c r="F16" i="15"/>
  <c r="K18" i="13"/>
  <c r="K14" i="12"/>
  <c r="K38" i="12"/>
  <c r="K27" i="13"/>
  <c r="K7" i="12"/>
  <c r="K33" i="12"/>
  <c r="O3" i="10"/>
  <c r="O15" i="11"/>
  <c r="V13" i="11"/>
  <c r="K35" i="14"/>
  <c r="K19" i="14"/>
  <c r="K44" i="14"/>
  <c r="K16" i="14"/>
  <c r="K41" i="14"/>
  <c r="V13" i="14"/>
  <c r="V14" i="14"/>
  <c r="V38" i="14"/>
  <c r="E55" i="14"/>
  <c r="G55" i="14" s="1"/>
  <c r="G68" i="14" s="1"/>
  <c r="K22" i="13"/>
  <c r="K16" i="12"/>
  <c r="K40" i="12"/>
  <c r="K7" i="13"/>
  <c r="K33" i="13"/>
  <c r="K9" i="12"/>
  <c r="K35" i="12"/>
  <c r="E52" i="7"/>
  <c r="I52" i="7" s="1"/>
  <c r="E56" i="10" s="1"/>
  <c r="G56" i="10" s="1"/>
  <c r="D17" i="15" s="1"/>
  <c r="O8" i="13"/>
  <c r="G6" i="4"/>
  <c r="H6" i="4"/>
  <c r="H8" i="4"/>
  <c r="I8" i="4"/>
  <c r="G7" i="4"/>
  <c r="H7" i="4"/>
  <c r="E82" i="14"/>
  <c r="G82" i="14" s="1"/>
  <c r="I11" i="4"/>
  <c r="N17" i="10"/>
  <c r="O15" i="10"/>
  <c r="E82" i="10"/>
  <c r="G82" i="10"/>
  <c r="E76" i="11"/>
  <c r="G76" i="11" s="1"/>
  <c r="E76" i="10"/>
  <c r="G76" i="10" s="1"/>
  <c r="N33" i="10"/>
  <c r="O33" i="10"/>
  <c r="N41" i="10"/>
  <c r="O41" i="10" s="1"/>
  <c r="N23" i="10"/>
  <c r="O23" i="10" s="1"/>
  <c r="O31" i="10"/>
  <c r="N10" i="10"/>
  <c r="O10" i="10"/>
  <c r="N26" i="10"/>
  <c r="O26" i="10" s="1"/>
  <c r="O42" i="10"/>
  <c r="N8" i="14"/>
  <c r="O8" i="14"/>
  <c r="N21" i="14"/>
  <c r="N33" i="14"/>
  <c r="O33" i="14" s="1"/>
  <c r="O40" i="11"/>
  <c r="O5" i="10"/>
  <c r="O21" i="10"/>
  <c r="O37" i="10"/>
  <c r="V21" i="14"/>
  <c r="E57" i="9"/>
  <c r="G57" i="9" s="1"/>
  <c r="E57" i="14"/>
  <c r="G57" i="14"/>
  <c r="C18" i="15"/>
  <c r="E57" i="10"/>
  <c r="G57" i="10"/>
  <c r="D18" i="15"/>
  <c r="E57" i="13"/>
  <c r="G57" i="13"/>
  <c r="G18" i="15"/>
  <c r="E57" i="11"/>
  <c r="G57" i="11"/>
  <c r="E18" i="15" s="1"/>
  <c r="N26" i="11"/>
  <c r="O26" i="11" s="1"/>
  <c r="N34" i="11"/>
  <c r="O34" i="11" s="1"/>
  <c r="E56" i="14"/>
  <c r="G56" i="14" s="1"/>
  <c r="C17" i="15"/>
  <c r="E56" i="13"/>
  <c r="G56" i="13" s="1"/>
  <c r="G17" i="15" s="1"/>
  <c r="O24" i="11"/>
  <c r="N32" i="11"/>
  <c r="O32" i="11" s="1"/>
  <c r="V23" i="11"/>
  <c r="N25" i="11"/>
  <c r="O25" i="11" s="1"/>
  <c r="N6" i="14"/>
  <c r="O6" i="14"/>
  <c r="O29" i="13"/>
  <c r="N17" i="14"/>
  <c r="O17" i="14"/>
  <c r="N43" i="14"/>
  <c r="O43" i="14"/>
  <c r="N11" i="14"/>
  <c r="O11" i="14" s="1"/>
  <c r="V17" i="14"/>
  <c r="O23" i="14"/>
  <c r="V26" i="14"/>
  <c r="V31" i="14"/>
  <c r="V42" i="14"/>
  <c r="O34" i="12"/>
  <c r="N10" i="13"/>
  <c r="O10" i="13"/>
  <c r="V17" i="13"/>
  <c r="O10" i="11"/>
  <c r="N22" i="11"/>
  <c r="O22" i="11" s="1"/>
  <c r="N38" i="11"/>
  <c r="O38" i="11" s="1"/>
  <c r="O14" i="14"/>
  <c r="O12" i="13"/>
  <c r="O14" i="13"/>
  <c r="O15" i="13"/>
  <c r="O31" i="11"/>
  <c r="N37" i="11"/>
  <c r="O37" i="11" s="1"/>
  <c r="N30" i="13"/>
  <c r="O30" i="13"/>
  <c r="O23" i="11"/>
  <c r="V11" i="10"/>
  <c r="N20" i="11"/>
  <c r="O20" i="11" s="1"/>
  <c r="N28" i="11"/>
  <c r="O28" i="11"/>
  <c r="N31" i="14"/>
  <c r="O31" i="14" s="1"/>
  <c r="O40" i="14"/>
  <c r="G16" i="15"/>
  <c r="O22" i="12"/>
  <c r="N23" i="12"/>
  <c r="O23" i="12" s="1"/>
  <c r="V34" i="13"/>
  <c r="N27" i="11"/>
  <c r="O27" i="11" s="1"/>
  <c r="O26" i="14"/>
  <c r="C16" i="15"/>
  <c r="N17" i="12"/>
  <c r="O17" i="12"/>
  <c r="O44" i="12"/>
  <c r="O13" i="14"/>
  <c r="K30" i="13"/>
  <c r="K10" i="12"/>
  <c r="K26" i="12"/>
  <c r="K42" i="12"/>
  <c r="K34" i="13"/>
  <c r="K13" i="13"/>
  <c r="K29" i="13"/>
  <c r="K12" i="10"/>
  <c r="K13" i="12"/>
  <c r="K29" i="12"/>
  <c r="E54" i="7"/>
  <c r="I54" i="7"/>
  <c r="O8" i="12"/>
  <c r="O13" i="12"/>
  <c r="N4" i="12"/>
  <c r="O4" i="12" s="1"/>
  <c r="E55" i="10"/>
  <c r="G55" i="10"/>
  <c r="K36" i="13"/>
  <c r="K12" i="12"/>
  <c r="K28" i="12"/>
  <c r="K44" i="12"/>
  <c r="K38" i="13"/>
  <c r="K15" i="13"/>
  <c r="K31" i="13"/>
  <c r="K6" i="13"/>
  <c r="K15" i="12"/>
  <c r="K31" i="12"/>
  <c r="E51" i="7"/>
  <c r="K14" i="13"/>
  <c r="K13" i="10"/>
  <c r="K18" i="12"/>
  <c r="K34" i="12"/>
  <c r="K16" i="13"/>
  <c r="K5" i="13"/>
  <c r="K21" i="13"/>
  <c r="K37" i="13"/>
  <c r="K5" i="12"/>
  <c r="K21" i="12"/>
  <c r="K37" i="12"/>
  <c r="E59" i="9"/>
  <c r="G59" i="9" s="1"/>
  <c r="E59" i="10"/>
  <c r="G59" i="10" s="1"/>
  <c r="D21" i="15" s="1"/>
  <c r="E59" i="13"/>
  <c r="G59" i="13"/>
  <c r="G21" i="15"/>
  <c r="E59" i="14"/>
  <c r="G59" i="14" s="1"/>
  <c r="C21" i="15"/>
  <c r="E59" i="12"/>
  <c r="G59" i="12"/>
  <c r="F21" i="15" s="1"/>
  <c r="E78" i="13"/>
  <c r="G78" i="13"/>
  <c r="E78" i="12"/>
  <c r="G78" i="12" s="1"/>
  <c r="E78" i="11"/>
  <c r="G78" i="11" s="1"/>
  <c r="E78" i="10"/>
  <c r="G78" i="10"/>
  <c r="E78" i="14"/>
  <c r="G78" i="14" s="1"/>
  <c r="I7" i="4"/>
  <c r="E78" i="9"/>
  <c r="G78" i="9" s="1"/>
  <c r="E58" i="9"/>
  <c r="G58" i="9" s="1"/>
  <c r="E58" i="12"/>
  <c r="G58" i="12" s="1"/>
  <c r="F20" i="15" s="1"/>
  <c r="E58" i="11"/>
  <c r="G58" i="11" s="1"/>
  <c r="E20" i="15" s="1"/>
  <c r="E58" i="13"/>
  <c r="G58" i="13" s="1"/>
  <c r="E58" i="10"/>
  <c r="G58" i="10"/>
  <c r="D20" i="15" s="1"/>
  <c r="E58" i="14"/>
  <c r="G58" i="14"/>
  <c r="E77" i="11"/>
  <c r="G77" i="11"/>
  <c r="I6" i="4"/>
  <c r="E77" i="12"/>
  <c r="G77" i="12" s="1"/>
  <c r="E77" i="9"/>
  <c r="G77" i="9"/>
  <c r="E77" i="13"/>
  <c r="G77" i="13" s="1"/>
  <c r="E77" i="14"/>
  <c r="G77" i="14" s="1"/>
  <c r="E77" i="10"/>
  <c r="G77" i="10"/>
  <c r="C20" i="15"/>
  <c r="O7" i="11" l="1"/>
  <c r="O20" i="12"/>
  <c r="O14" i="10"/>
  <c r="O7" i="10"/>
  <c r="O42" i="11"/>
  <c r="O44" i="10"/>
  <c r="O39" i="14"/>
  <c r="O37" i="14"/>
  <c r="O34" i="10"/>
  <c r="O30" i="11"/>
  <c r="O16" i="14"/>
  <c r="O9" i="14"/>
  <c r="O9" i="13"/>
  <c r="N9" i="10"/>
  <c r="O9" i="10" s="1"/>
  <c r="O33" i="11"/>
  <c r="O3" i="12"/>
  <c r="O6" i="12"/>
  <c r="O18" i="11"/>
  <c r="G18" i="4"/>
  <c r="G19" i="4"/>
  <c r="G13" i="4"/>
  <c r="L47" i="13"/>
  <c r="D101" i="9"/>
  <c r="D103" i="9" s="1"/>
  <c r="D101" i="12"/>
  <c r="D101" i="11"/>
  <c r="D101" i="10"/>
  <c r="D101" i="14"/>
  <c r="G20" i="15"/>
  <c r="G68" i="13"/>
  <c r="D16" i="15"/>
  <c r="G68" i="10"/>
  <c r="G12" i="4"/>
  <c r="H12" i="4"/>
  <c r="N19" i="10"/>
  <c r="O19" i="10" s="1"/>
  <c r="N24" i="10"/>
  <c r="O24" i="10" s="1"/>
  <c r="K4" i="11"/>
  <c r="D45" i="11"/>
  <c r="E45" i="11" s="1"/>
  <c r="K10" i="11"/>
  <c r="K16" i="11"/>
  <c r="K22" i="11"/>
  <c r="E28" i="11"/>
  <c r="K34" i="11"/>
  <c r="E34" i="11"/>
  <c r="E40" i="11"/>
  <c r="K40" i="11"/>
  <c r="O22" i="14"/>
  <c r="G47" i="9"/>
  <c r="D45" i="10"/>
  <c r="K5" i="10"/>
  <c r="K35" i="10"/>
  <c r="K41" i="10"/>
  <c r="C45" i="10"/>
  <c r="E20" i="10"/>
  <c r="N32" i="14"/>
  <c r="O32" i="14" s="1"/>
  <c r="E56" i="12"/>
  <c r="G56" i="12" s="1"/>
  <c r="O29" i="10"/>
  <c r="N16" i="11"/>
  <c r="O16" i="11"/>
  <c r="N5" i="14"/>
  <c r="O5" i="14" s="1"/>
  <c r="N9" i="12"/>
  <c r="O9" i="12" s="1"/>
  <c r="N40" i="10"/>
  <c r="O40" i="10"/>
  <c r="E56" i="9"/>
  <c r="G56" i="9" s="1"/>
  <c r="G68" i="9" s="1"/>
  <c r="C43" i="8" s="1"/>
  <c r="E82" i="9"/>
  <c r="G82" i="9" s="1"/>
  <c r="N6" i="10"/>
  <c r="O6" i="10" s="1"/>
  <c r="K20" i="10"/>
  <c r="N7" i="14"/>
  <c r="O7" i="14" s="1"/>
  <c r="E82" i="12"/>
  <c r="G82" i="12" s="1"/>
  <c r="E56" i="11"/>
  <c r="G56" i="11" s="1"/>
  <c r="E82" i="11"/>
  <c r="G82" i="11" s="1"/>
  <c r="G11" i="4"/>
  <c r="N36" i="10"/>
  <c r="O36" i="10" s="1"/>
  <c r="E76" i="13"/>
  <c r="G76" i="13" s="1"/>
  <c r="E76" i="14"/>
  <c r="G76" i="14" s="1"/>
  <c r="E76" i="12"/>
  <c r="G76" i="12" s="1"/>
  <c r="I5" i="4"/>
  <c r="N22" i="10"/>
  <c r="O22" i="10" s="1"/>
  <c r="N27" i="10"/>
  <c r="O27" i="10"/>
  <c r="N32" i="10"/>
  <c r="O32" i="10" s="1"/>
  <c r="N39" i="11"/>
  <c r="O39" i="11" s="1"/>
  <c r="I31" i="4"/>
  <c r="C25" i="8" s="1"/>
  <c r="O12" i="10"/>
  <c r="O17" i="10"/>
  <c r="N15" i="14"/>
  <c r="O15" i="14" s="1"/>
  <c r="N23" i="13"/>
  <c r="O23" i="13" s="1"/>
  <c r="N28" i="10"/>
  <c r="O28" i="10"/>
  <c r="N21" i="11"/>
  <c r="O21" i="11" s="1"/>
  <c r="N43" i="11"/>
  <c r="O43" i="11"/>
  <c r="O13" i="10"/>
  <c r="N13" i="10"/>
  <c r="N18" i="10"/>
  <c r="O18" i="10"/>
  <c r="N6" i="13"/>
  <c r="O6" i="13" s="1"/>
  <c r="N43" i="10"/>
  <c r="O43" i="10"/>
  <c r="E10" i="11"/>
  <c r="E36" i="10"/>
  <c r="K44" i="10"/>
  <c r="O3" i="11"/>
  <c r="V33" i="10"/>
  <c r="O34" i="14"/>
  <c r="E5" i="14"/>
  <c r="N26" i="12"/>
  <c r="O26" i="12"/>
  <c r="N29" i="12"/>
  <c r="O29" i="12" s="1"/>
  <c r="O11" i="13"/>
  <c r="O28" i="13"/>
  <c r="D123" i="6"/>
  <c r="D125" i="6" s="1"/>
  <c r="E37" i="10"/>
  <c r="K43" i="10"/>
  <c r="K32" i="10"/>
  <c r="O5" i="11"/>
  <c r="O13" i="11"/>
  <c r="O30" i="14"/>
  <c r="N42" i="13"/>
  <c r="O42" i="13"/>
  <c r="D100" i="11"/>
  <c r="D100" i="12"/>
  <c r="D100" i="10"/>
  <c r="D100" i="14"/>
  <c r="I148" i="6"/>
  <c r="J101" i="6" s="1"/>
  <c r="J125" i="6" s="1"/>
  <c r="D112" i="14" s="1"/>
  <c r="C35" i="15" s="1"/>
  <c r="C148" i="6"/>
  <c r="G148" i="6"/>
  <c r="G101" i="6" s="1"/>
  <c r="D100" i="13"/>
  <c r="D103" i="13" s="1"/>
  <c r="E26" i="10"/>
  <c r="V19" i="11"/>
  <c r="V24" i="11"/>
  <c r="V3" i="14"/>
  <c r="V18" i="14"/>
  <c r="N3" i="13"/>
  <c r="O3" i="13" s="1"/>
  <c r="O25" i="13"/>
  <c r="O148" i="6"/>
  <c r="S101" i="6" s="1"/>
  <c r="S125" i="6" s="1"/>
  <c r="D112" i="13" s="1"/>
  <c r="G35" i="15" s="1"/>
  <c r="N32" i="13"/>
  <c r="O32" i="13" s="1"/>
  <c r="N37" i="13"/>
  <c r="O37" i="13" s="1"/>
  <c r="D106" i="9"/>
  <c r="D110" i="9" s="1"/>
  <c r="D106" i="14"/>
  <c r="D110" i="14" s="1"/>
  <c r="C34" i="15" s="1"/>
  <c r="D109" i="10"/>
  <c r="D106" i="10"/>
  <c r="D109" i="13"/>
  <c r="D106" i="11"/>
  <c r="D109" i="11"/>
  <c r="D106" i="12"/>
  <c r="D109" i="14"/>
  <c r="D106" i="13"/>
  <c r="D109" i="12"/>
  <c r="I40" i="4"/>
  <c r="C34" i="8" s="1"/>
  <c r="A88" i="2"/>
  <c r="A107" i="6"/>
  <c r="D94" i="9"/>
  <c r="D94" i="10"/>
  <c r="D97" i="9"/>
  <c r="B37" i="4"/>
  <c r="D94" i="14"/>
  <c r="D97" i="14"/>
  <c r="D97" i="11"/>
  <c r="D97" i="13"/>
  <c r="D94" i="13"/>
  <c r="D94" i="11"/>
  <c r="D97" i="10"/>
  <c r="D94" i="12"/>
  <c r="D97" i="12"/>
  <c r="I37" i="4"/>
  <c r="M148" i="6"/>
  <c r="P101" i="6" s="1"/>
  <c r="V38" i="10"/>
  <c r="O4" i="11"/>
  <c r="V35" i="11"/>
  <c r="O42" i="14"/>
  <c r="V5" i="14"/>
  <c r="O35" i="14"/>
  <c r="V19" i="12"/>
  <c r="O25" i="12"/>
  <c r="O31" i="12"/>
  <c r="N36" i="12"/>
  <c r="O36" i="12" s="1"/>
  <c r="C45" i="12"/>
  <c r="E14" i="12"/>
  <c r="E20" i="12"/>
  <c r="K20" i="12"/>
  <c r="E8" i="12"/>
  <c r="D45" i="12"/>
  <c r="E39" i="13"/>
  <c r="K39" i="13"/>
  <c r="E15" i="13"/>
  <c r="C45" i="13"/>
  <c r="E32" i="13"/>
  <c r="K32" i="13"/>
  <c r="E8" i="13"/>
  <c r="D45" i="13"/>
  <c r="D88" i="11"/>
  <c r="D91" i="11" s="1"/>
  <c r="E31" i="15" s="1"/>
  <c r="D88" i="10"/>
  <c r="D91" i="10" s="1"/>
  <c r="D31" i="15" s="1"/>
  <c r="D88" i="12"/>
  <c r="D91" i="12" s="1"/>
  <c r="F31" i="15" s="1"/>
  <c r="D88" i="14"/>
  <c r="D91" i="14" s="1"/>
  <c r="C31" i="15" s="1"/>
  <c r="L47" i="12"/>
  <c r="L47" i="14"/>
  <c r="O10" i="14"/>
  <c r="N19" i="13"/>
  <c r="O19" i="13" s="1"/>
  <c r="O27" i="13"/>
  <c r="B40" i="4"/>
  <c r="E14" i="11"/>
  <c r="E32" i="11"/>
  <c r="O38" i="14"/>
  <c r="K26" i="14"/>
  <c r="E26" i="14"/>
  <c r="O7" i="13"/>
  <c r="N39" i="13"/>
  <c r="O39" i="13" s="1"/>
  <c r="D88" i="13"/>
  <c r="D91" i="13" s="1"/>
  <c r="G31" i="15" s="1"/>
  <c r="L9" i="3"/>
  <c r="F9" i="3"/>
  <c r="C76" i="6" s="1"/>
  <c r="K148" i="6"/>
  <c r="M101" i="6" s="1"/>
  <c r="E19" i="10"/>
  <c r="E31" i="10"/>
  <c r="V29" i="10"/>
  <c r="O14" i="11"/>
  <c r="N38" i="12"/>
  <c r="O38" i="12"/>
  <c r="N24" i="13"/>
  <c r="O24" i="13" s="1"/>
  <c r="N43" i="13"/>
  <c r="O43" i="13" s="1"/>
  <c r="O47" i="11"/>
  <c r="O6" i="11"/>
  <c r="V10" i="11"/>
  <c r="N28" i="14"/>
  <c r="O28" i="14" s="1"/>
  <c r="O36" i="14"/>
  <c r="O41" i="14"/>
  <c r="C45" i="14"/>
  <c r="E45" i="14" s="1"/>
  <c r="K9" i="14"/>
  <c r="E9" i="14"/>
  <c r="E15" i="14"/>
  <c r="K15" i="14"/>
  <c r="O5" i="12"/>
  <c r="O10" i="12"/>
  <c r="O30" i="12"/>
  <c r="N21" i="13"/>
  <c r="O21" i="13" s="1"/>
  <c r="O36" i="13"/>
  <c r="F2" i="3"/>
  <c r="O20" i="14"/>
  <c r="O24" i="14"/>
  <c r="N7" i="12"/>
  <c r="O7" i="12" s="1"/>
  <c r="N12" i="12"/>
  <c r="O12" i="12" s="1"/>
  <c r="O35" i="12"/>
  <c r="L3" i="3"/>
  <c r="F3" i="3"/>
  <c r="C70" i="6" s="1"/>
  <c r="E16" i="11"/>
  <c r="E22" i="11"/>
  <c r="K34" i="14"/>
  <c r="E34" i="14"/>
  <c r="N19" i="12"/>
  <c r="O19" i="12"/>
  <c r="O40" i="12"/>
  <c r="N26" i="13"/>
  <c r="O26" i="13" s="1"/>
  <c r="L4" i="3"/>
  <c r="D124" i="6"/>
  <c r="O27" i="12"/>
  <c r="O32" i="12"/>
  <c r="O4" i="13"/>
  <c r="O16" i="13"/>
  <c r="O20" i="13"/>
  <c r="B78" i="12"/>
  <c r="B82" i="11"/>
  <c r="B80" i="11"/>
  <c r="L47" i="11"/>
  <c r="N47" i="11"/>
  <c r="M123" i="6"/>
  <c r="M124" i="6" s="1"/>
  <c r="I44" i="9"/>
  <c r="K44" i="9" s="1"/>
  <c r="B82" i="14"/>
  <c r="B80" i="14"/>
  <c r="B82" i="13"/>
  <c r="B79" i="10"/>
  <c r="P124" i="6"/>
  <c r="O16" i="12"/>
  <c r="M45" i="9"/>
  <c r="M46" i="9" s="1"/>
  <c r="M47" i="9" s="1"/>
  <c r="B82" i="12"/>
  <c r="K4" i="3"/>
  <c r="B81" i="10"/>
  <c r="N40" i="13"/>
  <c r="O40" i="13" s="1"/>
  <c r="B81" i="11"/>
  <c r="A106" i="6"/>
  <c r="O24" i="12"/>
  <c r="B80" i="9"/>
  <c r="B81" i="12"/>
  <c r="G124" i="6"/>
  <c r="B81" i="9"/>
  <c r="B76" i="14"/>
  <c r="B78" i="10"/>
  <c r="B75" i="13"/>
  <c r="B77" i="13"/>
  <c r="F11" i="3"/>
  <c r="C78" i="6" s="1"/>
  <c r="B82" i="9"/>
  <c r="B78" i="14"/>
  <c r="B75" i="11"/>
  <c r="B80" i="10"/>
  <c r="B77" i="11"/>
  <c r="O47" i="14"/>
  <c r="O15" i="12"/>
  <c r="O28" i="12"/>
  <c r="O5" i="13"/>
  <c r="O13" i="13"/>
  <c r="O17" i="13"/>
  <c r="O38" i="13"/>
  <c r="B78" i="13"/>
  <c r="B80" i="13"/>
  <c r="B77" i="12"/>
  <c r="D110" i="13" l="1"/>
  <c r="G34" i="15" s="1"/>
  <c r="D104" i="9"/>
  <c r="I39" i="4"/>
  <c r="C33" i="8" s="1"/>
  <c r="B39" i="4"/>
  <c r="B42" i="4" s="1"/>
  <c r="D103" i="14"/>
  <c r="D104" i="14" s="1"/>
  <c r="C33" i="15" s="1"/>
  <c r="D103" i="12"/>
  <c r="D104" i="12" s="1"/>
  <c r="F33" i="15" s="1"/>
  <c r="D104" i="13"/>
  <c r="G33" i="15" s="1"/>
  <c r="D103" i="11"/>
  <c r="D104" i="11" s="1"/>
  <c r="E33" i="15" s="1"/>
  <c r="D103" i="10"/>
  <c r="D104" i="10" s="1"/>
  <c r="D33" i="15" s="1"/>
  <c r="D98" i="12"/>
  <c r="F32" i="15" s="1"/>
  <c r="D98" i="9"/>
  <c r="D98" i="13"/>
  <c r="D98" i="10"/>
  <c r="D32" i="15" s="1"/>
  <c r="D110" i="12"/>
  <c r="F34" i="15" s="1"/>
  <c r="D110" i="11"/>
  <c r="E34" i="15" s="1"/>
  <c r="G125" i="6"/>
  <c r="D112" i="10" s="1"/>
  <c r="D35" i="15" s="1"/>
  <c r="E83" i="14"/>
  <c r="G83" i="14" s="1"/>
  <c r="I12" i="4"/>
  <c r="E83" i="11"/>
  <c r="G83" i="11" s="1"/>
  <c r="E83" i="12"/>
  <c r="G83" i="12" s="1"/>
  <c r="E83" i="13"/>
  <c r="G83" i="13" s="1"/>
  <c r="E83" i="9"/>
  <c r="G83" i="9" s="1"/>
  <c r="E83" i="10"/>
  <c r="G83" i="10" s="1"/>
  <c r="M125" i="6"/>
  <c r="D112" i="11" s="1"/>
  <c r="E35" i="15" s="1"/>
  <c r="D98" i="14"/>
  <c r="E9" i="4"/>
  <c r="F9" i="4" s="1"/>
  <c r="Q9" i="3"/>
  <c r="E45" i="12"/>
  <c r="P125" i="6"/>
  <c r="D112" i="12" s="1"/>
  <c r="F35" i="15" s="1"/>
  <c r="G68" i="12"/>
  <c r="F17" i="15"/>
  <c r="C31" i="8"/>
  <c r="D110" i="10"/>
  <c r="D34" i="15" s="1"/>
  <c r="E45" i="10"/>
  <c r="C69" i="6"/>
  <c r="E45" i="13"/>
  <c r="Q2" i="3"/>
  <c r="A108" i="6"/>
  <c r="A89" i="2"/>
  <c r="D98" i="11"/>
  <c r="F4" i="3"/>
  <c r="C71" i="6" s="1"/>
  <c r="Q4" i="3"/>
  <c r="E4" i="4"/>
  <c r="F4" i="4" s="1"/>
  <c r="Q3" i="3"/>
  <c r="E3" i="4"/>
  <c r="F3" i="4" s="1"/>
  <c r="H3" i="4" s="1"/>
  <c r="E17" i="15"/>
  <c r="G68" i="11"/>
  <c r="D113" i="9" l="1"/>
  <c r="C45" i="8" s="1"/>
  <c r="I42" i="4"/>
  <c r="C37" i="8"/>
  <c r="D113" i="13"/>
  <c r="G32" i="15"/>
  <c r="D113" i="12"/>
  <c r="G3" i="4"/>
  <c r="F28" i="3"/>
  <c r="C32" i="15"/>
  <c r="D113" i="14"/>
  <c r="H4" i="4"/>
  <c r="G4" i="4"/>
  <c r="A90" i="2"/>
  <c r="A109" i="6"/>
  <c r="D113" i="10"/>
  <c r="H9" i="4"/>
  <c r="G9" i="4"/>
  <c r="G2" i="4"/>
  <c r="E32" i="15"/>
  <c r="D113" i="11"/>
  <c r="E80" i="13" l="1"/>
  <c r="G80" i="13" s="1"/>
  <c r="E80" i="11"/>
  <c r="G80" i="11" s="1"/>
  <c r="E80" i="10"/>
  <c r="E80" i="14"/>
  <c r="G80" i="14" s="1"/>
  <c r="E80" i="9"/>
  <c r="G80" i="9" s="1"/>
  <c r="E80" i="12"/>
  <c r="G80" i="12" s="1"/>
  <c r="A91" i="2"/>
  <c r="A110" i="6"/>
  <c r="I4" i="4"/>
  <c r="E75" i="9"/>
  <c r="G75" i="9" s="1"/>
  <c r="E75" i="12"/>
  <c r="G75" i="12" s="1"/>
  <c r="E75" i="11"/>
  <c r="G75" i="11" s="1"/>
  <c r="E75" i="10"/>
  <c r="G75" i="10" s="1"/>
  <c r="E75" i="13"/>
  <c r="G75" i="13" s="1"/>
  <c r="E75" i="14"/>
  <c r="G75" i="14" s="1"/>
  <c r="F30" i="3"/>
  <c r="G49" i="9"/>
  <c r="G50" i="9" s="1"/>
  <c r="M48" i="9"/>
  <c r="M49" i="9" s="1"/>
  <c r="M50" i="9" s="1"/>
  <c r="E73" i="14"/>
  <c r="G73" i="14" s="1"/>
  <c r="E73" i="13"/>
  <c r="G73" i="13" s="1"/>
  <c r="E73" i="10"/>
  <c r="G73" i="10" s="1"/>
  <c r="E73" i="9"/>
  <c r="G73" i="9" s="1"/>
  <c r="E73" i="11"/>
  <c r="G73" i="11" s="1"/>
  <c r="E73" i="12"/>
  <c r="G73" i="12" s="1"/>
  <c r="E74" i="13"/>
  <c r="G74" i="13" s="1"/>
  <c r="E74" i="9"/>
  <c r="G74" i="9" s="1"/>
  <c r="I3" i="4"/>
  <c r="E74" i="14"/>
  <c r="G74" i="14" s="1"/>
  <c r="E74" i="12"/>
  <c r="G74" i="12" s="1"/>
  <c r="E74" i="10"/>
  <c r="G74" i="10" s="1"/>
  <c r="E74" i="11"/>
  <c r="G74" i="11" s="1"/>
  <c r="G84" i="10" l="1"/>
  <c r="D30" i="15" s="1"/>
  <c r="D36" i="15" s="1"/>
  <c r="I29" i="4"/>
  <c r="C52" i="13" s="1"/>
  <c r="G51" i="9"/>
  <c r="G52" i="9" s="1"/>
  <c r="C41" i="8" s="1"/>
  <c r="G84" i="11"/>
  <c r="E30" i="15" s="1"/>
  <c r="E36" i="15" s="1"/>
  <c r="G84" i="9"/>
  <c r="G84" i="13"/>
  <c r="G30" i="15" s="1"/>
  <c r="G36" i="15" s="1"/>
  <c r="M51" i="9"/>
  <c r="M52" i="9" s="1"/>
  <c r="C44" i="8" s="1"/>
  <c r="G84" i="14"/>
  <c r="C30" i="15" s="1"/>
  <c r="C36" i="15" s="1"/>
  <c r="A92" i="2"/>
  <c r="A111" i="6"/>
  <c r="C51" i="11"/>
  <c r="W17" i="13"/>
  <c r="W26" i="13"/>
  <c r="W19" i="12"/>
  <c r="W38" i="13"/>
  <c r="W13" i="13"/>
  <c r="W25" i="13"/>
  <c r="W6" i="14"/>
  <c r="W18" i="10"/>
  <c r="W41" i="11"/>
  <c r="W36" i="14"/>
  <c r="W3" i="11"/>
  <c r="W7" i="14"/>
  <c r="W42" i="13"/>
  <c r="W25" i="12"/>
  <c r="W23" i="12"/>
  <c r="W24" i="13"/>
  <c r="W37" i="12"/>
  <c r="W28" i="13"/>
  <c r="W42" i="10"/>
  <c r="W8" i="14"/>
  <c r="W4" i="10"/>
  <c r="W37" i="11"/>
  <c r="W43" i="14"/>
  <c r="W21" i="11"/>
  <c r="W35" i="14"/>
  <c r="W19" i="11"/>
  <c r="W33" i="10"/>
  <c r="W43" i="12"/>
  <c r="W37" i="13"/>
  <c r="W34" i="13"/>
  <c r="W31" i="12"/>
  <c r="W5" i="13"/>
  <c r="W31" i="13"/>
  <c r="W29" i="12"/>
  <c r="W21" i="10"/>
  <c r="W11" i="11"/>
  <c r="W3" i="10"/>
  <c r="W17" i="14"/>
  <c r="W30" i="14"/>
  <c r="W32" i="14"/>
  <c r="W43" i="11"/>
  <c r="W13" i="10"/>
  <c r="W12" i="11"/>
  <c r="C51" i="13"/>
  <c r="W20" i="13"/>
  <c r="W16" i="12"/>
  <c r="W9" i="12"/>
  <c r="W14" i="13"/>
  <c r="W44" i="12"/>
  <c r="W3" i="13"/>
  <c r="W10" i="12"/>
  <c r="W35" i="11"/>
  <c r="W11" i="14"/>
  <c r="W16" i="14"/>
  <c r="W27" i="10"/>
  <c r="W30" i="13"/>
  <c r="W22" i="13"/>
  <c r="W22" i="12"/>
  <c r="W6" i="13"/>
  <c r="W27" i="13"/>
  <c r="W21" i="12"/>
  <c r="W36" i="12"/>
  <c r="W18" i="11"/>
  <c r="W39" i="10"/>
  <c r="W15" i="11"/>
  <c r="W7" i="11"/>
  <c r="W20" i="14"/>
  <c r="W5" i="12"/>
  <c r="W24" i="12"/>
  <c r="W27" i="12"/>
  <c r="W9" i="13"/>
  <c r="W42" i="12"/>
  <c r="W39" i="14"/>
  <c r="W9" i="11"/>
  <c r="W3" i="14"/>
  <c r="W39" i="11"/>
  <c r="W14" i="14"/>
  <c r="W7" i="10"/>
  <c r="W23" i="11"/>
  <c r="W40" i="12"/>
  <c r="W41" i="13"/>
  <c r="W4" i="13"/>
  <c r="W43" i="13"/>
  <c r="W39" i="12"/>
  <c r="W35" i="13"/>
  <c r="W10" i="13"/>
  <c r="W12" i="12"/>
  <c r="W41" i="12"/>
  <c r="W3" i="12"/>
  <c r="W11" i="13"/>
  <c r="W26" i="12"/>
  <c r="W12" i="13"/>
  <c r="W13" i="14"/>
  <c r="W36" i="11"/>
  <c r="W29" i="14"/>
  <c r="W13" i="11"/>
  <c r="W10" i="14"/>
  <c r="W29" i="11"/>
  <c r="W15" i="12"/>
  <c r="W18" i="13"/>
  <c r="W21" i="13"/>
  <c r="W7" i="13"/>
  <c r="W29" i="13"/>
  <c r="W36" i="13"/>
  <c r="W7" i="12"/>
  <c r="W5" i="11"/>
  <c r="W15" i="10"/>
  <c r="W33" i="14"/>
  <c r="W25" i="14"/>
  <c r="W42" i="11"/>
  <c r="W37" i="14"/>
  <c r="C51" i="14"/>
  <c r="W33" i="12"/>
  <c r="W4" i="12"/>
  <c r="W6" i="12"/>
  <c r="W35" i="12"/>
  <c r="W13" i="12"/>
  <c r="W18" i="12"/>
  <c r="W44" i="13"/>
  <c r="W44" i="14"/>
  <c r="W44" i="11"/>
  <c r="W24" i="14"/>
  <c r="W40" i="14"/>
  <c r="W23" i="13"/>
  <c r="W22" i="14"/>
  <c r="W41" i="14"/>
  <c r="W32" i="12"/>
  <c r="W42" i="14"/>
  <c r="W21" i="14"/>
  <c r="W11" i="12"/>
  <c r="W27" i="14"/>
  <c r="W23" i="14"/>
  <c r="W4" i="14"/>
  <c r="W24" i="11"/>
  <c r="W19" i="13"/>
  <c r="W18" i="14"/>
  <c r="W17" i="11"/>
  <c r="W27" i="11"/>
  <c r="W19" i="14"/>
  <c r="W30" i="11"/>
  <c r="W22" i="10"/>
  <c r="W20" i="11"/>
  <c r="W34" i="10"/>
  <c r="W9" i="10"/>
  <c r="W33" i="13"/>
  <c r="W6" i="11"/>
  <c r="W24" i="10"/>
  <c r="W29" i="10"/>
  <c r="C51" i="12"/>
  <c r="W30" i="12"/>
  <c r="W25" i="11"/>
  <c r="W38" i="14"/>
  <c r="W34" i="12"/>
  <c r="W30" i="10"/>
  <c r="W38" i="11"/>
  <c r="W28" i="14"/>
  <c r="W28" i="12"/>
  <c r="W38" i="12"/>
  <c r="W31" i="14"/>
  <c r="W6" i="10"/>
  <c r="W26" i="11"/>
  <c r="W16" i="13"/>
  <c r="W40" i="13"/>
  <c r="W31" i="11"/>
  <c r="W11" i="10"/>
  <c r="W14" i="10"/>
  <c r="W34" i="11"/>
  <c r="W4" i="11"/>
  <c r="W41" i="10"/>
  <c r="W17" i="10"/>
  <c r="W16" i="10"/>
  <c r="W8" i="11"/>
  <c r="W10" i="10"/>
  <c r="W33" i="11"/>
  <c r="W17" i="12"/>
  <c r="W12" i="10"/>
  <c r="W28" i="10"/>
  <c r="W28" i="11"/>
  <c r="W32" i="10"/>
  <c r="W8" i="10"/>
  <c r="W40" i="10"/>
  <c r="W5" i="10"/>
  <c r="W25" i="10"/>
  <c r="W38" i="10"/>
  <c r="W12" i="14"/>
  <c r="W35" i="10"/>
  <c r="W23" i="10"/>
  <c r="W43" i="10"/>
  <c r="W44" i="10"/>
  <c r="W40" i="11"/>
  <c r="W14" i="12"/>
  <c r="W36" i="10"/>
  <c r="W32" i="11"/>
  <c r="W10" i="11"/>
  <c r="W37" i="10"/>
  <c r="W20" i="10"/>
  <c r="W15" i="13"/>
  <c r="W19" i="10"/>
  <c r="W39" i="13"/>
  <c r="W26" i="10"/>
  <c r="W8" i="13"/>
  <c r="W15" i="14"/>
  <c r="W31" i="10"/>
  <c r="W5" i="14"/>
  <c r="W8" i="12"/>
  <c r="W16" i="11"/>
  <c r="W20" i="12"/>
  <c r="W14" i="11"/>
  <c r="W34" i="14"/>
  <c r="W26" i="14"/>
  <c r="W22" i="11"/>
  <c r="W9" i="14"/>
  <c r="W32" i="13"/>
  <c r="G84" i="12"/>
  <c r="F30" i="15" s="1"/>
  <c r="F36" i="15" s="1"/>
  <c r="L13" i="11" l="1"/>
  <c r="L23" i="11"/>
  <c r="L27" i="11"/>
  <c r="L12" i="11"/>
  <c r="L15" i="11"/>
  <c r="L43" i="11"/>
  <c r="L14" i="11"/>
  <c r="L5" i="11"/>
  <c r="L11" i="11"/>
  <c r="L18" i="11"/>
  <c r="L41" i="11"/>
  <c r="L31" i="11"/>
  <c r="L32" i="11"/>
  <c r="L7" i="11"/>
  <c r="L35" i="11"/>
  <c r="L36" i="11"/>
  <c r="L21" i="11"/>
  <c r="L33" i="11"/>
  <c r="L44" i="11"/>
  <c r="L6" i="11"/>
  <c r="L38" i="11"/>
  <c r="L19" i="11"/>
  <c r="L20" i="11"/>
  <c r="L42" i="11"/>
  <c r="L25" i="11"/>
  <c r="L26" i="11"/>
  <c r="L29" i="11"/>
  <c r="L39" i="11"/>
  <c r="L30" i="11"/>
  <c r="L8" i="11"/>
  <c r="L24" i="11"/>
  <c r="L3" i="11"/>
  <c r="L28" i="11"/>
  <c r="L37" i="11"/>
  <c r="L17" i="11"/>
  <c r="L9" i="11"/>
  <c r="L10" i="11"/>
  <c r="L40" i="11"/>
  <c r="L22" i="11"/>
  <c r="L16" i="11"/>
  <c r="L34" i="11"/>
  <c r="L4" i="11"/>
  <c r="A93" i="2"/>
  <c r="A112" i="6"/>
  <c r="L34" i="10"/>
  <c r="L25" i="10"/>
  <c r="L6" i="10"/>
  <c r="L22" i="10"/>
  <c r="L30" i="10"/>
  <c r="L36" i="10"/>
  <c r="L23" i="10"/>
  <c r="L12" i="10"/>
  <c r="L17" i="10"/>
  <c r="L18" i="10"/>
  <c r="L15" i="10"/>
  <c r="L14" i="10"/>
  <c r="L39" i="10"/>
  <c r="L24" i="10"/>
  <c r="L38" i="10"/>
  <c r="L33" i="10"/>
  <c r="L27" i="10"/>
  <c r="L10" i="10"/>
  <c r="L21" i="10"/>
  <c r="L7" i="10"/>
  <c r="L40" i="10"/>
  <c r="L3" i="10"/>
  <c r="L31" i="10"/>
  <c r="L19" i="10"/>
  <c r="L26" i="10"/>
  <c r="L8" i="10"/>
  <c r="L16" i="10"/>
  <c r="L42" i="10"/>
  <c r="L9" i="10"/>
  <c r="L11" i="10"/>
  <c r="L4" i="10"/>
  <c r="L28" i="10"/>
  <c r="L13" i="10"/>
  <c r="L37" i="10"/>
  <c r="L35" i="10"/>
  <c r="L32" i="10"/>
  <c r="L20" i="10"/>
  <c r="L5" i="10"/>
  <c r="L44" i="10"/>
  <c r="L41" i="10"/>
  <c r="L43" i="10"/>
  <c r="L12" i="13"/>
  <c r="L28" i="13"/>
  <c r="L42" i="13"/>
  <c r="L11" i="13"/>
  <c r="L9" i="13"/>
  <c r="L35" i="13"/>
  <c r="L41" i="13"/>
  <c r="L27" i="13"/>
  <c r="L44" i="13"/>
  <c r="L14" i="13"/>
  <c r="L21" i="13"/>
  <c r="L3" i="13"/>
  <c r="L17" i="13"/>
  <c r="L20" i="13"/>
  <c r="L34" i="13"/>
  <c r="L10" i="13"/>
  <c r="L26" i="13"/>
  <c r="L18" i="13"/>
  <c r="L29" i="13"/>
  <c r="L36" i="13"/>
  <c r="L30" i="13"/>
  <c r="L15" i="13"/>
  <c r="L31" i="13"/>
  <c r="L5" i="13"/>
  <c r="L24" i="13"/>
  <c r="L33" i="13"/>
  <c r="L4" i="13"/>
  <c r="L43" i="13"/>
  <c r="L19" i="13"/>
  <c r="L6" i="13"/>
  <c r="L38" i="13"/>
  <c r="L37" i="13"/>
  <c r="L8" i="13"/>
  <c r="L13" i="13"/>
  <c r="L40" i="13"/>
  <c r="L16" i="13"/>
  <c r="L22" i="13"/>
  <c r="L7" i="13"/>
  <c r="L25" i="13"/>
  <c r="L23" i="13"/>
  <c r="L32" i="13"/>
  <c r="L39" i="13"/>
  <c r="C47" i="8"/>
  <c r="L24" i="12"/>
  <c r="L11" i="12"/>
  <c r="L43" i="12"/>
  <c r="L36" i="12"/>
  <c r="L22" i="12"/>
  <c r="L10" i="12"/>
  <c r="L39" i="12"/>
  <c r="L38" i="12"/>
  <c r="L41" i="12"/>
  <c r="L40" i="12"/>
  <c r="L17" i="12"/>
  <c r="L19" i="12"/>
  <c r="L7" i="12"/>
  <c r="L34" i="12"/>
  <c r="L21" i="12"/>
  <c r="L28" i="12"/>
  <c r="L15" i="12"/>
  <c r="L6" i="12"/>
  <c r="L8" i="12"/>
  <c r="L31" i="12"/>
  <c r="L44" i="12"/>
  <c r="L5" i="12"/>
  <c r="L16" i="12"/>
  <c r="L18" i="12"/>
  <c r="L27" i="12"/>
  <c r="L14" i="12"/>
  <c r="L30" i="12"/>
  <c r="L37" i="12"/>
  <c r="L33" i="12"/>
  <c r="L29" i="12"/>
  <c r="L4" i="12"/>
  <c r="L9" i="12"/>
  <c r="L32" i="12"/>
  <c r="L13" i="12"/>
  <c r="L23" i="12"/>
  <c r="L12" i="12"/>
  <c r="L3" i="12"/>
  <c r="L42" i="12"/>
  <c r="L35" i="12"/>
  <c r="L26" i="12"/>
  <c r="L25" i="12"/>
  <c r="L20" i="12"/>
  <c r="C52" i="14"/>
  <c r="R47" i="14" s="1"/>
  <c r="C52" i="12"/>
  <c r="C52" i="10"/>
  <c r="P47" i="10" s="1"/>
  <c r="I34" i="4"/>
  <c r="C52" i="11"/>
  <c r="C23" i="8"/>
  <c r="C28" i="8" s="1"/>
  <c r="C38" i="8" s="1"/>
  <c r="L6" i="14"/>
  <c r="L14" i="14"/>
  <c r="L44" i="14"/>
  <c r="L22" i="14"/>
  <c r="L31" i="14"/>
  <c r="L5" i="14"/>
  <c r="L36" i="14"/>
  <c r="L3" i="14"/>
  <c r="L40" i="14"/>
  <c r="L33" i="14"/>
  <c r="L32" i="14"/>
  <c r="L18" i="14"/>
  <c r="L19" i="14"/>
  <c r="L43" i="14"/>
  <c r="L17" i="14"/>
  <c r="L42" i="14"/>
  <c r="L24" i="14"/>
  <c r="L16" i="14"/>
  <c r="L29" i="14"/>
  <c r="L8" i="14"/>
  <c r="L41" i="14"/>
  <c r="L11" i="14"/>
  <c r="L30" i="14"/>
  <c r="L13" i="14"/>
  <c r="L37" i="14"/>
  <c r="L23" i="14"/>
  <c r="L12" i="14"/>
  <c r="L38" i="14"/>
  <c r="L10" i="14"/>
  <c r="L35" i="14"/>
  <c r="L28" i="14"/>
  <c r="L27" i="14"/>
  <c r="L4" i="14"/>
  <c r="L39" i="14"/>
  <c r="L25" i="14"/>
  <c r="L21" i="14"/>
  <c r="L7" i="14"/>
  <c r="L20" i="14"/>
  <c r="L26" i="14"/>
  <c r="L15" i="14"/>
  <c r="L34" i="14"/>
  <c r="L9" i="14"/>
  <c r="C50" i="8" l="1"/>
  <c r="C49" i="8"/>
  <c r="C54" i="8" s="1"/>
  <c r="X39" i="11"/>
  <c r="Q39" i="11" s="1"/>
  <c r="R39" i="11" s="1"/>
  <c r="X33" i="11"/>
  <c r="Q33" i="11" s="1"/>
  <c r="R33" i="11" s="1"/>
  <c r="X17" i="11"/>
  <c r="Q17" i="11" s="1"/>
  <c r="R17" i="11" s="1"/>
  <c r="X28" i="11"/>
  <c r="Q28" i="11" s="1"/>
  <c r="R28" i="11" s="1"/>
  <c r="X22" i="11"/>
  <c r="Q22" i="11" s="1"/>
  <c r="R22" i="11" s="1"/>
  <c r="X41" i="11"/>
  <c r="Q41" i="11" s="1"/>
  <c r="R41" i="11" s="1"/>
  <c r="P37" i="11"/>
  <c r="P4" i="11"/>
  <c r="P19" i="11"/>
  <c r="X23" i="11"/>
  <c r="Q23" i="11" s="1"/>
  <c r="R23" i="11" s="1"/>
  <c r="X34" i="11"/>
  <c r="Q34" i="11" s="1"/>
  <c r="R34" i="11" s="1"/>
  <c r="X14" i="11"/>
  <c r="Q14" i="11" s="1"/>
  <c r="R14" i="11" s="1"/>
  <c r="X40" i="11"/>
  <c r="Q40" i="11" s="1"/>
  <c r="R40" i="11" s="1"/>
  <c r="P15" i="11"/>
  <c r="X19" i="11"/>
  <c r="Q19" i="11" s="1"/>
  <c r="R19" i="11" s="1"/>
  <c r="P17" i="11"/>
  <c r="X29" i="11"/>
  <c r="Q29" i="11" s="1"/>
  <c r="R29" i="11" s="1"/>
  <c r="P14" i="11"/>
  <c r="P39" i="11"/>
  <c r="P43" i="11"/>
  <c r="P25" i="11"/>
  <c r="P11" i="11"/>
  <c r="P33" i="11"/>
  <c r="P7" i="11"/>
  <c r="P16" i="11"/>
  <c r="P18" i="11"/>
  <c r="X26" i="11"/>
  <c r="Q26" i="11" s="1"/>
  <c r="R26" i="11" s="1"/>
  <c r="P28" i="11"/>
  <c r="P38" i="11"/>
  <c r="P5" i="11"/>
  <c r="X12" i="11"/>
  <c r="Q12" i="11" s="1"/>
  <c r="R12" i="11" s="1"/>
  <c r="P24" i="11"/>
  <c r="X7" i="11"/>
  <c r="Q7" i="11" s="1"/>
  <c r="R7" i="11" s="1"/>
  <c r="P42" i="11"/>
  <c r="P41" i="11"/>
  <c r="P34" i="11"/>
  <c r="X38" i="11"/>
  <c r="Q38" i="11" s="1"/>
  <c r="R38" i="11" s="1"/>
  <c r="X42" i="11"/>
  <c r="Q42" i="11" s="1"/>
  <c r="R42" i="11" s="1"/>
  <c r="P6" i="11"/>
  <c r="X10" i="11"/>
  <c r="Q10" i="11" s="1"/>
  <c r="R10" i="11" s="1"/>
  <c r="X5" i="11"/>
  <c r="Q5" i="11" s="1"/>
  <c r="R5" i="11" s="1"/>
  <c r="X30" i="11"/>
  <c r="Q30" i="11" s="1"/>
  <c r="R30" i="11" s="1"/>
  <c r="X27" i="11"/>
  <c r="Q27" i="11" s="1"/>
  <c r="R27" i="11" s="1"/>
  <c r="P12" i="11"/>
  <c r="X9" i="11"/>
  <c r="Q9" i="11" s="1"/>
  <c r="R9" i="11" s="1"/>
  <c r="P31" i="11"/>
  <c r="P13" i="11"/>
  <c r="P23" i="11"/>
  <c r="P35" i="11"/>
  <c r="P32" i="11"/>
  <c r="X6" i="11"/>
  <c r="Q6" i="11" s="1"/>
  <c r="X43" i="11"/>
  <c r="Q43" i="11" s="1"/>
  <c r="R43" i="11" s="1"/>
  <c r="P30" i="11"/>
  <c r="X32" i="11"/>
  <c r="Q32" i="11" s="1"/>
  <c r="R32" i="11" s="1"/>
  <c r="X16" i="11"/>
  <c r="Q16" i="11" s="1"/>
  <c r="R16" i="11" s="1"/>
  <c r="P40" i="11"/>
  <c r="P22" i="11"/>
  <c r="X11" i="11"/>
  <c r="Q11" i="11" s="1"/>
  <c r="R11" i="11" s="1"/>
  <c r="P8" i="11"/>
  <c r="P9" i="11"/>
  <c r="P47" i="11"/>
  <c r="P29" i="11"/>
  <c r="R6" i="11"/>
  <c r="P26" i="11"/>
  <c r="P44" i="11"/>
  <c r="X18" i="11"/>
  <c r="Q18" i="11" s="1"/>
  <c r="R18" i="11" s="1"/>
  <c r="X4" i="11"/>
  <c r="Q4" i="11" s="1"/>
  <c r="R4" i="11" s="1"/>
  <c r="P21" i="11"/>
  <c r="P3" i="11"/>
  <c r="X31" i="11"/>
  <c r="Q31" i="11" s="1"/>
  <c r="R31" i="11" s="1"/>
  <c r="X36" i="11"/>
  <c r="Q36" i="11" s="1"/>
  <c r="R36" i="11" s="1"/>
  <c r="X3" i="11"/>
  <c r="X8" i="11"/>
  <c r="Q8" i="11" s="1"/>
  <c r="R8" i="11" s="1"/>
  <c r="P20" i="11"/>
  <c r="X35" i="11"/>
  <c r="Q35" i="11" s="1"/>
  <c r="R35" i="11" s="1"/>
  <c r="P36" i="11"/>
  <c r="X13" i="11"/>
  <c r="Q13" i="11" s="1"/>
  <c r="R13" i="11" s="1"/>
  <c r="X37" i="11"/>
  <c r="Q37" i="11" s="1"/>
  <c r="R37" i="11" s="1"/>
  <c r="R47" i="11"/>
  <c r="E15" i="15" s="1"/>
  <c r="E29" i="15" s="1"/>
  <c r="X15" i="11"/>
  <c r="Q15" i="11" s="1"/>
  <c r="R15" i="11" s="1"/>
  <c r="X24" i="11"/>
  <c r="Q24" i="11" s="1"/>
  <c r="R24" i="11" s="1"/>
  <c r="X44" i="11"/>
  <c r="Q44" i="11" s="1"/>
  <c r="R44" i="11" s="1"/>
  <c r="P27" i="11"/>
  <c r="X21" i="11"/>
  <c r="Q21" i="11" s="1"/>
  <c r="R21" i="11" s="1"/>
  <c r="X20" i="11"/>
  <c r="Q20" i="11" s="1"/>
  <c r="R20" i="11" s="1"/>
  <c r="P10" i="11"/>
  <c r="X25" i="11"/>
  <c r="Q25" i="11" s="1"/>
  <c r="R25" i="11" s="1"/>
  <c r="X4" i="10"/>
  <c r="Q4" i="10" s="1"/>
  <c r="R4" i="10" s="1"/>
  <c r="X42" i="10"/>
  <c r="Q42" i="10" s="1"/>
  <c r="R42" i="10" s="1"/>
  <c r="P19" i="10"/>
  <c r="P9" i="10"/>
  <c r="P41" i="10"/>
  <c r="P10" i="10"/>
  <c r="P30" i="10"/>
  <c r="P26" i="10"/>
  <c r="X41" i="10"/>
  <c r="Q41" i="10" s="1"/>
  <c r="R41" i="10" s="1"/>
  <c r="P29" i="10"/>
  <c r="P39" i="10"/>
  <c r="X5" i="10"/>
  <c r="Q5" i="10" s="1"/>
  <c r="R5" i="10" s="1"/>
  <c r="X32" i="10"/>
  <c r="Q32" i="10" s="1"/>
  <c r="R32" i="10" s="1"/>
  <c r="X43" i="10"/>
  <c r="Q43" i="10" s="1"/>
  <c r="R43" i="10" s="1"/>
  <c r="P13" i="10"/>
  <c r="P14" i="10"/>
  <c r="X31" i="10"/>
  <c r="Q31" i="10" s="1"/>
  <c r="R31" i="10" s="1"/>
  <c r="P44" i="10"/>
  <c r="X20" i="10"/>
  <c r="Q20" i="10" s="1"/>
  <c r="R20" i="10" s="1"/>
  <c r="P37" i="10"/>
  <c r="P21" i="10"/>
  <c r="X13" i="10"/>
  <c r="Q13" i="10" s="1"/>
  <c r="R13" i="10" s="1"/>
  <c r="P28" i="10"/>
  <c r="X37" i="10"/>
  <c r="Q37" i="10" s="1"/>
  <c r="R37" i="10" s="1"/>
  <c r="X23" i="10"/>
  <c r="Q23" i="10" s="1"/>
  <c r="R23" i="10" s="1"/>
  <c r="X44" i="10"/>
  <c r="Q44" i="10" s="1"/>
  <c r="R44" i="10" s="1"/>
  <c r="X10" i="10"/>
  <c r="Q10" i="10" s="1"/>
  <c r="R10" i="10" s="1"/>
  <c r="X35" i="10"/>
  <c r="Q35" i="10" s="1"/>
  <c r="R35" i="10" s="1"/>
  <c r="P42" i="10"/>
  <c r="P17" i="10"/>
  <c r="X15" i="10"/>
  <c r="Q15" i="10" s="1"/>
  <c r="R15" i="10" s="1"/>
  <c r="P4" i="10"/>
  <c r="P15" i="10"/>
  <c r="X19" i="10"/>
  <c r="Q19" i="10" s="1"/>
  <c r="R19" i="10" s="1"/>
  <c r="X36" i="10"/>
  <c r="Q36" i="10" s="1"/>
  <c r="R36" i="10" s="1"/>
  <c r="X16" i="10"/>
  <c r="Q16" i="10" s="1"/>
  <c r="R16" i="10" s="1"/>
  <c r="X30" i="10"/>
  <c r="Q30" i="10" s="1"/>
  <c r="R30" i="10" s="1"/>
  <c r="P23" i="10"/>
  <c r="P11" i="10"/>
  <c r="X8" i="10"/>
  <c r="Q8" i="10" s="1"/>
  <c r="R8" i="10" s="1"/>
  <c r="P38" i="10"/>
  <c r="X38" i="10"/>
  <c r="Q38" i="10" s="1"/>
  <c r="R38" i="10" s="1"/>
  <c r="X14" i="10"/>
  <c r="Q14" i="10" s="1"/>
  <c r="R14" i="10" s="1"/>
  <c r="X28" i="10"/>
  <c r="Q28" i="10" s="1"/>
  <c r="R28" i="10" s="1"/>
  <c r="P12" i="10"/>
  <c r="X33" i="10"/>
  <c r="Q33" i="10" s="1"/>
  <c r="R33" i="10" s="1"/>
  <c r="P24" i="10"/>
  <c r="P6" i="10"/>
  <c r="X17" i="10"/>
  <c r="Q17" i="10" s="1"/>
  <c r="R17" i="10" s="1"/>
  <c r="X3" i="10"/>
  <c r="R47" i="10"/>
  <c r="D15" i="15" s="1"/>
  <c r="D29" i="15" s="1"/>
  <c r="P35" i="10"/>
  <c r="X7" i="10"/>
  <c r="Q7" i="10" s="1"/>
  <c r="R7" i="10" s="1"/>
  <c r="X22" i="10"/>
  <c r="Q22" i="10" s="1"/>
  <c r="R22" i="10" s="1"/>
  <c r="P40" i="10"/>
  <c r="P8" i="10"/>
  <c r="P16" i="10"/>
  <c r="P33" i="10"/>
  <c r="X21" i="10"/>
  <c r="Q21" i="10" s="1"/>
  <c r="R21" i="10" s="1"/>
  <c r="P22" i="10"/>
  <c r="P7" i="10"/>
  <c r="X6" i="10"/>
  <c r="Q6" i="10" s="1"/>
  <c r="R6" i="10" s="1"/>
  <c r="X29" i="10"/>
  <c r="Q29" i="10" s="1"/>
  <c r="R29" i="10" s="1"/>
  <c r="P3" i="10"/>
  <c r="X24" i="10"/>
  <c r="Q24" i="10" s="1"/>
  <c r="R24" i="10" s="1"/>
  <c r="X27" i="10"/>
  <c r="Q27" i="10" s="1"/>
  <c r="R27" i="10" s="1"/>
  <c r="X18" i="10"/>
  <c r="Q18" i="10" s="1"/>
  <c r="R18" i="10" s="1"/>
  <c r="P32" i="10"/>
  <c r="P25" i="10"/>
  <c r="P43" i="10"/>
  <c r="P5" i="10"/>
  <c r="P18" i="10"/>
  <c r="X11" i="10"/>
  <c r="Q11" i="10" s="1"/>
  <c r="R11" i="10" s="1"/>
  <c r="X34" i="10"/>
  <c r="Q34" i="10" s="1"/>
  <c r="R34" i="10" s="1"/>
  <c r="P20" i="10"/>
  <c r="X39" i="10"/>
  <c r="Q39" i="10" s="1"/>
  <c r="R39" i="10" s="1"/>
  <c r="X12" i="10"/>
  <c r="Q12" i="10" s="1"/>
  <c r="R12" i="10" s="1"/>
  <c r="P36" i="10"/>
  <c r="X26" i="10"/>
  <c r="Q26" i="10" s="1"/>
  <c r="R26" i="10" s="1"/>
  <c r="P34" i="10"/>
  <c r="X25" i="10"/>
  <c r="Q25" i="10" s="1"/>
  <c r="R25" i="10" s="1"/>
  <c r="P31" i="10"/>
  <c r="X40" i="10"/>
  <c r="Q40" i="10" s="1"/>
  <c r="R40" i="10" s="1"/>
  <c r="X9" i="10"/>
  <c r="Q9" i="10" s="1"/>
  <c r="R9" i="10" s="1"/>
  <c r="P27" i="10"/>
  <c r="A94" i="2"/>
  <c r="A113" i="6"/>
  <c r="P47" i="14"/>
  <c r="P40" i="14"/>
  <c r="X18" i="14"/>
  <c r="Q18" i="14" s="1"/>
  <c r="R18" i="14" s="1"/>
  <c r="P4" i="14"/>
  <c r="X33" i="14"/>
  <c r="Q33" i="14" s="1"/>
  <c r="R33" i="14" s="1"/>
  <c r="P25" i="14"/>
  <c r="X29" i="14"/>
  <c r="Q29" i="14" s="1"/>
  <c r="R29" i="14" s="1"/>
  <c r="P19" i="14"/>
  <c r="P7" i="14"/>
  <c r="X6" i="14"/>
  <c r="Q6" i="14" s="1"/>
  <c r="R6" i="14" s="1"/>
  <c r="X8" i="14"/>
  <c r="Q8" i="14" s="1"/>
  <c r="R8" i="14" s="1"/>
  <c r="X25" i="14"/>
  <c r="Q25" i="14" s="1"/>
  <c r="R25" i="14" s="1"/>
  <c r="P14" i="14"/>
  <c r="P30" i="14"/>
  <c r="P41" i="14"/>
  <c r="X10" i="14"/>
  <c r="Q10" i="14" s="1"/>
  <c r="R10" i="14" s="1"/>
  <c r="P31" i="14"/>
  <c r="X41" i="14"/>
  <c r="Q41" i="14" s="1"/>
  <c r="R41" i="14" s="1"/>
  <c r="P12" i="14"/>
  <c r="X21" i="14"/>
  <c r="Q21" i="14" s="1"/>
  <c r="R21" i="14" s="1"/>
  <c r="X35" i="14"/>
  <c r="Q35" i="14" s="1"/>
  <c r="R35" i="14" s="1"/>
  <c r="X30" i="14"/>
  <c r="Q30" i="14" s="1"/>
  <c r="R30" i="14" s="1"/>
  <c r="P6" i="14"/>
  <c r="X11" i="14"/>
  <c r="Q11" i="14" s="1"/>
  <c r="R11" i="14" s="1"/>
  <c r="P5" i="14"/>
  <c r="X17" i="14"/>
  <c r="Q17" i="14" s="1"/>
  <c r="R17" i="14" s="1"/>
  <c r="P29" i="14"/>
  <c r="X12" i="14"/>
  <c r="Q12" i="14" s="1"/>
  <c r="R12" i="14" s="1"/>
  <c r="X14" i="14"/>
  <c r="Q14" i="14" s="1"/>
  <c r="R14" i="14" s="1"/>
  <c r="X15" i="14"/>
  <c r="Q15" i="14" s="1"/>
  <c r="R15" i="14" s="1"/>
  <c r="P27" i="14"/>
  <c r="P24" i="14"/>
  <c r="X27" i="14"/>
  <c r="Q27" i="14" s="1"/>
  <c r="R27" i="14" s="1"/>
  <c r="P37" i="14"/>
  <c r="X26" i="14"/>
  <c r="Q26" i="14" s="1"/>
  <c r="R26" i="14" s="1"/>
  <c r="X36" i="14"/>
  <c r="Q36" i="14" s="1"/>
  <c r="R36" i="14" s="1"/>
  <c r="P13" i="14"/>
  <c r="P23" i="14"/>
  <c r="X22" i="14"/>
  <c r="Q22" i="14" s="1"/>
  <c r="R22" i="14" s="1"/>
  <c r="X34" i="14"/>
  <c r="Q34" i="14" s="1"/>
  <c r="R34" i="14" s="1"/>
  <c r="C15" i="15"/>
  <c r="C29" i="15" s="1"/>
  <c r="P18" i="14"/>
  <c r="X37" i="14"/>
  <c r="Q37" i="14" s="1"/>
  <c r="R37" i="14" s="1"/>
  <c r="P26" i="14"/>
  <c r="P36" i="14"/>
  <c r="P17" i="14"/>
  <c r="P38" i="14"/>
  <c r="P11" i="14"/>
  <c r="X40" i="14"/>
  <c r="Q40" i="14" s="1"/>
  <c r="R40" i="14" s="1"/>
  <c r="P39" i="14"/>
  <c r="X42" i="14"/>
  <c r="Q42" i="14" s="1"/>
  <c r="R42" i="14" s="1"/>
  <c r="X39" i="14"/>
  <c r="Q39" i="14" s="1"/>
  <c r="R39" i="14" s="1"/>
  <c r="P43" i="14"/>
  <c r="X16" i="14"/>
  <c r="Q16" i="14" s="1"/>
  <c r="R16" i="14" s="1"/>
  <c r="P8" i="14"/>
  <c r="X5" i="14"/>
  <c r="Q5" i="14" s="1"/>
  <c r="R5" i="14" s="1"/>
  <c r="P28" i="14"/>
  <c r="X20" i="14"/>
  <c r="Q20" i="14" s="1"/>
  <c r="R20" i="14" s="1"/>
  <c r="X44" i="14"/>
  <c r="Q44" i="14" s="1"/>
  <c r="R44" i="14" s="1"/>
  <c r="P34" i="14"/>
  <c r="X9" i="14"/>
  <c r="Q9" i="14" s="1"/>
  <c r="R9" i="14" s="1"/>
  <c r="P32" i="14"/>
  <c r="X38" i="14"/>
  <c r="Q38" i="14" s="1"/>
  <c r="R38" i="14" s="1"/>
  <c r="X4" i="14"/>
  <c r="Q4" i="14" s="1"/>
  <c r="R4" i="14" s="1"/>
  <c r="P22" i="14"/>
  <c r="P21" i="14"/>
  <c r="P15" i="14"/>
  <c r="X31" i="14"/>
  <c r="Q31" i="14" s="1"/>
  <c r="R31" i="14" s="1"/>
  <c r="P44" i="14"/>
  <c r="X28" i="14"/>
  <c r="Q28" i="14" s="1"/>
  <c r="R28" i="14" s="1"/>
  <c r="X19" i="14"/>
  <c r="Q19" i="14" s="1"/>
  <c r="R19" i="14" s="1"/>
  <c r="P20" i="14"/>
  <c r="P3" i="14"/>
  <c r="P33" i="14"/>
  <c r="P16" i="14"/>
  <c r="P35" i="14"/>
  <c r="P9" i="14"/>
  <c r="X13" i="14"/>
  <c r="Q13" i="14" s="1"/>
  <c r="R13" i="14" s="1"/>
  <c r="P10" i="14"/>
  <c r="X7" i="14"/>
  <c r="Q7" i="14" s="1"/>
  <c r="R7" i="14" s="1"/>
  <c r="X24" i="14"/>
  <c r="Q24" i="14" s="1"/>
  <c r="R24" i="14" s="1"/>
  <c r="X3" i="14"/>
  <c r="X43" i="14"/>
  <c r="Q43" i="14" s="1"/>
  <c r="R43" i="14" s="1"/>
  <c r="X23" i="14"/>
  <c r="Q23" i="14" s="1"/>
  <c r="R23" i="14" s="1"/>
  <c r="X32" i="14"/>
  <c r="Q32" i="14" s="1"/>
  <c r="R32" i="14" s="1"/>
  <c r="P42" i="14"/>
  <c r="X25" i="13"/>
  <c r="Q25" i="13" s="1"/>
  <c r="R25" i="13" s="1"/>
  <c r="X26" i="13"/>
  <c r="Q26" i="13" s="1"/>
  <c r="R26" i="13" s="1"/>
  <c r="X38" i="13"/>
  <c r="Q38" i="13" s="1"/>
  <c r="R38" i="13" s="1"/>
  <c r="P11" i="13"/>
  <c r="P25" i="13"/>
  <c r="P31" i="13"/>
  <c r="R47" i="13"/>
  <c r="G15" i="15" s="1"/>
  <c r="G29" i="15" s="1"/>
  <c r="P43" i="13"/>
  <c r="P33" i="13"/>
  <c r="P15" i="13"/>
  <c r="P13" i="13"/>
  <c r="X30" i="13"/>
  <c r="Q30" i="13" s="1"/>
  <c r="R30" i="13" s="1"/>
  <c r="X12" i="13"/>
  <c r="Q12" i="13" s="1"/>
  <c r="R12" i="13" s="1"/>
  <c r="X13" i="13"/>
  <c r="Q13" i="13" s="1"/>
  <c r="R13" i="13" s="1"/>
  <c r="X40" i="13"/>
  <c r="Q40" i="13" s="1"/>
  <c r="R40" i="13" s="1"/>
  <c r="X37" i="13"/>
  <c r="Q37" i="13" s="1"/>
  <c r="R37" i="13" s="1"/>
  <c r="P44" i="13"/>
  <c r="P26" i="13"/>
  <c r="X24" i="13"/>
  <c r="Q24" i="13" s="1"/>
  <c r="R24" i="13" s="1"/>
  <c r="P30" i="13"/>
  <c r="X34" i="13"/>
  <c r="Q34" i="13" s="1"/>
  <c r="R34" i="13" s="1"/>
  <c r="X35" i="13"/>
  <c r="Q35" i="13" s="1"/>
  <c r="R35" i="13" s="1"/>
  <c r="X32" i="13"/>
  <c r="Q32" i="13" s="1"/>
  <c r="R32" i="13" s="1"/>
  <c r="P29" i="13"/>
  <c r="P3" i="13"/>
  <c r="X3" i="13"/>
  <c r="P6" i="13"/>
  <c r="P17" i="13"/>
  <c r="P10" i="13"/>
  <c r="P9" i="13"/>
  <c r="P38" i="13"/>
  <c r="X33" i="13"/>
  <c r="Q33" i="13" s="1"/>
  <c r="R33" i="13" s="1"/>
  <c r="P4" i="13"/>
  <c r="P42" i="13"/>
  <c r="X10" i="13"/>
  <c r="Q10" i="13" s="1"/>
  <c r="R10" i="13" s="1"/>
  <c r="X28" i="13"/>
  <c r="Q28" i="13" s="1"/>
  <c r="R28" i="13" s="1"/>
  <c r="X36" i="13"/>
  <c r="Q36" i="13" s="1"/>
  <c r="R36" i="13" s="1"/>
  <c r="X6" i="13"/>
  <c r="Q6" i="13" s="1"/>
  <c r="R6" i="13" s="1"/>
  <c r="P37" i="13"/>
  <c r="P28" i="13"/>
  <c r="X22" i="13"/>
  <c r="Q22" i="13" s="1"/>
  <c r="R22" i="13" s="1"/>
  <c r="X27" i="13"/>
  <c r="Q27" i="13" s="1"/>
  <c r="R27" i="13" s="1"/>
  <c r="P34" i="13"/>
  <c r="X14" i="13"/>
  <c r="Q14" i="13" s="1"/>
  <c r="R14" i="13" s="1"/>
  <c r="X31" i="13"/>
  <c r="Q31" i="13" s="1"/>
  <c r="R31" i="13" s="1"/>
  <c r="X21" i="13"/>
  <c r="Q21" i="13" s="1"/>
  <c r="R21" i="13" s="1"/>
  <c r="X23" i="13"/>
  <c r="Q23" i="13" s="1"/>
  <c r="R23" i="13" s="1"/>
  <c r="P14" i="13"/>
  <c r="X4" i="13"/>
  <c r="Q4" i="13" s="1"/>
  <c r="R4" i="13" s="1"/>
  <c r="P12" i="13"/>
  <c r="X11" i="13"/>
  <c r="Q11" i="13" s="1"/>
  <c r="R11" i="13" s="1"/>
  <c r="P40" i="13"/>
  <c r="P47" i="13"/>
  <c r="X19" i="13"/>
  <c r="Q19" i="13" s="1"/>
  <c r="R19" i="13" s="1"/>
  <c r="P35" i="13"/>
  <c r="X18" i="13"/>
  <c r="Q18" i="13" s="1"/>
  <c r="R18" i="13" s="1"/>
  <c r="X44" i="13"/>
  <c r="Q44" i="13" s="1"/>
  <c r="R44" i="13" s="1"/>
  <c r="P36" i="13"/>
  <c r="X16" i="13"/>
  <c r="Q16" i="13" s="1"/>
  <c r="R16" i="13" s="1"/>
  <c r="P23" i="13"/>
  <c r="X7" i="13"/>
  <c r="Q7" i="13" s="1"/>
  <c r="R7" i="13" s="1"/>
  <c r="P21" i="13"/>
  <c r="X5" i="13"/>
  <c r="Q5" i="13" s="1"/>
  <c r="R5" i="13" s="1"/>
  <c r="P22" i="13"/>
  <c r="P5" i="13"/>
  <c r="P24" i="13"/>
  <c r="X20" i="13"/>
  <c r="Q20" i="13" s="1"/>
  <c r="R20" i="13" s="1"/>
  <c r="X15" i="13"/>
  <c r="Q15" i="13" s="1"/>
  <c r="R15" i="13" s="1"/>
  <c r="X39" i="13"/>
  <c r="Q39" i="13" s="1"/>
  <c r="R39" i="13" s="1"/>
  <c r="X42" i="13"/>
  <c r="Q42" i="13" s="1"/>
  <c r="R42" i="13" s="1"/>
  <c r="P18" i="13"/>
  <c r="X9" i="13"/>
  <c r="Q9" i="13" s="1"/>
  <c r="R9" i="13" s="1"/>
  <c r="P39" i="13"/>
  <c r="P20" i="13"/>
  <c r="P32" i="13"/>
  <c r="X17" i="13"/>
  <c r="Q17" i="13" s="1"/>
  <c r="R17" i="13" s="1"/>
  <c r="P41" i="13"/>
  <c r="P16" i="13"/>
  <c r="P8" i="13"/>
  <c r="P27" i="13"/>
  <c r="P19" i="13"/>
  <c r="X8" i="13"/>
  <c r="Q8" i="13" s="1"/>
  <c r="R8" i="13" s="1"/>
  <c r="P7" i="13"/>
  <c r="X41" i="13"/>
  <c r="Q41" i="13" s="1"/>
  <c r="R41" i="13" s="1"/>
  <c r="X43" i="13"/>
  <c r="Q43" i="13" s="1"/>
  <c r="R43" i="13" s="1"/>
  <c r="X29" i="13"/>
  <c r="Q29" i="13" s="1"/>
  <c r="R29" i="13" s="1"/>
  <c r="X13" i="12"/>
  <c r="Q13" i="12" s="1"/>
  <c r="R13" i="12" s="1"/>
  <c r="P10" i="12"/>
  <c r="X31" i="12"/>
  <c r="Q31" i="12" s="1"/>
  <c r="R31" i="12" s="1"/>
  <c r="X8" i="12"/>
  <c r="Q8" i="12" s="1"/>
  <c r="R8" i="12" s="1"/>
  <c r="X43" i="12"/>
  <c r="Q43" i="12" s="1"/>
  <c r="R43" i="12" s="1"/>
  <c r="P11" i="12"/>
  <c r="X7" i="12"/>
  <c r="Q7" i="12" s="1"/>
  <c r="R7" i="12" s="1"/>
  <c r="P34" i="12"/>
  <c r="P44" i="12"/>
  <c r="X3" i="12"/>
  <c r="X16" i="12"/>
  <c r="Q16" i="12" s="1"/>
  <c r="R16" i="12" s="1"/>
  <c r="X21" i="12"/>
  <c r="Q21" i="12" s="1"/>
  <c r="R21" i="12" s="1"/>
  <c r="X40" i="12"/>
  <c r="Q40" i="12" s="1"/>
  <c r="R40" i="12" s="1"/>
  <c r="X12" i="12"/>
  <c r="Q12" i="12" s="1"/>
  <c r="R12" i="12" s="1"/>
  <c r="X5" i="12"/>
  <c r="Q5" i="12" s="1"/>
  <c r="R5" i="12" s="1"/>
  <c r="P15" i="12"/>
  <c r="P17" i="12"/>
  <c r="P22" i="12"/>
  <c r="X19" i="12"/>
  <c r="Q19" i="12" s="1"/>
  <c r="R19" i="12" s="1"/>
  <c r="X35" i="12"/>
  <c r="Q35" i="12" s="1"/>
  <c r="R35" i="12" s="1"/>
  <c r="P9" i="12"/>
  <c r="X44" i="12"/>
  <c r="Q44" i="12" s="1"/>
  <c r="R44" i="12" s="1"/>
  <c r="P26" i="12"/>
  <c r="X34" i="12"/>
  <c r="Q34" i="12" s="1"/>
  <c r="R34" i="12" s="1"/>
  <c r="P6" i="12"/>
  <c r="P3" i="12"/>
  <c r="X9" i="12"/>
  <c r="Q9" i="12" s="1"/>
  <c r="R9" i="12" s="1"/>
  <c r="X26" i="12"/>
  <c r="Q26" i="12" s="1"/>
  <c r="R26" i="12" s="1"/>
  <c r="X33" i="12"/>
  <c r="Q33" i="12" s="1"/>
  <c r="R33" i="12" s="1"/>
  <c r="P24" i="12"/>
  <c r="P41" i="12"/>
  <c r="P12" i="12"/>
  <c r="P13" i="12"/>
  <c r="R47" i="12"/>
  <c r="F15" i="15" s="1"/>
  <c r="F29" i="15" s="1"/>
  <c r="X38" i="12"/>
  <c r="Q38" i="12" s="1"/>
  <c r="R38" i="12" s="1"/>
  <c r="X32" i="12"/>
  <c r="Q32" i="12" s="1"/>
  <c r="R32" i="12" s="1"/>
  <c r="P30" i="12"/>
  <c r="X10" i="12"/>
  <c r="Q10" i="12" s="1"/>
  <c r="R10" i="12" s="1"/>
  <c r="X14" i="12"/>
  <c r="Q14" i="12" s="1"/>
  <c r="R14" i="12" s="1"/>
  <c r="P35" i="12"/>
  <c r="X39" i="12"/>
  <c r="Q39" i="12" s="1"/>
  <c r="R39" i="12" s="1"/>
  <c r="P33" i="12"/>
  <c r="P16" i="12"/>
  <c r="X17" i="12"/>
  <c r="Q17" i="12" s="1"/>
  <c r="R17" i="12" s="1"/>
  <c r="P42" i="12"/>
  <c r="P28" i="12"/>
  <c r="X23" i="12"/>
  <c r="Q23" i="12" s="1"/>
  <c r="R23" i="12" s="1"/>
  <c r="P38" i="12"/>
  <c r="P7" i="12"/>
  <c r="P4" i="12"/>
  <c r="P5" i="12"/>
  <c r="P21" i="12"/>
  <c r="P39" i="12"/>
  <c r="X42" i="12"/>
  <c r="Q42" i="12" s="1"/>
  <c r="R42" i="12" s="1"/>
  <c r="X30" i="12"/>
  <c r="Q30" i="12" s="1"/>
  <c r="R30" i="12" s="1"/>
  <c r="P43" i="12"/>
  <c r="X11" i="12"/>
  <c r="Q11" i="12" s="1"/>
  <c r="R11" i="12" s="1"/>
  <c r="P37" i="12"/>
  <c r="P8" i="12"/>
  <c r="X6" i="12"/>
  <c r="Q6" i="12" s="1"/>
  <c r="R6" i="12" s="1"/>
  <c r="P31" i="12"/>
  <c r="P29" i="12"/>
  <c r="X37" i="12"/>
  <c r="Q37" i="12" s="1"/>
  <c r="R37" i="12" s="1"/>
  <c r="P20" i="12"/>
  <c r="P14" i="12"/>
  <c r="X24" i="12"/>
  <c r="Q24" i="12" s="1"/>
  <c r="R24" i="12" s="1"/>
  <c r="P23" i="12"/>
  <c r="X28" i="12"/>
  <c r="Q28" i="12" s="1"/>
  <c r="R28" i="12" s="1"/>
  <c r="X29" i="12"/>
  <c r="Q29" i="12" s="1"/>
  <c r="R29" i="12" s="1"/>
  <c r="P19" i="12"/>
  <c r="P36" i="12"/>
  <c r="P27" i="12"/>
  <c r="X18" i="12"/>
  <c r="Q18" i="12" s="1"/>
  <c r="R18" i="12" s="1"/>
  <c r="P25" i="12"/>
  <c r="X36" i="12"/>
  <c r="Q36" i="12" s="1"/>
  <c r="R36" i="12" s="1"/>
  <c r="P18" i="12"/>
  <c r="X15" i="12"/>
  <c r="Q15" i="12" s="1"/>
  <c r="R15" i="12" s="1"/>
  <c r="X22" i="12"/>
  <c r="Q22" i="12" s="1"/>
  <c r="R22" i="12" s="1"/>
  <c r="X27" i="12"/>
  <c r="Q27" i="12" s="1"/>
  <c r="R27" i="12" s="1"/>
  <c r="X20" i="12"/>
  <c r="Q20" i="12" s="1"/>
  <c r="R20" i="12" s="1"/>
  <c r="X4" i="12"/>
  <c r="Q4" i="12" s="1"/>
  <c r="R4" i="12" s="1"/>
  <c r="X41" i="12"/>
  <c r="Q41" i="12" s="1"/>
  <c r="R41" i="12" s="1"/>
  <c r="P32" i="12"/>
  <c r="X25" i="12"/>
  <c r="Q25" i="12" s="1"/>
  <c r="R25" i="12" s="1"/>
  <c r="P40" i="12"/>
  <c r="P47" i="12"/>
  <c r="B54" i="8" l="1"/>
  <c r="B11" i="8"/>
  <c r="B12" i="8" s="1"/>
  <c r="B14" i="8" s="1"/>
  <c r="C11" i="8"/>
  <c r="C13" i="8" s="1"/>
  <c r="C14" i="8" s="1"/>
  <c r="A95" i="2"/>
  <c r="A114" i="6"/>
  <c r="X45" i="10"/>
  <c r="Q3" i="10"/>
  <c r="R3" i="10" s="1"/>
  <c r="R45" i="10" s="1"/>
  <c r="D13" i="15" s="1"/>
  <c r="D37" i="15" s="1"/>
  <c r="B60" i="8" s="1"/>
  <c r="C60" i="8" s="1"/>
  <c r="Q3" i="13"/>
  <c r="R3" i="13" s="1"/>
  <c r="R45" i="13" s="1"/>
  <c r="G13" i="15" s="1"/>
  <c r="G37" i="15" s="1"/>
  <c r="B63" i="8" s="1"/>
  <c r="X45" i="13"/>
  <c r="X45" i="12"/>
  <c r="Q3" i="12"/>
  <c r="R3" i="12" s="1"/>
  <c r="R45" i="12" s="1"/>
  <c r="F13" i="15" s="1"/>
  <c r="F37" i="15" s="1"/>
  <c r="B62" i="8" s="1"/>
  <c r="Q3" i="11"/>
  <c r="R3" i="11" s="1"/>
  <c r="R45" i="11" s="1"/>
  <c r="E13" i="15" s="1"/>
  <c r="E37" i="15" s="1"/>
  <c r="B61" i="8" s="1"/>
  <c r="X45" i="11"/>
  <c r="X45" i="14"/>
  <c r="Q3" i="14"/>
  <c r="R3" i="14" s="1"/>
  <c r="R45" i="14" s="1"/>
  <c r="C13" i="15" s="1"/>
  <c r="C37" i="15" s="1"/>
  <c r="B59" i="8" s="1"/>
  <c r="A96" i="2" l="1"/>
  <c r="A115" i="6"/>
  <c r="C61" i="8"/>
  <c r="C62" i="8" s="1"/>
  <c r="C63" i="8" s="1"/>
  <c r="B15" i="8" s="1"/>
  <c r="A97" i="2" l="1"/>
  <c r="A116" i="6"/>
  <c r="C15" i="8"/>
  <c r="C16" i="8" l="1"/>
  <c r="C17" i="8"/>
  <c r="A98" i="2"/>
  <c r="A117" i="6"/>
  <c r="B17" i="8"/>
  <c r="B16" i="8"/>
  <c r="A99" i="2" l="1"/>
  <c r="A118" i="6"/>
  <c r="A119" i="6" l="1"/>
  <c r="A100" i="2"/>
  <c r="A120" i="6" l="1"/>
  <c r="A101" i="2"/>
  <c r="A102" i="2" l="1"/>
  <c r="A121" i="6"/>
  <c r="A122" i="6" l="1"/>
  <c r="A103" i="2"/>
  <c r="A104" i="2" l="1"/>
  <c r="A124" i="6" s="1"/>
  <c r="A123" i="6"/>
</calcChain>
</file>

<file path=xl/sharedStrings.xml><?xml version="1.0" encoding="utf-8"?>
<sst xmlns="http://schemas.openxmlformats.org/spreadsheetml/2006/main" count="1651" uniqueCount="686">
  <si>
    <t>Watershed Name</t>
  </si>
  <si>
    <t xml:space="preserve">Annual Rainfall </t>
  </si>
  <si>
    <t>inches</t>
  </si>
  <si>
    <t>Watershed Area</t>
  </si>
  <si>
    <t>acres</t>
  </si>
  <si>
    <t xml:space="preserve">Urban Stream Length </t>
  </si>
  <si>
    <t>miles</t>
  </si>
  <si>
    <t>Rural Stream Length</t>
  </si>
  <si>
    <t>Partitioning Coefficients for Rural and Forest Land</t>
  </si>
  <si>
    <t>Pollutant</t>
  </si>
  <si>
    <t>TN</t>
  </si>
  <si>
    <t>TP</t>
  </si>
  <si>
    <t>TSS</t>
  </si>
  <si>
    <t>FC</t>
  </si>
  <si>
    <t>Fraction as Storm Load</t>
  </si>
  <si>
    <t>Soils Information</t>
  </si>
  <si>
    <t>Soil Fraction(%)</t>
  </si>
  <si>
    <t>Runoff Coefficients</t>
  </si>
  <si>
    <t>Turf</t>
  </si>
  <si>
    <t>Forest</t>
  </si>
  <si>
    <t>Rural</t>
  </si>
  <si>
    <t>HYDROLOGIC SOIL GROUP</t>
  </si>
  <si>
    <t>Imperv</t>
  </si>
  <si>
    <t>Low Density Residential</t>
  </si>
  <si>
    <t>Medium Density Residential</t>
  </si>
  <si>
    <t>High Density Residential</t>
  </si>
  <si>
    <t>Commercial</t>
  </si>
  <si>
    <t>Industrial</t>
  </si>
  <si>
    <t>Institutional</t>
  </si>
  <si>
    <t>Extractive</t>
  </si>
  <si>
    <t>Open Urban Land</t>
  </si>
  <si>
    <t>Cropland</t>
  </si>
  <si>
    <t>Pasture</t>
  </si>
  <si>
    <t>Row and Garden Crops</t>
  </si>
  <si>
    <t>Deciduous Forest</t>
  </si>
  <si>
    <t>Evergreen Forest</t>
  </si>
  <si>
    <t>Mixed Forest</t>
  </si>
  <si>
    <t>Brush</t>
  </si>
  <si>
    <t>Water</t>
  </si>
  <si>
    <t>Wetlands</t>
  </si>
  <si>
    <t>Bare Ground</t>
  </si>
  <si>
    <t>Transportation</t>
  </si>
  <si>
    <t>Large Lot Subdivision (Ag)</t>
  </si>
  <si>
    <t>Large Lot Subdivision (Forest)</t>
  </si>
  <si>
    <t>Feeding Operations</t>
  </si>
  <si>
    <t>Agricultural Building</t>
  </si>
  <si>
    <t>MD Dept of Planning</t>
  </si>
  <si>
    <t>Orchards/Vineyards</t>
  </si>
  <si>
    <t>Bare Rock</t>
  </si>
  <si>
    <t>check</t>
  </si>
  <si>
    <t>Fraction Turf</t>
  </si>
  <si>
    <t>Area (ac)</t>
  </si>
  <si>
    <t>user data entry</t>
  </si>
  <si>
    <t>calculated values</t>
  </si>
  <si>
    <t>FC EMC</t>
  </si>
  <si>
    <t>FC Export Coeff</t>
  </si>
  <si>
    <t>Active Construction</t>
  </si>
  <si>
    <t>Active Constr</t>
  </si>
  <si>
    <t>default data (may be changed by user)</t>
  </si>
  <si>
    <t>Land Cover</t>
  </si>
  <si>
    <t>Rv</t>
  </si>
  <si>
    <t>lookup or link</t>
  </si>
  <si>
    <t>Results</t>
  </si>
  <si>
    <t>Baseline</t>
  </si>
  <si>
    <t xml:space="preserve"> Permit</t>
  </si>
  <si>
    <t>AGRE</t>
  </si>
  <si>
    <t>AGRI</t>
  </si>
  <si>
    <t>APRP</t>
  </si>
  <si>
    <t>ARTF</t>
  </si>
  <si>
    <t>MENF</t>
  </si>
  <si>
    <t>MIBR</t>
  </si>
  <si>
    <t>MIDW</t>
  </si>
  <si>
    <t>MILS</t>
  </si>
  <si>
    <t>MMBR</t>
  </si>
  <si>
    <t>MRNG</t>
  </si>
  <si>
    <t>MRWH</t>
  </si>
  <si>
    <t>MSGW</t>
  </si>
  <si>
    <t>MSWB</t>
  </si>
  <si>
    <t>MSWG</t>
  </si>
  <si>
    <t>MSWW</t>
  </si>
  <si>
    <t>NDNR</t>
  </si>
  <si>
    <t>NDRR</t>
  </si>
  <si>
    <t>NSCA</t>
  </si>
  <si>
    <t>Green Roof - Extensive</t>
  </si>
  <si>
    <t>Permeable Pavement</t>
  </si>
  <si>
    <t>Reinforced Turf</t>
  </si>
  <si>
    <t>Enhanced Filters</t>
  </si>
  <si>
    <t>Infiltration Berm</t>
  </si>
  <si>
    <t>Dry Well</t>
  </si>
  <si>
    <t>Landscape Infiltration</t>
  </si>
  <si>
    <t>Micro-Bioretention</t>
  </si>
  <si>
    <t>Rain Gardens</t>
  </si>
  <si>
    <t>Rainwater Harvesting</t>
  </si>
  <si>
    <t>Submerged Gravel Wetland</t>
  </si>
  <si>
    <t>Bio-Swale</t>
  </si>
  <si>
    <t>Grass Swale</t>
  </si>
  <si>
    <t>Wet Swale</t>
  </si>
  <si>
    <t>Disconnection of Non-Rooftop Runoff</t>
  </si>
  <si>
    <t>Disconnection of Rooftop Runoff</t>
  </si>
  <si>
    <t>Sheetflow to Conservation Areas</t>
  </si>
  <si>
    <t>Other filtering</t>
  </si>
  <si>
    <t>Bioretention</t>
  </si>
  <si>
    <t>Organic filter</t>
  </si>
  <si>
    <t>Perimeter (sand) filter</t>
  </si>
  <si>
    <t>Surface sand filter</t>
  </si>
  <si>
    <t>Underground sand filter</t>
  </si>
  <si>
    <t>Infiltration basin</t>
  </si>
  <si>
    <t>Infiltration trench</t>
  </si>
  <si>
    <t>FBIO</t>
  </si>
  <si>
    <t>FORG</t>
  </si>
  <si>
    <t>FPER</t>
  </si>
  <si>
    <t>FSND</t>
  </si>
  <si>
    <t>FUND</t>
  </si>
  <si>
    <t>IBAS</t>
  </si>
  <si>
    <t>ITRN</t>
  </si>
  <si>
    <t>ODSW</t>
  </si>
  <si>
    <t>OWSW</t>
  </si>
  <si>
    <t>Dry swale</t>
  </si>
  <si>
    <t>Wet swale</t>
  </si>
  <si>
    <t>XDED</t>
  </si>
  <si>
    <t>XDPD</t>
  </si>
  <si>
    <t>XFLD</t>
  </si>
  <si>
    <t>XOGS</t>
  </si>
  <si>
    <t>XOTH</t>
  </si>
  <si>
    <t>PMED</t>
  </si>
  <si>
    <t>PMPS</t>
  </si>
  <si>
    <t>PPKT</t>
  </si>
  <si>
    <t>PWED</t>
  </si>
  <si>
    <t>PWET</t>
  </si>
  <si>
    <t>WEDW</t>
  </si>
  <si>
    <t>WPKT</t>
  </si>
  <si>
    <t>WPWS</t>
  </si>
  <si>
    <t>WSHW</t>
  </si>
  <si>
    <t>Dry extended detention pond</t>
  </si>
  <si>
    <t>Dry pond</t>
  </si>
  <si>
    <t>Flood Mgmt Area</t>
  </si>
  <si>
    <t>Oil grit separator</t>
  </si>
  <si>
    <t>Other</t>
  </si>
  <si>
    <t>Micropool extended detention pond</t>
  </si>
  <si>
    <t>Multiple Pond Systems</t>
  </si>
  <si>
    <t>Pocket pond</t>
  </si>
  <si>
    <t>Wet extended detention pond</t>
  </si>
  <si>
    <t>Wet pond</t>
  </si>
  <si>
    <t>ED shallow wetland</t>
  </si>
  <si>
    <t>Pocket wetland</t>
  </si>
  <si>
    <t>Pond/wetland system</t>
  </si>
  <si>
    <t>Shallow marsh</t>
  </si>
  <si>
    <t>CBC</t>
  </si>
  <si>
    <t>FPU</t>
  </si>
  <si>
    <t>IMPF</t>
  </si>
  <si>
    <t>IMPP</t>
  </si>
  <si>
    <t>MSS</t>
  </si>
  <si>
    <t>OUT</t>
  </si>
  <si>
    <t>SDV</t>
  </si>
  <si>
    <t>SEPC</t>
  </si>
  <si>
    <t>SEPD</t>
  </si>
  <si>
    <t>SEPP</t>
  </si>
  <si>
    <t>SHST</t>
  </si>
  <si>
    <t>SPSC</t>
  </si>
  <si>
    <t>STRE</t>
  </si>
  <si>
    <t>VSS</t>
  </si>
  <si>
    <t>Catch Basin Cleaning</t>
  </si>
  <si>
    <t>Planting Trees / Forestation on Pervious Urban</t>
  </si>
  <si>
    <t>Impervious Surface Elimination (to Forest)</t>
  </si>
  <si>
    <t>Impervious Surface Elimination (to Pervious)</t>
  </si>
  <si>
    <t>Mechanical Street Sweeping</t>
  </si>
  <si>
    <t>Outfall Stabilization</t>
  </si>
  <si>
    <t>Storm Drain Vacuuming</t>
  </si>
  <si>
    <t>Septic Connection to WWTP</t>
  </si>
  <si>
    <t>Septic Denitrification</t>
  </si>
  <si>
    <t>Septic Pumping</t>
  </si>
  <si>
    <t>Shoreline Stabilization</t>
  </si>
  <si>
    <t>Step Pool Storm Conveyance</t>
  </si>
  <si>
    <t>Stream Restoration</t>
  </si>
  <si>
    <t>Regen / Vacuum Street Sweeping</t>
  </si>
  <si>
    <t>Alternative Surfaces</t>
  </si>
  <si>
    <t>Nonstructural Techniques</t>
  </si>
  <si>
    <t>Micro-Scale Practices</t>
  </si>
  <si>
    <t>Ponds</t>
  </si>
  <si>
    <t>Infiltration</t>
  </si>
  <si>
    <t>Filtering Systems</t>
  </si>
  <si>
    <t>--</t>
  </si>
  <si>
    <t>Open Channels</t>
  </si>
  <si>
    <t>Category</t>
  </si>
  <si>
    <t>Code</t>
  </si>
  <si>
    <t>Description</t>
  </si>
  <si>
    <t>Other Practices</t>
  </si>
  <si>
    <t>Alternative BMPs</t>
  </si>
  <si>
    <t>order</t>
  </si>
  <si>
    <t>BMPs</t>
  </si>
  <si>
    <t>DA</t>
  </si>
  <si>
    <t>IA</t>
  </si>
  <si>
    <t>Removal Rate</t>
  </si>
  <si>
    <t>Capture</t>
  </si>
  <si>
    <t>Design</t>
  </si>
  <si>
    <t>Maintenance</t>
  </si>
  <si>
    <t>BMP Discounts</t>
  </si>
  <si>
    <t>TMDL DATA</t>
  </si>
  <si>
    <t>TMDL</t>
  </si>
  <si>
    <t>Approval Date</t>
  </si>
  <si>
    <t>Baseline Year</t>
  </si>
  <si>
    <t>LU Year for Modeling</t>
  </si>
  <si>
    <t>Counties:</t>
  </si>
  <si>
    <t>TOTAL</t>
  </si>
  <si>
    <t>TMDL WLA by County</t>
  </si>
  <si>
    <t>TMDL Published % Reduction</t>
  </si>
  <si>
    <t>SURFACE WATER</t>
  </si>
  <si>
    <t>Total</t>
  </si>
  <si>
    <t>PRIMARY SOURCES</t>
  </si>
  <si>
    <t>Urban Land</t>
  </si>
  <si>
    <t>Rural Land</t>
  </si>
  <si>
    <t>Open Water</t>
  </si>
  <si>
    <t>Fraction of annual rainfall captured by the structure</t>
  </si>
  <si>
    <t>Factor applied based on the adequacy of existing design standards</t>
  </si>
  <si>
    <t>Based on rainfall frequency spectrum, represents rainfall over 0.1"</t>
  </si>
  <si>
    <t>Specific, legally binding standards (manual says 1.0)</t>
  </si>
  <si>
    <t>Specific, not legally binding standards (manual says0.8)</t>
  </si>
  <si>
    <t>No standards (o.6)</t>
  </si>
  <si>
    <t>Factor based on the type of maintenance conducted on treatment practices</t>
  </si>
  <si>
    <t>Treatability</t>
  </si>
  <si>
    <t>Regular maintenance specified and enforced</t>
  </si>
  <si>
    <t>Maintenance specified, poorly enforced</t>
  </si>
  <si>
    <t>No guidance for maintenance</t>
  </si>
  <si>
    <t>Pro rata area treated by BMP to watershed area using calculation of (BMP runoff / watershed runoff)</t>
  </si>
  <si>
    <t>Riparian Buffer</t>
  </si>
  <si>
    <t>Population</t>
  </si>
  <si>
    <t>No. of Dwelling Units</t>
  </si>
  <si>
    <t>People per DU</t>
  </si>
  <si>
    <t>Water Use (gpcd)</t>
  </si>
  <si>
    <t>Wastewater Characteristics</t>
  </si>
  <si>
    <t>FC (MPN/100 ml)</t>
  </si>
  <si>
    <t>OSDS</t>
  </si>
  <si>
    <t>Pet Waste</t>
  </si>
  <si>
    <t>Fraction of Households with a Dog</t>
  </si>
  <si>
    <t>Fraction willing to change behavior</t>
  </si>
  <si>
    <t>Awareness of Message (Fraction of Population)</t>
  </si>
  <si>
    <t>Waste Production (lbs/dog-day)</t>
  </si>
  <si>
    <t>Number of dogs</t>
  </si>
  <si>
    <t>Bacteria Load (bn MPN/yr)</t>
  </si>
  <si>
    <t>Turf Area</t>
  </si>
  <si>
    <t>Green Roof - Intensive</t>
  </si>
  <si>
    <t>Runoff (in/yr)</t>
  </si>
  <si>
    <t>Annual Runoff
 (ac-ft)</t>
  </si>
  <si>
    <t>Annual Load 
(bn MPN)</t>
  </si>
  <si>
    <t>Runoff Redux</t>
  </si>
  <si>
    <t>Weighted Average</t>
  </si>
  <si>
    <t>Unreduced Runoff</t>
  </si>
  <si>
    <t>Total Removal Rate</t>
  </si>
  <si>
    <t>Urban Runoff Load</t>
  </si>
  <si>
    <t>Load Reduction</t>
  </si>
  <si>
    <t>Discounted Removal Rate</t>
  </si>
  <si>
    <t>All Discounts</t>
  </si>
  <si>
    <t>removal is weighted by DA</t>
  </si>
  <si>
    <t>Discounts in bold are used.</t>
  </si>
  <si>
    <t>Retrofit (Y/N)</t>
  </si>
  <si>
    <t>Original Practice</t>
  </si>
  <si>
    <t>WQv Provided</t>
  </si>
  <si>
    <t>Design Rainfall (PE Treated)</t>
  </si>
  <si>
    <t>Watershed WQv</t>
  </si>
  <si>
    <t>Impervious Area (ac)</t>
  </si>
  <si>
    <t>Urban</t>
  </si>
  <si>
    <t>Turf Area (ac)</t>
  </si>
  <si>
    <t>in</t>
  </si>
  <si>
    <t>cf</t>
  </si>
  <si>
    <t>Original Practice Redux</t>
  </si>
  <si>
    <t>Watershed Urban Load</t>
  </si>
  <si>
    <t>.</t>
  </si>
  <si>
    <t>Treatability/ Capture</t>
  </si>
  <si>
    <t>uses IA for whole watershed not just urban</t>
  </si>
  <si>
    <t>Other Discounts</t>
  </si>
  <si>
    <t>TOTAL REDUCTION</t>
  </si>
  <si>
    <t>Net Reduction</t>
  </si>
  <si>
    <t>BMP (IA runoff + turf runoff) /</t>
  </si>
  <si>
    <t>Wshed (IA runoff + turf runoff)</t>
  </si>
  <si>
    <t>Reduction</t>
  </si>
  <si>
    <t>Treatability uses C Soils</t>
  </si>
  <si>
    <t>Retrofit Practice</t>
  </si>
  <si>
    <t>Treatability uses C Soils for BMPs</t>
  </si>
  <si>
    <t>REDUCTIONS</t>
  </si>
  <si>
    <t>SCENARIOS</t>
  </si>
  <si>
    <t>Incremental</t>
  </si>
  <si>
    <t>Cumulative</t>
  </si>
  <si>
    <t>Programmed</t>
  </si>
  <si>
    <t>Completed</t>
  </si>
  <si>
    <t>Identified</t>
  </si>
  <si>
    <t>Potential</t>
  </si>
  <si>
    <t>E. Coli for Lower Monocacy River</t>
  </si>
  <si>
    <t>Modeled Restoration Achieved - Percent</t>
  </si>
  <si>
    <t>FR - WQS</t>
  </si>
  <si>
    <t>FR - MEP</t>
  </si>
  <si>
    <t>Progress Towards Percent Reduction Goal</t>
  </si>
  <si>
    <t>Lower Monocacy, FRCO</t>
  </si>
  <si>
    <t>Unsewered Dwelling Units</t>
  </si>
  <si>
    <t>Unsewered Dwelling Units (% of total)</t>
  </si>
  <si>
    <t>No. of systems &lt;100 ft to waterway</t>
  </si>
  <si>
    <t>SECONDARY SOURCES</t>
  </si>
  <si>
    <t>NO BMP SURFACE WATER LOAD</t>
  </si>
  <si>
    <t>Pet Waste Education</t>
  </si>
  <si>
    <t>Riparian Buffers</t>
  </si>
  <si>
    <t>Total Reduction</t>
  </si>
  <si>
    <t>TREATED SURFACE WATER LOAD</t>
  </si>
  <si>
    <t>Y</t>
  </si>
  <si>
    <t>Permit</t>
  </si>
  <si>
    <t>SSO</t>
  </si>
  <si>
    <t>CSO</t>
  </si>
  <si>
    <t>Channel Erosion</t>
  </si>
  <si>
    <t>Illicit Connections</t>
  </si>
  <si>
    <t>Point Sources</t>
  </si>
  <si>
    <t>Not applicable to Fred Co.</t>
  </si>
  <si>
    <t>leave in here, but don't have an amount for load or reductions.</t>
  </si>
  <si>
    <t>Order</t>
  </si>
  <si>
    <t>BMPs FOR PRIMARY SOURCES</t>
  </si>
  <si>
    <t>BMPs FOR SECONDARY SOURCES</t>
  </si>
  <si>
    <t>Septic BMPs</t>
  </si>
  <si>
    <t>Channel Erosion Control</t>
  </si>
  <si>
    <t>TBD</t>
  </si>
  <si>
    <t>PRIMARY BMPS</t>
  </si>
  <si>
    <t>Fraction Complete</t>
  </si>
  <si>
    <t>Fraction of Repairs Made</t>
  </si>
  <si>
    <t>Number of Septic Systems Retired</t>
  </si>
  <si>
    <t>Treatment Plant Load</t>
  </si>
  <si>
    <t>Failure Rates</t>
  </si>
  <si>
    <t>Sandy</t>
  </si>
  <si>
    <t>Miles of Sanitary Sewer</t>
  </si>
  <si>
    <t>Overflows/1,000 Miles of Sewer</t>
  </si>
  <si>
    <t>Volume per Overflow (gallons)</t>
  </si>
  <si>
    <t>Bacteria (billion/year)</t>
  </si>
  <si>
    <t>Constant</t>
  </si>
  <si>
    <t>SSO-Storm Flow</t>
  </si>
  <si>
    <t>Bacteria Decay-Normal</t>
  </si>
  <si>
    <t>Delivery Ratio-adjacent to waterway</t>
  </si>
  <si>
    <t>Percent  &lt;100 ft to waterway</t>
  </si>
  <si>
    <t>Delivery Ratio-not near waterway</t>
  </si>
  <si>
    <t>Untreated Sewage Delivered to Septics (billions)</t>
  </si>
  <si>
    <t>&lt;1/acre</t>
  </si>
  <si>
    <t>&lt;3 Feet</t>
  </si>
  <si>
    <t>Low.  No inspection at installation, no incentives or programs for ongoing maintenance.</t>
  </si>
  <si>
    <t>Clay/Mixed Soils</t>
  </si>
  <si>
    <t>1-2/acre</t>
  </si>
  <si>
    <t>3-5 Feet</t>
  </si>
  <si>
    <t>Medium.  Inspection at installation, education to encourage ongoing maintenance</t>
  </si>
  <si>
    <t>&gt;2/acre</t>
  </si>
  <si>
    <t>5 Feet</t>
  </si>
  <si>
    <t>High.  Inspection at installation, ongoing inspection, incentives to correct failing systems.</t>
  </si>
  <si>
    <t xml:space="preserve">Soil Type: </t>
  </si>
  <si>
    <t>Current Septic System Management</t>
  </si>
  <si>
    <t>Management</t>
  </si>
  <si>
    <t>Management Value</t>
  </si>
  <si>
    <t>Separation from GW</t>
  </si>
  <si>
    <t>GW Separation Value</t>
  </si>
  <si>
    <t>Separation from Groundwater</t>
  </si>
  <si>
    <t>Density (#/acre)</t>
  </si>
  <si>
    <t>Density Value</t>
  </si>
  <si>
    <t>=0.1 + Separation from Groundwater + Current Septic System Management + Septic System Density</t>
  </si>
  <si>
    <t>Need default value. 45%?  Or actual miles</t>
  </si>
  <si>
    <t>OBJECTID</t>
  </si>
  <si>
    <t>WShedCode</t>
  </si>
  <si>
    <t>WShedName</t>
  </si>
  <si>
    <t>WShedID</t>
  </si>
  <si>
    <t>SHAPE_ACRE</t>
  </si>
  <si>
    <t>Shape.STArea()</t>
  </si>
  <si>
    <t>Shape.STLength()</t>
  </si>
  <si>
    <t>LF Sanitary Sewer</t>
  </si>
  <si>
    <t>LF Force Main</t>
  </si>
  <si>
    <t xml:space="preserve"> Total LF</t>
  </si>
  <si>
    <t>12 digit</t>
  </si>
  <si>
    <t>8 digit</t>
  </si>
  <si>
    <t>BALL</t>
  </si>
  <si>
    <t>Ballenger Creek</t>
  </si>
  <si>
    <t>14</t>
  </si>
  <si>
    <t>lower monocacy</t>
  </si>
  <si>
    <t>BENN</t>
  </si>
  <si>
    <t>Bennett Creek</t>
  </si>
  <si>
    <t>17</t>
  </si>
  <si>
    <t>BUSL</t>
  </si>
  <si>
    <t>Lower Bush Creek</t>
  </si>
  <si>
    <t>15</t>
  </si>
  <si>
    <t>BUSU</t>
  </si>
  <si>
    <t>Upper Bush Creek</t>
  </si>
  <si>
    <t>16</t>
  </si>
  <si>
    <t>CARR</t>
  </si>
  <si>
    <t>Carroll Creek</t>
  </si>
  <si>
    <t>11</t>
  </si>
  <si>
    <t>CATO</t>
  </si>
  <si>
    <t>Catoctin Creek</t>
  </si>
  <si>
    <t>13</t>
  </si>
  <si>
    <t>FISH</t>
  </si>
  <si>
    <t>Fishing Creek</t>
  </si>
  <si>
    <t>05</t>
  </si>
  <si>
    <t>upper monocacy</t>
  </si>
  <si>
    <t>GLAD</t>
  </si>
  <si>
    <t>Glade Creek</t>
  </si>
  <si>
    <t>06</t>
  </si>
  <si>
    <t>HUNT</t>
  </si>
  <si>
    <t>Hunting Creek</t>
  </si>
  <si>
    <t>03</t>
  </si>
  <si>
    <t>ISRA</t>
  </si>
  <si>
    <t>Israel Creek</t>
  </si>
  <si>
    <t>07</t>
  </si>
  <si>
    <t>LCCS</t>
  </si>
  <si>
    <t>Little Catoctin Creek South</t>
  </si>
  <si>
    <t>20</t>
  </si>
  <si>
    <t>LINL</t>
  </si>
  <si>
    <t>Lower Linganore Creek</t>
  </si>
  <si>
    <t>10</t>
  </si>
  <si>
    <t>LINU</t>
  </si>
  <si>
    <t>Upper Linganore Creek</t>
  </si>
  <si>
    <t>09</t>
  </si>
  <si>
    <t>LIPI</t>
  </si>
  <si>
    <t>Little Pipe Creek</t>
  </si>
  <si>
    <t>08</t>
  </si>
  <si>
    <t>double pipe</t>
  </si>
  <si>
    <t>MIDD</t>
  </si>
  <si>
    <t>Middle Creek</t>
  </si>
  <si>
    <t>04</t>
  </si>
  <si>
    <t>MODS</t>
  </si>
  <si>
    <t>Monocacy Direct Southwest</t>
  </si>
  <si>
    <t>18</t>
  </si>
  <si>
    <t>OWEN</t>
  </si>
  <si>
    <t>Owens Creek</t>
  </si>
  <si>
    <t>02</t>
  </si>
  <si>
    <t>POTD</t>
  </si>
  <si>
    <t>Potomac Direct</t>
  </si>
  <si>
    <t>19</t>
  </si>
  <si>
    <t>potomac direct</t>
  </si>
  <si>
    <t>TOMS</t>
  </si>
  <si>
    <t>Toms Creek</t>
  </si>
  <si>
    <t>01</t>
  </si>
  <si>
    <t>TUSC</t>
  </si>
  <si>
    <t>Tuscarora Creek</t>
  </si>
  <si>
    <t>12</t>
  </si>
  <si>
    <t>copied from M:\2017\171701239.33\Engr\Modeling\2018_WTM\Copy of Watershed_sewer_DID</t>
  </si>
  <si>
    <t>Livestock</t>
  </si>
  <si>
    <t>Marinas</t>
  </si>
  <si>
    <t>Road Sanding</t>
  </si>
  <si>
    <t>Fraction of WS Population Illicitly Connected</t>
  </si>
  <si>
    <t>No. of Illicit Connections (dwelling units)</t>
  </si>
  <si>
    <t>Businesses (number)</t>
  </si>
  <si>
    <t>Fraction of Businesses with Illicit Connections</t>
  </si>
  <si>
    <t>Total Flow/business (gpd)</t>
  </si>
  <si>
    <t>Fraction of Businesses that are NOT Wash Water Only</t>
  </si>
  <si>
    <t>Flow Concentration</t>
  </si>
  <si>
    <t>=Individuals/DU * Water Use (gpcd) * FC (MPN/100 ml) * number of illicit connections + number of businesses * Fraction of businessess with illicit connections * fraction of businesses not wash water only * total flow per business * flow concentration * constants</t>
  </si>
  <si>
    <t>Constants</t>
  </si>
  <si>
    <t>Concentration</t>
  </si>
  <si>
    <t>Flow (MGD)</t>
  </si>
  <si>
    <t>Bacteria Load (billions/year)</t>
  </si>
  <si>
    <t xml:space="preserve">TOTAL   </t>
  </si>
  <si>
    <t>=37.8/1B</t>
  </si>
  <si>
    <t>Point Source Reductions</t>
  </si>
  <si>
    <t>Maybe overparameterized. Check IDDE data for other ways/data.</t>
  </si>
  <si>
    <t>SECONDARY SOURCE BMPs</t>
  </si>
  <si>
    <t>Urban downsizing</t>
  </si>
  <si>
    <t>Soils Look Up Information</t>
  </si>
  <si>
    <t>Septic Look Up Information</t>
  </si>
  <si>
    <t>Bacteria Decay-Adjacent to Waterway</t>
  </si>
  <si>
    <t>No. of dogs &lt;100 ft to waterway</t>
  </si>
  <si>
    <t>Percent  of dogs &lt;100 ft to waterway</t>
  </si>
  <si>
    <t>convert feet to miles</t>
  </si>
  <si>
    <t>SSO Feet of System</t>
  </si>
  <si>
    <t>Change in Dwelling Units</t>
  </si>
  <si>
    <t>Secondary Sources that are not applicable to Frederick County and/or bacteria loads:</t>
  </si>
  <si>
    <t>NA</t>
  </si>
  <si>
    <t>Calculated from Urban Load</t>
  </si>
  <si>
    <t>Fraction of Systems Surveyed</t>
  </si>
  <si>
    <t>=(basline load - (basline * surveyed percent * repaired percent)) - (New dwelling units with connections * (Baseline load/connections)</t>
  </si>
  <si>
    <t>need new development info for formula</t>
  </si>
  <si>
    <t>Would make sense to use miles of sliplines, but this would not be consistent with WTM which uses load*Goal%Preduction*FractionComplete</t>
  </si>
  <si>
    <t>Goal (Percent Complete)</t>
  </si>
  <si>
    <t>=sum of wet swale IA</t>
  </si>
  <si>
    <t>=sum of dry swale IA</t>
  </si>
  <si>
    <t>Load with Scenario Reduction</t>
  </si>
  <si>
    <t>Name</t>
  </si>
  <si>
    <t xml:space="preserve">Additional load from septic conversion (negative number) </t>
  </si>
  <si>
    <t>Program? (Yes/No)</t>
  </si>
  <si>
    <t>Repair</t>
  </si>
  <si>
    <t>Fraction Inspected (if mandatory, use 100%)</t>
  </si>
  <si>
    <t>Fraction willing to Upgrade</t>
  </si>
  <si>
    <t>Upgrade Type</t>
  </si>
  <si>
    <t>% Failing among Retired Systems.  Cannot Exceed 0%</t>
  </si>
  <si>
    <t>% w/in 100' of waterway among Retired Systems.  Cannot Exceed 0%</t>
  </si>
  <si>
    <t>Fraction of Systems Inspected (Mandatory =100%)</t>
  </si>
  <si>
    <t>Constant-Bacteria Log Reduction</t>
  </si>
  <si>
    <t>Includes N/P Del Ratio of 50% (normal) and 100% (adjacent to water) that is in WTM Future Mgmt, but not in loads calc. Appears to be a type and should be named Bacteria Decay and delivery ratio, not TN del ratio and Bacteia Del Ratio.</t>
  </si>
  <si>
    <t>If change is lawn to forest, it is not going to affect Dwelling Units.</t>
  </si>
  <si>
    <t>=load from OSDS</t>
  </si>
  <si>
    <t>Upgrade (includes denitrification)</t>
  </si>
  <si>
    <t>Connect to WWTP</t>
  </si>
  <si>
    <t>Untreated sewage delivered to septic systems</t>
  </si>
  <si>
    <t>Failure Rate</t>
  </si>
  <si>
    <t>divide by zero correction is 0.001 throughout except for here in WTM. Used the 0.001.</t>
  </si>
  <si>
    <t>No change for baseline</t>
  </si>
  <si>
    <t>Includes effect of education program</t>
  </si>
  <si>
    <t>divide by zero correction is 0.001 throughout except for here in WTM where 0.01 was used. Used the 0.001.</t>
  </si>
  <si>
    <t>bn MPN/yr</t>
  </si>
  <si>
    <t>REQUIRED REDUCTION</t>
  </si>
  <si>
    <t>Percent</t>
  </si>
  <si>
    <t>LOADS</t>
  </si>
  <si>
    <t>RR A/Weighted</t>
  </si>
  <si>
    <t>RR B</t>
  </si>
  <si>
    <t>RR C</t>
  </si>
  <si>
    <t>RR D</t>
  </si>
  <si>
    <t>Cross-Jurisdictional</t>
  </si>
  <si>
    <t>Dominant Soil Type</t>
  </si>
  <si>
    <t>C</t>
  </si>
  <si>
    <t>Runoff Reduction Lookup by soils</t>
  </si>
  <si>
    <t>A</t>
  </si>
  <si>
    <t>B</t>
  </si>
  <si>
    <t>D</t>
  </si>
  <si>
    <t>Column in Lookup formula</t>
  </si>
  <si>
    <t>need to adjust once F and G are looked at</t>
  </si>
  <si>
    <t>Bn MPN</t>
  </si>
  <si>
    <t>TOTAL (Bn MPN)</t>
  </si>
  <si>
    <t>TOTAL SWM/ESD</t>
  </si>
  <si>
    <t>ESD and SWM</t>
  </si>
  <si>
    <t>Alternative BMPs - Ops</t>
  </si>
  <si>
    <t>Other BMPs from WTM</t>
  </si>
  <si>
    <t>Urban Downsizing to Forest</t>
  </si>
  <si>
    <t>Land Use</t>
  </si>
  <si>
    <t>Loading Rate Reduction</t>
  </si>
  <si>
    <t>AC Converted</t>
  </si>
  <si>
    <t>Use NSCA</t>
  </si>
  <si>
    <t>Removal rate from FrCo</t>
  </si>
  <si>
    <t>ALT BMPS</t>
  </si>
  <si>
    <t>LF</t>
  </si>
  <si>
    <t># of CBs</t>
  </si>
  <si>
    <t>AC Turf Available</t>
  </si>
  <si>
    <t>Area Converted</t>
  </si>
  <si>
    <t>Area</t>
  </si>
  <si>
    <t>LOAD REDUCTION BMPS</t>
  </si>
  <si>
    <t>Load per Acre</t>
  </si>
  <si>
    <t>Impervious Residential</t>
  </si>
  <si>
    <t>Pervious Residential</t>
  </si>
  <si>
    <t>Per AC</t>
  </si>
  <si>
    <t>Per LF</t>
  </si>
  <si>
    <t>Efficiency</t>
  </si>
  <si>
    <t>Per CB</t>
  </si>
  <si>
    <t>BST Human/Domestic %</t>
  </si>
  <si>
    <t>MS4 Target % Reduction</t>
  </si>
  <si>
    <t>Modeled WLA</t>
  </si>
  <si>
    <t>Modeled MPR</t>
  </si>
  <si>
    <t>Modeled Required Reduction</t>
  </si>
  <si>
    <t>Modeled Restoration Achieved - bn MPN/yr</t>
  </si>
  <si>
    <t>BASELINE LOAD REDUCTION</t>
  </si>
  <si>
    <t>ESD and Structural SWM Practices</t>
  </si>
  <si>
    <t>Alternative Load Reduction Practices</t>
  </si>
  <si>
    <t>Cross-jurisdictional Treatment</t>
  </si>
  <si>
    <t>BASELINE PERCENT REDUCED</t>
  </si>
  <si>
    <t>Load</t>
  </si>
  <si>
    <t>not modeled</t>
  </si>
  <si>
    <t>Secondary Source Reductions</t>
  </si>
  <si>
    <t>Modeled Treated Baseline</t>
  </si>
  <si>
    <t>ESD</t>
  </si>
  <si>
    <t>Structural SWM</t>
  </si>
  <si>
    <t>Alternative BMPs -Load Reduction</t>
  </si>
  <si>
    <t>Alternative BMPs -Eco-Restoration</t>
  </si>
  <si>
    <t>TOTAL PRIMARY</t>
  </si>
  <si>
    <t>TOTAL ALTERNATIVE</t>
  </si>
  <si>
    <t>Urban Downsizing</t>
  </si>
  <si>
    <t>TOTAL SECONDARY</t>
  </si>
  <si>
    <t>2018 model</t>
  </si>
  <si>
    <t>not needed</t>
  </si>
  <si>
    <t>ok</t>
  </si>
  <si>
    <t>GRAND TOTAL</t>
  </si>
  <si>
    <t>Alternative BMPs - Land Use Change</t>
  </si>
  <si>
    <t>FC concentration (bnMPN/lb)</t>
  </si>
  <si>
    <t>Constant (days/yr)</t>
  </si>
  <si>
    <t>Untreated Load</t>
  </si>
  <si>
    <t>Willing to change behavior (fraction)</t>
  </si>
  <si>
    <t>Owners who clean up (fraction)</t>
  </si>
  <si>
    <t>Owners who walk dogs (fraction)</t>
  </si>
  <si>
    <t>Owners who don't clean up (fraction)</t>
  </si>
  <si>
    <t>= (untreated sewage delivered to septics * failure rates * normal delivery ratio * % septics not near waterway * normal bacteria decay %) + (delivery ratio adjacent to waterway * % septics near waterway * bacteria decay adjacent to waterway)</t>
  </si>
  <si>
    <t>yes</t>
  </si>
  <si>
    <t>=unsewered dwelling units %*Individuals/dwelling unit*Water Use (GPCD)*constant*FC (MPN/100ml)</t>
  </si>
  <si>
    <t>=37.8*365.25/10^9 rounded to 1.38 in WTM</t>
  </si>
  <si>
    <t>??</t>
  </si>
  <si>
    <t>difference is retired systems</t>
  </si>
  <si>
    <t>Untreated sewage delivered from illicit discharges</t>
  </si>
  <si>
    <t>=(baseline load - (baseline * surveyed percent * repaired percent)) - (New dwelling units with connections * (Baseline load/connections)</t>
  </si>
  <si>
    <t>Untreated SSO discharges</t>
  </si>
  <si>
    <t>TOTAL SECONDARY SOURCE REDUCTION</t>
  </si>
  <si>
    <t>Thru Identified</t>
  </si>
  <si>
    <t>Worksheet</t>
  </si>
  <si>
    <t>Source Information</t>
  </si>
  <si>
    <t>Analysis</t>
  </si>
  <si>
    <t>Filename / Notes</t>
  </si>
  <si>
    <t>GIS intersect of MDE MS4 (County Phase I), MDP 2002 LU and TMDL</t>
  </si>
  <si>
    <t>GIS intersect 202 LU, union impervious and intersected with TMDL</t>
  </si>
  <si>
    <t>Concentrations</t>
  </si>
  <si>
    <t>WTM Defaults</t>
  </si>
  <si>
    <t>Annual Rainfall</t>
  </si>
  <si>
    <t>Stream Length</t>
  </si>
  <si>
    <t>data in attribute table of GIS layer</t>
  </si>
  <si>
    <t>Data from 2016 model</t>
  </si>
  <si>
    <t>Source unknown</t>
  </si>
  <si>
    <t>Secondary Sources</t>
  </si>
  <si>
    <t>Dwelling units</t>
  </si>
  <si>
    <t>Wastewater characteristics</t>
  </si>
  <si>
    <t>Unsewered Dwelling Units(% of total)</t>
  </si>
  <si>
    <t>% of Septic Systems &lt;100' to waterway</t>
  </si>
  <si>
    <t>In GIS from NRCS clipped to watershed boundary minus municipalities</t>
  </si>
  <si>
    <t>System type</t>
  </si>
  <si>
    <t>Health Dept assumptions</t>
  </si>
  <si>
    <t>All data</t>
  </si>
  <si>
    <t>NOT USED</t>
  </si>
  <si>
    <t>SSOs</t>
  </si>
  <si>
    <t>Fraction of Pop.  Illicitly Connected</t>
  </si>
  <si>
    <t>Number of Businesses</t>
  </si>
  <si>
    <t>GIS intersect of MDE MS4 (County Phase I) and COM/IND parcels</t>
  </si>
  <si>
    <t>comm_ind_ecoli_local_int.shp</t>
  </si>
  <si>
    <t>Connections and flow parameters</t>
  </si>
  <si>
    <t>5% connected based on experience; other sources unknown</t>
  </si>
  <si>
    <t>Non-Stormwater Point Sources</t>
  </si>
  <si>
    <t>WTM Default calculations</t>
  </si>
  <si>
    <t>Structural SWM Removal Efficiency</t>
  </si>
  <si>
    <t>SWM Discounts</t>
  </si>
  <si>
    <t>LandUse-LandCover</t>
  </si>
  <si>
    <t>QC</t>
  </si>
  <si>
    <t>Export Coefficients</t>
  </si>
  <si>
    <t>Watershed Data</t>
  </si>
  <si>
    <t>Not used</t>
  </si>
  <si>
    <t>Soil fraction (%)</t>
  </si>
  <si>
    <t>2018 WTM, from Pitt: National Stormwater Quality Database</t>
  </si>
  <si>
    <t>40.59 is average annual for Frederick Airport</t>
  </si>
  <si>
    <t>Data from 2018 model. GIS intersect of MDE MS4 (County Phase I), 2002 LU, TMDL and SSURGO</t>
  </si>
  <si>
    <t>Partitioning Coefficients</t>
  </si>
  <si>
    <t>SewageData</t>
  </si>
  <si>
    <t>Separation from groundwater</t>
  </si>
  <si>
    <t>Miles from Utilities and Solid Waste Mgmt; other data from WTM default</t>
  </si>
  <si>
    <t>Residential properties clipped to MS4 intersected with TMDL and LU; M:\2017\171701239.21\GIS\Working\DePalo\QC_Files\ParcelClippedMS4intersectTMDL_intersectTMDLLULC2002_intersectsewer.xlsx</t>
  </si>
  <si>
    <t>Data from 2018 model</t>
  </si>
  <si>
    <t>M:\2017\171701239.21\GIS\Working\DePalo\QC_Files\intersect_2002 LU_intersect_TMDL_intersect_Soils.xlsx; calculated in 2018. LU is urban, soils % are for entire watershed.</t>
  </si>
  <si>
    <t>Total residential parcels minus sewered parcels. QC'd 2018. M:\2017\171701239.21\GIS\Working\DePalo\QC_Files\ParcelClippedMS4intersectTMDL_intersectTMDLLULC2002_intersectsewer.xlsx</t>
  </si>
  <si>
    <t>Dissolved residential properties clipped to MS4 intersected with TMDL and LU intersected with 100' stream buffer; M:\2017\171701239.21\GIS\Working\DePalo\QC_Files\ParcelClippedMS4intersectTMDL_intersectTMDLLULC2002_intersectsbufferdissolved.xlsx</t>
  </si>
  <si>
    <t>M:\2017\171701239.21\GIS\Working\DePalo\QC_Files\ParcelClippedMS4intersectTMDL_intersectTMDLLULC2002_intersectsewer.xlsx</t>
  </si>
  <si>
    <t>M:\2017\171701239.33\Engr\Bacteria_Modeling\2019_Bacteria\SHA_Models\ Bacteria_Modeling_Protocol_from_2019_Combined.docx</t>
  </si>
  <si>
    <t>Runoff Reduction</t>
  </si>
  <si>
    <t>Data from 2018 model; WTM Defaults</t>
  </si>
  <si>
    <t>Load Reduction BMPs</t>
  </si>
  <si>
    <t>File:</t>
  </si>
  <si>
    <t>M:\2017\171701239.33\Reports\2019\Report</t>
  </si>
  <si>
    <t>2019_TMDL_Treatment_Summary_All_MP_BF.xlsx</t>
  </si>
  <si>
    <t>Result</t>
  </si>
  <si>
    <t>Backcheck</t>
  </si>
  <si>
    <t>Check that "Potential" were copied correctly from bacteria models</t>
  </si>
  <si>
    <t>Local-Countywide TMDL Treatment Summaries by BMP Type_1016.xlsx</t>
  </si>
  <si>
    <t>Check that Area, Impervious Area, EMC, and Export Coefficients match data used in 2018 models.</t>
  </si>
  <si>
    <t>M:\2017\171701239.33\Engr\Bacteria_Modeling\2018_WTM\models_QC-fix</t>
  </si>
  <si>
    <t>WTM_LowerMon0B_Urban_Baseline-Treated_MDE_MS4.xlsx</t>
  </si>
  <si>
    <t>Worksheet: Primary Sources</t>
  </si>
  <si>
    <t>Check that Rainfall, Watershed Area, and Dwelling Units match data used in 2018 models</t>
  </si>
  <si>
    <t>Worksheets: Primary Sources, Secondary Sources (Dwelling Units)</t>
  </si>
  <si>
    <t>Check that Soil Fraction (%) for HSG match data used in 2018 models</t>
  </si>
  <si>
    <t>Check that Unsewered Dwelling Units and Systems &lt;100ft from Waterway match data used in 2018 models</t>
  </si>
  <si>
    <t>Sewage Data</t>
  </si>
  <si>
    <t>Scenarios</t>
  </si>
  <si>
    <t>Worksheet: Secondary Sources</t>
  </si>
  <si>
    <t>Check that treatment data entry for all tiers except Potential were copied correctly from GIS source data</t>
  </si>
  <si>
    <t>Check that treatment data for Potential tier was copied correctly from On-The-Fly model (columns B-D)</t>
  </si>
  <si>
    <t>2019_OTF_1119.xlsx</t>
  </si>
  <si>
    <t>Worksheets: LMR_Potential</t>
  </si>
  <si>
    <t>DID</t>
  </si>
  <si>
    <t>not sure of the source of some</t>
  </si>
  <si>
    <t>missing BMP</t>
  </si>
  <si>
    <t>needs to be fixed</t>
  </si>
  <si>
    <t>baseline, permit, completed and identified need to be fixed</t>
  </si>
  <si>
    <t>QC Notes</t>
  </si>
  <si>
    <t>Backcheck Notes</t>
  </si>
  <si>
    <t>191, 192 are residential. Water should be 0.</t>
  </si>
  <si>
    <t>I don't see one missing</t>
  </si>
  <si>
    <t>no change</t>
  </si>
  <si>
    <t>to these</t>
  </si>
  <si>
    <t>BF</t>
  </si>
  <si>
    <t>added</t>
  </si>
  <si>
    <t>removed</t>
  </si>
  <si>
    <t>FPU/STRE deleted from baseline, added to Permit, Completed riparian buffer is OK: legacy from 2018, Identified looks OK. Urban Downsizing is legacy from 2018.</t>
  </si>
  <si>
    <t>good</t>
  </si>
  <si>
    <t>Final Check Notes</t>
  </si>
  <si>
    <t>Soils in 2018 were wrong. See M:\2017\171701239.33\GIS\Working\Frost\ 
2018-10-30_MS4_intersect_2002 LU_intersect_TMDL_intersect_Soils</t>
  </si>
  <si>
    <r>
      <t xml:space="preserve">urban downsizing is not matching.
</t>
    </r>
    <r>
      <rPr>
        <sz val="11"/>
        <color rgb="FF00B050"/>
        <rFont val="Calibri"/>
        <family val="2"/>
        <scheme val="minor"/>
      </rPr>
      <t>Deleted Identified.</t>
    </r>
  </si>
  <si>
    <r>
      <t xml:space="preserve">there is no tree planting and missing urban downsizing
</t>
    </r>
    <r>
      <rPr>
        <b/>
        <sz val="11"/>
        <color rgb="FF00B050"/>
        <rFont val="Calibri"/>
        <family val="2"/>
        <scheme val="minor"/>
      </rPr>
      <t>Tree planting 157.89 is for buffer</t>
    </r>
    <r>
      <rPr>
        <sz val="1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No urban downsizing in Potential</t>
    </r>
  </si>
  <si>
    <t>should only pull from urban in full DE scenario</t>
  </si>
  <si>
    <t>Linear Feet</t>
  </si>
  <si>
    <t>bn MPN</t>
  </si>
  <si>
    <t>Loading Rate 
(bn MPN/ acre)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</si>
</sst>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  <numFmt numFmtId="168" formatCode="#,##0.0"/>
    <numFmt numFmtId="169" formatCode="#,##0.00000"/>
    <numFmt numFmtId="170" formatCode="0.0000%"/>
    <numFmt numFmtId="171" formatCode="#,##0.0000000"/>
    <numFmt numFmtId="172" formatCode="_(* #,##0.00000000_);_(* \(#,##0.00000000\);_(* &quot;-&quot;??_);_(@_)"/>
    <numFmt numFmtId="173" formatCode="0.00000%"/>
    <numFmt numFmtId="174" formatCode="_(* #,##0.000_);_(* \(#,##0.000\);_(* &quot;-&quot;??_);_(@_)"/>
    <numFmt numFmtId="17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13" applyNumberFormat="0" applyFill="0" applyAlignment="0" applyProtection="0"/>
  </cellStyleXfs>
  <cellXfs count="520">
    <xf numFmtId="0" fontId="0" fillId="0" borderId="0" xfId="0"/>
    <xf numFmtId="0" fontId="0" fillId="0" borderId="1" xfId="0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right"/>
    </xf>
    <xf numFmtId="9" fontId="0" fillId="0" borderId="0" xfId="2" applyFont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9" fontId="0" fillId="0" borderId="1" xfId="2" applyFont="1" applyBorder="1"/>
    <xf numFmtId="0" fontId="2" fillId="0" borderId="1" xfId="0" applyFont="1" applyBorder="1" applyAlignment="1"/>
    <xf numFmtId="10" fontId="0" fillId="0" borderId="0" xfId="2" applyNumberFormat="1" applyFont="1"/>
    <xf numFmtId="10" fontId="0" fillId="0" borderId="0" xfId="0" applyNumberFormat="1"/>
    <xf numFmtId="2" fontId="0" fillId="2" borderId="0" xfId="2" applyNumberFormat="1" applyFont="1" applyFill="1"/>
    <xf numFmtId="165" fontId="0" fillId="2" borderId="0" xfId="2" applyNumberFormat="1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165" fontId="0" fillId="0" borderId="0" xfId="2" applyNumberFormat="1" applyFont="1" applyFill="1"/>
    <xf numFmtId="0" fontId="0" fillId="0" borderId="1" xfId="0" applyBorder="1" applyAlignment="1">
      <alignment horizontal="right" wrapText="1"/>
    </xf>
    <xf numFmtId="0" fontId="0" fillId="0" borderId="1" xfId="0" applyFill="1" applyBorder="1"/>
    <xf numFmtId="0" fontId="3" fillId="2" borderId="0" xfId="0" applyFont="1" applyFill="1"/>
    <xf numFmtId="0" fontId="0" fillId="5" borderId="0" xfId="0" applyFill="1"/>
    <xf numFmtId="0" fontId="0" fillId="3" borderId="1" xfId="0" applyFill="1" applyBorder="1"/>
    <xf numFmtId="0" fontId="0" fillId="5" borderId="1" xfId="0" applyFill="1" applyBorder="1"/>
    <xf numFmtId="2" fontId="0" fillId="4" borderId="0" xfId="0" applyNumberFormat="1" applyFill="1"/>
    <xf numFmtId="166" fontId="0" fillId="4" borderId="0" xfId="0" applyNumberFormat="1" applyFill="1"/>
    <xf numFmtId="164" fontId="4" fillId="0" borderId="0" xfId="0" applyNumberFormat="1" applyFont="1" applyFill="1"/>
    <xf numFmtId="3" fontId="0" fillId="4" borderId="0" xfId="0" applyNumberFormat="1" applyFill="1"/>
    <xf numFmtId="0" fontId="0" fillId="6" borderId="0" xfId="0" applyFill="1"/>
    <xf numFmtId="3" fontId="2" fillId="4" borderId="0" xfId="0" applyNumberFormat="1" applyFont="1" applyFill="1"/>
    <xf numFmtId="10" fontId="2" fillId="4" borderId="0" xfId="2" applyNumberFormat="1" applyFont="1" applyFill="1"/>
    <xf numFmtId="10" fontId="0" fillId="4" borderId="0" xfId="2" applyNumberFormat="1" applyFont="1" applyFill="1"/>
    <xf numFmtId="10" fontId="0" fillId="4" borderId="1" xfId="2" applyNumberFormat="1" applyFont="1" applyFill="1" applyBorder="1"/>
    <xf numFmtId="165" fontId="0" fillId="4" borderId="0" xfId="2" applyNumberFormat="1" applyFont="1" applyFill="1"/>
    <xf numFmtId="0" fontId="2" fillId="0" borderId="0" xfId="0" applyFont="1" applyBorder="1"/>
    <xf numFmtId="9" fontId="0" fillId="0" borderId="0" xfId="2" applyFont="1" applyBorder="1"/>
    <xf numFmtId="165" fontId="0" fillId="0" borderId="0" xfId="2" applyNumberFormat="1" applyFont="1" applyBorder="1" applyAlignment="1">
      <alignment horizontal="right"/>
    </xf>
    <xf numFmtId="0" fontId="2" fillId="3" borderId="0" xfId="0" applyFont="1" applyFill="1" applyBorder="1"/>
    <xf numFmtId="0" fontId="0" fillId="3" borderId="0" xfId="0" applyFill="1" applyBorder="1"/>
    <xf numFmtId="0" fontId="4" fillId="3" borderId="0" xfId="0" applyFont="1" applyFill="1" applyBorder="1" applyAlignment="1">
      <alignment vertical="top" wrapText="1"/>
    </xf>
    <xf numFmtId="1" fontId="4" fillId="3" borderId="0" xfId="0" applyNumberFormat="1" applyFont="1" applyFill="1" applyBorder="1" applyAlignment="1">
      <alignment vertical="top" wrapText="1"/>
    </xf>
    <xf numFmtId="0" fontId="0" fillId="3" borderId="0" xfId="0" quotePrefix="1" applyFill="1" applyBorder="1"/>
    <xf numFmtId="165" fontId="2" fillId="2" borderId="0" xfId="2" applyNumberFormat="1" applyFont="1" applyFill="1" applyBorder="1" applyAlignment="1">
      <alignment horizontal="right"/>
    </xf>
    <xf numFmtId="165" fontId="0" fillId="2" borderId="0" xfId="2" applyNumberFormat="1" applyFont="1" applyFill="1" applyBorder="1" applyAlignment="1">
      <alignment horizontal="right"/>
    </xf>
    <xf numFmtId="0" fontId="5" fillId="5" borderId="0" xfId="0" applyFont="1" applyFill="1"/>
    <xf numFmtId="0" fontId="4" fillId="5" borderId="0" xfId="0" applyFont="1" applyFill="1"/>
    <xf numFmtId="0" fontId="4" fillId="0" borderId="0" xfId="0" applyFont="1" applyFill="1"/>
    <xf numFmtId="0" fontId="4" fillId="0" borderId="0" xfId="0" applyFont="1"/>
    <xf numFmtId="14" fontId="4" fillId="0" borderId="0" xfId="0" applyNumberFormat="1" applyFont="1"/>
    <xf numFmtId="0" fontId="4" fillId="0" borderId="1" xfId="0" applyFont="1" applyBorder="1"/>
    <xf numFmtId="3" fontId="4" fillId="0" borderId="0" xfId="0" applyNumberFormat="1" applyFont="1"/>
    <xf numFmtId="3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Alignment="1">
      <alignment horizontal="right"/>
    </xf>
    <xf numFmtId="0" fontId="4" fillId="4" borderId="0" xfId="0" applyFont="1" applyFill="1"/>
    <xf numFmtId="3" fontId="4" fillId="0" borderId="0" xfId="0" applyNumberFormat="1" applyFont="1" applyAlignment="1">
      <alignment horizontal="right"/>
    </xf>
    <xf numFmtId="3" fontId="4" fillId="4" borderId="0" xfId="0" applyNumberFormat="1" applyFont="1" applyFill="1"/>
    <xf numFmtId="0" fontId="2" fillId="0" borderId="0" xfId="0" applyFont="1" applyAlignment="1">
      <alignment horizontal="right"/>
    </xf>
    <xf numFmtId="3" fontId="0" fillId="0" borderId="0" xfId="0" applyNumberFormat="1"/>
    <xf numFmtId="167" fontId="0" fillId="0" borderId="0" xfId="1" applyNumberFormat="1" applyFont="1"/>
    <xf numFmtId="164" fontId="0" fillId="3" borderId="0" xfId="0" applyNumberFormat="1" applyFill="1" applyBorder="1"/>
    <xf numFmtId="0" fontId="0" fillId="0" borderId="9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2" fillId="0" borderId="0" xfId="0" applyFont="1" applyFill="1"/>
    <xf numFmtId="3" fontId="0" fillId="3" borderId="0" xfId="0" applyNumberFormat="1" applyFill="1"/>
    <xf numFmtId="1" fontId="0" fillId="5" borderId="0" xfId="0" applyNumberFormat="1" applyFill="1"/>
    <xf numFmtId="4" fontId="4" fillId="2" borderId="0" xfId="0" applyNumberFormat="1" applyFont="1" applyFill="1"/>
    <xf numFmtId="4" fontId="4" fillId="0" borderId="0" xfId="0" applyNumberFormat="1" applyFont="1" applyFill="1"/>
    <xf numFmtId="3" fontId="4" fillId="2" borderId="0" xfId="0" applyNumberFormat="1" applyFont="1" applyFill="1"/>
    <xf numFmtId="168" fontId="4" fillId="3" borderId="0" xfId="0" applyNumberFormat="1" applyFont="1" applyFill="1"/>
    <xf numFmtId="9" fontId="0" fillId="5" borderId="0" xfId="2" applyFont="1" applyFill="1"/>
    <xf numFmtId="9" fontId="2" fillId="0" borderId="0" xfId="2" applyFont="1" applyFill="1"/>
    <xf numFmtId="0" fontId="2" fillId="0" borderId="0" xfId="0" applyFont="1" applyFill="1" applyAlignment="1">
      <alignment horizontal="right"/>
    </xf>
    <xf numFmtId="0" fontId="0" fillId="0" borderId="1" xfId="0" applyBorder="1" applyAlignment="1">
      <alignment horizontal="center" wrapText="1"/>
    </xf>
    <xf numFmtId="2" fontId="0" fillId="4" borderId="0" xfId="0" applyNumberFormat="1" applyFont="1" applyFill="1"/>
    <xf numFmtId="2" fontId="0" fillId="4" borderId="1" xfId="0" applyNumberFormat="1" applyFont="1" applyFill="1" applyBorder="1"/>
    <xf numFmtId="0" fontId="0" fillId="0" borderId="1" xfId="0" applyFill="1" applyBorder="1" applyAlignment="1">
      <alignment horizontal="right" wrapText="1"/>
    </xf>
    <xf numFmtId="9" fontId="2" fillId="3" borderId="0" xfId="2" applyFont="1" applyFill="1" applyBorder="1" applyAlignment="1">
      <alignment horizontal="right"/>
    </xf>
    <xf numFmtId="9" fontId="0" fillId="3" borderId="0" xfId="2" applyFont="1" applyFill="1" applyBorder="1"/>
    <xf numFmtId="9" fontId="2" fillId="0" borderId="0" xfId="0" applyNumberFormat="1" applyFont="1" applyFill="1" applyAlignment="1">
      <alignment horizontal="right"/>
    </xf>
    <xf numFmtId="165" fontId="2" fillId="4" borderId="0" xfId="2" applyNumberFormat="1" applyFont="1" applyFill="1"/>
    <xf numFmtId="2" fontId="0" fillId="3" borderId="0" xfId="2" applyNumberFormat="1" applyFont="1" applyFill="1"/>
    <xf numFmtId="2" fontId="0" fillId="3" borderId="1" xfId="2" applyNumberFormat="1" applyFont="1" applyFill="1" applyBorder="1"/>
    <xf numFmtId="165" fontId="1" fillId="4" borderId="0" xfId="2" applyNumberFormat="1" applyFont="1" applyFill="1"/>
    <xf numFmtId="3" fontId="0" fillId="0" borderId="0" xfId="0" applyNumberFormat="1" applyFill="1"/>
    <xf numFmtId="166" fontId="0" fillId="0" borderId="0" xfId="0" applyNumberFormat="1" applyBorder="1"/>
    <xf numFmtId="2" fontId="0" fillId="4" borderId="0" xfId="0" applyNumberFormat="1" applyFont="1" applyFill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9" fontId="2" fillId="0" borderId="0" xfId="2" applyFont="1" applyFill="1" applyAlignment="1">
      <alignment wrapText="1"/>
    </xf>
    <xf numFmtId="9" fontId="2" fillId="0" borderId="0" xfId="0" applyNumberFormat="1" applyFont="1" applyFill="1" applyAlignment="1">
      <alignment horizontal="right" wrapText="1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4" fontId="0" fillId="4" borderId="0" xfId="0" applyNumberFormat="1" applyFill="1"/>
    <xf numFmtId="4" fontId="0" fillId="2" borderId="0" xfId="0" applyNumberFormat="1" applyFill="1"/>
    <xf numFmtId="4" fontId="0" fillId="8" borderId="0" xfId="0" applyNumberFormat="1" applyFill="1"/>
    <xf numFmtId="4" fontId="0" fillId="2" borderId="1" xfId="0" applyNumberFormat="1" applyFill="1" applyBorder="1"/>
    <xf numFmtId="4" fontId="0" fillId="8" borderId="1" xfId="0" applyNumberFormat="1" applyFill="1" applyBorder="1"/>
    <xf numFmtId="4" fontId="0" fillId="0" borderId="0" xfId="0" applyNumberFormat="1"/>
    <xf numFmtId="4" fontId="2" fillId="0" borderId="0" xfId="0" applyNumberFormat="1" applyFont="1" applyAlignment="1">
      <alignment horizontal="right" wrapText="1"/>
    </xf>
    <xf numFmtId="3" fontId="0" fillId="5" borderId="0" xfId="0" applyNumberFormat="1" applyFill="1"/>
    <xf numFmtId="0" fontId="2" fillId="0" borderId="0" xfId="0" applyFont="1" applyFill="1" applyAlignment="1">
      <alignment horizontal="right" wrapText="1"/>
    </xf>
    <xf numFmtId="9" fontId="0" fillId="4" borderId="0" xfId="2" applyFont="1" applyFill="1"/>
    <xf numFmtId="3" fontId="0" fillId="8" borderId="0" xfId="0" applyNumberFormat="1" applyFill="1"/>
    <xf numFmtId="10" fontId="5" fillId="0" borderId="0" xfId="2" applyNumberFormat="1" applyFont="1" applyAlignment="1">
      <alignment horizontal="center" wrapText="1"/>
    </xf>
    <xf numFmtId="0" fontId="0" fillId="7" borderId="0" xfId="0" applyFill="1"/>
    <xf numFmtId="9" fontId="0" fillId="7" borderId="0" xfId="2" applyFont="1" applyFill="1"/>
    <xf numFmtId="1" fontId="0" fillId="0" borderId="0" xfId="2" applyNumberFormat="1" applyFont="1"/>
    <xf numFmtId="0" fontId="2" fillId="4" borderId="0" xfId="0" applyFont="1" applyFill="1"/>
    <xf numFmtId="4" fontId="2" fillId="4" borderId="0" xfId="0" applyNumberFormat="1" applyFont="1" applyFill="1"/>
    <xf numFmtId="2" fontId="0" fillId="5" borderId="0" xfId="0" applyNumberFormat="1" applyFill="1"/>
    <xf numFmtId="9" fontId="0" fillId="4" borderId="0" xfId="0" applyNumberFormat="1" applyFill="1"/>
    <xf numFmtId="9" fontId="0" fillId="0" borderId="0" xfId="2" applyFont="1" applyFill="1"/>
    <xf numFmtId="9" fontId="0" fillId="0" borderId="0" xfId="0" applyNumberFormat="1" applyFill="1"/>
    <xf numFmtId="10" fontId="0" fillId="0" borderId="0" xfId="2" applyNumberFormat="1" applyFont="1" applyFill="1"/>
    <xf numFmtId="169" fontId="0" fillId="0" borderId="0" xfId="0" applyNumberFormat="1"/>
    <xf numFmtId="170" fontId="0" fillId="4" borderId="0" xfId="2" applyNumberFormat="1" applyFont="1" applyFill="1"/>
    <xf numFmtId="3" fontId="0" fillId="4" borderId="0" xfId="0" applyNumberFormat="1" applyFont="1" applyFill="1"/>
    <xf numFmtId="3" fontId="0" fillId="4" borderId="0" xfId="0" applyNumberFormat="1" applyFont="1" applyFill="1" applyBorder="1"/>
    <xf numFmtId="3" fontId="0" fillId="4" borderId="1" xfId="0" applyNumberFormat="1" applyFont="1" applyFill="1" applyBorder="1"/>
    <xf numFmtId="0" fontId="0" fillId="0" borderId="0" xfId="0" applyFont="1"/>
    <xf numFmtId="0" fontId="0" fillId="0" borderId="1" xfId="0" applyFont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right"/>
    </xf>
    <xf numFmtId="3" fontId="4" fillId="0" borderId="0" xfId="0" applyNumberFormat="1" applyFont="1" applyFill="1"/>
    <xf numFmtId="0" fontId="4" fillId="0" borderId="1" xfId="0" applyFont="1" applyFill="1" applyBorder="1"/>
    <xf numFmtId="165" fontId="4" fillId="0" borderId="1" xfId="2" applyNumberFormat="1" applyFont="1" applyFill="1" applyBorder="1"/>
    <xf numFmtId="0" fontId="4" fillId="0" borderId="0" xfId="0" applyFont="1" applyFill="1" applyBorder="1"/>
    <xf numFmtId="3" fontId="4" fillId="0" borderId="0" xfId="2" applyNumberFormat="1" applyFont="1" applyFill="1" applyBorder="1"/>
    <xf numFmtId="165" fontId="4" fillId="0" borderId="0" xfId="2" applyNumberFormat="1" applyFont="1" applyFill="1" applyBorder="1"/>
    <xf numFmtId="10" fontId="4" fillId="0" borderId="0" xfId="2" applyNumberFormat="1" applyFont="1" applyBorder="1"/>
    <xf numFmtId="10" fontId="5" fillId="0" borderId="0" xfId="2" applyNumberFormat="1" applyFont="1" applyFill="1"/>
    <xf numFmtId="4" fontId="0" fillId="2" borderId="3" xfId="0" applyNumberFormat="1" applyFill="1" applyBorder="1"/>
    <xf numFmtId="4" fontId="0" fillId="2" borderId="8" xfId="0" applyNumberFormat="1" applyFill="1" applyBorder="1"/>
    <xf numFmtId="4" fontId="0" fillId="2" borderId="4" xfId="0" applyNumberFormat="1" applyFill="1" applyBorder="1"/>
    <xf numFmtId="4" fontId="0" fillId="2" borderId="0" xfId="0" applyNumberFormat="1" applyFill="1" applyBorder="1"/>
    <xf numFmtId="4" fontId="0" fillId="2" borderId="6" xfId="0" applyNumberFormat="1" applyFill="1" applyBorder="1"/>
    <xf numFmtId="4" fontId="0" fillId="5" borderId="0" xfId="0" applyNumberFormat="1" applyFill="1"/>
    <xf numFmtId="4" fontId="0" fillId="5" borderId="1" xfId="0" applyNumberFormat="1" applyFill="1" applyBorder="1"/>
    <xf numFmtId="3" fontId="4" fillId="0" borderId="11" xfId="0" applyNumberFormat="1" applyFont="1" applyBorder="1"/>
    <xf numFmtId="3" fontId="4" fillId="0" borderId="0" xfId="0" applyNumberFormat="1" applyFont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4" fillId="0" borderId="8" xfId="0" applyNumberFormat="1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165" fontId="4" fillId="0" borderId="0" xfId="2" applyNumberFormat="1" applyFont="1" applyBorder="1" applyAlignment="1">
      <alignment horizontal="right"/>
    </xf>
    <xf numFmtId="0" fontId="0" fillId="0" borderId="0" xfId="0" applyFont="1" applyBorder="1"/>
    <xf numFmtId="3" fontId="0" fillId="2" borderId="0" xfId="2" applyNumberFormat="1" applyFont="1" applyFill="1" applyBorder="1"/>
    <xf numFmtId="3" fontId="0" fillId="2" borderId="0" xfId="2" applyNumberFormat="1" applyFont="1" applyFill="1"/>
    <xf numFmtId="0" fontId="6" fillId="0" borderId="13" xfId="3"/>
    <xf numFmtId="0" fontId="6" fillId="0" borderId="13" xfId="3" applyFill="1"/>
    <xf numFmtId="0" fontId="7" fillId="0" borderId="0" xfId="0" applyFont="1"/>
    <xf numFmtId="0" fontId="7" fillId="0" borderId="0" xfId="0" applyFont="1" applyBorder="1"/>
    <xf numFmtId="0" fontId="8" fillId="0" borderId="0" xfId="0" applyFont="1" applyBorder="1"/>
    <xf numFmtId="0" fontId="2" fillId="0" borderId="2" xfId="0" applyFont="1" applyBorder="1"/>
    <xf numFmtId="0" fontId="0" fillId="0" borderId="2" xfId="0" applyBorder="1"/>
    <xf numFmtId="0" fontId="8" fillId="0" borderId="0" xfId="0" applyFont="1"/>
    <xf numFmtId="0" fontId="0" fillId="0" borderId="8" xfId="0" applyFill="1" applyBorder="1"/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0" xfId="0" applyBorder="1" applyAlignment="1">
      <alignment wrapText="1"/>
    </xf>
    <xf numFmtId="0" fontId="7" fillId="0" borderId="2" xfId="0" applyFont="1" applyBorder="1"/>
    <xf numFmtId="0" fontId="10" fillId="0" borderId="0" xfId="0" applyFont="1"/>
    <xf numFmtId="10" fontId="0" fillId="3" borderId="0" xfId="2" applyNumberFormat="1" applyFont="1" applyFill="1"/>
    <xf numFmtId="0" fontId="0" fillId="0" borderId="0" xfId="0" quotePrefix="1"/>
    <xf numFmtId="167" fontId="0" fillId="4" borderId="0" xfId="1" applyNumberFormat="1" applyFont="1" applyFill="1"/>
    <xf numFmtId="0" fontId="7" fillId="0" borderId="0" xfId="0" quotePrefix="1" applyFont="1"/>
    <xf numFmtId="3" fontId="6" fillId="0" borderId="13" xfId="3" applyNumberFormat="1"/>
    <xf numFmtId="167" fontId="0" fillId="3" borderId="0" xfId="1" applyNumberFormat="1" applyFont="1" applyFill="1"/>
    <xf numFmtId="0" fontId="9" fillId="9" borderId="0" xfId="0" applyFont="1" applyFill="1" applyBorder="1" applyAlignment="1" applyProtection="1">
      <alignment horizontal="center"/>
    </xf>
    <xf numFmtId="0" fontId="9" fillId="8" borderId="0" xfId="0" applyFont="1" applyFill="1" applyAlignment="1">
      <alignment horizontal="center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3" fontId="3" fillId="0" borderId="0" xfId="0" applyNumberFormat="1" applyFont="1" applyFill="1" applyBorder="1" applyAlignment="1" applyProtection="1">
      <alignment horizontal="center" vertical="center"/>
    </xf>
    <xf numFmtId="9" fontId="0" fillId="2" borderId="0" xfId="2" applyFont="1" applyFill="1" applyBorder="1"/>
    <xf numFmtId="10" fontId="0" fillId="2" borderId="0" xfId="2" applyNumberFormat="1" applyFont="1" applyFill="1" applyBorder="1"/>
    <xf numFmtId="167" fontId="0" fillId="2" borderId="0" xfId="1" applyNumberFormat="1" applyFont="1" applyFill="1" applyBorder="1"/>
    <xf numFmtId="43" fontId="0" fillId="3" borderId="0" xfId="1" applyFont="1" applyFill="1"/>
    <xf numFmtId="167" fontId="0" fillId="2" borderId="0" xfId="1" applyNumberFormat="1" applyFont="1" applyFill="1"/>
    <xf numFmtId="0" fontId="11" fillId="0" borderId="0" xfId="0" applyFont="1"/>
    <xf numFmtId="0" fontId="0" fillId="0" borderId="2" xfId="0" applyFont="1" applyBorder="1"/>
    <xf numFmtId="43" fontId="0" fillId="0" borderId="0" xfId="0" applyNumberFormat="1"/>
    <xf numFmtId="172" fontId="0" fillId="0" borderId="0" xfId="1" quotePrefix="1" applyNumberFormat="1" applyFont="1"/>
    <xf numFmtId="0" fontId="0" fillId="0" borderId="18" xfId="0" applyBorder="1"/>
    <xf numFmtId="0" fontId="0" fillId="0" borderId="0" xfId="0" applyBorder="1" applyAlignment="1">
      <alignment horizontal="right"/>
    </xf>
    <xf numFmtId="4" fontId="0" fillId="0" borderId="0" xfId="0" applyNumberFormat="1" applyBorder="1"/>
    <xf numFmtId="10" fontId="0" fillId="0" borderId="0" xfId="2" applyNumberFormat="1" applyFont="1" applyBorder="1"/>
    <xf numFmtId="0" fontId="2" fillId="0" borderId="12" xfId="0" applyFont="1" applyBorder="1"/>
    <xf numFmtId="0" fontId="0" fillId="0" borderId="12" xfId="0" applyBorder="1"/>
    <xf numFmtId="9" fontId="0" fillId="2" borderId="0" xfId="2" applyFont="1" applyFill="1"/>
    <xf numFmtId="2" fontId="0" fillId="5" borderId="2" xfId="2" applyNumberFormat="1" applyFont="1" applyFill="1" applyBorder="1"/>
    <xf numFmtId="9" fontId="0" fillId="5" borderId="2" xfId="2" applyFont="1" applyFill="1" applyBorder="1"/>
    <xf numFmtId="0" fontId="9" fillId="9" borderId="14" xfId="0" applyFont="1" applyFill="1" applyBorder="1" applyAlignment="1" applyProtection="1">
      <alignment horizontal="center"/>
    </xf>
    <xf numFmtId="167" fontId="0" fillId="2" borderId="14" xfId="1" applyNumberFormat="1" applyFont="1" applyFill="1" applyBorder="1"/>
    <xf numFmtId="3" fontId="0" fillId="4" borderId="14" xfId="0" applyNumberFormat="1" applyFill="1" applyBorder="1"/>
    <xf numFmtId="0" fontId="0" fillId="0" borderId="14" xfId="0" applyBorder="1"/>
    <xf numFmtId="3" fontId="2" fillId="4" borderId="14" xfId="0" applyNumberFormat="1" applyFont="1" applyFill="1" applyBorder="1"/>
    <xf numFmtId="167" fontId="2" fillId="0" borderId="14" xfId="1" applyNumberFormat="1" applyFont="1" applyFill="1" applyBorder="1"/>
    <xf numFmtId="0" fontId="10" fillId="0" borderId="0" xfId="0" applyFont="1" applyAlignment="1"/>
    <xf numFmtId="0" fontId="0" fillId="0" borderId="0" xfId="0" applyBorder="1" applyAlignment="1"/>
    <xf numFmtId="0" fontId="0" fillId="0" borderId="0" xfId="0" applyAlignment="1"/>
    <xf numFmtId="167" fontId="0" fillId="5" borderId="14" xfId="1" applyNumberFormat="1" applyFont="1" applyFill="1" applyBorder="1"/>
    <xf numFmtId="3" fontId="0" fillId="5" borderId="2" xfId="0" applyNumberFormat="1" applyFill="1" applyBorder="1"/>
    <xf numFmtId="3" fontId="0" fillId="4" borderId="16" xfId="0" applyNumberFormat="1" applyFill="1" applyBorder="1"/>
    <xf numFmtId="0" fontId="0" fillId="0" borderId="0" xfId="0" quotePrefix="1" applyBorder="1"/>
    <xf numFmtId="10" fontId="0" fillId="4" borderId="0" xfId="2" applyNumberFormat="1" applyFont="1" applyFill="1" applyBorder="1"/>
    <xf numFmtId="0" fontId="2" fillId="3" borderId="3" xfId="0" applyFont="1" applyFill="1" applyBorder="1"/>
    <xf numFmtId="0" fontId="0" fillId="3" borderId="8" xfId="0" applyFill="1" applyBorder="1"/>
    <xf numFmtId="0" fontId="0" fillId="3" borderId="17" xfId="0" applyFill="1" applyBorder="1"/>
    <xf numFmtId="0" fontId="0" fillId="3" borderId="6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3" fillId="3" borderId="4" xfId="0" quotePrefix="1" applyFont="1" applyFill="1" applyBorder="1" applyAlignment="1">
      <alignment horizontal="center"/>
    </xf>
    <xf numFmtId="0" fontId="3" fillId="3" borderId="0" xfId="0" quotePrefix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0" fillId="3" borderId="5" xfId="0" applyFill="1" applyBorder="1"/>
    <xf numFmtId="0" fontId="3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0" fillId="3" borderId="7" xfId="0" applyFill="1" applyBorder="1"/>
    <xf numFmtId="171" fontId="0" fillId="3" borderId="0" xfId="0" applyNumberFormat="1" applyFill="1"/>
    <xf numFmtId="2" fontId="0" fillId="4" borderId="0" xfId="2" applyNumberFormat="1" applyFont="1" applyFill="1"/>
    <xf numFmtId="0" fontId="4" fillId="4" borderId="0" xfId="0" applyFont="1" applyFill="1" applyAlignment="1">
      <alignment horizontal="left"/>
    </xf>
    <xf numFmtId="3" fontId="4" fillId="4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right"/>
    </xf>
    <xf numFmtId="0" fontId="4" fillId="0" borderId="0" xfId="0" applyFont="1" applyAlignment="1">
      <alignment horizontal="left"/>
    </xf>
    <xf numFmtId="165" fontId="4" fillId="0" borderId="0" xfId="2" applyNumberFormat="1" applyFont="1" applyAlignment="1">
      <alignment horizontal="right"/>
    </xf>
    <xf numFmtId="165" fontId="5" fillId="0" borderId="0" xfId="2" applyNumberFormat="1" applyFont="1" applyBorder="1"/>
    <xf numFmtId="3" fontId="4" fillId="0" borderId="0" xfId="0" applyNumberFormat="1" applyFont="1" applyBorder="1"/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9" fontId="7" fillId="0" borderId="0" xfId="2" applyFont="1" applyBorder="1"/>
    <xf numFmtId="0" fontId="0" fillId="0" borderId="1" xfId="0" applyBorder="1" applyAlignment="1">
      <alignment horizontal="left"/>
    </xf>
    <xf numFmtId="9" fontId="2" fillId="0" borderId="0" xfId="2" applyFont="1" applyFill="1" applyAlignment="1">
      <alignment horizontal="right" wrapText="1"/>
    </xf>
    <xf numFmtId="9" fontId="0" fillId="2" borderId="0" xfId="2" applyFont="1" applyFill="1" applyAlignment="1">
      <alignment horizontal="right"/>
    </xf>
    <xf numFmtId="0" fontId="2" fillId="0" borderId="3" xfId="0" applyFont="1" applyFill="1" applyBorder="1"/>
    <xf numFmtId="165" fontId="2" fillId="0" borderId="8" xfId="2" applyNumberFormat="1" applyFont="1" applyFill="1" applyBorder="1" applyAlignment="1">
      <alignment horizontal="right"/>
    </xf>
    <xf numFmtId="165" fontId="2" fillId="0" borderId="17" xfId="2" applyNumberFormat="1" applyFont="1" applyFill="1" applyBorder="1" applyAlignment="1">
      <alignment horizontal="right"/>
    </xf>
    <xf numFmtId="0" fontId="0" fillId="0" borderId="6" xfId="0" applyFill="1" applyBorder="1"/>
    <xf numFmtId="1" fontId="0" fillId="0" borderId="1" xfId="2" applyNumberFormat="1" applyFont="1" applyFill="1" applyBorder="1" applyAlignment="1">
      <alignment horizontal="right"/>
    </xf>
    <xf numFmtId="1" fontId="0" fillId="0" borderId="7" xfId="2" applyNumberFormat="1" applyFont="1" applyFill="1" applyBorder="1" applyAlignment="1">
      <alignment horizontal="right"/>
    </xf>
    <xf numFmtId="0" fontId="2" fillId="0" borderId="8" xfId="0" applyFont="1" applyFill="1" applyBorder="1"/>
    <xf numFmtId="4" fontId="0" fillId="0" borderId="0" xfId="0" applyNumberFormat="1" applyFill="1"/>
    <xf numFmtId="166" fontId="0" fillId="5" borderId="0" xfId="0" applyNumberFormat="1" applyFill="1"/>
    <xf numFmtId="2" fontId="2" fillId="0" borderId="0" xfId="0" applyNumberFormat="1" applyFont="1" applyAlignment="1">
      <alignment horizontal="right" wrapText="1"/>
    </xf>
    <xf numFmtId="0" fontId="7" fillId="0" borderId="0" xfId="0" applyFont="1" applyAlignment="1">
      <alignment wrapText="1"/>
    </xf>
    <xf numFmtId="165" fontId="4" fillId="4" borderId="0" xfId="2" applyNumberFormat="1" applyFont="1" applyFill="1"/>
    <xf numFmtId="165" fontId="4" fillId="4" borderId="1" xfId="2" applyNumberFormat="1" applyFont="1" applyFill="1" applyBorder="1"/>
    <xf numFmtId="10" fontId="1" fillId="4" borderId="0" xfId="2" applyNumberFormat="1" applyFont="1" applyFill="1"/>
    <xf numFmtId="168" fontId="4" fillId="2" borderId="0" xfId="0" applyNumberFormat="1" applyFont="1" applyFill="1"/>
    <xf numFmtId="2" fontId="0" fillId="3" borderId="0" xfId="0" applyNumberFormat="1" applyFont="1" applyFill="1"/>
    <xf numFmtId="2" fontId="0" fillId="3" borderId="1" xfId="0" applyNumberFormat="1" applyFont="1" applyFill="1" applyBorder="1"/>
    <xf numFmtId="4" fontId="0" fillId="2" borderId="5" xfId="0" applyNumberFormat="1" applyFill="1" applyBorder="1"/>
    <xf numFmtId="4" fontId="0" fillId="2" borderId="7" xfId="0" applyNumberFormat="1" applyFill="1" applyBorder="1"/>
    <xf numFmtId="9" fontId="0" fillId="0" borderId="0" xfId="0" applyNumberFormat="1" applyAlignment="1">
      <alignment horizontal="center"/>
    </xf>
    <xf numFmtId="4" fontId="0" fillId="0" borderId="0" xfId="0" applyNumberFormat="1" applyFill="1" applyBorder="1"/>
    <xf numFmtId="10" fontId="0" fillId="4" borderId="0" xfId="2" applyNumberFormat="1" applyFont="1" applyFill="1" applyAlignment="1">
      <alignment horizontal="right"/>
    </xf>
    <xf numFmtId="170" fontId="0" fillId="4" borderId="0" xfId="2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167" fontId="0" fillId="4" borderId="0" xfId="1" applyNumberFormat="1" applyFont="1" applyFill="1" applyAlignment="1">
      <alignment horizontal="right"/>
    </xf>
    <xf numFmtId="0" fontId="0" fillId="0" borderId="12" xfId="0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2" xfId="0" applyBorder="1" applyAlignment="1">
      <alignment horizontal="right"/>
    </xf>
    <xf numFmtId="9" fontId="0" fillId="5" borderId="0" xfId="2" applyFont="1" applyFill="1" applyAlignment="1">
      <alignment horizontal="right"/>
    </xf>
    <xf numFmtId="4" fontId="0" fillId="5" borderId="0" xfId="0" applyNumberFormat="1" applyFill="1" applyAlignment="1">
      <alignment horizontal="right"/>
    </xf>
    <xf numFmtId="3" fontId="0" fillId="5" borderId="0" xfId="0" applyNumberFormat="1" applyFill="1" applyAlignment="1">
      <alignment horizontal="right"/>
    </xf>
    <xf numFmtId="167" fontId="0" fillId="5" borderId="0" xfId="1" applyNumberFormat="1" applyFont="1" applyFill="1" applyBorder="1" applyAlignment="1">
      <alignment horizontal="right"/>
    </xf>
    <xf numFmtId="10" fontId="0" fillId="4" borderId="0" xfId="2" applyNumberFormat="1" applyFont="1" applyFill="1" applyBorder="1" applyAlignment="1">
      <alignment horizontal="right"/>
    </xf>
    <xf numFmtId="10" fontId="0" fillId="5" borderId="0" xfId="2" applyNumberFormat="1" applyFont="1" applyFill="1" applyBorder="1" applyAlignment="1">
      <alignment horizontal="right"/>
    </xf>
    <xf numFmtId="9" fontId="0" fillId="5" borderId="2" xfId="2" applyFont="1" applyFill="1" applyBorder="1" applyAlignment="1">
      <alignment horizontal="right"/>
    </xf>
    <xf numFmtId="2" fontId="0" fillId="5" borderId="2" xfId="2" applyNumberFormat="1" applyFont="1" applyFill="1" applyBorder="1" applyAlignment="1">
      <alignment horizontal="right"/>
    </xf>
    <xf numFmtId="3" fontId="0" fillId="5" borderId="2" xfId="0" applyNumberFormat="1" applyFill="1" applyBorder="1" applyAlignment="1">
      <alignment horizontal="right"/>
    </xf>
    <xf numFmtId="4" fontId="0" fillId="4" borderId="0" xfId="0" applyNumberFormat="1" applyFill="1" applyAlignment="1">
      <alignment horizontal="right"/>
    </xf>
    <xf numFmtId="1" fontId="0" fillId="4" borderId="0" xfId="2" applyNumberFormat="1" applyFont="1" applyFill="1" applyAlignment="1">
      <alignment horizontal="right"/>
    </xf>
    <xf numFmtId="4" fontId="0" fillId="0" borderId="4" xfId="0" applyNumberFormat="1" applyFill="1" applyBorder="1"/>
    <xf numFmtId="165" fontId="0" fillId="0" borderId="0" xfId="2" applyNumberFormat="1" applyFont="1" applyFill="1" applyBorder="1" applyAlignment="1">
      <alignment horizontal="right"/>
    </xf>
    <xf numFmtId="9" fontId="0" fillId="0" borderId="0" xfId="2" applyFont="1" applyFill="1" applyBorder="1"/>
    <xf numFmtId="0" fontId="2" fillId="0" borderId="0" xfId="0" applyFont="1" applyFill="1" applyBorder="1"/>
    <xf numFmtId="0" fontId="0" fillId="0" borderId="1" xfId="0" applyFill="1" applyBorder="1" applyAlignment="1">
      <alignment wrapText="1"/>
    </xf>
    <xf numFmtId="2" fontId="0" fillId="4" borderId="0" xfId="2" applyNumberFormat="1" applyFont="1" applyFill="1" applyBorder="1" applyAlignment="1">
      <alignment horizontal="right"/>
    </xf>
    <xf numFmtId="4" fontId="0" fillId="0" borderId="1" xfId="0" applyNumberFormat="1" applyBorder="1"/>
    <xf numFmtId="4" fontId="0" fillId="5" borderId="0" xfId="0" applyNumberFormat="1" applyFill="1" applyBorder="1"/>
    <xf numFmtId="0" fontId="0" fillId="0" borderId="3" xfId="0" applyBorder="1"/>
    <xf numFmtId="4" fontId="0" fillId="2" borderId="17" xfId="0" applyNumberFormat="1" applyFill="1" applyBorder="1"/>
    <xf numFmtId="0" fontId="0" fillId="0" borderId="4" xfId="0" applyBorder="1"/>
    <xf numFmtId="0" fontId="0" fillId="0" borderId="6" xfId="0" applyBorder="1"/>
    <xf numFmtId="0" fontId="7" fillId="0" borderId="0" xfId="0" applyFont="1" applyFill="1" applyBorder="1"/>
    <xf numFmtId="4" fontId="0" fillId="0" borderId="5" xfId="0" applyNumberFormat="1" applyFill="1" applyBorder="1" applyAlignment="1">
      <alignment horizontal="right"/>
    </xf>
    <xf numFmtId="4" fontId="0" fillId="0" borderId="17" xfId="0" applyNumberFormat="1" applyFill="1" applyBorder="1"/>
    <xf numFmtId="4" fontId="0" fillId="0" borderId="6" xfId="0" applyNumberFormat="1" applyFill="1" applyBorder="1"/>
    <xf numFmtId="3" fontId="2" fillId="0" borderId="0" xfId="0" applyNumberFormat="1" applyFont="1" applyFill="1"/>
    <xf numFmtId="0" fontId="0" fillId="0" borderId="0" xfId="0" applyFill="1" applyBorder="1" applyAlignment="1">
      <alignment horizontal="right"/>
    </xf>
    <xf numFmtId="10" fontId="0" fillId="0" borderId="0" xfId="2" applyNumberFormat="1" applyFont="1" applyFill="1" applyBorder="1"/>
    <xf numFmtId="3" fontId="2" fillId="0" borderId="0" xfId="0" applyNumberFormat="1" applyFont="1" applyFill="1" applyBorder="1"/>
    <xf numFmtId="0" fontId="0" fillId="0" borderId="19" xfId="0" applyBorder="1"/>
    <xf numFmtId="0" fontId="0" fillId="0" borderId="15" xfId="0" applyBorder="1"/>
    <xf numFmtId="0" fontId="0" fillId="0" borderId="5" xfId="0" applyFill="1" applyBorder="1"/>
    <xf numFmtId="0" fontId="0" fillId="0" borderId="16" xfId="0" applyBorder="1"/>
    <xf numFmtId="4" fontId="0" fillId="0" borderId="1" xfId="0" applyNumberFormat="1" applyFill="1" applyBorder="1"/>
    <xf numFmtId="4" fontId="0" fillId="0" borderId="0" xfId="0" applyNumberFormat="1" applyFill="1" applyBorder="1" applyAlignment="1">
      <alignment horizontal="right"/>
    </xf>
    <xf numFmtId="3" fontId="0" fillId="4" borderId="6" xfId="0" applyNumberFormat="1" applyFill="1" applyBorder="1"/>
    <xf numFmtId="0" fontId="9" fillId="9" borderId="9" xfId="0" applyFont="1" applyFill="1" applyBorder="1" applyAlignment="1" applyProtection="1">
      <alignment horizontal="center"/>
    </xf>
    <xf numFmtId="3" fontId="0" fillId="4" borderId="9" xfId="0" applyNumberFormat="1" applyFill="1" applyBorder="1"/>
    <xf numFmtId="3" fontId="2" fillId="4" borderId="9" xfId="0" applyNumberFormat="1" applyFont="1" applyFill="1" applyBorder="1"/>
    <xf numFmtId="0" fontId="9" fillId="9" borderId="10" xfId="0" applyFont="1" applyFill="1" applyBorder="1" applyAlignment="1" applyProtection="1">
      <alignment horizontal="center"/>
    </xf>
    <xf numFmtId="167" fontId="0" fillId="2" borderId="10" xfId="1" applyNumberFormat="1" applyFont="1" applyFill="1" applyBorder="1"/>
    <xf numFmtId="167" fontId="2" fillId="0" borderId="10" xfId="1" applyNumberFormat="1" applyFont="1" applyFill="1" applyBorder="1"/>
    <xf numFmtId="168" fontId="0" fillId="4" borderId="0" xfId="0" applyNumberFormat="1" applyFill="1" applyBorder="1"/>
    <xf numFmtId="3" fontId="0" fillId="4" borderId="0" xfId="0" applyNumberFormat="1" applyFill="1" applyBorder="1"/>
    <xf numFmtId="165" fontId="2" fillId="0" borderId="1" xfId="2" applyNumberFormat="1" applyFont="1" applyFill="1" applyBorder="1" applyAlignment="1">
      <alignment horizontal="right" wrapText="1"/>
    </xf>
    <xf numFmtId="3" fontId="2" fillId="4" borderId="0" xfId="0" applyNumberFormat="1" applyFont="1" applyFill="1" applyBorder="1"/>
    <xf numFmtId="3" fontId="0" fillId="4" borderId="1" xfId="0" applyNumberFormat="1" applyFill="1" applyBorder="1"/>
    <xf numFmtId="2" fontId="0" fillId="5" borderId="0" xfId="2" applyNumberFormat="1" applyFont="1" applyFill="1"/>
    <xf numFmtId="2" fontId="0" fillId="0" borderId="0" xfId="0" applyNumberFormat="1" applyFill="1"/>
    <xf numFmtId="2" fontId="0" fillId="0" borderId="0" xfId="0" applyNumberFormat="1" applyFill="1" applyBorder="1"/>
    <xf numFmtId="0" fontId="2" fillId="0" borderId="1" xfId="0" applyFont="1" applyFill="1" applyBorder="1" applyAlignment="1">
      <alignment horizontal="right"/>
    </xf>
    <xf numFmtId="165" fontId="0" fillId="0" borderId="20" xfId="2" applyNumberFormat="1" applyFont="1" applyFill="1" applyBorder="1" applyAlignment="1">
      <alignment horizontal="right"/>
    </xf>
    <xf numFmtId="9" fontId="0" fillId="0" borderId="21" xfId="2" applyFont="1" applyFill="1" applyBorder="1"/>
    <xf numFmtId="9" fontId="0" fillId="0" borderId="22" xfId="2" applyFont="1" applyFill="1" applyBorder="1"/>
    <xf numFmtId="165" fontId="0" fillId="0" borderId="23" xfId="2" applyNumberFormat="1" applyFont="1" applyFill="1" applyBorder="1" applyAlignment="1">
      <alignment horizontal="right" wrapText="1"/>
    </xf>
    <xf numFmtId="165" fontId="0" fillId="0" borderId="18" xfId="2" applyNumberFormat="1" applyFont="1" applyFill="1" applyBorder="1" applyAlignment="1">
      <alignment horizontal="right" wrapText="1"/>
    </xf>
    <xf numFmtId="9" fontId="0" fillId="0" borderId="24" xfId="2" applyFont="1" applyFill="1" applyBorder="1" applyAlignment="1">
      <alignment horizontal="right"/>
    </xf>
    <xf numFmtId="168" fontId="1" fillId="4" borderId="0" xfId="2" applyNumberFormat="1" applyFont="1" applyFill="1" applyBorder="1" applyAlignment="1">
      <alignment horizontal="right"/>
    </xf>
    <xf numFmtId="9" fontId="0" fillId="4" borderId="0" xfId="2" applyFont="1" applyFill="1" applyBorder="1"/>
    <xf numFmtId="164" fontId="0" fillId="4" borderId="0" xfId="2" applyNumberFormat="1" applyFont="1" applyFill="1" applyBorder="1"/>
    <xf numFmtId="0" fontId="0" fillId="0" borderId="20" xfId="0" applyFill="1" applyBorder="1"/>
    <xf numFmtId="0" fontId="0" fillId="0" borderId="22" xfId="0" applyFill="1" applyBorder="1"/>
    <xf numFmtId="0" fontId="0" fillId="0" borderId="23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9" fontId="0" fillId="0" borderId="18" xfId="2" applyFont="1" applyFill="1" applyBorder="1" applyAlignment="1">
      <alignment horizontal="right"/>
    </xf>
    <xf numFmtId="0" fontId="0" fillId="0" borderId="24" xfId="0" applyFill="1" applyBorder="1" applyAlignment="1">
      <alignment horizontal="right"/>
    </xf>
    <xf numFmtId="0" fontId="2" fillId="0" borderId="2" xfId="0" applyFont="1" applyFill="1" applyBorder="1"/>
    <xf numFmtId="0" fontId="0" fillId="0" borderId="2" xfId="0" applyFill="1" applyBorder="1"/>
    <xf numFmtId="0" fontId="2" fillId="0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5" fontId="2" fillId="0" borderId="2" xfId="2" applyNumberFormat="1" applyFont="1" applyFill="1" applyBorder="1" applyAlignment="1">
      <alignment horizontal="right" wrapText="1"/>
    </xf>
    <xf numFmtId="9" fontId="2" fillId="0" borderId="2" xfId="0" applyNumberFormat="1" applyFont="1" applyFill="1" applyBorder="1" applyAlignment="1">
      <alignment horizontal="right"/>
    </xf>
    <xf numFmtId="0" fontId="2" fillId="0" borderId="1" xfId="0" applyFont="1" applyFill="1" applyBorder="1"/>
    <xf numFmtId="165" fontId="0" fillId="0" borderId="1" xfId="2" applyNumberFormat="1" applyFont="1" applyFill="1" applyBorder="1" applyAlignment="1">
      <alignment horizontal="right"/>
    </xf>
    <xf numFmtId="165" fontId="0" fillId="0" borderId="8" xfId="2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wrapText="1"/>
    </xf>
    <xf numFmtId="165" fontId="0" fillId="0" borderId="1" xfId="2" applyNumberFormat="1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4" fontId="0" fillId="0" borderId="0" xfId="0" applyNumberFormat="1" applyFill="1" applyBorder="1" applyAlignment="1">
      <alignment wrapText="1"/>
    </xf>
    <xf numFmtId="10" fontId="0" fillId="0" borderId="0" xfId="2" applyNumberFormat="1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0" borderId="2" xfId="0" applyFont="1" applyFill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9" fontId="2" fillId="0" borderId="2" xfId="0" applyNumberFormat="1" applyFont="1" applyFill="1" applyBorder="1" applyAlignment="1">
      <alignment horizontal="right" wrapText="1"/>
    </xf>
    <xf numFmtId="3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3" fontId="2" fillId="0" borderId="0" xfId="0" applyNumberFormat="1" applyFont="1" applyFill="1" applyAlignment="1">
      <alignment wrapText="1"/>
    </xf>
    <xf numFmtId="4" fontId="0" fillId="0" borderId="3" xfId="0" applyNumberFormat="1" applyFill="1" applyBorder="1"/>
    <xf numFmtId="4" fontId="0" fillId="0" borderId="5" xfId="0" applyNumberFormat="1" applyFill="1" applyBorder="1"/>
    <xf numFmtId="4" fontId="0" fillId="0" borderId="7" xfId="0" applyNumberFormat="1" applyFill="1" applyBorder="1"/>
    <xf numFmtId="0" fontId="4" fillId="0" borderId="0" xfId="0" applyFont="1" applyBorder="1" applyAlignment="1">
      <alignment horizontal="right"/>
    </xf>
    <xf numFmtId="3" fontId="4" fillId="0" borderId="0" xfId="0" applyNumberFormat="1" applyFont="1" applyFill="1" applyBorder="1"/>
    <xf numFmtId="10" fontId="4" fillId="0" borderId="0" xfId="2" applyNumberFormat="1" applyFont="1" applyFill="1" applyBorder="1" applyAlignment="1">
      <alignment horizontal="right"/>
    </xf>
    <xf numFmtId="0" fontId="2" fillId="0" borderId="2" xfId="0" applyFont="1" applyFill="1" applyBorder="1" applyAlignment="1"/>
    <xf numFmtId="3" fontId="4" fillId="0" borderId="0" xfId="2" applyNumberFormat="1" applyFont="1" applyAlignment="1">
      <alignment horizontal="right"/>
    </xf>
    <xf numFmtId="9" fontId="0" fillId="0" borderId="0" xfId="2" applyFont="1" applyFill="1" applyAlignment="1">
      <alignment horizontal="right"/>
    </xf>
    <xf numFmtId="4" fontId="2" fillId="0" borderId="0" xfId="0" applyNumberFormat="1" applyFont="1" applyFill="1"/>
    <xf numFmtId="0" fontId="12" fillId="0" borderId="0" xfId="0" applyFont="1" applyAlignment="1">
      <alignment horizontal="left"/>
    </xf>
    <xf numFmtId="3" fontId="4" fillId="0" borderId="0" xfId="0" applyNumberFormat="1" applyFont="1" applyFill="1" applyBorder="1" applyAlignment="1"/>
    <xf numFmtId="165" fontId="0" fillId="0" borderId="0" xfId="2" applyNumberFormat="1" applyFont="1" applyFill="1" applyBorder="1"/>
    <xf numFmtId="165" fontId="4" fillId="0" borderId="0" xfId="2" applyNumberFormat="1" applyFont="1" applyFill="1" applyBorder="1" applyAlignment="1">
      <alignment horizontal="right"/>
    </xf>
    <xf numFmtId="165" fontId="0" fillId="0" borderId="2" xfId="2" applyNumberFormat="1" applyFont="1" applyFill="1" applyBorder="1" applyAlignment="1">
      <alignment horizontal="right"/>
    </xf>
    <xf numFmtId="3" fontId="0" fillId="2" borderId="0" xfId="2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/>
    </xf>
    <xf numFmtId="3" fontId="0" fillId="0" borderId="0" xfId="0" applyNumberFormat="1" applyFont="1" applyFill="1" applyBorder="1" applyAlignment="1" applyProtection="1">
      <alignment horizontal="right" vertical="center"/>
    </xf>
    <xf numFmtId="1" fontId="0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Fill="1" applyAlignment="1">
      <alignment horizontal="right" vertical="center"/>
    </xf>
    <xf numFmtId="3" fontId="2" fillId="4" borderId="0" xfId="0" applyNumberFormat="1" applyFont="1" applyFill="1" applyAlignment="1">
      <alignment horizontal="right"/>
    </xf>
    <xf numFmtId="0" fontId="7" fillId="0" borderId="0" xfId="0" quotePrefix="1" applyFont="1" applyFill="1"/>
    <xf numFmtId="4" fontId="0" fillId="0" borderId="0" xfId="0" applyNumberFormat="1" applyFill="1" applyAlignment="1">
      <alignment horizontal="right"/>
    </xf>
    <xf numFmtId="10" fontId="0" fillId="0" borderId="0" xfId="2" applyNumberFormat="1" applyFont="1" applyFill="1" applyAlignment="1">
      <alignment horizontal="right"/>
    </xf>
    <xf numFmtId="0" fontId="4" fillId="0" borderId="0" xfId="0" quotePrefix="1" applyFont="1" applyFill="1"/>
    <xf numFmtId="3" fontId="4" fillId="4" borderId="13" xfId="3" applyNumberFormat="1" applyFont="1" applyFill="1"/>
    <xf numFmtId="3" fontId="0" fillId="0" borderId="2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4" borderId="0" xfId="0" applyNumberFormat="1" applyFill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13" fillId="0" borderId="0" xfId="0" applyFont="1"/>
    <xf numFmtId="165" fontId="0" fillId="0" borderId="0" xfId="2" applyNumberFormat="1" applyFont="1"/>
    <xf numFmtId="170" fontId="0" fillId="0" borderId="0" xfId="2" applyNumberFormat="1" applyFont="1"/>
    <xf numFmtId="3" fontId="13" fillId="0" borderId="0" xfId="0" quotePrefix="1" applyNumberFormat="1" applyFont="1" applyAlignment="1">
      <alignment horizontal="left"/>
    </xf>
    <xf numFmtId="9" fontId="0" fillId="4" borderId="0" xfId="2" applyNumberFormat="1" applyFont="1" applyFill="1"/>
    <xf numFmtId="3" fontId="13" fillId="0" borderId="0" xfId="0" applyNumberFormat="1" applyFont="1" applyAlignment="1">
      <alignment horizontal="left"/>
    </xf>
    <xf numFmtId="0" fontId="2" fillId="0" borderId="8" xfId="0" applyFont="1" applyBorder="1" applyAlignment="1">
      <alignment horizontal="right"/>
    </xf>
    <xf numFmtId="0" fontId="2" fillId="0" borderId="8" xfId="0" applyFont="1" applyBorder="1"/>
    <xf numFmtId="3" fontId="2" fillId="0" borderId="8" xfId="0" applyNumberFormat="1" applyFont="1" applyBorder="1" applyAlignment="1">
      <alignment horizontal="right"/>
    </xf>
    <xf numFmtId="0" fontId="2" fillId="0" borderId="25" xfId="0" applyFont="1" applyFill="1" applyBorder="1" applyAlignment="1">
      <alignment horizontal="right"/>
    </xf>
    <xf numFmtId="0" fontId="0" fillId="0" borderId="25" xfId="0" applyBorder="1"/>
    <xf numFmtId="3" fontId="2" fillId="0" borderId="25" xfId="0" applyNumberFormat="1" applyFon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2" fontId="0" fillId="2" borderId="0" xfId="0" applyNumberFormat="1" applyFill="1"/>
    <xf numFmtId="2" fontId="0" fillId="3" borderId="0" xfId="0" applyNumberFormat="1" applyFill="1"/>
    <xf numFmtId="4" fontId="0" fillId="3" borderId="0" xfId="0" applyNumberFormat="1" applyFill="1"/>
    <xf numFmtId="167" fontId="0" fillId="4" borderId="0" xfId="0" applyNumberFormat="1" applyFill="1"/>
    <xf numFmtId="1" fontId="0" fillId="0" borderId="0" xfId="0" applyNumberFormat="1"/>
    <xf numFmtId="9" fontId="0" fillId="4" borderId="0" xfId="2" applyNumberFormat="1" applyFont="1" applyFill="1" applyAlignment="1">
      <alignment horizontal="right"/>
    </xf>
    <xf numFmtId="1" fontId="0" fillId="2" borderId="0" xfId="2" applyNumberFormat="1" applyFont="1" applyFill="1" applyAlignment="1">
      <alignment horizontal="right"/>
    </xf>
    <xf numFmtId="173" fontId="0" fillId="4" borderId="0" xfId="2" applyNumberFormat="1" applyFont="1" applyFill="1" applyBorder="1"/>
    <xf numFmtId="165" fontId="0" fillId="4" borderId="0" xfId="2" applyNumberFormat="1" applyFont="1" applyFill="1" applyBorder="1"/>
    <xf numFmtId="1" fontId="0" fillId="2" borderId="0" xfId="0" applyNumberFormat="1" applyFill="1"/>
    <xf numFmtId="1" fontId="0" fillId="2" borderId="0" xfId="2" applyNumberFormat="1" applyFont="1" applyFill="1"/>
    <xf numFmtId="10" fontId="0" fillId="2" borderId="0" xfId="2" applyNumberFormat="1" applyFont="1" applyFill="1"/>
    <xf numFmtId="0" fontId="12" fillId="0" borderId="2" xfId="0" applyFont="1" applyBorder="1"/>
    <xf numFmtId="2" fontId="0" fillId="0" borderId="0" xfId="2" applyNumberFormat="1" applyFont="1" applyFill="1"/>
    <xf numFmtId="165" fontId="0" fillId="2" borderId="0" xfId="2" applyNumberFormat="1" applyFont="1" applyFill="1" applyBorder="1"/>
    <xf numFmtId="165" fontId="0" fillId="5" borderId="2" xfId="2" applyNumberFormat="1" applyFont="1" applyFill="1" applyBorder="1"/>
    <xf numFmtId="3" fontId="0" fillId="4" borderId="0" xfId="1" applyNumberFormat="1" applyFont="1" applyFill="1"/>
    <xf numFmtId="167" fontId="0" fillId="4" borderId="2" xfId="1" applyNumberFormat="1" applyFont="1" applyFill="1" applyBorder="1"/>
    <xf numFmtId="165" fontId="0" fillId="0" borderId="0" xfId="2" applyNumberFormat="1" applyFont="1" applyBorder="1"/>
    <xf numFmtId="165" fontId="0" fillId="5" borderId="0" xfId="2" applyNumberFormat="1" applyFont="1" applyFill="1"/>
    <xf numFmtId="165" fontId="0" fillId="5" borderId="0" xfId="0" applyNumberFormat="1" applyFill="1"/>
    <xf numFmtId="167" fontId="0" fillId="5" borderId="0" xfId="1" applyNumberFormat="1" applyFont="1" applyFill="1" applyBorder="1"/>
    <xf numFmtId="174" fontId="0" fillId="4" borderId="0" xfId="1" applyNumberFormat="1" applyFont="1" applyFill="1"/>
    <xf numFmtId="169" fontId="0" fillId="3" borderId="0" xfId="0" applyNumberFormat="1" applyFill="1"/>
    <xf numFmtId="174" fontId="0" fillId="3" borderId="0" xfId="1" applyNumberFormat="1" applyFont="1" applyFill="1"/>
    <xf numFmtId="0" fontId="0" fillId="0" borderId="0" xfId="0" quotePrefix="1" applyFill="1" applyBorder="1"/>
    <xf numFmtId="3" fontId="0" fillId="0" borderId="0" xfId="0" applyNumberFormat="1" applyFill="1" applyBorder="1"/>
    <xf numFmtId="3" fontId="0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9" fontId="0" fillId="0" borderId="0" xfId="2" applyNumberFormat="1" applyFont="1" applyFill="1" applyBorder="1"/>
    <xf numFmtId="167" fontId="0" fillId="4" borderId="0" xfId="0" applyNumberFormat="1" applyFill="1" applyAlignment="1">
      <alignment horizontal="right"/>
    </xf>
    <xf numFmtId="0" fontId="2" fillId="0" borderId="25" xfId="0" applyFont="1" applyBorder="1" applyAlignment="1">
      <alignment horizontal="right"/>
    </xf>
    <xf numFmtId="167" fontId="0" fillId="0" borderId="25" xfId="0" applyNumberFormat="1" applyBorder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left"/>
    </xf>
    <xf numFmtId="43" fontId="0" fillId="0" borderId="0" xfId="1" applyFont="1" applyBorder="1"/>
    <xf numFmtId="43" fontId="0" fillId="0" borderId="0" xfId="0" applyNumberFormat="1" applyBorder="1"/>
    <xf numFmtId="43" fontId="0" fillId="0" borderId="0" xfId="0" applyNumberFormat="1" applyFill="1" applyBorder="1"/>
    <xf numFmtId="10" fontId="4" fillId="10" borderId="1" xfId="2" applyNumberFormat="1" applyFont="1" applyFill="1" applyBorder="1" applyAlignment="1">
      <alignment horizontal="right"/>
    </xf>
    <xf numFmtId="0" fontId="5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Alignment="1">
      <alignment vertical="top" wrapText="1"/>
    </xf>
    <xf numFmtId="0" fontId="0" fillId="11" borderId="0" xfId="0" applyFill="1"/>
    <xf numFmtId="4" fontId="0" fillId="11" borderId="0" xfId="0" applyNumberFormat="1" applyFill="1"/>
    <xf numFmtId="2" fontId="0" fillId="11" borderId="0" xfId="0" applyNumberForma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0" fillId="0" borderId="14" xfId="0" applyFill="1" applyBorder="1" applyAlignment="1">
      <alignment vertical="top"/>
    </xf>
    <xf numFmtId="0" fontId="0" fillId="0" borderId="14" xfId="0" applyFill="1" applyBorder="1" applyAlignment="1">
      <alignment vertical="top" wrapText="1"/>
    </xf>
    <xf numFmtId="0" fontId="2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8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10" borderId="0" xfId="0" applyFill="1"/>
    <xf numFmtId="0" fontId="0" fillId="10" borderId="1" xfId="0" applyFill="1" applyBorder="1"/>
    <xf numFmtId="0" fontId="0" fillId="10" borderId="14" xfId="0" applyFill="1" applyBorder="1" applyAlignment="1">
      <alignment vertical="top" wrapText="1"/>
    </xf>
    <xf numFmtId="4" fontId="0" fillId="10" borderId="4" xfId="0" applyNumberFormat="1" applyFill="1" applyBorder="1"/>
    <xf numFmtId="4" fontId="0" fillId="10" borderId="0" xfId="0" applyNumberFormat="1" applyFill="1" applyBorder="1"/>
    <xf numFmtId="4" fontId="0" fillId="10" borderId="3" xfId="0" applyNumberFormat="1" applyFill="1" applyBorder="1"/>
    <xf numFmtId="4" fontId="0" fillId="10" borderId="6" xfId="0" applyNumberFormat="1" applyFill="1" applyBorder="1"/>
    <xf numFmtId="4" fontId="0" fillId="10" borderId="1" xfId="0" applyNumberFormat="1" applyFill="1" applyBorder="1"/>
    <xf numFmtId="4" fontId="0" fillId="10" borderId="5" xfId="0" applyNumberFormat="1" applyFill="1" applyBorder="1"/>
    <xf numFmtId="4" fontId="0" fillId="12" borderId="0" xfId="0" applyNumberFormat="1" applyFill="1" applyBorder="1"/>
    <xf numFmtId="0" fontId="16" fillId="0" borderId="14" xfId="0" applyFont="1" applyFill="1" applyBorder="1" applyAlignment="1">
      <alignment vertical="top"/>
    </xf>
    <xf numFmtId="0" fontId="16" fillId="0" borderId="14" xfId="0" applyFont="1" applyFill="1" applyBorder="1" applyAlignment="1">
      <alignment vertical="top" wrapText="1"/>
    </xf>
    <xf numFmtId="4" fontId="0" fillId="10" borderId="0" xfId="0" applyNumberFormat="1" applyFill="1"/>
    <xf numFmtId="0" fontId="4" fillId="0" borderId="14" xfId="0" applyFont="1" applyBorder="1" applyAlignment="1">
      <alignment vertical="top" wrapText="1"/>
    </xf>
    <xf numFmtId="165" fontId="0" fillId="10" borderId="0" xfId="2" applyNumberFormat="1" applyFont="1" applyFill="1"/>
    <xf numFmtId="0" fontId="4" fillId="10" borderId="0" xfId="0" applyFont="1" applyFill="1"/>
    <xf numFmtId="175" fontId="0" fillId="0" borderId="0" xfId="0" applyNumberFormat="1"/>
    <xf numFmtId="0" fontId="0" fillId="13" borderId="0" xfId="0" applyFill="1"/>
    <xf numFmtId="0" fontId="15" fillId="13" borderId="0" xfId="0" applyFont="1" applyFill="1"/>
    <xf numFmtId="0" fontId="2" fillId="13" borderId="1" xfId="0" applyFont="1" applyFill="1" applyBorder="1"/>
    <xf numFmtId="0" fontId="0" fillId="13" borderId="1" xfId="0" applyFill="1" applyBorder="1"/>
    <xf numFmtId="0" fontId="15" fillId="13" borderId="1" xfId="0" applyFont="1" applyFill="1" applyBorder="1"/>
    <xf numFmtId="0" fontId="0" fillId="13" borderId="0" xfId="0" applyFill="1" applyAlignment="1">
      <alignment horizontal="right"/>
    </xf>
    <xf numFmtId="2" fontId="0" fillId="13" borderId="0" xfId="0" applyNumberFormat="1" applyFill="1" applyAlignment="1">
      <alignment horizontal="right"/>
    </xf>
    <xf numFmtId="0" fontId="2" fillId="13" borderId="14" xfId="0" applyFont="1" applyFill="1" applyBorder="1"/>
    <xf numFmtId="0" fontId="3" fillId="13" borderId="15" xfId="0" applyFont="1" applyFill="1" applyBorder="1" applyAlignment="1">
      <alignment horizontal="center"/>
    </xf>
    <xf numFmtId="0" fontId="3" fillId="13" borderId="16" xfId="0" applyFont="1" applyFill="1" applyBorder="1" applyAlignment="1">
      <alignment horizontal="center"/>
    </xf>
    <xf numFmtId="0" fontId="0" fillId="13" borderId="0" xfId="0" applyFill="1" applyBorder="1"/>
    <xf numFmtId="0" fontId="0" fillId="14" borderId="0" xfId="0" applyFill="1" applyBorder="1"/>
    <xf numFmtId="165" fontId="0" fillId="14" borderId="0" xfId="2" applyNumberFormat="1" applyFont="1" applyFill="1" applyBorder="1" applyAlignment="1">
      <alignment horizontal="right"/>
    </xf>
    <xf numFmtId="9" fontId="0" fillId="14" borderId="0" xfId="2" applyFont="1" applyFill="1" applyBorder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4" fillId="4" borderId="0" xfId="0" applyNumberFormat="1" applyFont="1" applyFill="1" applyAlignment="1">
      <alignment horizontal="center"/>
    </xf>
  </cellXfs>
  <cellStyles count="4">
    <cellStyle name="Comma" xfId="1" builtinId="3"/>
    <cellStyle name="Linked Cell" xfId="3" builtinId="24"/>
    <cellStyle name="Normal" xfId="0" builtinId="0"/>
    <cellStyle name="Percent" xfId="2" builtinId="5"/>
  </cellStyles>
  <dxfs count="19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CCFFCC"/>
      <color rgb="FFCCFFFF"/>
      <color rgb="FFCCCCFF"/>
      <color rgb="FFFFFF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D38"/>
  <sheetViews>
    <sheetView workbookViewId="0">
      <selection activeCell="B23" sqref="B23"/>
    </sheetView>
  </sheetViews>
  <sheetFormatPr defaultRowHeight="15" x14ac:dyDescent="0.25"/>
  <cols>
    <col min="1" max="1" width="24.5703125" customWidth="1"/>
    <col min="2" max="2" width="28" customWidth="1"/>
    <col min="3" max="3" width="68.28515625" bestFit="1" customWidth="1"/>
    <col min="4" max="4" width="176.140625" bestFit="1" customWidth="1"/>
  </cols>
  <sheetData>
    <row r="1" spans="1:4" x14ac:dyDescent="0.25">
      <c r="A1" s="21"/>
      <c r="B1" t="s">
        <v>52</v>
      </c>
    </row>
    <row r="2" spans="1:4" x14ac:dyDescent="0.25">
      <c r="A2" s="20"/>
      <c r="B2" t="s">
        <v>58</v>
      </c>
    </row>
    <row r="3" spans="1:4" x14ac:dyDescent="0.25">
      <c r="A3" s="27"/>
      <c r="B3" t="s">
        <v>61</v>
      </c>
    </row>
    <row r="4" spans="1:4" x14ac:dyDescent="0.25">
      <c r="A4" s="22"/>
      <c r="B4" t="s">
        <v>53</v>
      </c>
    </row>
    <row r="5" spans="1:4" x14ac:dyDescent="0.25">
      <c r="A5" s="34"/>
      <c r="B5" t="s">
        <v>62</v>
      </c>
    </row>
    <row r="6" spans="1:4" x14ac:dyDescent="0.25">
      <c r="A6" s="9"/>
    </row>
    <row r="8" spans="1:4" x14ac:dyDescent="0.25">
      <c r="A8" s="451" t="s">
        <v>583</v>
      </c>
      <c r="B8" s="451" t="s">
        <v>584</v>
      </c>
      <c r="C8" s="451" t="s">
        <v>585</v>
      </c>
      <c r="D8" s="451" t="s">
        <v>586</v>
      </c>
    </row>
    <row r="9" spans="1:4" ht="30" x14ac:dyDescent="0.25">
      <c r="A9" s="452" t="s">
        <v>617</v>
      </c>
      <c r="B9" s="452" t="s">
        <v>528</v>
      </c>
      <c r="C9" s="452" t="s">
        <v>587</v>
      </c>
      <c r="D9" s="452"/>
    </row>
    <row r="10" spans="1:4" x14ac:dyDescent="0.25">
      <c r="A10" s="452"/>
      <c r="B10" s="452" t="s">
        <v>191</v>
      </c>
      <c r="C10" s="452" t="s">
        <v>588</v>
      </c>
      <c r="D10" s="452"/>
    </row>
    <row r="11" spans="1:4" x14ac:dyDescent="0.25">
      <c r="A11" s="452"/>
      <c r="B11" s="452" t="s">
        <v>589</v>
      </c>
      <c r="C11" s="452" t="s">
        <v>623</v>
      </c>
      <c r="D11" s="455" t="s">
        <v>636</v>
      </c>
    </row>
    <row r="12" spans="1:4" x14ac:dyDescent="0.25">
      <c r="A12" s="452"/>
      <c r="B12" s="452" t="s">
        <v>619</v>
      </c>
      <c r="C12" s="452" t="s">
        <v>590</v>
      </c>
      <c r="D12" s="452"/>
    </row>
    <row r="13" spans="1:4" x14ac:dyDescent="0.25">
      <c r="A13" s="453"/>
      <c r="B13" s="453" t="s">
        <v>50</v>
      </c>
      <c r="C13" s="453" t="s">
        <v>590</v>
      </c>
      <c r="D13" s="453"/>
    </row>
    <row r="14" spans="1:4" ht="30" x14ac:dyDescent="0.25">
      <c r="A14" s="452" t="s">
        <v>620</v>
      </c>
      <c r="B14" s="452" t="s">
        <v>591</v>
      </c>
      <c r="C14" s="452" t="s">
        <v>624</v>
      </c>
      <c r="D14" s="452"/>
    </row>
    <row r="15" spans="1:4" x14ac:dyDescent="0.25">
      <c r="A15" s="452"/>
      <c r="B15" s="452" t="s">
        <v>592</v>
      </c>
      <c r="C15" s="452" t="s">
        <v>621</v>
      </c>
      <c r="D15" s="452" t="s">
        <v>593</v>
      </c>
    </row>
    <row r="16" spans="1:4" ht="30" x14ac:dyDescent="0.25">
      <c r="A16" s="452"/>
      <c r="B16" s="455" t="s">
        <v>597</v>
      </c>
      <c r="C16" s="455" t="s">
        <v>631</v>
      </c>
      <c r="D16" s="455" t="s">
        <v>630</v>
      </c>
    </row>
    <row r="17" spans="1:4" x14ac:dyDescent="0.25">
      <c r="A17" s="452"/>
      <c r="B17" s="2" t="s">
        <v>227</v>
      </c>
      <c r="C17" s="455" t="s">
        <v>594</v>
      </c>
      <c r="D17" s="455" t="s">
        <v>595</v>
      </c>
    </row>
    <row r="18" spans="1:4" ht="30" x14ac:dyDescent="0.25">
      <c r="A18" s="452"/>
      <c r="B18" s="455" t="s">
        <v>622</v>
      </c>
      <c r="C18" s="455" t="s">
        <v>625</v>
      </c>
      <c r="D18" s="452" t="s">
        <v>632</v>
      </c>
    </row>
    <row r="19" spans="1:4" x14ac:dyDescent="0.25">
      <c r="A19" s="452"/>
      <c r="B19" s="452" t="s">
        <v>17</v>
      </c>
      <c r="C19" s="452" t="s">
        <v>590</v>
      </c>
      <c r="D19" s="452"/>
    </row>
    <row r="20" spans="1:4" x14ac:dyDescent="0.25">
      <c r="A20" s="457"/>
      <c r="B20" s="151" t="s">
        <v>626</v>
      </c>
      <c r="C20" s="457" t="s">
        <v>621</v>
      </c>
      <c r="D20" s="457"/>
    </row>
    <row r="21" spans="1:4" x14ac:dyDescent="0.25">
      <c r="A21" s="453"/>
      <c r="B21" s="453" t="s">
        <v>454</v>
      </c>
      <c r="C21" s="453" t="s">
        <v>590</v>
      </c>
      <c r="D21" s="453"/>
    </row>
    <row r="22" spans="1:4" ht="30" x14ac:dyDescent="0.25">
      <c r="A22" s="455" t="s">
        <v>189</v>
      </c>
      <c r="B22" s="455" t="s">
        <v>615</v>
      </c>
      <c r="C22" s="455" t="s">
        <v>631</v>
      </c>
      <c r="D22" s="455" t="s">
        <v>636</v>
      </c>
    </row>
    <row r="23" spans="1:4" x14ac:dyDescent="0.25">
      <c r="A23" s="455"/>
      <c r="B23" s="455" t="s">
        <v>637</v>
      </c>
      <c r="C23" s="455" t="s">
        <v>638</v>
      </c>
      <c r="D23" s="455"/>
    </row>
    <row r="24" spans="1:4" x14ac:dyDescent="0.25">
      <c r="A24" s="455"/>
      <c r="B24" s="458" t="s">
        <v>616</v>
      </c>
      <c r="C24" s="455" t="s">
        <v>614</v>
      </c>
      <c r="D24" s="455"/>
    </row>
    <row r="25" spans="1:4" x14ac:dyDescent="0.25">
      <c r="A25" s="455"/>
      <c r="B25" s="458" t="s">
        <v>639</v>
      </c>
      <c r="C25" s="455" t="s">
        <v>614</v>
      </c>
      <c r="D25" s="455"/>
    </row>
    <row r="26" spans="1:4" x14ac:dyDescent="0.25">
      <c r="A26" s="454"/>
      <c r="B26" s="454" t="s">
        <v>596</v>
      </c>
      <c r="C26" s="454" t="s">
        <v>614</v>
      </c>
      <c r="D26" s="454"/>
    </row>
    <row r="27" spans="1:4" x14ac:dyDescent="0.25">
      <c r="A27" s="455" t="s">
        <v>627</v>
      </c>
      <c r="B27" s="455" t="s">
        <v>598</v>
      </c>
      <c r="C27" s="452" t="s">
        <v>590</v>
      </c>
      <c r="D27" s="455"/>
    </row>
    <row r="28" spans="1:4" ht="30" x14ac:dyDescent="0.25">
      <c r="A28" s="455" t="s">
        <v>231</v>
      </c>
      <c r="B28" s="455" t="s">
        <v>599</v>
      </c>
      <c r="C28" s="455" t="s">
        <v>631</v>
      </c>
      <c r="D28" s="455" t="s">
        <v>633</v>
      </c>
    </row>
    <row r="29" spans="1:4" ht="30" x14ac:dyDescent="0.25">
      <c r="A29" s="455"/>
      <c r="B29" s="455" t="s">
        <v>600</v>
      </c>
      <c r="C29" s="455" t="s">
        <v>631</v>
      </c>
      <c r="D29" s="455" t="s">
        <v>634</v>
      </c>
    </row>
    <row r="30" spans="1:4" x14ac:dyDescent="0.25">
      <c r="A30" s="455"/>
      <c r="B30" s="455" t="s">
        <v>602</v>
      </c>
      <c r="C30" s="455" t="s">
        <v>631</v>
      </c>
      <c r="D30" s="455" t="s">
        <v>603</v>
      </c>
    </row>
    <row r="31" spans="1:4" x14ac:dyDescent="0.25">
      <c r="A31" s="455"/>
      <c r="B31" s="455" t="s">
        <v>628</v>
      </c>
      <c r="C31" s="455" t="s">
        <v>631</v>
      </c>
      <c r="D31" s="455" t="s">
        <v>601</v>
      </c>
    </row>
    <row r="32" spans="1:4" x14ac:dyDescent="0.25">
      <c r="A32" s="455" t="s">
        <v>606</v>
      </c>
      <c r="B32" s="455" t="s">
        <v>604</v>
      </c>
      <c r="C32" s="455"/>
      <c r="D32" s="455" t="s">
        <v>629</v>
      </c>
    </row>
    <row r="33" spans="1:4" ht="30" x14ac:dyDescent="0.25">
      <c r="A33" s="455" t="s">
        <v>306</v>
      </c>
      <c r="B33" s="455" t="s">
        <v>607</v>
      </c>
      <c r="C33" s="455" t="s">
        <v>631</v>
      </c>
      <c r="D33" s="455" t="s">
        <v>635</v>
      </c>
    </row>
    <row r="34" spans="1:4" x14ac:dyDescent="0.25">
      <c r="A34" s="455"/>
      <c r="B34" s="455" t="s">
        <v>608</v>
      </c>
      <c r="C34" s="452" t="s">
        <v>609</v>
      </c>
      <c r="D34" s="455" t="s">
        <v>610</v>
      </c>
    </row>
    <row r="35" spans="1:4" ht="30" x14ac:dyDescent="0.25">
      <c r="A35" s="455"/>
      <c r="B35" s="455" t="s">
        <v>611</v>
      </c>
      <c r="C35" s="455" t="s">
        <v>594</v>
      </c>
      <c r="D35" s="455" t="s">
        <v>612</v>
      </c>
    </row>
    <row r="36" spans="1:4" x14ac:dyDescent="0.25">
      <c r="A36" s="455"/>
      <c r="B36" s="455" t="s">
        <v>589</v>
      </c>
      <c r="C36" s="452" t="s">
        <v>590</v>
      </c>
      <c r="D36" s="455"/>
    </row>
    <row r="37" spans="1:4" x14ac:dyDescent="0.25">
      <c r="A37" s="456" t="s">
        <v>232</v>
      </c>
      <c r="B37" s="455" t="s">
        <v>604</v>
      </c>
      <c r="C37" s="456" t="s">
        <v>614</v>
      </c>
      <c r="D37" s="456"/>
    </row>
    <row r="38" spans="1:4" ht="30" x14ac:dyDescent="0.25">
      <c r="A38" s="454" t="s">
        <v>613</v>
      </c>
      <c r="B38" s="454" t="s">
        <v>604</v>
      </c>
      <c r="C38" s="454" t="s">
        <v>605</v>
      </c>
      <c r="D38" s="454"/>
    </row>
  </sheetData>
  <pageMargins left="0.7" right="0.7" top="0.75" bottom="0.75" header="0.3" footer="0.3"/>
  <pageSetup scale="6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theme="0" tint="-0.249977111117893"/>
  </sheetPr>
  <dimension ref="A1:AA118"/>
  <sheetViews>
    <sheetView tabSelected="1" topLeftCell="A2" zoomScaleNormal="100" workbookViewId="0">
      <pane ySplit="1" topLeftCell="A30" activePane="bottomLeft" state="frozen"/>
      <selection activeCell="A2" sqref="A2"/>
      <selection pane="bottomLeft" activeCell="C51" sqref="C51"/>
    </sheetView>
  </sheetViews>
  <sheetFormatPr defaultRowHeight="15" x14ac:dyDescent="0.25"/>
  <cols>
    <col min="2" max="2" width="43.140625" bestFit="1" customWidth="1"/>
    <col min="3" max="3" width="10.28515625" customWidth="1"/>
    <col min="4" max="4" width="17.140625" bestFit="1" customWidth="1"/>
    <col min="5" max="5" width="11.140625" customWidth="1"/>
    <col min="6" max="6" width="13.28515625" bestFit="1" customWidth="1"/>
    <col min="7" max="7" width="13.28515625" customWidth="1"/>
    <col min="8" max="8" width="14.42578125" customWidth="1"/>
    <col min="9" max="9" width="9.5703125" style="7" customWidth="1"/>
    <col min="10" max="10" width="8.7109375" style="7"/>
    <col min="11" max="11" width="9.85546875" style="104" customWidth="1"/>
    <col min="12" max="12" width="11.5703125" style="16" customWidth="1"/>
    <col min="13" max="13" width="10.28515625" customWidth="1"/>
    <col min="14" max="16" width="10.5703125" style="2" customWidth="1"/>
    <col min="17" max="17" width="10.42578125" customWidth="1"/>
    <col min="18" max="18" width="11.5703125" customWidth="1"/>
    <col min="19" max="19" width="5.140625" customWidth="1"/>
    <col min="23" max="24" width="11.5703125" customWidth="1"/>
  </cols>
  <sheetData>
    <row r="1" spans="1:24" ht="15.75" x14ac:dyDescent="0.25">
      <c r="A1" s="161" t="s">
        <v>316</v>
      </c>
      <c r="K1" s="517" t="s">
        <v>276</v>
      </c>
      <c r="L1" s="517"/>
      <c r="M1" s="517"/>
      <c r="N1" s="517"/>
      <c r="O1" s="517"/>
      <c r="P1" s="517"/>
      <c r="Q1" s="517"/>
      <c r="R1" s="517"/>
      <c r="S1" s="9"/>
      <c r="T1" s="518" t="s">
        <v>255</v>
      </c>
      <c r="U1" s="518"/>
      <c r="V1" s="518"/>
      <c r="W1" s="518"/>
      <c r="X1" s="518"/>
    </row>
    <row r="2" spans="1:24" s="13" customFormat="1" ht="45" x14ac:dyDescent="0.25">
      <c r="A2" s="93" t="str">
        <f>+BMPs!C2</f>
        <v>Code</v>
      </c>
      <c r="B2" s="93" t="str">
        <f>+BMPs!D2</f>
        <v>Description</v>
      </c>
      <c r="C2" s="252" t="s">
        <v>190</v>
      </c>
      <c r="D2" s="252" t="s">
        <v>191</v>
      </c>
      <c r="E2" s="252" t="s">
        <v>239</v>
      </c>
      <c r="F2" s="95" t="str">
        <f>+BMPs!E2</f>
        <v>Removal Rate</v>
      </c>
      <c r="G2" s="241" t="s">
        <v>503</v>
      </c>
      <c r="H2" s="96" t="str">
        <f>+BMPs!F2</f>
        <v>Runoff Redux</v>
      </c>
      <c r="I2" s="94" t="s">
        <v>254</v>
      </c>
      <c r="J2" s="94" t="s">
        <v>255</v>
      </c>
      <c r="K2" s="105" t="s">
        <v>256</v>
      </c>
      <c r="L2" s="110" t="s">
        <v>267</v>
      </c>
      <c r="M2" s="94" t="s">
        <v>269</v>
      </c>
      <c r="N2" s="107" t="s">
        <v>246</v>
      </c>
      <c r="O2" s="107" t="s">
        <v>247</v>
      </c>
      <c r="P2" s="107" t="s">
        <v>274</v>
      </c>
      <c r="Q2" s="94" t="s">
        <v>264</v>
      </c>
      <c r="R2" s="94" t="s">
        <v>271</v>
      </c>
      <c r="T2" s="94" t="s">
        <v>192</v>
      </c>
      <c r="U2" s="94" t="s">
        <v>244</v>
      </c>
      <c r="V2" s="94" t="s">
        <v>247</v>
      </c>
      <c r="W2" s="94" t="s">
        <v>219</v>
      </c>
      <c r="X2" s="94" t="s">
        <v>274</v>
      </c>
    </row>
    <row r="3" spans="1:24" x14ac:dyDescent="0.25">
      <c r="A3" t="str">
        <f>+BMPs!C3</f>
        <v>AGRE</v>
      </c>
      <c r="B3" t="str">
        <f>+BMPs!D3</f>
        <v>Green Roof - Extensive</v>
      </c>
      <c r="C3" s="116">
        <f>Scenarios!G3</f>
        <v>0</v>
      </c>
      <c r="D3" s="116">
        <f>Scenarios!H3</f>
        <v>0</v>
      </c>
      <c r="E3" s="30"/>
      <c r="F3" s="76">
        <f>BMPs!E3</f>
        <v>0</v>
      </c>
      <c r="G3" s="242" t="s">
        <v>504</v>
      </c>
      <c r="H3" s="76">
        <f>IFERROR(VLOOKUP(A3,BMPs!$C$2:$J$64,HLOOKUP(G3,BMPs!$F$72:$I$73,2,FALSE),FALSE),0)</f>
        <v>0.6</v>
      </c>
      <c r="I3" s="97"/>
      <c r="J3" s="97"/>
      <c r="K3" s="99">
        <f>$C$50*(D3*'Watershed Data'!$D$23+(C3-D3)*VLOOKUP(G3,'Watershed Data'!$A$19:$E$22,5,FALSE))*3630</f>
        <v>0</v>
      </c>
      <c r="L3" s="37">
        <f t="shared" ref="L3:L44" si="0">K3/$C$51</f>
        <v>0</v>
      </c>
      <c r="M3" s="30">
        <f>BMPs!$M$8*BMPs!$M$12</f>
        <v>1.08</v>
      </c>
      <c r="N3" s="108">
        <f>1-H3</f>
        <v>0.4</v>
      </c>
      <c r="O3" s="39">
        <f t="shared" ref="O3:O44" si="1">H3+(N3*F3)</f>
        <v>0.6</v>
      </c>
      <c r="P3" s="99">
        <f t="shared" ref="P3:P44" si="2">$C$52*L3*M3*O3</f>
        <v>0</v>
      </c>
      <c r="Q3" s="116">
        <f t="shared" ref="Q3:Q20" si="3">+X3</f>
        <v>0</v>
      </c>
      <c r="R3" s="99">
        <f t="shared" ref="R3:R44" si="4">$C$52*L3*M3*O3-Q3</f>
        <v>0</v>
      </c>
      <c r="T3" s="76">
        <f>IFERROR(VLOOKUP(J3,BMPs!$C$3:$F$69,3,FALSE),0)</f>
        <v>0</v>
      </c>
      <c r="U3" s="76">
        <f>IFERROR(VLOOKUP(J3,BMPs!$C$3:$F$69,5,FALSE),0)</f>
        <v>0</v>
      </c>
      <c r="V3" s="117">
        <f>U3+(1-U3)*T3</f>
        <v>0</v>
      </c>
      <c r="W3" s="37">
        <f>IFERROR((D3*'Watershed Data'!$D$21+E3*'Watershed Data'!$E$21)/('LandUse-LandCover'!$E$30*'Watershed Data'!$D$23+'LandUse-LandCover'!$F$30*'Watershed Data'!$E$23),0)*BMPs!$M$6*BMPs!$M$8*BMPs!$M$12</f>
        <v>0</v>
      </c>
      <c r="X3" s="30">
        <f t="shared" ref="X3:X44" si="5">$C$52*W3*V3</f>
        <v>0</v>
      </c>
    </row>
    <row r="4" spans="1:24" x14ac:dyDescent="0.25">
      <c r="A4" t="str">
        <f>+BMPs!C4</f>
        <v>AGRI</v>
      </c>
      <c r="B4" t="str">
        <f>+BMPs!D4</f>
        <v>Green Roof - Intensive</v>
      </c>
      <c r="C4" s="116">
        <f>Scenarios!G4</f>
        <v>0</v>
      </c>
      <c r="D4" s="116">
        <f>Scenarios!H4</f>
        <v>0</v>
      </c>
      <c r="E4" s="30"/>
      <c r="F4" s="76">
        <f>BMPs!E4</f>
        <v>0</v>
      </c>
      <c r="G4" s="242" t="s">
        <v>504</v>
      </c>
      <c r="H4" s="76">
        <f>IFERROR(VLOOKUP(A4,BMPs!$C$2:$J$64,HLOOKUP(G4,BMPs!$F$72:$I$73,2,FALSE),FALSE),0)</f>
        <v>0.6</v>
      </c>
      <c r="I4" s="97"/>
      <c r="J4" s="97"/>
      <c r="K4" s="99">
        <f>$C$50*(D4*'Watershed Data'!$D$23+(C4-D4)*VLOOKUP(G4,'Watershed Data'!$A$19:$E$22,5,FALSE))*3630</f>
        <v>0</v>
      </c>
      <c r="L4" s="37">
        <f t="shared" si="0"/>
        <v>0</v>
      </c>
      <c r="M4" s="30">
        <f>BMPs!$M$8*BMPs!$M$12</f>
        <v>1.08</v>
      </c>
      <c r="N4" s="108">
        <f t="shared" ref="N4:N44" si="6">1-H4</f>
        <v>0.4</v>
      </c>
      <c r="O4" s="39">
        <f t="shared" si="1"/>
        <v>0.6</v>
      </c>
      <c r="P4" s="99">
        <f t="shared" si="2"/>
        <v>0</v>
      </c>
      <c r="Q4" s="116">
        <f t="shared" si="3"/>
        <v>0</v>
      </c>
      <c r="R4" s="99">
        <f t="shared" si="4"/>
        <v>0</v>
      </c>
      <c r="T4" s="76">
        <f>IFERROR(VLOOKUP(J4,BMPs!$C$3:$F$69,3,FALSE),0)</f>
        <v>0</v>
      </c>
      <c r="U4" s="76">
        <f>IFERROR(VLOOKUP(J4,BMPs!$C$3:$F$69,5,FALSE),0)</f>
        <v>0</v>
      </c>
      <c r="V4" s="117">
        <f t="shared" ref="V4:V44" si="7">U4+(1-U4)*T4</f>
        <v>0</v>
      </c>
      <c r="W4" s="37">
        <f>IFERROR((D4*'Watershed Data'!$D$21+E4*'Watershed Data'!$E$21)/('LandUse-LandCover'!$E$30*'Watershed Data'!$D$23+'LandUse-LandCover'!$F$30*'Watershed Data'!$E$23),0)*BMPs!$M$6*BMPs!$M$8*BMPs!$M$12</f>
        <v>0</v>
      </c>
      <c r="X4" s="30">
        <f t="shared" si="5"/>
        <v>0</v>
      </c>
    </row>
    <row r="5" spans="1:24" x14ac:dyDescent="0.25">
      <c r="A5" t="str">
        <f>+BMPs!C5</f>
        <v>APRP</v>
      </c>
      <c r="B5" t="str">
        <f>+BMPs!D5</f>
        <v>Permeable Pavement</v>
      </c>
      <c r="C5" s="116">
        <f>Scenarios!G5</f>
        <v>0</v>
      </c>
      <c r="D5" s="116">
        <f>Scenarios!H5</f>
        <v>0</v>
      </c>
      <c r="E5" s="30">
        <f t="shared" ref="E5:E45" si="8">IFERROR(C5-D5,"")</f>
        <v>0</v>
      </c>
      <c r="F5" s="76">
        <f>BMPs!E5</f>
        <v>0</v>
      </c>
      <c r="G5" s="242" t="s">
        <v>504</v>
      </c>
      <c r="H5" s="76">
        <f>IFERROR(VLOOKUP(A5,BMPs!$C$2:$J$64,HLOOKUP(G5,BMPs!$F$72:$I$73,2,FALSE),FALSE),0)</f>
        <v>0.45</v>
      </c>
      <c r="I5" s="97"/>
      <c r="J5" s="97"/>
      <c r="K5" s="99">
        <f>$C$50*(D5*'Watershed Data'!$D$23+(C5-D5)*VLOOKUP(G5,'Watershed Data'!$A$19:$E$22,5,FALSE))*3630</f>
        <v>0</v>
      </c>
      <c r="L5" s="37">
        <f t="shared" si="0"/>
        <v>0</v>
      </c>
      <c r="M5" s="30">
        <f>BMPs!$M$8*BMPs!$M$12</f>
        <v>1.08</v>
      </c>
      <c r="N5" s="108">
        <f t="shared" si="6"/>
        <v>0.55000000000000004</v>
      </c>
      <c r="O5" s="39">
        <f t="shared" si="1"/>
        <v>0.45</v>
      </c>
      <c r="P5" s="99">
        <f t="shared" si="2"/>
        <v>0</v>
      </c>
      <c r="Q5" s="116">
        <f t="shared" si="3"/>
        <v>0</v>
      </c>
      <c r="R5" s="99">
        <f t="shared" si="4"/>
        <v>0</v>
      </c>
      <c r="T5" s="76">
        <f>IFERROR(VLOOKUP(J5,BMPs!$C$3:$F$69,3,FALSE),0)</f>
        <v>0</v>
      </c>
      <c r="U5" s="76">
        <f>IFERROR(VLOOKUP(J5,BMPs!$C$3:$F$69,5,FALSE),0)</f>
        <v>0</v>
      </c>
      <c r="V5" s="117">
        <f t="shared" si="7"/>
        <v>0</v>
      </c>
      <c r="W5" s="37">
        <f>IFERROR((D5*'Watershed Data'!$D$21+E5*'Watershed Data'!$E$21)/('LandUse-LandCover'!$E$30*'Watershed Data'!$D$23+'LandUse-LandCover'!$F$30*'Watershed Data'!$E$23),0)*BMPs!$M$6*BMPs!$M$8*BMPs!$M$12</f>
        <v>0</v>
      </c>
      <c r="X5" s="30">
        <f t="shared" si="5"/>
        <v>0</v>
      </c>
    </row>
    <row r="6" spans="1:24" x14ac:dyDescent="0.25">
      <c r="A6" t="str">
        <f>+BMPs!C6</f>
        <v>ARTF</v>
      </c>
      <c r="B6" t="str">
        <f>+BMPs!D6</f>
        <v>Reinforced Turf</v>
      </c>
      <c r="C6" s="116">
        <f>Scenarios!G6</f>
        <v>0</v>
      </c>
      <c r="D6" s="116">
        <f>Scenarios!H6</f>
        <v>0</v>
      </c>
      <c r="E6" s="30">
        <f t="shared" si="8"/>
        <v>0</v>
      </c>
      <c r="F6" s="76">
        <f>BMPs!E6</f>
        <v>0</v>
      </c>
      <c r="G6" s="242" t="s">
        <v>504</v>
      </c>
      <c r="H6" s="76">
        <f>IFERROR(VLOOKUP(A6,BMPs!$C$2:$J$64,HLOOKUP(G6,BMPs!$F$72:$I$73,2,FALSE),FALSE),0)</f>
        <v>0.45</v>
      </c>
      <c r="I6" s="97"/>
      <c r="J6" s="97"/>
      <c r="K6" s="99">
        <f>$C$50*(D6*'Watershed Data'!$D$23+(C6-D6)*VLOOKUP(G6,'Watershed Data'!$A$19:$E$22,5,FALSE))*3630</f>
        <v>0</v>
      </c>
      <c r="L6" s="37">
        <f t="shared" si="0"/>
        <v>0</v>
      </c>
      <c r="M6" s="30">
        <f>BMPs!$M$8*BMPs!$M$12</f>
        <v>1.08</v>
      </c>
      <c r="N6" s="108">
        <f t="shared" si="6"/>
        <v>0.55000000000000004</v>
      </c>
      <c r="O6" s="39">
        <f t="shared" si="1"/>
        <v>0.45</v>
      </c>
      <c r="P6" s="99">
        <f t="shared" si="2"/>
        <v>0</v>
      </c>
      <c r="Q6" s="116">
        <f t="shared" si="3"/>
        <v>0</v>
      </c>
      <c r="R6" s="99">
        <f t="shared" si="4"/>
        <v>0</v>
      </c>
      <c r="T6" s="76">
        <f>IFERROR(VLOOKUP(J6,BMPs!$C$3:$F$69,3,FALSE),0)</f>
        <v>0</v>
      </c>
      <c r="U6" s="76">
        <f>IFERROR(VLOOKUP(J6,BMPs!$C$3:$F$69,5,FALSE),0)</f>
        <v>0</v>
      </c>
      <c r="V6" s="117">
        <f t="shared" si="7"/>
        <v>0</v>
      </c>
      <c r="W6" s="37">
        <f>IFERROR((D6*'Watershed Data'!$D$21+E6*'Watershed Data'!$E$21)/('LandUse-LandCover'!$E$30*'Watershed Data'!$D$23+'LandUse-LandCover'!$F$30*'Watershed Data'!$E$23),0)*BMPs!$M$6*BMPs!$M$8*BMPs!$M$12</f>
        <v>0</v>
      </c>
      <c r="X6" s="30">
        <f t="shared" si="5"/>
        <v>0</v>
      </c>
    </row>
    <row r="7" spans="1:24" x14ac:dyDescent="0.25">
      <c r="A7" t="str">
        <f>+BMPs!C7</f>
        <v>NDRR</v>
      </c>
      <c r="B7" t="str">
        <f>+BMPs!D7</f>
        <v>Disconnection of Rooftop Runoff</v>
      </c>
      <c r="C7" s="116">
        <f>Scenarios!G7</f>
        <v>0</v>
      </c>
      <c r="D7" s="116">
        <f>Scenarios!H7</f>
        <v>0</v>
      </c>
      <c r="E7" s="30">
        <f t="shared" si="8"/>
        <v>0</v>
      </c>
      <c r="F7" s="76">
        <f>BMPs!E7</f>
        <v>0</v>
      </c>
      <c r="G7" s="242" t="s">
        <v>504</v>
      </c>
      <c r="H7" s="76">
        <f>IFERROR(VLOOKUP(A7,BMPs!$C$2:$J$64,HLOOKUP(G7,BMPs!$F$72:$I$73,2,FALSE),FALSE),0)</f>
        <v>0.25</v>
      </c>
      <c r="I7" s="97"/>
      <c r="J7" s="97"/>
      <c r="K7" s="99">
        <f>$C$50*(D7*'Watershed Data'!$D$23+(C7-D7)*VLOOKUP(G7,'Watershed Data'!$A$19:$E$22,5,FALSE))*3630</f>
        <v>0</v>
      </c>
      <c r="L7" s="37">
        <f t="shared" si="0"/>
        <v>0</v>
      </c>
      <c r="M7" s="30">
        <f>BMPs!$M$8*BMPs!$M$12</f>
        <v>1.08</v>
      </c>
      <c r="N7" s="108">
        <f t="shared" si="6"/>
        <v>0.75</v>
      </c>
      <c r="O7" s="39">
        <f t="shared" si="1"/>
        <v>0.25</v>
      </c>
      <c r="P7" s="99">
        <f t="shared" si="2"/>
        <v>0</v>
      </c>
      <c r="Q7" s="116">
        <f t="shared" si="3"/>
        <v>0</v>
      </c>
      <c r="R7" s="99">
        <f t="shared" si="4"/>
        <v>0</v>
      </c>
      <c r="T7" s="76">
        <f>IFERROR(VLOOKUP(J7,BMPs!$C$3:$F$69,3,FALSE),0)</f>
        <v>0</v>
      </c>
      <c r="U7" s="76">
        <f>IFERROR(VLOOKUP(J7,BMPs!$C$3:$F$69,5,FALSE),0)</f>
        <v>0</v>
      </c>
      <c r="V7" s="117">
        <f t="shared" si="7"/>
        <v>0</v>
      </c>
      <c r="W7" s="37">
        <f>IFERROR((D7*'Watershed Data'!$D$21+E7*'Watershed Data'!$E$21)/('LandUse-LandCover'!$E$30*'Watershed Data'!$D$23+'LandUse-LandCover'!$F$30*'Watershed Data'!$E$23),0)*BMPs!$M$6*BMPs!$M$8*BMPs!$M$12</f>
        <v>0</v>
      </c>
      <c r="X7" s="30">
        <f t="shared" si="5"/>
        <v>0</v>
      </c>
    </row>
    <row r="8" spans="1:24" x14ac:dyDescent="0.25">
      <c r="A8" t="str">
        <f>+BMPs!C8</f>
        <v>NDNR</v>
      </c>
      <c r="B8" t="str">
        <f>+BMPs!D8</f>
        <v>Disconnection of Non-Rooftop Runoff</v>
      </c>
      <c r="C8" s="116">
        <f>Scenarios!G8</f>
        <v>0</v>
      </c>
      <c r="D8" s="116">
        <f>Scenarios!H8</f>
        <v>0</v>
      </c>
      <c r="E8" s="30">
        <f t="shared" si="8"/>
        <v>0</v>
      </c>
      <c r="F8" s="76">
        <f>BMPs!E8</f>
        <v>0</v>
      </c>
      <c r="G8" s="242" t="s">
        <v>504</v>
      </c>
      <c r="H8" s="76">
        <f>IFERROR(VLOOKUP(A8,BMPs!$C$2:$J$64,HLOOKUP(G8,BMPs!$F$72:$I$73,2,FALSE),FALSE),0)</f>
        <v>0.25</v>
      </c>
      <c r="I8" s="97"/>
      <c r="J8" s="97"/>
      <c r="K8" s="99">
        <f>$C$50*(D8*'Watershed Data'!$D$23+(C8-D8)*VLOOKUP(G8,'Watershed Data'!$A$19:$E$22,5,FALSE))*3630</f>
        <v>0</v>
      </c>
      <c r="L8" s="37">
        <f t="shared" si="0"/>
        <v>0</v>
      </c>
      <c r="M8" s="30">
        <f>BMPs!$M$8*BMPs!$M$12</f>
        <v>1.08</v>
      </c>
      <c r="N8" s="108">
        <f t="shared" si="6"/>
        <v>0.75</v>
      </c>
      <c r="O8" s="39">
        <f t="shared" si="1"/>
        <v>0.25</v>
      </c>
      <c r="P8" s="99">
        <f t="shared" si="2"/>
        <v>0</v>
      </c>
      <c r="Q8" s="116">
        <f t="shared" si="3"/>
        <v>0</v>
      </c>
      <c r="R8" s="99">
        <f t="shared" si="4"/>
        <v>0</v>
      </c>
      <c r="T8" s="76">
        <f>IFERROR(VLOOKUP(J8,BMPs!$C$3:$F$69,3,FALSE),0)</f>
        <v>0</v>
      </c>
      <c r="U8" s="76">
        <f>IFERROR(VLOOKUP(J8,BMPs!$C$3:$F$69,5,FALSE),0)</f>
        <v>0</v>
      </c>
      <c r="V8" s="117">
        <f t="shared" si="7"/>
        <v>0</v>
      </c>
      <c r="W8" s="37">
        <f>IFERROR((D8*'Watershed Data'!$D$21+E8*'Watershed Data'!$E$21)/('LandUse-LandCover'!$E$30*'Watershed Data'!$D$23+'LandUse-LandCover'!$F$30*'Watershed Data'!$E$23),0)*BMPs!$M$6*BMPs!$M$8*BMPs!$M$12</f>
        <v>0</v>
      </c>
      <c r="X8" s="30">
        <f t="shared" si="5"/>
        <v>0</v>
      </c>
    </row>
    <row r="9" spans="1:24" x14ac:dyDescent="0.25">
      <c r="A9" t="str">
        <f>+BMPs!C9</f>
        <v>NSCA</v>
      </c>
      <c r="B9" t="str">
        <f>+BMPs!D9</f>
        <v>Sheetflow to Conservation Areas</v>
      </c>
      <c r="C9" s="116">
        <f>Scenarios!G9</f>
        <v>0</v>
      </c>
      <c r="D9" s="116">
        <f>Scenarios!H9</f>
        <v>0</v>
      </c>
      <c r="E9" s="30">
        <f t="shared" si="8"/>
        <v>0</v>
      </c>
      <c r="F9" s="76">
        <f>BMPs!E9</f>
        <v>0</v>
      </c>
      <c r="G9" s="242" t="s">
        <v>504</v>
      </c>
      <c r="H9" s="76">
        <f>IFERROR(VLOOKUP(A9,BMPs!$C$2:$J$64,HLOOKUP(G9,BMPs!$F$72:$I$73,2,FALSE),FALSE),0)</f>
        <v>0.5</v>
      </c>
      <c r="I9" s="97"/>
      <c r="J9" s="97"/>
      <c r="K9" s="99">
        <f>$C$50*(D9*'Watershed Data'!$D$23+(C9-D9)*VLOOKUP(G9,'Watershed Data'!$A$19:$E$22,5,FALSE))*3630</f>
        <v>0</v>
      </c>
      <c r="L9" s="37">
        <f t="shared" si="0"/>
        <v>0</v>
      </c>
      <c r="M9" s="30">
        <f>BMPs!$M$8*BMPs!$M$12</f>
        <v>1.08</v>
      </c>
      <c r="N9" s="108">
        <f t="shared" si="6"/>
        <v>0.5</v>
      </c>
      <c r="O9" s="39">
        <f t="shared" si="1"/>
        <v>0.5</v>
      </c>
      <c r="P9" s="99">
        <f t="shared" si="2"/>
        <v>0</v>
      </c>
      <c r="Q9" s="116">
        <f t="shared" si="3"/>
        <v>0</v>
      </c>
      <c r="R9" s="99">
        <f t="shared" si="4"/>
        <v>0</v>
      </c>
      <c r="T9" s="76">
        <f>IFERROR(VLOOKUP(J9,BMPs!$C$3:$F$69,3,FALSE),0)</f>
        <v>0</v>
      </c>
      <c r="U9" s="76">
        <f>IFERROR(VLOOKUP(J9,BMPs!$C$3:$F$69,5,FALSE),0)</f>
        <v>0</v>
      </c>
      <c r="V9" s="117">
        <f t="shared" si="7"/>
        <v>0</v>
      </c>
      <c r="W9" s="37">
        <f>IFERROR((D9*'Watershed Data'!$D$21+E9*'Watershed Data'!$E$21)/('LandUse-LandCover'!$E$30*'Watershed Data'!$D$23+'LandUse-LandCover'!$F$30*'Watershed Data'!$E$23),0)*BMPs!$M$6*BMPs!$M$8*BMPs!$M$12</f>
        <v>0</v>
      </c>
      <c r="X9" s="30">
        <f t="shared" si="5"/>
        <v>0</v>
      </c>
    </row>
    <row r="10" spans="1:24" x14ac:dyDescent="0.25">
      <c r="A10" t="str">
        <f>+BMPs!C10</f>
        <v>MRWH</v>
      </c>
      <c r="B10" t="str">
        <f>+BMPs!D10</f>
        <v>Rainwater Harvesting</v>
      </c>
      <c r="C10" s="116">
        <f>Scenarios!G10</f>
        <v>0.05</v>
      </c>
      <c r="D10" s="116">
        <f>Scenarios!H10</f>
        <v>0.05</v>
      </c>
      <c r="E10" s="30">
        <f t="shared" si="8"/>
        <v>0</v>
      </c>
      <c r="F10" s="76">
        <f>BMPs!E10</f>
        <v>0</v>
      </c>
      <c r="G10" s="242" t="s">
        <v>504</v>
      </c>
      <c r="H10" s="76">
        <f>IFERROR(VLOOKUP(A10,BMPs!$C$2:$J$64,HLOOKUP(G10,BMPs!$F$72:$I$73,2,FALSE),FALSE),0)</f>
        <v>0.4</v>
      </c>
      <c r="I10" s="97"/>
      <c r="J10" s="97"/>
      <c r="K10" s="99">
        <f>$C$50*(D10*'Watershed Data'!$D$23+(C10-D10)*VLOOKUP(G10,'Watershed Data'!$A$19:$E$22,5,FALSE))*3630</f>
        <v>172.45021758265418</v>
      </c>
      <c r="L10" s="37">
        <f t="shared" si="0"/>
        <v>5.6948678226812066E-6</v>
      </c>
      <c r="M10" s="30">
        <f>BMPs!$M$8*BMPs!$M$12</f>
        <v>1.08</v>
      </c>
      <c r="N10" s="108">
        <f t="shared" si="6"/>
        <v>0.6</v>
      </c>
      <c r="O10" s="39">
        <f t="shared" si="1"/>
        <v>0.4</v>
      </c>
      <c r="P10" s="99">
        <f t="shared" si="2"/>
        <v>5.7881523457437893</v>
      </c>
      <c r="Q10" s="116">
        <f t="shared" si="3"/>
        <v>0</v>
      </c>
      <c r="R10" s="99">
        <f t="shared" si="4"/>
        <v>5.7881523457437893</v>
      </c>
      <c r="T10" s="76">
        <f>IFERROR(VLOOKUP(J10,BMPs!$C$3:$F$69,3,FALSE),0)</f>
        <v>0</v>
      </c>
      <c r="U10" s="76">
        <f>IFERROR(VLOOKUP(J10,BMPs!$C$3:$F$69,5,FALSE),0)</f>
        <v>0</v>
      </c>
      <c r="V10" s="117">
        <f t="shared" si="7"/>
        <v>0</v>
      </c>
      <c r="W10" s="37">
        <f>IFERROR((D10*'Watershed Data'!$D$21+E10*'Watershed Data'!$E$21)/('LandUse-LandCover'!$E$30*'Watershed Data'!$D$23+'LandUse-LandCover'!$F$30*'Watershed Data'!$E$23),0)*BMPs!$M$6*BMPs!$M$8*BMPs!$M$12</f>
        <v>5.5346020744057712E-6</v>
      </c>
      <c r="X10" s="30">
        <f t="shared" si="5"/>
        <v>0</v>
      </c>
    </row>
    <row r="11" spans="1:24" x14ac:dyDescent="0.25">
      <c r="A11" t="str">
        <f>+BMPs!C11</f>
        <v>MSGW</v>
      </c>
      <c r="B11" t="str">
        <f>+BMPs!D11</f>
        <v>Submerged Gravel Wetland</v>
      </c>
      <c r="C11" s="116">
        <f>Scenarios!G11</f>
        <v>0</v>
      </c>
      <c r="D11" s="116">
        <f>Scenarios!H11</f>
        <v>0</v>
      </c>
      <c r="E11" s="30">
        <f t="shared" si="8"/>
        <v>0</v>
      </c>
      <c r="F11" s="76">
        <f>BMPs!E11</f>
        <v>0</v>
      </c>
      <c r="G11" s="242" t="s">
        <v>504</v>
      </c>
      <c r="H11" s="76">
        <f>IFERROR(VLOOKUP(A11,BMPs!$C$2:$J$64,HLOOKUP(G11,BMPs!$F$72:$I$73,2,FALSE),FALSE),0)</f>
        <v>0</v>
      </c>
      <c r="I11" s="97"/>
      <c r="J11" s="97"/>
      <c r="K11" s="99">
        <f>$C$50*(D11*'Watershed Data'!$D$23+(C11-D11)*VLOOKUP(G11,'Watershed Data'!$A$19:$E$22,5,FALSE))*3630</f>
        <v>0</v>
      </c>
      <c r="L11" s="37">
        <f t="shared" si="0"/>
        <v>0</v>
      </c>
      <c r="M11" s="30">
        <f>BMPs!$M$8*BMPs!$M$12</f>
        <v>1.08</v>
      </c>
      <c r="N11" s="108">
        <f t="shared" si="6"/>
        <v>1</v>
      </c>
      <c r="O11" s="39">
        <f t="shared" si="1"/>
        <v>0</v>
      </c>
      <c r="P11" s="99">
        <f t="shared" si="2"/>
        <v>0</v>
      </c>
      <c r="Q11" s="116">
        <f t="shared" si="3"/>
        <v>0</v>
      </c>
      <c r="R11" s="99">
        <f t="shared" si="4"/>
        <v>0</v>
      </c>
      <c r="T11" s="76">
        <f>IFERROR(VLOOKUP(J11,BMPs!$C$3:$F$69,3,FALSE),0)</f>
        <v>0</v>
      </c>
      <c r="U11" s="76">
        <f>IFERROR(VLOOKUP(J11,BMPs!$C$3:$F$69,5,FALSE),0)</f>
        <v>0</v>
      </c>
      <c r="V11" s="117">
        <f t="shared" si="7"/>
        <v>0</v>
      </c>
      <c r="W11" s="37">
        <f>IFERROR((D11*'Watershed Data'!$D$21+E11*'Watershed Data'!$E$21)/('LandUse-LandCover'!$E$30*'Watershed Data'!$D$23+'LandUse-LandCover'!$F$30*'Watershed Data'!$E$23),0)*BMPs!$M$6*BMPs!$M$8*BMPs!$M$12</f>
        <v>0</v>
      </c>
      <c r="X11" s="30">
        <f t="shared" si="5"/>
        <v>0</v>
      </c>
    </row>
    <row r="12" spans="1:24" x14ac:dyDescent="0.25">
      <c r="A12" t="str">
        <f>+BMPs!C12</f>
        <v>MILS</v>
      </c>
      <c r="B12" t="str">
        <f>+BMPs!D12</f>
        <v>Landscape Infiltration</v>
      </c>
      <c r="C12" s="116">
        <f>Scenarios!G12</f>
        <v>0</v>
      </c>
      <c r="D12" s="116">
        <f>Scenarios!H12</f>
        <v>0</v>
      </c>
      <c r="E12" s="30">
        <f t="shared" si="8"/>
        <v>0</v>
      </c>
      <c r="F12" s="76">
        <f>BMPs!E12</f>
        <v>0.85</v>
      </c>
      <c r="G12" s="242" t="s">
        <v>504</v>
      </c>
      <c r="H12" s="76">
        <f>IFERROR(VLOOKUP(A12,BMPs!$C$2:$J$64,HLOOKUP(G12,BMPs!$F$72:$I$73,2,FALSE),FALSE),0)</f>
        <v>0.5</v>
      </c>
      <c r="I12" s="97"/>
      <c r="J12" s="97"/>
      <c r="K12" s="99">
        <f>$C$50*(D12*'Watershed Data'!$D$23+(C12-D12)*VLOOKUP(G12,'Watershed Data'!$A$19:$E$22,5,FALSE))*3630</f>
        <v>0</v>
      </c>
      <c r="L12" s="37">
        <f t="shared" si="0"/>
        <v>0</v>
      </c>
      <c r="M12" s="30">
        <f>BMPs!$M$8*BMPs!$M$12</f>
        <v>1.08</v>
      </c>
      <c r="N12" s="108">
        <f t="shared" si="6"/>
        <v>0.5</v>
      </c>
      <c r="O12" s="39">
        <f t="shared" si="1"/>
        <v>0.92500000000000004</v>
      </c>
      <c r="P12" s="99">
        <f t="shared" si="2"/>
        <v>0</v>
      </c>
      <c r="Q12" s="116">
        <f t="shared" si="3"/>
        <v>0</v>
      </c>
      <c r="R12" s="99">
        <f t="shared" si="4"/>
        <v>0</v>
      </c>
      <c r="T12" s="76">
        <f>IFERROR(VLOOKUP(J12,BMPs!$C$3:$F$69,3,FALSE),0)</f>
        <v>0</v>
      </c>
      <c r="U12" s="76">
        <f>IFERROR(VLOOKUP(J12,BMPs!$C$3:$F$69,5,FALSE),0)</f>
        <v>0</v>
      </c>
      <c r="V12" s="117">
        <f t="shared" si="7"/>
        <v>0</v>
      </c>
      <c r="W12" s="37">
        <f>IFERROR((D12*'Watershed Data'!$D$21+E12*'Watershed Data'!$E$21)/('LandUse-LandCover'!$E$30*'Watershed Data'!$D$23+'LandUse-LandCover'!$F$30*'Watershed Data'!$E$23),0)*BMPs!$M$6*BMPs!$M$8*BMPs!$M$12</f>
        <v>0</v>
      </c>
      <c r="X12" s="30">
        <f t="shared" si="5"/>
        <v>0</v>
      </c>
    </row>
    <row r="13" spans="1:24" x14ac:dyDescent="0.25">
      <c r="A13" t="str">
        <f>+BMPs!C13</f>
        <v>MIBR</v>
      </c>
      <c r="B13" t="str">
        <f>+BMPs!D13</f>
        <v>Infiltration Berm</v>
      </c>
      <c r="C13" s="116">
        <f>Scenarios!G13</f>
        <v>0</v>
      </c>
      <c r="D13" s="116">
        <f>Scenarios!H13</f>
        <v>0</v>
      </c>
      <c r="E13" s="30">
        <f t="shared" si="8"/>
        <v>0</v>
      </c>
      <c r="F13" s="76">
        <f>BMPs!E13</f>
        <v>0.85</v>
      </c>
      <c r="G13" s="242" t="s">
        <v>504</v>
      </c>
      <c r="H13" s="76">
        <f>IFERROR(VLOOKUP(A13,BMPs!$C$2:$J$64,HLOOKUP(G13,BMPs!$F$72:$I$73,2,FALSE),FALSE),0)</f>
        <v>0.5</v>
      </c>
      <c r="I13" s="97"/>
      <c r="J13" s="97"/>
      <c r="K13" s="99">
        <f>$C$50*(D13*'Watershed Data'!$D$23+(C13-D13)*VLOOKUP(G13,'Watershed Data'!$A$19:$E$22,5,FALSE))*3630</f>
        <v>0</v>
      </c>
      <c r="L13" s="37">
        <f t="shared" si="0"/>
        <v>0</v>
      </c>
      <c r="M13" s="30">
        <f>BMPs!$M$8*BMPs!$M$12</f>
        <v>1.08</v>
      </c>
      <c r="N13" s="108">
        <f t="shared" si="6"/>
        <v>0.5</v>
      </c>
      <c r="O13" s="39">
        <f t="shared" si="1"/>
        <v>0.92500000000000004</v>
      </c>
      <c r="P13" s="99">
        <f t="shared" si="2"/>
        <v>0</v>
      </c>
      <c r="Q13" s="116">
        <f t="shared" si="3"/>
        <v>0</v>
      </c>
      <c r="R13" s="99">
        <f t="shared" si="4"/>
        <v>0</v>
      </c>
      <c r="T13" s="76">
        <f>IFERROR(VLOOKUP(J13,BMPs!$C$3:$F$69,3,FALSE),0)</f>
        <v>0</v>
      </c>
      <c r="U13" s="76">
        <f>IFERROR(VLOOKUP(J13,BMPs!$C$3:$F$69,5,FALSE),0)</f>
        <v>0</v>
      </c>
      <c r="V13" s="117">
        <f t="shared" si="7"/>
        <v>0</v>
      </c>
      <c r="W13" s="37">
        <f>IFERROR((D13*'Watershed Data'!$D$21+E13*'Watershed Data'!$E$21)/('LandUse-LandCover'!$E$30*'Watershed Data'!$D$23+'LandUse-LandCover'!$F$30*'Watershed Data'!$E$23),0)*BMPs!$M$6*BMPs!$M$8*BMPs!$M$12</f>
        <v>0</v>
      </c>
      <c r="X13" s="30">
        <f t="shared" si="5"/>
        <v>0</v>
      </c>
    </row>
    <row r="14" spans="1:24" x14ac:dyDescent="0.25">
      <c r="A14" t="str">
        <f>+BMPs!C14</f>
        <v>MIDW</v>
      </c>
      <c r="B14" t="str">
        <f>+BMPs!D14</f>
        <v>Dry Well</v>
      </c>
      <c r="C14" s="116">
        <f>Scenarios!G14</f>
        <v>0</v>
      </c>
      <c r="D14" s="116">
        <f>Scenarios!H14</f>
        <v>0</v>
      </c>
      <c r="E14" s="30">
        <f t="shared" si="8"/>
        <v>0</v>
      </c>
      <c r="F14" s="76">
        <f>BMPs!E14</f>
        <v>0.85</v>
      </c>
      <c r="G14" s="242" t="s">
        <v>504</v>
      </c>
      <c r="H14" s="76">
        <f>IFERROR(VLOOKUP(A14,BMPs!$C$2:$J$64,HLOOKUP(G14,BMPs!$F$72:$I$73,2,FALSE),FALSE),0)</f>
        <v>0.5</v>
      </c>
      <c r="I14" s="97"/>
      <c r="J14" s="97"/>
      <c r="K14" s="99">
        <f>$C$50*(D14*'Watershed Data'!$D$23+(C14-D14)*VLOOKUP(G14,'Watershed Data'!$A$19:$E$22,5,FALSE))*3630</f>
        <v>0</v>
      </c>
      <c r="L14" s="37">
        <f t="shared" si="0"/>
        <v>0</v>
      </c>
      <c r="M14" s="30">
        <f>BMPs!$M$8*BMPs!$M$12</f>
        <v>1.08</v>
      </c>
      <c r="N14" s="108">
        <f t="shared" si="6"/>
        <v>0.5</v>
      </c>
      <c r="O14" s="39">
        <f t="shared" si="1"/>
        <v>0.92500000000000004</v>
      </c>
      <c r="P14" s="99">
        <f t="shared" si="2"/>
        <v>0</v>
      </c>
      <c r="Q14" s="116">
        <f t="shared" si="3"/>
        <v>0</v>
      </c>
      <c r="R14" s="99">
        <f t="shared" si="4"/>
        <v>0</v>
      </c>
      <c r="T14" s="76">
        <f>IFERROR(VLOOKUP(J14,BMPs!$C$3:$F$69,3,FALSE),0)</f>
        <v>0</v>
      </c>
      <c r="U14" s="76">
        <f>IFERROR(VLOOKUP(J14,BMPs!$C$3:$F$69,5,FALSE),0)</f>
        <v>0</v>
      </c>
      <c r="V14" s="117">
        <f t="shared" si="7"/>
        <v>0</v>
      </c>
      <c r="W14" s="37">
        <f>IFERROR((D14*'Watershed Data'!$D$21+E14*'Watershed Data'!$E$21)/('LandUse-LandCover'!$E$30*'Watershed Data'!$D$23+'LandUse-LandCover'!$F$30*'Watershed Data'!$E$23),0)*BMPs!$M$6*BMPs!$M$8*BMPs!$M$12</f>
        <v>0</v>
      </c>
      <c r="X14" s="30">
        <f t="shared" si="5"/>
        <v>0</v>
      </c>
    </row>
    <row r="15" spans="1:24" x14ac:dyDescent="0.25">
      <c r="A15" t="str">
        <f>+BMPs!C15</f>
        <v>MMBR</v>
      </c>
      <c r="B15" t="str">
        <f>+BMPs!D15</f>
        <v>Micro-Bioretention</v>
      </c>
      <c r="C15" s="116">
        <f>Scenarios!G15</f>
        <v>4.42</v>
      </c>
      <c r="D15" s="116">
        <f>Scenarios!H15</f>
        <v>2.9699999999999998</v>
      </c>
      <c r="E15" s="30">
        <f t="shared" si="8"/>
        <v>1.4500000000000002</v>
      </c>
      <c r="F15" s="76">
        <f>BMPs!E15</f>
        <v>0.5</v>
      </c>
      <c r="G15" s="242" t="s">
        <v>504</v>
      </c>
      <c r="H15" s="76">
        <f>IFERROR(VLOOKUP(A15,BMPs!$C$2:$J$64,HLOOKUP(G15,BMPs!$F$72:$I$73,2,FALSE),FALSE),0)</f>
        <v>0.4</v>
      </c>
      <c r="I15" s="97"/>
      <c r="J15" s="97"/>
      <c r="K15" s="99">
        <f>$C$50*(D15*'Watershed Data'!$D$23+(C15-D15)*VLOOKUP(G15,'Watershed Data'!$A$19:$E$22,5,FALSE))*3630</f>
        <v>11401.512924409655</v>
      </c>
      <c r="L15" s="37">
        <f t="shared" si="0"/>
        <v>3.7651508935895606E-4</v>
      </c>
      <c r="M15" s="30">
        <f>BMPs!$M$8*BMPs!$M$12</f>
        <v>1.08</v>
      </c>
      <c r="N15" s="108">
        <f t="shared" si="6"/>
        <v>0.6</v>
      </c>
      <c r="O15" s="39">
        <f t="shared" si="1"/>
        <v>0.7</v>
      </c>
      <c r="P15" s="99">
        <f t="shared" si="2"/>
        <v>669.69451086331196</v>
      </c>
      <c r="Q15" s="116">
        <f t="shared" si="3"/>
        <v>0</v>
      </c>
      <c r="R15" s="99">
        <f t="shared" si="4"/>
        <v>669.69451086331196</v>
      </c>
      <c r="T15" s="76">
        <f>IFERROR(VLOOKUP(J15,BMPs!$C$3:$F$69,3,FALSE),0)</f>
        <v>0</v>
      </c>
      <c r="U15" s="76">
        <f>IFERROR(VLOOKUP(J15,BMPs!$C$3:$F$69,5,FALSE),0)</f>
        <v>0</v>
      </c>
      <c r="V15" s="117">
        <f t="shared" si="7"/>
        <v>0</v>
      </c>
      <c r="W15" s="37">
        <f>IFERROR((D15*'Watershed Data'!$D$21+E15*'Watershed Data'!$E$21)/('LandUse-LandCover'!$E$30*'Watershed Data'!$D$23+'LandUse-LandCover'!$F$30*'Watershed Data'!$E$23),0)*BMPs!$M$6*BMPs!$M$8*BMPs!$M$12</f>
        <v>3.6592458557202783E-4</v>
      </c>
      <c r="X15" s="30">
        <f t="shared" si="5"/>
        <v>0</v>
      </c>
    </row>
    <row r="16" spans="1:24" x14ac:dyDescent="0.25">
      <c r="A16" t="str">
        <f>+BMPs!C16</f>
        <v>MRNG</v>
      </c>
      <c r="B16" t="str">
        <f>+BMPs!D16</f>
        <v>Rain Gardens</v>
      </c>
      <c r="C16" s="116">
        <f>Scenarios!G16</f>
        <v>0</v>
      </c>
      <c r="D16" s="116">
        <f>Scenarios!H16</f>
        <v>0</v>
      </c>
      <c r="E16" s="30">
        <f t="shared" si="8"/>
        <v>0</v>
      </c>
      <c r="F16" s="76">
        <f>BMPs!E16</f>
        <v>0.5</v>
      </c>
      <c r="G16" s="242" t="s">
        <v>504</v>
      </c>
      <c r="H16" s="76">
        <f>IFERROR(VLOOKUP(A16,BMPs!$C$2:$J$64,HLOOKUP(G16,BMPs!$F$72:$I$73,2,FALSE),FALSE),0)</f>
        <v>0.4</v>
      </c>
      <c r="I16" s="97"/>
      <c r="J16" s="97"/>
      <c r="K16" s="99">
        <f>$C$50*(D16*'Watershed Data'!$D$23+(C16-D16)*VLOOKUP(G16,'Watershed Data'!$A$19:$E$22,5,FALSE))*3630</f>
        <v>0</v>
      </c>
      <c r="L16" s="37">
        <f t="shared" si="0"/>
        <v>0</v>
      </c>
      <c r="M16" s="30">
        <f>BMPs!$M$8*BMPs!$M$12</f>
        <v>1.08</v>
      </c>
      <c r="N16" s="108">
        <f t="shared" si="6"/>
        <v>0.6</v>
      </c>
      <c r="O16" s="39">
        <f t="shared" si="1"/>
        <v>0.7</v>
      </c>
      <c r="P16" s="99">
        <f t="shared" si="2"/>
        <v>0</v>
      </c>
      <c r="Q16" s="116">
        <f t="shared" si="3"/>
        <v>0</v>
      </c>
      <c r="R16" s="99">
        <f t="shared" si="4"/>
        <v>0</v>
      </c>
      <c r="T16" s="76">
        <f>IFERROR(VLOOKUP(J16,BMPs!$C$3:$F$69,3,FALSE),0)</f>
        <v>0</v>
      </c>
      <c r="U16" s="76">
        <f>IFERROR(VLOOKUP(J16,BMPs!$C$3:$F$69,5,FALSE),0)</f>
        <v>0</v>
      </c>
      <c r="V16" s="117">
        <f t="shared" si="7"/>
        <v>0</v>
      </c>
      <c r="W16" s="37">
        <f>IFERROR((D16*'Watershed Data'!$D$21+E16*'Watershed Data'!$E$21)/('LandUse-LandCover'!$E$30*'Watershed Data'!$D$23+'LandUse-LandCover'!$F$30*'Watershed Data'!$E$23),0)*BMPs!$M$6*BMPs!$M$8*BMPs!$M$12</f>
        <v>0</v>
      </c>
      <c r="X16" s="30">
        <f t="shared" si="5"/>
        <v>0</v>
      </c>
    </row>
    <row r="17" spans="1:27" x14ac:dyDescent="0.25">
      <c r="A17" t="str">
        <f>+BMPs!C17</f>
        <v>MSWG</v>
      </c>
      <c r="B17" t="str">
        <f>+BMPs!D17</f>
        <v>Grass Swale</v>
      </c>
      <c r="C17" s="116">
        <f>Scenarios!G17</f>
        <v>0</v>
      </c>
      <c r="D17" s="116">
        <f>Scenarios!H17</f>
        <v>0</v>
      </c>
      <c r="E17" s="30">
        <f t="shared" si="8"/>
        <v>0</v>
      </c>
      <c r="F17" s="76">
        <f>BMPs!E17</f>
        <v>0</v>
      </c>
      <c r="G17" s="242" t="s">
        <v>504</v>
      </c>
      <c r="H17" s="76">
        <f>IFERROR(VLOOKUP(A17,BMPs!$C$2:$J$64,HLOOKUP(G17,BMPs!$F$72:$I$73,2,FALSE),FALSE),0)</f>
        <v>0.1</v>
      </c>
      <c r="I17" s="97"/>
      <c r="J17" s="97"/>
      <c r="K17" s="99">
        <f>$C$50*(D17*'Watershed Data'!$D$23+(C17-D17)*VLOOKUP(G17,'Watershed Data'!$A$19:$E$22,5,FALSE))*3630</f>
        <v>0</v>
      </c>
      <c r="L17" s="37">
        <f t="shared" si="0"/>
        <v>0</v>
      </c>
      <c r="M17" s="30">
        <f>BMPs!$M$8*BMPs!$M$12</f>
        <v>1.08</v>
      </c>
      <c r="N17" s="108">
        <f t="shared" si="6"/>
        <v>0.9</v>
      </c>
      <c r="O17" s="39">
        <f t="shared" si="1"/>
        <v>0.1</v>
      </c>
      <c r="P17" s="99">
        <f t="shared" si="2"/>
        <v>0</v>
      </c>
      <c r="Q17" s="116">
        <f t="shared" si="3"/>
        <v>0</v>
      </c>
      <c r="R17" s="99">
        <f t="shared" si="4"/>
        <v>0</v>
      </c>
      <c r="T17" s="76">
        <f>IFERROR(VLOOKUP(J17,BMPs!$C$3:$F$69,3,FALSE),0)</f>
        <v>0</v>
      </c>
      <c r="U17" s="76">
        <f>IFERROR(VLOOKUP(J17,BMPs!$C$3:$F$69,5,FALSE),0)</f>
        <v>0</v>
      </c>
      <c r="V17" s="117">
        <f t="shared" si="7"/>
        <v>0</v>
      </c>
      <c r="W17" s="37">
        <f>IFERROR((D17*'Watershed Data'!$D$21+E17*'Watershed Data'!$E$21)/('LandUse-LandCover'!$E$30*'Watershed Data'!$D$23+'LandUse-LandCover'!$F$30*'Watershed Data'!$E$23),0)*BMPs!$M$6*BMPs!$M$8*BMPs!$M$12</f>
        <v>0</v>
      </c>
      <c r="X17" s="30">
        <f t="shared" si="5"/>
        <v>0</v>
      </c>
    </row>
    <row r="18" spans="1:27" x14ac:dyDescent="0.25">
      <c r="A18" t="str">
        <f>+BMPs!C18</f>
        <v>MSWW</v>
      </c>
      <c r="B18" t="str">
        <f>+BMPs!D18</f>
        <v>Wet Swale</v>
      </c>
      <c r="C18" s="116">
        <f>Scenarios!G18</f>
        <v>0</v>
      </c>
      <c r="D18" s="116">
        <f>Scenarios!H18</f>
        <v>0</v>
      </c>
      <c r="E18" s="30">
        <f t="shared" si="8"/>
        <v>0</v>
      </c>
      <c r="F18" s="76">
        <f>BMPs!E18</f>
        <v>0</v>
      </c>
      <c r="G18" s="242" t="s">
        <v>504</v>
      </c>
      <c r="H18" s="76">
        <f>IFERROR(VLOOKUP(A18,BMPs!$C$2:$J$64,HLOOKUP(G18,BMPs!$F$72:$I$73,2,FALSE),FALSE),0)</f>
        <v>0</v>
      </c>
      <c r="I18" s="97"/>
      <c r="J18" s="97"/>
      <c r="K18" s="99">
        <f>$C$50*(D18*'Watershed Data'!$D$23+(C18-D18)*VLOOKUP(G18,'Watershed Data'!$A$19:$E$22,5,FALSE))*3630</f>
        <v>0</v>
      </c>
      <c r="L18" s="37">
        <f t="shared" si="0"/>
        <v>0</v>
      </c>
      <c r="M18" s="30">
        <f>BMPs!$M$8*BMPs!$M$12</f>
        <v>1.08</v>
      </c>
      <c r="N18" s="108">
        <f t="shared" si="6"/>
        <v>1</v>
      </c>
      <c r="O18" s="39">
        <f t="shared" si="1"/>
        <v>0</v>
      </c>
      <c r="P18" s="99">
        <f t="shared" si="2"/>
        <v>0</v>
      </c>
      <c r="Q18" s="116">
        <f t="shared" si="3"/>
        <v>0</v>
      </c>
      <c r="R18" s="99">
        <f t="shared" si="4"/>
        <v>0</v>
      </c>
      <c r="T18" s="76">
        <f>IFERROR(VLOOKUP(J18,BMPs!$C$3:$F$69,3,FALSE),0)</f>
        <v>0</v>
      </c>
      <c r="U18" s="76">
        <f>IFERROR(VLOOKUP(J18,BMPs!$C$3:$F$69,5,FALSE),0)</f>
        <v>0</v>
      </c>
      <c r="V18" s="117">
        <f t="shared" si="7"/>
        <v>0</v>
      </c>
      <c r="W18" s="37">
        <f>IFERROR((D18*'Watershed Data'!$D$21+E18*'Watershed Data'!$E$21)/('LandUse-LandCover'!$E$30*'Watershed Data'!$D$23+'LandUse-LandCover'!$F$30*'Watershed Data'!$E$23),0)*BMPs!$M$6*BMPs!$M$8*BMPs!$M$12</f>
        <v>0</v>
      </c>
      <c r="X18" s="30">
        <f t="shared" si="5"/>
        <v>0</v>
      </c>
    </row>
    <row r="19" spans="1:27" x14ac:dyDescent="0.25">
      <c r="A19" t="str">
        <f>+BMPs!C19</f>
        <v>MSWB</v>
      </c>
      <c r="B19" t="str">
        <f>+BMPs!D19</f>
        <v>Bio-Swale</v>
      </c>
      <c r="C19" s="116">
        <f>Scenarios!G19</f>
        <v>0</v>
      </c>
      <c r="D19" s="116">
        <f>Scenarios!H19</f>
        <v>0</v>
      </c>
      <c r="E19" s="30">
        <f t="shared" si="8"/>
        <v>0</v>
      </c>
      <c r="F19" s="76">
        <f>BMPs!E19</f>
        <v>0</v>
      </c>
      <c r="G19" s="242" t="s">
        <v>504</v>
      </c>
      <c r="H19" s="76">
        <f>IFERROR(VLOOKUP(A19,BMPs!$C$2:$J$64,HLOOKUP(G19,BMPs!$F$72:$I$73,2,FALSE),FALSE),0)</f>
        <v>0.4</v>
      </c>
      <c r="I19" s="97"/>
      <c r="J19" s="97"/>
      <c r="K19" s="99">
        <f>$C$50*(D19*'Watershed Data'!$D$23+(C19-D19)*VLOOKUP(G19,'Watershed Data'!$A$19:$E$22,5,FALSE))*3630</f>
        <v>0</v>
      </c>
      <c r="L19" s="37">
        <f t="shared" si="0"/>
        <v>0</v>
      </c>
      <c r="M19" s="30">
        <f>BMPs!$M$8*BMPs!$M$12</f>
        <v>1.08</v>
      </c>
      <c r="N19" s="108">
        <f t="shared" si="6"/>
        <v>0.6</v>
      </c>
      <c r="O19" s="39">
        <f t="shared" si="1"/>
        <v>0.4</v>
      </c>
      <c r="P19" s="99">
        <f t="shared" si="2"/>
        <v>0</v>
      </c>
      <c r="Q19" s="116">
        <f t="shared" si="3"/>
        <v>0</v>
      </c>
      <c r="R19" s="99">
        <f t="shared" si="4"/>
        <v>0</v>
      </c>
      <c r="T19" s="76">
        <f>IFERROR(VLOOKUP(J19,BMPs!$C$3:$F$69,3,FALSE),0)</f>
        <v>0</v>
      </c>
      <c r="U19" s="76">
        <f>IFERROR(VLOOKUP(J19,BMPs!$C$3:$F$69,5,FALSE),0)</f>
        <v>0</v>
      </c>
      <c r="V19" s="117">
        <f t="shared" si="7"/>
        <v>0</v>
      </c>
      <c r="W19" s="37">
        <f>IFERROR((D19*'Watershed Data'!$D$21+E19*'Watershed Data'!$E$21)/('LandUse-LandCover'!$E$30*'Watershed Data'!$D$23+'LandUse-LandCover'!$F$30*'Watershed Data'!$E$23),0)*BMPs!$M$6*BMPs!$M$8*BMPs!$M$12</f>
        <v>0</v>
      </c>
      <c r="X19" s="30">
        <f t="shared" si="5"/>
        <v>0</v>
      </c>
    </row>
    <row r="20" spans="1:27" x14ac:dyDescent="0.25">
      <c r="A20" t="str">
        <f>+BMPs!C20</f>
        <v>MENF</v>
      </c>
      <c r="B20" t="str">
        <f>+BMPs!D20</f>
        <v>Enhanced Filters</v>
      </c>
      <c r="C20" s="116">
        <f>Scenarios!G20</f>
        <v>0</v>
      </c>
      <c r="D20" s="116">
        <f>Scenarios!H20</f>
        <v>0</v>
      </c>
      <c r="E20" s="30">
        <f t="shared" si="8"/>
        <v>0</v>
      </c>
      <c r="F20" s="76">
        <f>BMPs!E20</f>
        <v>0</v>
      </c>
      <c r="G20" s="242" t="s">
        <v>504</v>
      </c>
      <c r="H20" s="76">
        <f>IFERROR(VLOOKUP(A20,BMPs!$C$2:$J$64,HLOOKUP(G20,BMPs!$F$72:$I$73,2,FALSE),FALSE),0)</f>
        <v>0</v>
      </c>
      <c r="I20" s="97"/>
      <c r="J20" s="97"/>
      <c r="K20" s="99">
        <f>$C$50*(D20*'Watershed Data'!$D$23+(C20-D20)*VLOOKUP(G20,'Watershed Data'!$A$19:$E$22,5,FALSE))*3630</f>
        <v>0</v>
      </c>
      <c r="L20" s="37">
        <f t="shared" si="0"/>
        <v>0</v>
      </c>
      <c r="M20" s="30">
        <f>BMPs!$M$8*BMPs!$M$12</f>
        <v>1.08</v>
      </c>
      <c r="N20" s="108">
        <f t="shared" si="6"/>
        <v>1</v>
      </c>
      <c r="O20" s="39">
        <f t="shared" si="1"/>
        <v>0</v>
      </c>
      <c r="P20" s="99">
        <f t="shared" si="2"/>
        <v>0</v>
      </c>
      <c r="Q20" s="116">
        <f t="shared" si="3"/>
        <v>0</v>
      </c>
      <c r="R20" s="99">
        <f t="shared" si="4"/>
        <v>0</v>
      </c>
      <c r="T20" s="76">
        <f>IFERROR(VLOOKUP(J20,BMPs!$C$3:$F$69,3,FALSE),0)</f>
        <v>0</v>
      </c>
      <c r="U20" s="76">
        <f>IFERROR(VLOOKUP(J20,BMPs!$C$3:$F$69,5,FALSE),0)</f>
        <v>0</v>
      </c>
      <c r="V20" s="117">
        <f t="shared" si="7"/>
        <v>0</v>
      </c>
      <c r="W20" s="37">
        <f>IFERROR((D20*'Watershed Data'!$D$21+E20*'Watershed Data'!$E$21)/('LandUse-LandCover'!$E$30*'Watershed Data'!$D$23+'LandUse-LandCover'!$F$30*'Watershed Data'!$E$23),0)*BMPs!$M$6*BMPs!$M$8*BMPs!$M$12</f>
        <v>0</v>
      </c>
      <c r="X20" s="30">
        <f t="shared" si="5"/>
        <v>0</v>
      </c>
    </row>
    <row r="21" spans="1:27" x14ac:dyDescent="0.25">
      <c r="A21" t="str">
        <f>+BMPs!C21</f>
        <v>FBIO</v>
      </c>
      <c r="B21" t="str">
        <f>+BMPs!D21</f>
        <v>Bioretention</v>
      </c>
      <c r="C21" s="116">
        <f>Scenarios!G21</f>
        <v>6.4</v>
      </c>
      <c r="D21" s="116">
        <f>Scenarios!H21</f>
        <v>1.7</v>
      </c>
      <c r="E21" s="30">
        <f t="shared" si="8"/>
        <v>4.7</v>
      </c>
      <c r="F21" s="76">
        <f>BMPs!E21</f>
        <v>0.5</v>
      </c>
      <c r="G21" s="242" t="s">
        <v>504</v>
      </c>
      <c r="H21" s="76">
        <f>IFERROR(VLOOKUP(A21,BMPs!$C$2:$J$64,HLOOKUP(G21,BMPs!$F$72:$I$73,2,FALSE),FALSE),0)</f>
        <v>0.4</v>
      </c>
      <c r="I21" s="97"/>
      <c r="J21" s="97"/>
      <c r="K21" s="99">
        <f>$C$50*(D21*'Watershed Data'!$D$23+(C21-D21)*VLOOKUP(G21,'Watershed Data'!$A$19:$E$22,5,FALSE))*3630</f>
        <v>9616.7273978102403</v>
      </c>
      <c r="L21" s="37">
        <f t="shared" si="0"/>
        <v>3.1757565855802621E-4</v>
      </c>
      <c r="M21" s="30">
        <f>BMPs!$M$8*BMPs!$M$12</f>
        <v>1.08</v>
      </c>
      <c r="N21" s="108">
        <f t="shared" si="6"/>
        <v>0.6</v>
      </c>
      <c r="O21" s="39">
        <f t="shared" si="1"/>
        <v>0.7</v>
      </c>
      <c r="P21" s="99">
        <f t="shared" si="2"/>
        <v>564.86096130227395</v>
      </c>
      <c r="Q21" s="116">
        <f>+X21</f>
        <v>0</v>
      </c>
      <c r="R21" s="99">
        <f t="shared" si="4"/>
        <v>564.86096130227395</v>
      </c>
      <c r="T21" s="76">
        <f>IFERROR(VLOOKUP(J21,BMPs!$C$3:$F$69,3,FALSE),0)</f>
        <v>0</v>
      </c>
      <c r="U21" s="76">
        <f>IFERROR(VLOOKUP(J21,BMPs!$C$3:$F$69,5,FALSE),0)</f>
        <v>0</v>
      </c>
      <c r="V21" s="117">
        <f t="shared" si="7"/>
        <v>0</v>
      </c>
      <c r="W21" s="37">
        <f>IFERROR((D21*'Watershed Data'!$D$21+E21*'Watershed Data'!$E$21)/('LandUse-LandCover'!$E$30*'Watershed Data'!$D$23+'LandUse-LandCover'!$F$30*'Watershed Data'!$E$23),0)*BMPs!$M$6*BMPs!$M$8*BMPs!$M$12</f>
        <v>3.0865601884422922E-4</v>
      </c>
      <c r="X21" s="30">
        <f t="shared" si="5"/>
        <v>0</v>
      </c>
      <c r="Y21" s="2"/>
      <c r="Z21" s="2"/>
      <c r="AA21" s="2"/>
    </row>
    <row r="22" spans="1:27" x14ac:dyDescent="0.25">
      <c r="A22" t="str">
        <f>+BMPs!C22</f>
        <v>FSND</v>
      </c>
      <c r="B22" t="str">
        <f>+BMPs!D22</f>
        <v>Surface sand filter</v>
      </c>
      <c r="C22" s="116">
        <f>Scenarios!G22</f>
        <v>0</v>
      </c>
      <c r="D22" s="116">
        <f>Scenarios!H22</f>
        <v>0</v>
      </c>
      <c r="E22" s="30">
        <f t="shared" si="8"/>
        <v>0</v>
      </c>
      <c r="F22" s="76">
        <f>BMPs!E22</f>
        <v>0.8</v>
      </c>
      <c r="G22" s="242" t="s">
        <v>504</v>
      </c>
      <c r="H22" s="76">
        <f>IFERROR(VLOOKUP(A22,BMPs!$C$2:$J$64,HLOOKUP(G22,BMPs!$F$72:$I$73,2,FALSE),FALSE),0)</f>
        <v>0</v>
      </c>
      <c r="I22" s="97"/>
      <c r="J22" s="97"/>
      <c r="K22" s="99">
        <f>$C$50*(D22*'Watershed Data'!$D$23+(C22-D22)*VLOOKUP(G22,'Watershed Data'!$A$19:$E$22,5,FALSE))*3630</f>
        <v>0</v>
      </c>
      <c r="L22" s="37">
        <f t="shared" si="0"/>
        <v>0</v>
      </c>
      <c r="M22" s="30">
        <f>BMPs!$M$8*BMPs!$M$12</f>
        <v>1.08</v>
      </c>
      <c r="N22" s="108">
        <f t="shared" si="6"/>
        <v>1</v>
      </c>
      <c r="O22" s="39">
        <f t="shared" si="1"/>
        <v>0.8</v>
      </c>
      <c r="P22" s="99">
        <f t="shared" si="2"/>
        <v>0</v>
      </c>
      <c r="Q22" s="116">
        <f t="shared" ref="Q22:Q44" si="9">+X22</f>
        <v>0</v>
      </c>
      <c r="R22" s="99">
        <f t="shared" si="4"/>
        <v>0</v>
      </c>
      <c r="T22" s="76">
        <f>IFERROR(VLOOKUP(J22,BMPs!$C$3:$F$69,3,FALSE),0)</f>
        <v>0</v>
      </c>
      <c r="U22" s="76">
        <f>IFERROR(VLOOKUP(J22,BMPs!$C$3:$F$69,5,FALSE),0)</f>
        <v>0</v>
      </c>
      <c r="V22" s="117">
        <f t="shared" si="7"/>
        <v>0</v>
      </c>
      <c r="W22" s="37">
        <f>IFERROR((D22*'Watershed Data'!$D$21+E22*'Watershed Data'!$E$21)/('LandUse-LandCover'!$E$30*'Watershed Data'!$D$23+'LandUse-LandCover'!$F$30*'Watershed Data'!$E$23),0)*BMPs!$M$6*BMPs!$M$8*BMPs!$M$12</f>
        <v>0</v>
      </c>
      <c r="X22" s="30">
        <f t="shared" si="5"/>
        <v>0</v>
      </c>
    </row>
    <row r="23" spans="1:27" x14ac:dyDescent="0.25">
      <c r="A23" t="str">
        <f>+BMPs!C23</f>
        <v>FUND</v>
      </c>
      <c r="B23" t="str">
        <f>+BMPs!D23</f>
        <v>Underground sand filter</v>
      </c>
      <c r="C23" s="116">
        <f>Scenarios!G23</f>
        <v>0</v>
      </c>
      <c r="D23" s="116">
        <f>Scenarios!H23</f>
        <v>0</v>
      </c>
      <c r="E23" s="30">
        <f t="shared" si="8"/>
        <v>0</v>
      </c>
      <c r="F23" s="76">
        <f>BMPs!E23</f>
        <v>0.8</v>
      </c>
      <c r="G23" s="242" t="s">
        <v>504</v>
      </c>
      <c r="H23" s="76">
        <f>IFERROR(VLOOKUP(A23,BMPs!$C$2:$J$64,HLOOKUP(G23,BMPs!$F$72:$I$73,2,FALSE),FALSE),0)</f>
        <v>0</v>
      </c>
      <c r="I23" s="97"/>
      <c r="J23" s="97"/>
      <c r="K23" s="99">
        <f>$C$50*(D23*'Watershed Data'!$D$23+(C23-D23)*VLOOKUP(G23,'Watershed Data'!$A$19:$E$22,5,FALSE))*3630</f>
        <v>0</v>
      </c>
      <c r="L23" s="37">
        <f t="shared" si="0"/>
        <v>0</v>
      </c>
      <c r="M23" s="30">
        <f>BMPs!$M$8*BMPs!$M$12</f>
        <v>1.08</v>
      </c>
      <c r="N23" s="108">
        <f t="shared" si="6"/>
        <v>1</v>
      </c>
      <c r="O23" s="39">
        <f t="shared" si="1"/>
        <v>0.8</v>
      </c>
      <c r="P23" s="99">
        <f t="shared" si="2"/>
        <v>0</v>
      </c>
      <c r="Q23" s="116">
        <f t="shared" si="9"/>
        <v>0</v>
      </c>
      <c r="R23" s="99">
        <f t="shared" si="4"/>
        <v>0</v>
      </c>
      <c r="T23" s="76">
        <f>IFERROR(VLOOKUP(J23,BMPs!$C$3:$F$69,3,FALSE),0)</f>
        <v>0</v>
      </c>
      <c r="U23" s="76">
        <f>IFERROR(VLOOKUP(J23,BMPs!$C$3:$F$69,5,FALSE),0)</f>
        <v>0</v>
      </c>
      <c r="V23" s="117">
        <f t="shared" si="7"/>
        <v>0</v>
      </c>
      <c r="W23" s="37">
        <f>IFERROR((D23*'Watershed Data'!$D$21+E23*'Watershed Data'!$E$21)/('LandUse-LandCover'!$E$30*'Watershed Data'!$D$23+'LandUse-LandCover'!$F$30*'Watershed Data'!$E$23),0)*BMPs!$M$6*BMPs!$M$8*BMPs!$M$12</f>
        <v>0</v>
      </c>
      <c r="X23" s="30">
        <f t="shared" si="5"/>
        <v>0</v>
      </c>
    </row>
    <row r="24" spans="1:27" x14ac:dyDescent="0.25">
      <c r="A24" t="str">
        <f>+BMPs!C24</f>
        <v>FPER</v>
      </c>
      <c r="B24" t="str">
        <f>+BMPs!D24</f>
        <v>Perimeter (sand) filter</v>
      </c>
      <c r="C24" s="116">
        <f>Scenarios!G24</f>
        <v>0</v>
      </c>
      <c r="D24" s="116">
        <f>Scenarios!H24</f>
        <v>0</v>
      </c>
      <c r="E24" s="30">
        <f t="shared" si="8"/>
        <v>0</v>
      </c>
      <c r="F24" s="76">
        <f>BMPs!E24</f>
        <v>0.8</v>
      </c>
      <c r="G24" s="242" t="s">
        <v>504</v>
      </c>
      <c r="H24" s="76">
        <f>IFERROR(VLOOKUP(A24,BMPs!$C$2:$J$64,HLOOKUP(G24,BMPs!$F$72:$I$73,2,FALSE),FALSE),0)</f>
        <v>0</v>
      </c>
      <c r="I24" s="97"/>
      <c r="J24" s="97"/>
      <c r="K24" s="99">
        <f>$C$50*(D24*'Watershed Data'!$D$23+(C24-D24)*VLOOKUP(G24,'Watershed Data'!$A$19:$E$22,5,FALSE))*3630</f>
        <v>0</v>
      </c>
      <c r="L24" s="37">
        <f t="shared" si="0"/>
        <v>0</v>
      </c>
      <c r="M24" s="30">
        <f>BMPs!$M$8*BMPs!$M$12</f>
        <v>1.08</v>
      </c>
      <c r="N24" s="108">
        <f t="shared" si="6"/>
        <v>1</v>
      </c>
      <c r="O24" s="39">
        <f t="shared" si="1"/>
        <v>0.8</v>
      </c>
      <c r="P24" s="99">
        <f t="shared" si="2"/>
        <v>0</v>
      </c>
      <c r="Q24" s="116">
        <f t="shared" si="9"/>
        <v>0</v>
      </c>
      <c r="R24" s="99">
        <f t="shared" si="4"/>
        <v>0</v>
      </c>
      <c r="T24" s="76">
        <f>IFERROR(VLOOKUP(J24,BMPs!$C$3:$F$69,3,FALSE),0)</f>
        <v>0</v>
      </c>
      <c r="U24" s="76">
        <f>IFERROR(VLOOKUP(J24,BMPs!$C$3:$F$69,5,FALSE),0)</f>
        <v>0</v>
      </c>
      <c r="V24" s="117">
        <f t="shared" si="7"/>
        <v>0</v>
      </c>
      <c r="W24" s="37">
        <f>IFERROR((D24*'Watershed Data'!$D$21+E24*'Watershed Data'!$E$21)/('LandUse-LandCover'!$E$30*'Watershed Data'!$D$23+'LandUse-LandCover'!$F$30*'Watershed Data'!$E$23),0)*BMPs!$M$6*BMPs!$M$8*BMPs!$M$12</f>
        <v>0</v>
      </c>
      <c r="X24" s="30">
        <f t="shared" si="5"/>
        <v>0</v>
      </c>
    </row>
    <row r="25" spans="1:27" x14ac:dyDescent="0.25">
      <c r="A25" t="str">
        <f>+BMPs!C25</f>
        <v>FORG</v>
      </c>
      <c r="B25" t="str">
        <f>+BMPs!D25</f>
        <v>Organic filter</v>
      </c>
      <c r="C25" s="116">
        <f>Scenarios!G25</f>
        <v>0</v>
      </c>
      <c r="D25" s="116">
        <f>Scenarios!H25</f>
        <v>0</v>
      </c>
      <c r="E25" s="30">
        <f t="shared" si="8"/>
        <v>0</v>
      </c>
      <c r="F25" s="76">
        <f>BMPs!E25</f>
        <v>0.8</v>
      </c>
      <c r="G25" s="242" t="s">
        <v>504</v>
      </c>
      <c r="H25" s="76">
        <f>IFERROR(VLOOKUP(A25,BMPs!$C$2:$J$64,HLOOKUP(G25,BMPs!$F$72:$I$73,2,FALSE),FALSE),0)</f>
        <v>0</v>
      </c>
      <c r="I25" s="97"/>
      <c r="J25" s="97"/>
      <c r="K25" s="99">
        <f>$C$50*(D25*'Watershed Data'!$D$23+(C25-D25)*VLOOKUP(G25,'Watershed Data'!$A$19:$E$22,5,FALSE))*3630</f>
        <v>0</v>
      </c>
      <c r="L25" s="37">
        <f t="shared" si="0"/>
        <v>0</v>
      </c>
      <c r="M25" s="30">
        <f>BMPs!$M$8*BMPs!$M$12</f>
        <v>1.08</v>
      </c>
      <c r="N25" s="108">
        <f t="shared" si="6"/>
        <v>1</v>
      </c>
      <c r="O25" s="39">
        <f t="shared" si="1"/>
        <v>0.8</v>
      </c>
      <c r="P25" s="99">
        <f t="shared" si="2"/>
        <v>0</v>
      </c>
      <c r="Q25" s="116">
        <f t="shared" si="9"/>
        <v>0</v>
      </c>
      <c r="R25" s="99">
        <f t="shared" si="4"/>
        <v>0</v>
      </c>
      <c r="T25" s="76">
        <f>IFERROR(VLOOKUP(J25,BMPs!$C$3:$F$69,3,FALSE),0)</f>
        <v>0</v>
      </c>
      <c r="U25" s="76">
        <f>IFERROR(VLOOKUP(J25,BMPs!$C$3:$F$69,5,FALSE),0)</f>
        <v>0</v>
      </c>
      <c r="V25" s="117">
        <f t="shared" si="7"/>
        <v>0</v>
      </c>
      <c r="W25" s="37">
        <f>IFERROR((D25*'Watershed Data'!$D$21+E25*'Watershed Data'!$E$21)/('LandUse-LandCover'!$E$30*'Watershed Data'!$D$23+'LandUse-LandCover'!$F$30*'Watershed Data'!$E$23),0)*BMPs!$M$6*BMPs!$M$8*BMPs!$M$12</f>
        <v>0</v>
      </c>
      <c r="X25" s="30">
        <f t="shared" si="5"/>
        <v>0</v>
      </c>
    </row>
    <row r="26" spans="1:27" x14ac:dyDescent="0.25">
      <c r="A26" t="str">
        <f>+BMPs!C26</f>
        <v>--</v>
      </c>
      <c r="B26" t="str">
        <f>+BMPs!D26</f>
        <v>Other filtering</v>
      </c>
      <c r="C26" s="116">
        <f>Scenarios!G26</f>
        <v>0</v>
      </c>
      <c r="D26" s="116">
        <f>Scenarios!H26</f>
        <v>0</v>
      </c>
      <c r="E26" s="30">
        <f t="shared" si="8"/>
        <v>0</v>
      </c>
      <c r="F26" s="76">
        <f>BMPs!E26</f>
        <v>0</v>
      </c>
      <c r="G26" s="242" t="s">
        <v>504</v>
      </c>
      <c r="H26" s="76">
        <f>IFERROR(VLOOKUP(A26,BMPs!$C$2:$J$64,HLOOKUP(G26,BMPs!$F$72:$I$73,2,FALSE),FALSE),0)</f>
        <v>0</v>
      </c>
      <c r="I26" s="97"/>
      <c r="J26" s="97"/>
      <c r="K26" s="99">
        <f>$C$50*(D26*'Watershed Data'!$D$23+(C26-D26)*VLOOKUP(G26,'Watershed Data'!$A$19:$E$22,5,FALSE))*3630</f>
        <v>0</v>
      </c>
      <c r="L26" s="37">
        <f t="shared" si="0"/>
        <v>0</v>
      </c>
      <c r="M26" s="30">
        <f>BMPs!$M$8*BMPs!$M$12</f>
        <v>1.08</v>
      </c>
      <c r="N26" s="108">
        <f t="shared" si="6"/>
        <v>1</v>
      </c>
      <c r="O26" s="39">
        <f t="shared" si="1"/>
        <v>0</v>
      </c>
      <c r="P26" s="99">
        <f t="shared" si="2"/>
        <v>0</v>
      </c>
      <c r="Q26" s="116">
        <f t="shared" si="9"/>
        <v>0</v>
      </c>
      <c r="R26" s="99">
        <f t="shared" si="4"/>
        <v>0</v>
      </c>
      <c r="T26" s="76">
        <f>IFERROR(VLOOKUP(J26,BMPs!$C$3:$F$69,3,FALSE),0)</f>
        <v>0</v>
      </c>
      <c r="U26" s="76">
        <f>IFERROR(VLOOKUP(J26,BMPs!$C$3:$F$69,5,FALSE),0)</f>
        <v>0</v>
      </c>
      <c r="V26" s="117">
        <f t="shared" si="7"/>
        <v>0</v>
      </c>
      <c r="W26" s="37">
        <f>IFERROR((D26*'Watershed Data'!$D$21+E26*'Watershed Data'!$E$21)/('LandUse-LandCover'!$E$30*'Watershed Data'!$D$23+'LandUse-LandCover'!$F$30*'Watershed Data'!$E$23),0)*BMPs!$M$6*BMPs!$M$8*BMPs!$M$12</f>
        <v>0</v>
      </c>
      <c r="X26" s="30">
        <f t="shared" si="5"/>
        <v>0</v>
      </c>
    </row>
    <row r="27" spans="1:27" x14ac:dyDescent="0.25">
      <c r="A27" t="str">
        <f>+BMPs!C27</f>
        <v>ODSW</v>
      </c>
      <c r="B27" t="str">
        <f>+BMPs!D27</f>
        <v>Dry swale</v>
      </c>
      <c r="C27" s="116">
        <f>Scenarios!G27</f>
        <v>0</v>
      </c>
      <c r="D27" s="116">
        <f>Scenarios!H27</f>
        <v>0</v>
      </c>
      <c r="E27" s="30">
        <f t="shared" si="8"/>
        <v>0</v>
      </c>
      <c r="F27" s="76">
        <f>BMPs!E27</f>
        <v>0</v>
      </c>
      <c r="G27" s="242" t="s">
        <v>504</v>
      </c>
      <c r="H27" s="76">
        <f>IFERROR(VLOOKUP(A27,BMPs!$C$2:$J$64,HLOOKUP(G27,BMPs!$F$72:$I$73,2,FALSE),FALSE),0)</f>
        <v>0.4</v>
      </c>
      <c r="I27" s="97"/>
      <c r="J27" s="97"/>
      <c r="K27" s="99">
        <f>$C$50*(D27*'Watershed Data'!$D$23+(C27-D27)*VLOOKUP(G27,'Watershed Data'!$A$19:$E$22,5,FALSE))*3630</f>
        <v>0</v>
      </c>
      <c r="L27" s="37">
        <f t="shared" si="0"/>
        <v>0</v>
      </c>
      <c r="M27" s="30">
        <f>BMPs!$M$8*BMPs!$M$12</f>
        <v>1.08</v>
      </c>
      <c r="N27" s="108">
        <f t="shared" si="6"/>
        <v>0.6</v>
      </c>
      <c r="O27" s="39">
        <f t="shared" si="1"/>
        <v>0.4</v>
      </c>
      <c r="P27" s="99">
        <f t="shared" si="2"/>
        <v>0</v>
      </c>
      <c r="Q27" s="116">
        <f t="shared" si="9"/>
        <v>0</v>
      </c>
      <c r="R27" s="99">
        <f t="shared" si="4"/>
        <v>0</v>
      </c>
      <c r="T27" s="76">
        <f>IFERROR(VLOOKUP(J27,BMPs!$C$3:$F$69,3,FALSE),0)</f>
        <v>0</v>
      </c>
      <c r="U27" s="76">
        <f>IFERROR(VLOOKUP(J27,BMPs!$C$3:$F$69,5,FALSE),0)</f>
        <v>0</v>
      </c>
      <c r="V27" s="117">
        <f t="shared" si="7"/>
        <v>0</v>
      </c>
      <c r="W27" s="37">
        <f>IFERROR((D27*'Watershed Data'!$D$21+E27*'Watershed Data'!$E$21)/('LandUse-LandCover'!$E$30*'Watershed Data'!$D$23+'LandUse-LandCover'!$F$30*'Watershed Data'!$E$23),0)*BMPs!$M$6*BMPs!$M$8*BMPs!$M$12</f>
        <v>0</v>
      </c>
      <c r="X27" s="30">
        <f t="shared" si="5"/>
        <v>0</v>
      </c>
    </row>
    <row r="28" spans="1:27" x14ac:dyDescent="0.25">
      <c r="A28" t="str">
        <f>+BMPs!C28</f>
        <v>OWSW</v>
      </c>
      <c r="B28" t="str">
        <f>+BMPs!D28</f>
        <v>Wet swale</v>
      </c>
      <c r="C28" s="116">
        <f>Scenarios!G28</f>
        <v>0</v>
      </c>
      <c r="D28" s="116">
        <f>Scenarios!H28</f>
        <v>0</v>
      </c>
      <c r="E28" s="30">
        <f t="shared" si="8"/>
        <v>0</v>
      </c>
      <c r="F28" s="76">
        <f>BMPs!E28</f>
        <v>0</v>
      </c>
      <c r="G28" s="242" t="s">
        <v>504</v>
      </c>
      <c r="H28" s="76">
        <f>IFERROR(VLOOKUP(A28,BMPs!$C$2:$J$64,HLOOKUP(G28,BMPs!$F$72:$I$73,2,FALSE),FALSE),0)</f>
        <v>0</v>
      </c>
      <c r="I28" s="97"/>
      <c r="J28" s="97"/>
      <c r="K28" s="99">
        <f>$C$50*(D28*'Watershed Data'!$D$23+(C28-D28)*VLOOKUP(G28,'Watershed Data'!$A$19:$E$22,5,FALSE))*3630</f>
        <v>0</v>
      </c>
      <c r="L28" s="37">
        <f t="shared" si="0"/>
        <v>0</v>
      </c>
      <c r="M28" s="30">
        <f>BMPs!$M$8*BMPs!$M$12</f>
        <v>1.08</v>
      </c>
      <c r="N28" s="108">
        <f t="shared" si="6"/>
        <v>1</v>
      </c>
      <c r="O28" s="39">
        <f t="shared" si="1"/>
        <v>0</v>
      </c>
      <c r="P28" s="99">
        <f t="shared" si="2"/>
        <v>0</v>
      </c>
      <c r="Q28" s="116">
        <f t="shared" si="9"/>
        <v>0</v>
      </c>
      <c r="R28" s="99">
        <f t="shared" si="4"/>
        <v>0</v>
      </c>
      <c r="T28" s="76">
        <f>IFERROR(VLOOKUP(J28,BMPs!$C$3:$F$69,3,FALSE),0)</f>
        <v>0</v>
      </c>
      <c r="U28" s="76">
        <f>IFERROR(VLOOKUP(J28,BMPs!$C$3:$F$69,5,FALSE),0)</f>
        <v>0</v>
      </c>
      <c r="V28" s="117">
        <f t="shared" si="7"/>
        <v>0</v>
      </c>
      <c r="W28" s="37">
        <f>IFERROR((D28*'Watershed Data'!$D$21+E28*'Watershed Data'!$E$21)/('LandUse-LandCover'!$E$30*'Watershed Data'!$D$23+'LandUse-LandCover'!$F$30*'Watershed Data'!$E$23),0)*BMPs!$M$6*BMPs!$M$8*BMPs!$M$12</f>
        <v>0</v>
      </c>
      <c r="X28" s="30">
        <f t="shared" si="5"/>
        <v>0</v>
      </c>
    </row>
    <row r="29" spans="1:27" x14ac:dyDescent="0.25">
      <c r="A29" t="str">
        <f>+BMPs!C29</f>
        <v>PWED</v>
      </c>
      <c r="B29" t="str">
        <f>+BMPs!D29</f>
        <v>Wet extended detention pond</v>
      </c>
      <c r="C29" s="116">
        <f>Scenarios!G29</f>
        <v>209.98</v>
      </c>
      <c r="D29" s="116">
        <f>Scenarios!H29</f>
        <v>62.830000000000005</v>
      </c>
      <c r="E29" s="30">
        <f t="shared" si="8"/>
        <v>147.14999999999998</v>
      </c>
      <c r="F29" s="76">
        <f>BMPs!E29</f>
        <v>0.7</v>
      </c>
      <c r="G29" s="242" t="s">
        <v>504</v>
      </c>
      <c r="H29" s="76">
        <f>IFERROR(VLOOKUP(A29,BMPs!$C$2:$J$64,HLOOKUP(G29,BMPs!$F$72:$I$73,2,FALSE),FALSE),0)</f>
        <v>0</v>
      </c>
      <c r="I29" s="97"/>
      <c r="J29" s="97"/>
      <c r="K29" s="99">
        <f>$C$50*(D29*'Watershed Data'!$D$23+(C29-D29)*VLOOKUP(G29,'Watershed Data'!$A$19:$E$22,5,FALSE))*3630</f>
        <v>334214.93341436324</v>
      </c>
      <c r="L29" s="37">
        <f>K29/$C$51</f>
        <v>1.1036865576865718E-2</v>
      </c>
      <c r="M29" s="30">
        <f>BMPs!$M$8*BMPs!$M$12</f>
        <v>1.08</v>
      </c>
      <c r="N29" s="108">
        <f t="shared" si="6"/>
        <v>1</v>
      </c>
      <c r="O29" s="39">
        <f t="shared" si="1"/>
        <v>0.7</v>
      </c>
      <c r="P29" s="99">
        <f t="shared" si="2"/>
        <v>19630.895289077202</v>
      </c>
      <c r="Q29" s="116">
        <f t="shared" si="9"/>
        <v>0</v>
      </c>
      <c r="R29" s="99">
        <f t="shared" si="4"/>
        <v>19630.895289077202</v>
      </c>
      <c r="T29" s="76">
        <f>IFERROR(VLOOKUP(J29,BMPs!$C$3:$F$69,3,FALSE),0)</f>
        <v>0</v>
      </c>
      <c r="U29" s="76">
        <f>IFERROR(VLOOKUP(J29,BMPs!$C$3:$F$69,5,FALSE),0)</f>
        <v>0</v>
      </c>
      <c r="V29" s="117">
        <f t="shared" si="7"/>
        <v>0</v>
      </c>
      <c r="W29" s="37">
        <f>IFERROR((D29*'Watershed Data'!$D$21+E29*'Watershed Data'!$E$21)/('LandUse-LandCover'!$E$30*'Watershed Data'!$D$23+'LandUse-LandCover'!$F$30*'Watershed Data'!$E$23),0)*BMPs!$M$6*BMPs!$M$8*BMPs!$M$12</f>
        <v>1.0726816186798041E-2</v>
      </c>
      <c r="X29" s="30">
        <f t="shared" si="5"/>
        <v>0</v>
      </c>
    </row>
    <row r="30" spans="1:27" x14ac:dyDescent="0.25">
      <c r="A30" t="str">
        <f>+BMPs!C30</f>
        <v>PWET</v>
      </c>
      <c r="B30" t="str">
        <f>+BMPs!D30</f>
        <v>Wet pond</v>
      </c>
      <c r="C30" s="116">
        <f>Scenarios!G30</f>
        <v>58.2</v>
      </c>
      <c r="D30" s="116">
        <f>Scenarios!H30</f>
        <v>7.8</v>
      </c>
      <c r="E30" s="30">
        <f t="shared" si="8"/>
        <v>50.400000000000006</v>
      </c>
      <c r="F30" s="76">
        <f>BMPs!E30</f>
        <v>0.7</v>
      </c>
      <c r="G30" s="242" t="s">
        <v>504</v>
      </c>
      <c r="H30" s="76">
        <f>IFERROR(VLOOKUP(A30,BMPs!$C$2:$J$64,HLOOKUP(G30,BMPs!$F$72:$I$73,2,FALSE),FALSE),0)</f>
        <v>0</v>
      </c>
      <c r="I30" s="97"/>
      <c r="J30" s="97"/>
      <c r="K30" s="99">
        <f>$C$50*(D30*'Watershed Data'!$D$23+(C30-D30)*VLOOKUP(G30,'Watershed Data'!$A$19:$E$22,5,FALSE))*3630</f>
        <v>67151.673942894049</v>
      </c>
      <c r="L30" s="37">
        <f t="shared" si="0"/>
        <v>2.2175669740357165E-3</v>
      </c>
      <c r="M30" s="30">
        <f>BMPs!$M$8*BMPs!$M$12</f>
        <v>1.08</v>
      </c>
      <c r="N30" s="108">
        <f t="shared" si="6"/>
        <v>1</v>
      </c>
      <c r="O30" s="39">
        <f t="shared" si="1"/>
        <v>0.7</v>
      </c>
      <c r="P30" s="99">
        <f t="shared" si="2"/>
        <v>3944.3105255408495</v>
      </c>
      <c r="Q30" s="116">
        <f t="shared" si="9"/>
        <v>0</v>
      </c>
      <c r="R30" s="99">
        <f t="shared" si="4"/>
        <v>3944.3105255408495</v>
      </c>
      <c r="T30" s="76">
        <f>IFERROR(VLOOKUP(J30,BMPs!$C$3:$F$69,3,FALSE),0)</f>
        <v>0</v>
      </c>
      <c r="U30" s="76">
        <f>IFERROR(VLOOKUP(J30,BMPs!$C$3:$F$69,5,FALSE),0)</f>
        <v>0</v>
      </c>
      <c r="V30" s="117">
        <f t="shared" si="7"/>
        <v>0</v>
      </c>
      <c r="W30" s="37">
        <f>IFERROR((D30*'Watershed Data'!$D$21+E30*'Watershed Data'!$E$21)/('LandUse-LandCover'!$E$30*'Watershed Data'!$D$23+'LandUse-LandCover'!$F$30*'Watershed Data'!$E$23),0)*BMPs!$M$6*BMPs!$M$8*BMPs!$M$12</f>
        <v>2.1553488246812205E-3</v>
      </c>
      <c r="X30" s="30">
        <f t="shared" si="5"/>
        <v>0</v>
      </c>
    </row>
    <row r="31" spans="1:27" x14ac:dyDescent="0.25">
      <c r="A31" t="str">
        <f>+BMPs!C31</f>
        <v>PMPS</v>
      </c>
      <c r="B31" t="str">
        <f>+BMPs!D31</f>
        <v>Multiple Pond Systems</v>
      </c>
      <c r="C31" s="116">
        <f>Scenarios!G31</f>
        <v>0</v>
      </c>
      <c r="D31" s="116">
        <f>Scenarios!H31</f>
        <v>0</v>
      </c>
      <c r="E31" s="30">
        <f t="shared" si="8"/>
        <v>0</v>
      </c>
      <c r="F31" s="76">
        <f>BMPs!E31</f>
        <v>0.7</v>
      </c>
      <c r="G31" s="242" t="s">
        <v>504</v>
      </c>
      <c r="H31" s="76">
        <f>IFERROR(VLOOKUP(A31,BMPs!$C$2:$J$64,HLOOKUP(G31,BMPs!$F$72:$I$73,2,FALSE),FALSE),0)</f>
        <v>0</v>
      </c>
      <c r="I31" s="97"/>
      <c r="J31" s="97"/>
      <c r="K31" s="99">
        <f>$C$50*(D31*'Watershed Data'!$D$23+(C31-D31)*VLOOKUP(G31,'Watershed Data'!$A$19:$E$22,5,FALSE))*3630</f>
        <v>0</v>
      </c>
      <c r="L31" s="37">
        <f t="shared" si="0"/>
        <v>0</v>
      </c>
      <c r="M31" s="30">
        <f>BMPs!$M$8*BMPs!$M$12</f>
        <v>1.08</v>
      </c>
      <c r="N31" s="108">
        <f t="shared" si="6"/>
        <v>1</v>
      </c>
      <c r="O31" s="39">
        <f t="shared" si="1"/>
        <v>0.7</v>
      </c>
      <c r="P31" s="99">
        <f t="shared" si="2"/>
        <v>0</v>
      </c>
      <c r="Q31" s="116">
        <f t="shared" si="9"/>
        <v>0</v>
      </c>
      <c r="R31" s="99">
        <f t="shared" si="4"/>
        <v>0</v>
      </c>
      <c r="T31" s="76">
        <f>IFERROR(VLOOKUP(J31,BMPs!$C$3:$F$69,3,FALSE),0)</f>
        <v>0</v>
      </c>
      <c r="U31" s="76">
        <f>IFERROR(VLOOKUP(J31,BMPs!$C$3:$F$69,5,FALSE),0)</f>
        <v>0</v>
      </c>
      <c r="V31" s="117">
        <f t="shared" si="7"/>
        <v>0</v>
      </c>
      <c r="W31" s="37">
        <f>IFERROR((D31*'Watershed Data'!$D$21+E31*'Watershed Data'!$E$21)/('LandUse-LandCover'!$E$30*'Watershed Data'!$D$23+'LandUse-LandCover'!$F$30*'Watershed Data'!$E$23),0)*BMPs!$M$6*BMPs!$M$8*BMPs!$M$12</f>
        <v>0</v>
      </c>
      <c r="X31" s="30">
        <f t="shared" si="5"/>
        <v>0</v>
      </c>
    </row>
    <row r="32" spans="1:27" x14ac:dyDescent="0.25">
      <c r="A32" t="str">
        <f>+BMPs!C32</f>
        <v>PPKT</v>
      </c>
      <c r="B32" t="str">
        <f>+BMPs!D32</f>
        <v>Pocket pond</v>
      </c>
      <c r="C32" s="116">
        <f>Scenarios!G32</f>
        <v>0</v>
      </c>
      <c r="D32" s="116">
        <f>Scenarios!H32</f>
        <v>0</v>
      </c>
      <c r="E32" s="30">
        <f t="shared" si="8"/>
        <v>0</v>
      </c>
      <c r="F32" s="76">
        <f>BMPs!E32</f>
        <v>0.7</v>
      </c>
      <c r="G32" s="242" t="s">
        <v>504</v>
      </c>
      <c r="H32" s="76">
        <f>IFERROR(VLOOKUP(A32,BMPs!$C$2:$J$64,HLOOKUP(G32,BMPs!$F$72:$I$73,2,FALSE),FALSE),0)</f>
        <v>0</v>
      </c>
      <c r="I32" s="97"/>
      <c r="J32" s="97"/>
      <c r="K32" s="99">
        <f>$C$50*(D32*'Watershed Data'!$D$23+(C32-D32)*VLOOKUP(G32,'Watershed Data'!$A$19:$E$22,5,FALSE))*3630</f>
        <v>0</v>
      </c>
      <c r="L32" s="37">
        <f t="shared" si="0"/>
        <v>0</v>
      </c>
      <c r="M32" s="30">
        <f>BMPs!$M$8*BMPs!$M$12</f>
        <v>1.08</v>
      </c>
      <c r="N32" s="108">
        <f t="shared" si="6"/>
        <v>1</v>
      </c>
      <c r="O32" s="39">
        <f t="shared" si="1"/>
        <v>0.7</v>
      </c>
      <c r="P32" s="99">
        <f t="shared" si="2"/>
        <v>0</v>
      </c>
      <c r="Q32" s="116">
        <f t="shared" si="9"/>
        <v>0</v>
      </c>
      <c r="R32" s="99">
        <f t="shared" si="4"/>
        <v>0</v>
      </c>
      <c r="T32" s="76">
        <f>IFERROR(VLOOKUP(J32,BMPs!$C$3:$F$69,3,FALSE),0)</f>
        <v>0</v>
      </c>
      <c r="U32" s="76">
        <f>IFERROR(VLOOKUP(J32,BMPs!$C$3:$F$69,5,FALSE),0)</f>
        <v>0</v>
      </c>
      <c r="V32" s="117">
        <f t="shared" si="7"/>
        <v>0</v>
      </c>
      <c r="W32" s="37">
        <f>IFERROR((D32*'Watershed Data'!$D$21+E32*'Watershed Data'!$E$21)/('LandUse-LandCover'!$E$30*'Watershed Data'!$D$23+'LandUse-LandCover'!$F$30*'Watershed Data'!$E$23),0)*BMPs!$M$6*BMPs!$M$8*BMPs!$M$12</f>
        <v>0</v>
      </c>
      <c r="X32" s="30">
        <f t="shared" si="5"/>
        <v>0</v>
      </c>
    </row>
    <row r="33" spans="1:24" x14ac:dyDescent="0.25">
      <c r="A33" t="str">
        <f>+BMPs!C33</f>
        <v>PMED</v>
      </c>
      <c r="B33" t="str">
        <f>+BMPs!D33</f>
        <v>Micropool extended detention pond</v>
      </c>
      <c r="C33" s="116">
        <f>Scenarios!G33</f>
        <v>0</v>
      </c>
      <c r="D33" s="116">
        <f>Scenarios!H33</f>
        <v>0</v>
      </c>
      <c r="E33" s="30">
        <f t="shared" si="8"/>
        <v>0</v>
      </c>
      <c r="F33" s="76">
        <f>BMPs!E33</f>
        <v>0.7</v>
      </c>
      <c r="G33" s="242" t="s">
        <v>504</v>
      </c>
      <c r="H33" s="76">
        <f>IFERROR(VLOOKUP(A33,BMPs!$C$2:$J$64,HLOOKUP(G33,BMPs!$F$72:$I$73,2,FALSE),FALSE),0)</f>
        <v>0</v>
      </c>
      <c r="I33" s="97"/>
      <c r="J33" s="97"/>
      <c r="K33" s="99">
        <f>$C$50*(D33*'Watershed Data'!$D$23+(C33-D33)*VLOOKUP(G33,'Watershed Data'!$A$19:$E$22,5,FALSE))*3630</f>
        <v>0</v>
      </c>
      <c r="L33" s="37">
        <f t="shared" si="0"/>
        <v>0</v>
      </c>
      <c r="M33" s="30">
        <f>BMPs!$M$8*BMPs!$M$12</f>
        <v>1.08</v>
      </c>
      <c r="N33" s="108">
        <f t="shared" si="6"/>
        <v>1</v>
      </c>
      <c r="O33" s="39">
        <f t="shared" si="1"/>
        <v>0.7</v>
      </c>
      <c r="P33" s="99">
        <f t="shared" si="2"/>
        <v>0</v>
      </c>
      <c r="Q33" s="116">
        <f t="shared" si="9"/>
        <v>0</v>
      </c>
      <c r="R33" s="99">
        <f t="shared" si="4"/>
        <v>0</v>
      </c>
      <c r="T33" s="76">
        <f>IFERROR(VLOOKUP(J33,BMPs!$C$3:$F$69,3,FALSE),0)</f>
        <v>0</v>
      </c>
      <c r="U33" s="76">
        <f>IFERROR(VLOOKUP(J33,BMPs!$C$3:$F$69,5,FALSE),0)</f>
        <v>0</v>
      </c>
      <c r="V33" s="117">
        <f t="shared" si="7"/>
        <v>0</v>
      </c>
      <c r="W33" s="37">
        <f>IFERROR((D33*'Watershed Data'!$D$21+E33*'Watershed Data'!$E$21)/('LandUse-LandCover'!$E$30*'Watershed Data'!$D$23+'LandUse-LandCover'!$F$30*'Watershed Data'!$E$23),0)*BMPs!$M$6*BMPs!$M$8*BMPs!$M$12</f>
        <v>0</v>
      </c>
      <c r="X33" s="30">
        <f t="shared" si="5"/>
        <v>0</v>
      </c>
    </row>
    <row r="34" spans="1:24" x14ac:dyDescent="0.25">
      <c r="A34" t="str">
        <f>+BMPs!C34</f>
        <v>WSHW</v>
      </c>
      <c r="B34" t="str">
        <f>+BMPs!D34</f>
        <v>Shallow marsh</v>
      </c>
      <c r="C34" s="116">
        <f>Scenarios!G34</f>
        <v>0</v>
      </c>
      <c r="D34" s="116">
        <f>Scenarios!H34</f>
        <v>0</v>
      </c>
      <c r="E34" s="30">
        <f t="shared" si="8"/>
        <v>0</v>
      </c>
      <c r="F34" s="76">
        <f>BMPs!E34</f>
        <v>0.8</v>
      </c>
      <c r="G34" s="242" t="s">
        <v>504</v>
      </c>
      <c r="H34" s="76">
        <f>IFERROR(VLOOKUP(A34,BMPs!$C$2:$J$64,HLOOKUP(G34,BMPs!$F$72:$I$73,2,FALSE),FALSE),0)</f>
        <v>0</v>
      </c>
      <c r="I34" s="97"/>
      <c r="J34" s="97"/>
      <c r="K34" s="99">
        <f>$C$50*(D34*'Watershed Data'!$D$23+(C34-D34)*VLOOKUP(G34,'Watershed Data'!$A$19:$E$22,5,FALSE))*3630</f>
        <v>0</v>
      </c>
      <c r="L34" s="37">
        <f t="shared" si="0"/>
        <v>0</v>
      </c>
      <c r="M34" s="30">
        <f>BMPs!$M$8*BMPs!$M$12</f>
        <v>1.08</v>
      </c>
      <c r="N34" s="108">
        <f t="shared" si="6"/>
        <v>1</v>
      </c>
      <c r="O34" s="39">
        <f t="shared" si="1"/>
        <v>0.8</v>
      </c>
      <c r="P34" s="99">
        <f t="shared" si="2"/>
        <v>0</v>
      </c>
      <c r="Q34" s="116">
        <f t="shared" si="9"/>
        <v>0</v>
      </c>
      <c r="R34" s="99">
        <f t="shared" si="4"/>
        <v>0</v>
      </c>
      <c r="T34" s="76">
        <f>IFERROR(VLOOKUP(J34,BMPs!$C$3:$F$69,3,FALSE),0)</f>
        <v>0</v>
      </c>
      <c r="U34" s="76">
        <f>IFERROR(VLOOKUP(J34,BMPs!$C$3:$F$69,5,FALSE),0)</f>
        <v>0</v>
      </c>
      <c r="V34" s="117">
        <f t="shared" si="7"/>
        <v>0</v>
      </c>
      <c r="W34" s="37">
        <f>IFERROR((D34*'Watershed Data'!$D$21+E34*'Watershed Data'!$E$21)/('LandUse-LandCover'!$E$30*'Watershed Data'!$D$23+'LandUse-LandCover'!$F$30*'Watershed Data'!$E$23),0)*BMPs!$M$6*BMPs!$M$8*BMPs!$M$12</f>
        <v>0</v>
      </c>
      <c r="X34" s="30">
        <f t="shared" si="5"/>
        <v>0</v>
      </c>
    </row>
    <row r="35" spans="1:24" x14ac:dyDescent="0.25">
      <c r="A35" t="str">
        <f>+BMPs!C35</f>
        <v>WEDW</v>
      </c>
      <c r="B35" t="str">
        <f>+BMPs!D35</f>
        <v>ED shallow wetland</v>
      </c>
      <c r="C35" s="116">
        <f>Scenarios!G35</f>
        <v>0</v>
      </c>
      <c r="D35" s="116">
        <f>Scenarios!H35</f>
        <v>0</v>
      </c>
      <c r="E35" s="30">
        <f t="shared" si="8"/>
        <v>0</v>
      </c>
      <c r="F35" s="76">
        <f>BMPs!E35</f>
        <v>0.8</v>
      </c>
      <c r="G35" s="242" t="s">
        <v>504</v>
      </c>
      <c r="H35" s="76">
        <f>IFERROR(VLOOKUP(A35,BMPs!$C$2:$J$64,HLOOKUP(G35,BMPs!$F$72:$I$73,2,FALSE),FALSE),0)</f>
        <v>0</v>
      </c>
      <c r="I35" s="97"/>
      <c r="J35" s="97"/>
      <c r="K35" s="99">
        <f>$C$50*(D35*'Watershed Data'!$D$23+(C35-D35)*VLOOKUP(G35,'Watershed Data'!$A$19:$E$22,5,FALSE))*3630</f>
        <v>0</v>
      </c>
      <c r="L35" s="37">
        <f t="shared" si="0"/>
        <v>0</v>
      </c>
      <c r="M35" s="30">
        <f>BMPs!$M$8*BMPs!$M$12</f>
        <v>1.08</v>
      </c>
      <c r="N35" s="108">
        <f t="shared" si="6"/>
        <v>1</v>
      </c>
      <c r="O35" s="39">
        <f t="shared" si="1"/>
        <v>0.8</v>
      </c>
      <c r="P35" s="99">
        <f t="shared" si="2"/>
        <v>0</v>
      </c>
      <c r="Q35" s="116">
        <f t="shared" si="9"/>
        <v>0</v>
      </c>
      <c r="R35" s="99">
        <f t="shared" si="4"/>
        <v>0</v>
      </c>
      <c r="T35" s="76">
        <f>IFERROR(VLOOKUP(J35,BMPs!$C$3:$F$69,3,FALSE),0)</f>
        <v>0</v>
      </c>
      <c r="U35" s="76">
        <f>IFERROR(VLOOKUP(J35,BMPs!$C$3:$F$69,5,FALSE),0)</f>
        <v>0</v>
      </c>
      <c r="V35" s="117">
        <f t="shared" si="7"/>
        <v>0</v>
      </c>
      <c r="W35" s="37">
        <f>IFERROR((D35*'Watershed Data'!$D$21+E35*'Watershed Data'!$E$21)/('LandUse-LandCover'!$E$30*'Watershed Data'!$D$23+'LandUse-LandCover'!$F$30*'Watershed Data'!$E$23),0)*BMPs!$M$6*BMPs!$M$8*BMPs!$M$12</f>
        <v>0</v>
      </c>
      <c r="X35" s="30">
        <f t="shared" si="5"/>
        <v>0</v>
      </c>
    </row>
    <row r="36" spans="1:24" x14ac:dyDescent="0.25">
      <c r="A36" t="str">
        <f>+BMPs!C36</f>
        <v>WPWS</v>
      </c>
      <c r="B36" t="str">
        <f>+BMPs!D36</f>
        <v>Pond/wetland system</v>
      </c>
      <c r="C36" s="116">
        <f>Scenarios!G36</f>
        <v>0</v>
      </c>
      <c r="D36" s="116">
        <f>Scenarios!H36</f>
        <v>0</v>
      </c>
      <c r="E36" s="30">
        <f t="shared" si="8"/>
        <v>0</v>
      </c>
      <c r="F36" s="76">
        <f>BMPs!E36</f>
        <v>0.8</v>
      </c>
      <c r="G36" s="242" t="s">
        <v>504</v>
      </c>
      <c r="H36" s="76">
        <f>IFERROR(VLOOKUP(A36,BMPs!$C$2:$J$64,HLOOKUP(G36,BMPs!$F$72:$I$73,2,FALSE),FALSE),0)</f>
        <v>0</v>
      </c>
      <c r="I36" s="97"/>
      <c r="J36" s="97"/>
      <c r="K36" s="99">
        <f>$C$50*(D36*'Watershed Data'!$D$23+(C36-D36)*VLOOKUP(G36,'Watershed Data'!$A$19:$E$22,5,FALSE))*3630</f>
        <v>0</v>
      </c>
      <c r="L36" s="37">
        <f t="shared" si="0"/>
        <v>0</v>
      </c>
      <c r="M36" s="30">
        <f>BMPs!$M$8*BMPs!$M$12</f>
        <v>1.08</v>
      </c>
      <c r="N36" s="108">
        <f t="shared" si="6"/>
        <v>1</v>
      </c>
      <c r="O36" s="39">
        <f t="shared" si="1"/>
        <v>0.8</v>
      </c>
      <c r="P36" s="99">
        <f t="shared" si="2"/>
        <v>0</v>
      </c>
      <c r="Q36" s="116">
        <f t="shared" si="9"/>
        <v>0</v>
      </c>
      <c r="R36" s="99">
        <f t="shared" si="4"/>
        <v>0</v>
      </c>
      <c r="T36" s="76">
        <f>IFERROR(VLOOKUP(J36,BMPs!$C$3:$F$69,3,FALSE),0)</f>
        <v>0</v>
      </c>
      <c r="U36" s="76">
        <f>IFERROR(VLOOKUP(J36,BMPs!$C$3:$F$69,5,FALSE),0)</f>
        <v>0</v>
      </c>
      <c r="V36" s="117">
        <f t="shared" si="7"/>
        <v>0</v>
      </c>
      <c r="W36" s="37">
        <f>IFERROR((D36*'Watershed Data'!$D$21+E36*'Watershed Data'!$E$21)/('LandUse-LandCover'!$E$30*'Watershed Data'!$D$23+'LandUse-LandCover'!$F$30*'Watershed Data'!$E$23),0)*BMPs!$M$6*BMPs!$M$8*BMPs!$M$12</f>
        <v>0</v>
      </c>
      <c r="X36" s="30">
        <f t="shared" si="5"/>
        <v>0</v>
      </c>
    </row>
    <row r="37" spans="1:24" x14ac:dyDescent="0.25">
      <c r="A37" t="str">
        <f>+BMPs!C37</f>
        <v>WPKT</v>
      </c>
      <c r="B37" t="str">
        <f>+BMPs!D37</f>
        <v>Pocket wetland</v>
      </c>
      <c r="C37" s="116">
        <f>Scenarios!G37</f>
        <v>0</v>
      </c>
      <c r="D37" s="116">
        <f>Scenarios!H37</f>
        <v>0</v>
      </c>
      <c r="E37" s="30">
        <f t="shared" si="8"/>
        <v>0</v>
      </c>
      <c r="F37" s="76">
        <f>BMPs!E37</f>
        <v>0.8</v>
      </c>
      <c r="G37" s="242" t="s">
        <v>504</v>
      </c>
      <c r="H37" s="76">
        <f>IFERROR(VLOOKUP(A37,BMPs!$C$2:$J$64,HLOOKUP(G37,BMPs!$F$72:$I$73,2,FALSE),FALSE),0)</f>
        <v>0</v>
      </c>
      <c r="I37" s="97"/>
      <c r="J37" s="97"/>
      <c r="K37" s="99">
        <f>$C$50*(D37*'Watershed Data'!$D$23+(C37-D37)*VLOOKUP(G37,'Watershed Data'!$A$19:$E$22,5,FALSE))*3630</f>
        <v>0</v>
      </c>
      <c r="L37" s="37">
        <f t="shared" si="0"/>
        <v>0</v>
      </c>
      <c r="M37" s="30">
        <f>BMPs!$M$8*BMPs!$M$12</f>
        <v>1.08</v>
      </c>
      <c r="N37" s="108">
        <f t="shared" si="6"/>
        <v>1</v>
      </c>
      <c r="O37" s="39">
        <f t="shared" si="1"/>
        <v>0.8</v>
      </c>
      <c r="P37" s="99">
        <f t="shared" si="2"/>
        <v>0</v>
      </c>
      <c r="Q37" s="116">
        <f t="shared" si="9"/>
        <v>0</v>
      </c>
      <c r="R37" s="99">
        <f t="shared" si="4"/>
        <v>0</v>
      </c>
      <c r="T37" s="76">
        <f>IFERROR(VLOOKUP(J37,BMPs!$C$3:$F$69,3,FALSE),0)</f>
        <v>0</v>
      </c>
      <c r="U37" s="76">
        <f>IFERROR(VLOOKUP(J37,BMPs!$C$3:$F$69,5,FALSE),0)</f>
        <v>0</v>
      </c>
      <c r="V37" s="117">
        <f t="shared" si="7"/>
        <v>0</v>
      </c>
      <c r="W37" s="37">
        <f>IFERROR((D37*'Watershed Data'!$D$21+E37*'Watershed Data'!$E$21)/('LandUse-LandCover'!$E$30*'Watershed Data'!$D$23+'LandUse-LandCover'!$F$30*'Watershed Data'!$E$23),0)*BMPs!$M$6*BMPs!$M$8*BMPs!$M$12</f>
        <v>0</v>
      </c>
      <c r="X37" s="30">
        <f t="shared" si="5"/>
        <v>0</v>
      </c>
    </row>
    <row r="38" spans="1:24" x14ac:dyDescent="0.25">
      <c r="A38" t="str">
        <f>+BMPs!C38</f>
        <v>IBAS</v>
      </c>
      <c r="B38" t="str">
        <f>+BMPs!D38</f>
        <v>Infiltration basin</v>
      </c>
      <c r="C38" s="116">
        <f>Scenarios!G38</f>
        <v>0</v>
      </c>
      <c r="D38" s="116">
        <f>Scenarios!H38</f>
        <v>0</v>
      </c>
      <c r="E38" s="30">
        <f t="shared" si="8"/>
        <v>0</v>
      </c>
      <c r="F38" s="76">
        <f>BMPs!E38</f>
        <v>0.85</v>
      </c>
      <c r="G38" s="242" t="s">
        <v>504</v>
      </c>
      <c r="H38" s="76">
        <f>IFERROR(VLOOKUP(A38,BMPs!$C$2:$J$64,HLOOKUP(G38,BMPs!$F$72:$I$73,2,FALSE),FALSE),0)</f>
        <v>0.5</v>
      </c>
      <c r="I38" s="97"/>
      <c r="J38" s="97"/>
      <c r="K38" s="99">
        <f>$C$50*(D38*'Watershed Data'!$D$23+(C38-D38)*VLOOKUP(G38,'Watershed Data'!$A$19:$E$22,5,FALSE))*3630</f>
        <v>0</v>
      </c>
      <c r="L38" s="37">
        <f t="shared" si="0"/>
        <v>0</v>
      </c>
      <c r="M38" s="30">
        <f>BMPs!$M$8*BMPs!$M$12</f>
        <v>1.08</v>
      </c>
      <c r="N38" s="108">
        <f t="shared" si="6"/>
        <v>0.5</v>
      </c>
      <c r="O38" s="39">
        <f t="shared" si="1"/>
        <v>0.92500000000000004</v>
      </c>
      <c r="P38" s="99">
        <f t="shared" si="2"/>
        <v>0</v>
      </c>
      <c r="Q38" s="116">
        <f t="shared" si="9"/>
        <v>0</v>
      </c>
      <c r="R38" s="99">
        <f t="shared" si="4"/>
        <v>0</v>
      </c>
      <c r="T38" s="76">
        <f>IFERROR(VLOOKUP(J38,BMPs!$C$3:$F$69,3,FALSE),0)</f>
        <v>0</v>
      </c>
      <c r="U38" s="76">
        <f>IFERROR(VLOOKUP(J38,BMPs!$C$3:$F$69,5,FALSE),0)</f>
        <v>0</v>
      </c>
      <c r="V38" s="117">
        <f t="shared" si="7"/>
        <v>0</v>
      </c>
      <c r="W38" s="37">
        <f>IFERROR((D38*'Watershed Data'!$D$21+E38*'Watershed Data'!$E$21)/('LandUse-LandCover'!$E$30*'Watershed Data'!$D$23+'LandUse-LandCover'!$F$30*'Watershed Data'!$E$23),0)*BMPs!$M$6*BMPs!$M$8*BMPs!$M$12</f>
        <v>0</v>
      </c>
      <c r="X38" s="30">
        <f t="shared" si="5"/>
        <v>0</v>
      </c>
    </row>
    <row r="39" spans="1:24" x14ac:dyDescent="0.25">
      <c r="A39" t="str">
        <f>+BMPs!C39</f>
        <v>ITRN</v>
      </c>
      <c r="B39" t="str">
        <f>+BMPs!D39</f>
        <v>Infiltration trench</v>
      </c>
      <c r="C39" s="116">
        <f>Scenarios!G39</f>
        <v>0</v>
      </c>
      <c r="D39" s="116">
        <f>Scenarios!H39</f>
        <v>0</v>
      </c>
      <c r="E39" s="30">
        <f t="shared" si="8"/>
        <v>0</v>
      </c>
      <c r="F39" s="76">
        <f>BMPs!E39</f>
        <v>0.85</v>
      </c>
      <c r="G39" s="242" t="s">
        <v>504</v>
      </c>
      <c r="H39" s="76">
        <f>IFERROR(VLOOKUP(A39,BMPs!$C$2:$J$64,HLOOKUP(G39,BMPs!$F$72:$I$73,2,FALSE),FALSE),0)</f>
        <v>0.5</v>
      </c>
      <c r="I39" s="97"/>
      <c r="J39" s="97"/>
      <c r="K39" s="99">
        <f>$C$50*(D39*'Watershed Data'!$D$23+(C39-D39)*VLOOKUP(G39,'Watershed Data'!$A$19:$E$22,5,FALSE))*3630</f>
        <v>0</v>
      </c>
      <c r="L39" s="37">
        <f t="shared" si="0"/>
        <v>0</v>
      </c>
      <c r="M39" s="30">
        <f>BMPs!$M$8*BMPs!$M$12</f>
        <v>1.08</v>
      </c>
      <c r="N39" s="108">
        <f t="shared" si="6"/>
        <v>0.5</v>
      </c>
      <c r="O39" s="39">
        <f t="shared" si="1"/>
        <v>0.92500000000000004</v>
      </c>
      <c r="P39" s="99">
        <f t="shared" si="2"/>
        <v>0</v>
      </c>
      <c r="Q39" s="116">
        <f t="shared" si="9"/>
        <v>0</v>
      </c>
      <c r="R39" s="99">
        <f t="shared" si="4"/>
        <v>0</v>
      </c>
      <c r="T39" s="76">
        <f>IFERROR(VLOOKUP(J39,BMPs!$C$3:$F$69,3,FALSE),0)</f>
        <v>0</v>
      </c>
      <c r="U39" s="76">
        <f>IFERROR(VLOOKUP(J39,BMPs!$C$3:$F$69,5,FALSE),0)</f>
        <v>0</v>
      </c>
      <c r="V39" s="117">
        <f t="shared" si="7"/>
        <v>0</v>
      </c>
      <c r="W39" s="37">
        <f>IFERROR((D39*'Watershed Data'!$D$21+E39*'Watershed Data'!$E$21)/('LandUse-LandCover'!$E$30*'Watershed Data'!$D$23+'LandUse-LandCover'!$F$30*'Watershed Data'!$E$23),0)*BMPs!$M$6*BMPs!$M$8*BMPs!$M$12</f>
        <v>0</v>
      </c>
      <c r="X39" s="30">
        <f t="shared" si="5"/>
        <v>0</v>
      </c>
    </row>
    <row r="40" spans="1:24" x14ac:dyDescent="0.25">
      <c r="A40" t="str">
        <f>+BMPs!C40</f>
        <v>XDPD</v>
      </c>
      <c r="B40" t="str">
        <f>+BMPs!D40</f>
        <v>Dry pond</v>
      </c>
      <c r="C40" s="116">
        <f>Scenarios!G40</f>
        <v>0</v>
      </c>
      <c r="D40" s="116">
        <f>Scenarios!H40</f>
        <v>0</v>
      </c>
      <c r="E40" s="30">
        <f t="shared" si="8"/>
        <v>0</v>
      </c>
      <c r="F40" s="76">
        <f>BMPs!E40</f>
        <v>0</v>
      </c>
      <c r="G40" s="242" t="s">
        <v>504</v>
      </c>
      <c r="H40" s="76">
        <f>IFERROR(VLOOKUP(A40,BMPs!$C$2:$J$64,HLOOKUP(G40,BMPs!$F$72:$I$73,2,FALSE),FALSE),0)</f>
        <v>0</v>
      </c>
      <c r="I40" s="97"/>
      <c r="J40" s="97"/>
      <c r="K40" s="99">
        <f>$C$50*(D40*'Watershed Data'!$D$23+(C40-D40)*VLOOKUP(G40,'Watershed Data'!$A$19:$E$22,5,FALSE))*3630</f>
        <v>0</v>
      </c>
      <c r="L40" s="37">
        <f t="shared" si="0"/>
        <v>0</v>
      </c>
      <c r="M40" s="30">
        <f>BMPs!$M$8*BMPs!$M$12</f>
        <v>1.08</v>
      </c>
      <c r="N40" s="108">
        <f t="shared" si="6"/>
        <v>1</v>
      </c>
      <c r="O40" s="39">
        <f t="shared" si="1"/>
        <v>0</v>
      </c>
      <c r="P40" s="99">
        <f t="shared" si="2"/>
        <v>0</v>
      </c>
      <c r="Q40" s="116">
        <f t="shared" si="9"/>
        <v>0</v>
      </c>
      <c r="R40" s="99">
        <f t="shared" si="4"/>
        <v>0</v>
      </c>
      <c r="T40" s="76">
        <f>IFERROR(VLOOKUP(J40,BMPs!$C$3:$F$69,3,FALSE),0)</f>
        <v>0</v>
      </c>
      <c r="U40" s="76">
        <f>IFERROR(VLOOKUP(J40,BMPs!$C$3:$F$69,5,FALSE),0)</f>
        <v>0</v>
      </c>
      <c r="V40" s="117">
        <f t="shared" si="7"/>
        <v>0</v>
      </c>
      <c r="W40" s="37">
        <f>IFERROR((D40*'Watershed Data'!$D$21+E40*'Watershed Data'!$E$21)/('LandUse-LandCover'!$E$30*'Watershed Data'!$D$23+'LandUse-LandCover'!$F$30*'Watershed Data'!$E$23),0)*BMPs!$M$6*BMPs!$M$8*BMPs!$M$12</f>
        <v>0</v>
      </c>
      <c r="X40" s="30">
        <f t="shared" si="5"/>
        <v>0</v>
      </c>
    </row>
    <row r="41" spans="1:24" x14ac:dyDescent="0.25">
      <c r="A41" t="str">
        <f>+BMPs!C41</f>
        <v>XDED</v>
      </c>
      <c r="B41" t="str">
        <f>+BMPs!D41</f>
        <v>Dry extended detention pond</v>
      </c>
      <c r="C41" s="116">
        <f>Scenarios!G41</f>
        <v>0</v>
      </c>
      <c r="D41" s="116">
        <f>Scenarios!H41</f>
        <v>0</v>
      </c>
      <c r="E41" s="30">
        <f t="shared" si="8"/>
        <v>0</v>
      </c>
      <c r="F41" s="76">
        <f>BMPs!E41</f>
        <v>0</v>
      </c>
      <c r="G41" s="242" t="s">
        <v>504</v>
      </c>
      <c r="H41" s="76">
        <f>IFERROR(VLOOKUP(A41,BMPs!$C$2:$J$64,HLOOKUP(G41,BMPs!$F$72:$I$73,2,FALSE),FALSE),0)</f>
        <v>0</v>
      </c>
      <c r="I41" s="97"/>
      <c r="J41" s="97"/>
      <c r="K41" s="99">
        <f>$C$50*(D41*'Watershed Data'!$D$23+(C41-D41)*VLOOKUP(G41,'Watershed Data'!$A$19:$E$22,5,FALSE))*3630</f>
        <v>0</v>
      </c>
      <c r="L41" s="37">
        <f t="shared" si="0"/>
        <v>0</v>
      </c>
      <c r="M41" s="30">
        <f>BMPs!$M$8*BMPs!$M$12</f>
        <v>1.08</v>
      </c>
      <c r="N41" s="108">
        <f t="shared" si="6"/>
        <v>1</v>
      </c>
      <c r="O41" s="39">
        <f t="shared" si="1"/>
        <v>0</v>
      </c>
      <c r="P41" s="99">
        <f t="shared" si="2"/>
        <v>0</v>
      </c>
      <c r="Q41" s="116">
        <f t="shared" si="9"/>
        <v>0</v>
      </c>
      <c r="R41" s="99">
        <f t="shared" si="4"/>
        <v>0</v>
      </c>
      <c r="T41" s="76">
        <f>IFERROR(VLOOKUP(J41,BMPs!$C$3:$F$69,3,FALSE),0)</f>
        <v>0</v>
      </c>
      <c r="U41" s="76">
        <f>IFERROR(VLOOKUP(J41,BMPs!$C$3:$F$69,5,FALSE),0)</f>
        <v>0</v>
      </c>
      <c r="V41" s="117">
        <f t="shared" si="7"/>
        <v>0</v>
      </c>
      <c r="W41" s="37">
        <f>IFERROR((D41*'Watershed Data'!$D$21+E41*'Watershed Data'!$E$21)/('LandUse-LandCover'!$E$30*'Watershed Data'!$D$23+'LandUse-LandCover'!$F$30*'Watershed Data'!$E$23),0)*BMPs!$M$6*BMPs!$M$8*BMPs!$M$12</f>
        <v>0</v>
      </c>
      <c r="X41" s="30">
        <f t="shared" si="5"/>
        <v>0</v>
      </c>
    </row>
    <row r="42" spans="1:24" x14ac:dyDescent="0.25">
      <c r="A42" t="str">
        <f>+BMPs!C42</f>
        <v>XFLD</v>
      </c>
      <c r="B42" t="str">
        <f>+BMPs!D42</f>
        <v>Flood Mgmt Area</v>
      </c>
      <c r="C42" s="116">
        <f>Scenarios!G42</f>
        <v>0</v>
      </c>
      <c r="D42" s="116">
        <f>Scenarios!H42</f>
        <v>0</v>
      </c>
      <c r="E42" s="30">
        <f t="shared" si="8"/>
        <v>0</v>
      </c>
      <c r="F42" s="76">
        <f>BMPs!E42</f>
        <v>0</v>
      </c>
      <c r="G42" s="242" t="s">
        <v>504</v>
      </c>
      <c r="H42" s="76">
        <f>IFERROR(VLOOKUP(A42,BMPs!$C$2:$J$64,HLOOKUP(G42,BMPs!$F$72:$I$73,2,FALSE),FALSE),0)</f>
        <v>0</v>
      </c>
      <c r="I42" s="97"/>
      <c r="J42" s="97"/>
      <c r="K42" s="99">
        <f>$C$50*(D42*'Watershed Data'!$D$23+(C42-D42)*VLOOKUP(G42,'Watershed Data'!$A$19:$E$22,5,FALSE))*3630</f>
        <v>0</v>
      </c>
      <c r="L42" s="37">
        <f t="shared" si="0"/>
        <v>0</v>
      </c>
      <c r="M42" s="30">
        <f>BMPs!$M$8*BMPs!$M$12</f>
        <v>1.08</v>
      </c>
      <c r="N42" s="108">
        <f t="shared" si="6"/>
        <v>1</v>
      </c>
      <c r="O42" s="39">
        <f t="shared" si="1"/>
        <v>0</v>
      </c>
      <c r="P42" s="99">
        <f t="shared" si="2"/>
        <v>0</v>
      </c>
      <c r="Q42" s="116">
        <f t="shared" si="9"/>
        <v>0</v>
      </c>
      <c r="R42" s="99">
        <f t="shared" si="4"/>
        <v>0</v>
      </c>
      <c r="T42" s="76">
        <f>IFERROR(VLOOKUP(J42,BMPs!$C$3:$F$69,3,FALSE),0)</f>
        <v>0</v>
      </c>
      <c r="U42" s="76">
        <f>IFERROR(VLOOKUP(J42,BMPs!$C$3:$F$69,5,FALSE),0)</f>
        <v>0</v>
      </c>
      <c r="V42" s="117">
        <f t="shared" si="7"/>
        <v>0</v>
      </c>
      <c r="W42" s="37">
        <f>IFERROR((D42*'Watershed Data'!$D$21+E42*'Watershed Data'!$E$21)/('LandUse-LandCover'!$E$30*'Watershed Data'!$D$23+'LandUse-LandCover'!$F$30*'Watershed Data'!$E$23),0)*BMPs!$M$6*BMPs!$M$8*BMPs!$M$12</f>
        <v>0</v>
      </c>
      <c r="X42" s="30">
        <f t="shared" si="5"/>
        <v>0</v>
      </c>
    </row>
    <row r="43" spans="1:24" x14ac:dyDescent="0.25">
      <c r="A43" t="str">
        <f>+BMPs!C43</f>
        <v>XOGS</v>
      </c>
      <c r="B43" t="str">
        <f>+BMPs!D43</f>
        <v>Oil grit separator</v>
      </c>
      <c r="C43" s="116">
        <f>Scenarios!G43</f>
        <v>0</v>
      </c>
      <c r="D43" s="116">
        <f>Scenarios!H43</f>
        <v>0</v>
      </c>
      <c r="E43" s="30">
        <f t="shared" si="8"/>
        <v>0</v>
      </c>
      <c r="F43" s="76">
        <f>BMPs!E43</f>
        <v>0</v>
      </c>
      <c r="G43" s="242" t="s">
        <v>504</v>
      </c>
      <c r="H43" s="76">
        <f>IFERROR(VLOOKUP(A43,BMPs!$C$2:$J$64,HLOOKUP(G43,BMPs!$F$72:$I$73,2,FALSE),FALSE),0)</f>
        <v>0</v>
      </c>
      <c r="I43" s="97"/>
      <c r="J43" s="97"/>
      <c r="K43" s="99">
        <f>$C$50*(D43*'Watershed Data'!$D$23+(C43-D43)*VLOOKUP(G43,'Watershed Data'!$A$19:$E$22,5,FALSE))*3630</f>
        <v>0</v>
      </c>
      <c r="L43" s="37">
        <f t="shared" si="0"/>
        <v>0</v>
      </c>
      <c r="M43" s="30">
        <f>BMPs!$M$8*BMPs!$M$12</f>
        <v>1.08</v>
      </c>
      <c r="N43" s="108">
        <f t="shared" si="6"/>
        <v>1</v>
      </c>
      <c r="O43" s="39">
        <f t="shared" si="1"/>
        <v>0</v>
      </c>
      <c r="P43" s="99">
        <f t="shared" si="2"/>
        <v>0</v>
      </c>
      <c r="Q43" s="116">
        <f t="shared" si="9"/>
        <v>0</v>
      </c>
      <c r="R43" s="99">
        <f t="shared" si="4"/>
        <v>0</v>
      </c>
      <c r="T43" s="76">
        <f>IFERROR(VLOOKUP(J43,BMPs!$C$3:$F$69,3,FALSE),0)</f>
        <v>0</v>
      </c>
      <c r="U43" s="76">
        <f>IFERROR(VLOOKUP(J43,BMPs!$C$3:$F$69,5,FALSE),0)</f>
        <v>0</v>
      </c>
      <c r="V43" s="117">
        <f t="shared" si="7"/>
        <v>0</v>
      </c>
      <c r="W43" s="37">
        <f>IFERROR((D43*'Watershed Data'!$D$21+E43*'Watershed Data'!$E$21)/('LandUse-LandCover'!$E$30*'Watershed Data'!$D$23+'LandUse-LandCover'!$F$30*'Watershed Data'!$E$23),0)*BMPs!$M$6*BMPs!$M$8*BMPs!$M$12</f>
        <v>0</v>
      </c>
      <c r="X43" s="30">
        <f t="shared" si="5"/>
        <v>0</v>
      </c>
    </row>
    <row r="44" spans="1:24" x14ac:dyDescent="0.25">
      <c r="A44" t="str">
        <f>+BMPs!C44</f>
        <v>XOTH</v>
      </c>
      <c r="B44" t="str">
        <f>+BMPs!D44</f>
        <v>Other</v>
      </c>
      <c r="C44" s="116">
        <f>Scenarios!G44</f>
        <v>0</v>
      </c>
      <c r="D44" s="116">
        <f>Scenarios!H44</f>
        <v>0</v>
      </c>
      <c r="E44" s="30">
        <f t="shared" si="8"/>
        <v>0</v>
      </c>
      <c r="F44" s="76">
        <f>BMPs!E44</f>
        <v>0</v>
      </c>
      <c r="G44" s="242" t="s">
        <v>504</v>
      </c>
      <c r="H44" s="76">
        <f>IFERROR(VLOOKUP(A44,BMPs!$C$2:$J$64,HLOOKUP(G44,BMPs!$F$72:$I$73,2,FALSE),FALSE),0)</f>
        <v>0.5</v>
      </c>
      <c r="I44" s="97"/>
      <c r="J44" s="97"/>
      <c r="K44" s="99">
        <f>$C$50*(D44*'Watershed Data'!$D$23+(C44-D44)*VLOOKUP(G44,'Watershed Data'!$A$19:$E$22,5,FALSE))*3630</f>
        <v>0</v>
      </c>
      <c r="L44" s="37">
        <f t="shared" si="0"/>
        <v>0</v>
      </c>
      <c r="M44" s="30">
        <f>BMPs!$M$8*BMPs!$M$12</f>
        <v>1.08</v>
      </c>
      <c r="N44" s="108">
        <f t="shared" si="6"/>
        <v>0.5</v>
      </c>
      <c r="O44" s="39">
        <f t="shared" si="1"/>
        <v>0.5</v>
      </c>
      <c r="P44" s="99">
        <f t="shared" si="2"/>
        <v>0</v>
      </c>
      <c r="Q44" s="116">
        <f t="shared" si="9"/>
        <v>0</v>
      </c>
      <c r="R44" s="99">
        <f t="shared" si="4"/>
        <v>0</v>
      </c>
      <c r="T44" s="76">
        <f>IFERROR(VLOOKUP(J44,BMPs!$C$3:$F$69,3,FALSE),0)</f>
        <v>0</v>
      </c>
      <c r="U44" s="76">
        <f>IFERROR(VLOOKUP(J44,BMPs!$C$3:$F$69,5,FALSE),0)</f>
        <v>0</v>
      </c>
      <c r="V44" s="117">
        <f t="shared" si="7"/>
        <v>0</v>
      </c>
      <c r="W44" s="37">
        <f>IFERROR((D44*'Watershed Data'!$D$21+E44*'Watershed Data'!$E$21)/('LandUse-LandCover'!$E$30*'Watershed Data'!$D$23+'LandUse-LandCover'!$F$30*'Watershed Data'!$E$23),0)*BMPs!$M$6*BMPs!$M$8*BMPs!$M$12</f>
        <v>0</v>
      </c>
      <c r="X44" s="30">
        <f t="shared" si="5"/>
        <v>0</v>
      </c>
    </row>
    <row r="45" spans="1:24" x14ac:dyDescent="0.25">
      <c r="B45" s="63" t="s">
        <v>203</v>
      </c>
      <c r="C45" s="30">
        <f>SUM(C3:C44)</f>
        <v>279.05</v>
      </c>
      <c r="D45" s="30">
        <f>SUM(D3:D44)</f>
        <v>75.350000000000009</v>
      </c>
      <c r="E45" s="30">
        <f t="shared" si="8"/>
        <v>203.7</v>
      </c>
      <c r="F45" s="76"/>
      <c r="G45" s="242" t="s">
        <v>504</v>
      </c>
      <c r="H45" s="76"/>
      <c r="O45" s="114" t="s">
        <v>270</v>
      </c>
      <c r="P45" s="114"/>
      <c r="Q45" s="22"/>
      <c r="R45" s="115">
        <f>SUM(R3:R44)</f>
        <v>24815.54943912938</v>
      </c>
      <c r="T45" s="118"/>
      <c r="U45" s="118"/>
      <c r="V45" s="119"/>
      <c r="W45" s="120"/>
      <c r="X45" s="115">
        <f>SUM(X3:X44)</f>
        <v>0</v>
      </c>
    </row>
    <row r="46" spans="1:24" s="2" customFormat="1" x14ac:dyDescent="0.25">
      <c r="B46" s="78"/>
      <c r="C46" s="321"/>
      <c r="D46" s="321"/>
      <c r="E46" s="321"/>
      <c r="F46" s="118"/>
      <c r="G46" s="371"/>
      <c r="H46" s="118"/>
      <c r="I46" s="238"/>
      <c r="J46" s="238"/>
      <c r="K46" s="250"/>
      <c r="L46" s="120"/>
      <c r="O46" s="69"/>
      <c r="P46" s="69"/>
      <c r="R46" s="372"/>
      <c r="T46" s="118"/>
      <c r="U46" s="118"/>
      <c r="V46" s="119"/>
      <c r="W46" s="120"/>
      <c r="X46" s="372"/>
    </row>
    <row r="47" spans="1:24" x14ac:dyDescent="0.25">
      <c r="B47" s="373" t="s">
        <v>298</v>
      </c>
      <c r="C47" s="462">
        <f>+Scenarios!G48</f>
        <v>51.05</v>
      </c>
      <c r="D47" s="116"/>
      <c r="E47" s="30">
        <f>IFERROR(C47-D47,"")</f>
        <v>51.05</v>
      </c>
      <c r="F47" s="76">
        <f>BMPs!E47</f>
        <v>0.42</v>
      </c>
      <c r="G47" s="242" t="s">
        <v>504</v>
      </c>
      <c r="H47" s="76">
        <f>+BMPs!F47</f>
        <v>0.75</v>
      </c>
      <c r="I47" s="97"/>
      <c r="J47" s="97"/>
      <c r="K47" s="99"/>
      <c r="L47" s="122">
        <f>+C47/'LandUse-LandCover'!E30</f>
        <v>1.0737457402011418E-2</v>
      </c>
      <c r="M47" s="30">
        <v>0.4</v>
      </c>
      <c r="N47" s="108">
        <f>1-H47</f>
        <v>0.25</v>
      </c>
      <c r="O47" s="39">
        <f>H47+(N47*F47)</f>
        <v>0.85499999999999998</v>
      </c>
      <c r="P47" s="99">
        <f>($C$52-(G68+G84+D91))*L47*M47*O47</f>
        <v>8611.0638239709424</v>
      </c>
      <c r="Q47" s="116">
        <f>+X47</f>
        <v>0</v>
      </c>
      <c r="R47" s="99">
        <f>($C$52 -(G68+G84+D91))*L47*M47*O47-X47</f>
        <v>8611.0638239709424</v>
      </c>
      <c r="S47" s="250"/>
      <c r="T47" s="118"/>
      <c r="U47" s="118"/>
      <c r="V47" s="119"/>
      <c r="W47" s="120"/>
      <c r="X47" s="321"/>
    </row>
    <row r="49" spans="1:13" x14ac:dyDescent="0.25">
      <c r="G49" s="2"/>
      <c r="H49" s="2"/>
      <c r="I49" s="238"/>
      <c r="J49" s="238"/>
      <c r="K49" s="250"/>
    </row>
    <row r="50" spans="1:13" x14ac:dyDescent="0.25">
      <c r="B50" t="s">
        <v>257</v>
      </c>
      <c r="C50" s="98">
        <v>1</v>
      </c>
      <c r="D50" t="s">
        <v>262</v>
      </c>
    </row>
    <row r="51" spans="1:13" x14ac:dyDescent="0.25">
      <c r="B51" t="s">
        <v>258</v>
      </c>
      <c r="C51" s="109">
        <f>C50*('LandUse-LandCover'!E30*'Watershed Data'!D23+('LandUse-LandCover'!F30)*'Watershed Data'!E23)*3630</f>
        <v>30281689.224783923</v>
      </c>
      <c r="D51" t="s">
        <v>263</v>
      </c>
      <c r="E51" s="111" t="s">
        <v>268</v>
      </c>
      <c r="F51" s="111"/>
      <c r="G51" s="111"/>
      <c r="H51" s="111"/>
    </row>
    <row r="52" spans="1:13" x14ac:dyDescent="0.25">
      <c r="B52" t="s">
        <v>265</v>
      </c>
      <c r="C52" s="106">
        <f>Loads!I29</f>
        <v>2352732.5334874382</v>
      </c>
      <c r="D52" t="s">
        <v>684</v>
      </c>
      <c r="E52" t="s">
        <v>682</v>
      </c>
    </row>
    <row r="53" spans="1:13" x14ac:dyDescent="0.25">
      <c r="C53" s="64"/>
    </row>
    <row r="54" spans="1:13" s="2" customFormat="1" ht="45" x14ac:dyDescent="0.25">
      <c r="A54" s="369" t="s">
        <v>187</v>
      </c>
      <c r="B54" s="340"/>
      <c r="C54" s="341"/>
      <c r="D54" s="342" t="s">
        <v>528</v>
      </c>
      <c r="E54" s="343" t="s">
        <v>519</v>
      </c>
      <c r="F54" s="344"/>
      <c r="G54" s="341" t="s">
        <v>249</v>
      </c>
      <c r="H54" s="90"/>
      <c r="K54" s="238"/>
      <c r="M54" s="298"/>
    </row>
    <row r="55" spans="1:13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0"/>
      <c r="D55" s="143">
        <f>+Scenarios!G52</f>
        <v>66.783024870000006</v>
      </c>
      <c r="E55" s="320">
        <f>+BMPs!I51</f>
        <v>51.303181256300434</v>
      </c>
      <c r="F55" s="118"/>
      <c r="G55" s="316">
        <f t="shared" ref="G55:G67" si="10">+E55*D55</f>
        <v>3426.1816297496298</v>
      </c>
      <c r="H55" s="90"/>
      <c r="K55" s="238"/>
      <c r="M55" s="298"/>
    </row>
    <row r="56" spans="1:13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0"/>
      <c r="D56" s="143">
        <f>+Scenarios!H53</f>
        <v>0</v>
      </c>
      <c r="E56" s="320">
        <f>+BMPs!I52</f>
        <v>286.34052096597577</v>
      </c>
      <c r="F56" s="118"/>
      <c r="G56" s="316">
        <f t="shared" si="10"/>
        <v>0</v>
      </c>
      <c r="H56" s="90"/>
      <c r="K56" s="238"/>
      <c r="M56" s="298"/>
    </row>
    <row r="57" spans="1:13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0"/>
      <c r="D57" s="143">
        <f>+Scenarios!H54</f>
        <v>0</v>
      </c>
      <c r="E57" s="320">
        <f>+BMPs!I53</f>
        <v>286.34052096597577</v>
      </c>
      <c r="F57" s="118"/>
      <c r="G57" s="316">
        <f t="shared" si="10"/>
        <v>0</v>
      </c>
      <c r="H57" s="90"/>
      <c r="K57" s="238"/>
      <c r="M57" s="298"/>
    </row>
    <row r="58" spans="1:13" s="2" customFormat="1" x14ac:dyDescent="0.25">
      <c r="A58" s="2" t="str">
        <f>BMPs!C54</f>
        <v>MSS</v>
      </c>
      <c r="B58" s="2" t="str">
        <f>BMPs!D54</f>
        <v>Mechanical Street Sweeping</v>
      </c>
      <c r="C58" s="250"/>
      <c r="D58" s="143">
        <f>+Scenarios!H55</f>
        <v>0</v>
      </c>
      <c r="E58" s="320">
        <f>+BMPs!I54</f>
        <v>0</v>
      </c>
      <c r="F58" s="118"/>
      <c r="G58" s="316">
        <f t="shared" si="10"/>
        <v>0</v>
      </c>
      <c r="H58" s="90"/>
      <c r="K58" s="238"/>
      <c r="M58" s="298"/>
    </row>
    <row r="59" spans="1:13" s="2" customFormat="1" x14ac:dyDescent="0.25">
      <c r="A59" s="2" t="str">
        <f>BMPs!C55</f>
        <v>VSS</v>
      </c>
      <c r="B59" s="2" t="str">
        <f>BMPs!D55</f>
        <v>Regen / Vacuum Street Sweeping</v>
      </c>
      <c r="C59" s="250"/>
      <c r="D59" s="143">
        <f>+Scenarios!H56</f>
        <v>0</v>
      </c>
      <c r="E59" s="320">
        <f>+BMPs!I55</f>
        <v>0</v>
      </c>
      <c r="F59" s="118"/>
      <c r="G59" s="316">
        <f t="shared" si="10"/>
        <v>0</v>
      </c>
      <c r="H59" s="90"/>
      <c r="K59" s="238"/>
      <c r="M59" s="298"/>
    </row>
    <row r="60" spans="1:13" s="2" customFormat="1" x14ac:dyDescent="0.25">
      <c r="D60" s="78" t="s">
        <v>683</v>
      </c>
      <c r="E60" s="321"/>
      <c r="F60" s="298"/>
      <c r="G60" s="316"/>
      <c r="H60" s="90"/>
      <c r="K60" s="238"/>
      <c r="M60" s="298"/>
    </row>
    <row r="61" spans="1:13" s="5" customFormat="1" x14ac:dyDescent="0.25">
      <c r="A61" s="2" t="str">
        <f>BMPs!C57</f>
        <v>STRE</v>
      </c>
      <c r="B61" s="2" t="str">
        <f>BMPs!D57</f>
        <v>Stream Restoration</v>
      </c>
      <c r="C61" s="250"/>
      <c r="D61" s="143">
        <f>+Scenarios!H58</f>
        <v>3908.8</v>
      </c>
      <c r="E61" s="228">
        <f>BMPs!E58</f>
        <v>0</v>
      </c>
      <c r="F61" s="118"/>
      <c r="G61" s="316">
        <f t="shared" si="10"/>
        <v>0</v>
      </c>
      <c r="K61" s="299"/>
      <c r="M61" s="301"/>
    </row>
    <row r="62" spans="1:13" s="5" customFormat="1" x14ac:dyDescent="0.25">
      <c r="A62" s="2" t="str">
        <f>BMPs!C58</f>
        <v>OUT</v>
      </c>
      <c r="B62" s="2" t="str">
        <f>BMPs!D58</f>
        <v>Outfall Stabilization</v>
      </c>
      <c r="C62" s="250"/>
      <c r="D62" s="143">
        <f>+Scenarios!H59</f>
        <v>0</v>
      </c>
      <c r="E62" s="228">
        <f>BMPs!E59</f>
        <v>0</v>
      </c>
      <c r="F62" s="118"/>
      <c r="G62" s="316">
        <f t="shared" si="10"/>
        <v>0</v>
      </c>
      <c r="H62" s="299"/>
      <c r="I62" s="299"/>
      <c r="J62" s="263"/>
      <c r="K62" s="300"/>
    </row>
    <row r="63" spans="1:13" s="5" customFormat="1" x14ac:dyDescent="0.25">
      <c r="A63" s="2" t="str">
        <f>BMPs!C59</f>
        <v>SHST</v>
      </c>
      <c r="B63" s="2" t="str">
        <f>BMPs!D59</f>
        <v>Shoreline Stabilization</v>
      </c>
      <c r="C63" s="250"/>
      <c r="D63" s="143">
        <f>+Scenarios!H60</f>
        <v>0</v>
      </c>
      <c r="E63" s="228">
        <f>BMPs!E60</f>
        <v>0</v>
      </c>
      <c r="F63" s="118"/>
      <c r="G63" s="316">
        <f t="shared" si="10"/>
        <v>0</v>
      </c>
      <c r="H63" s="299"/>
      <c r="I63" s="299"/>
      <c r="J63" s="263"/>
      <c r="K63" s="300"/>
    </row>
    <row r="64" spans="1:13" s="5" customFormat="1" x14ac:dyDescent="0.25">
      <c r="A64" s="2" t="str">
        <f>BMPs!C60</f>
        <v>SDV</v>
      </c>
      <c r="B64" s="2" t="str">
        <f>BMPs!D60</f>
        <v>Storm Drain Vacuuming</v>
      </c>
      <c r="C64" s="250"/>
      <c r="D64" s="143">
        <f>+Scenarios!H61</f>
        <v>0</v>
      </c>
      <c r="E64" s="228">
        <f>BMPs!E61</f>
        <v>0</v>
      </c>
      <c r="F64" s="118"/>
      <c r="G64" s="316">
        <f t="shared" si="10"/>
        <v>0</v>
      </c>
      <c r="H64" s="299"/>
      <c r="I64" s="299"/>
      <c r="J64" s="263"/>
      <c r="K64" s="300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0"/>
      <c r="D65" s="143">
        <f>+Scenarios!H62</f>
        <v>0</v>
      </c>
      <c r="E65" s="228">
        <f>BMPs!E63</f>
        <v>0</v>
      </c>
      <c r="F65" s="118"/>
      <c r="G65" s="316">
        <f t="shared" si="10"/>
        <v>0</v>
      </c>
      <c r="H65" s="299"/>
      <c r="I65" s="299"/>
      <c r="J65" s="263"/>
      <c r="K65" s="300"/>
    </row>
    <row r="66" spans="1:11" s="5" customFormat="1" x14ac:dyDescent="0.25">
      <c r="A66" s="2"/>
      <c r="B66" s="2"/>
      <c r="C66" s="283"/>
      <c r="E66" s="322"/>
      <c r="H66" s="299"/>
      <c r="I66" s="299"/>
      <c r="J66" s="263"/>
      <c r="K66" s="300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0"/>
      <c r="D67" s="143">
        <f>+Scenarios!H64</f>
        <v>0</v>
      </c>
      <c r="E67" s="320">
        <f>BMPs!E46</f>
        <v>0</v>
      </c>
      <c r="F67" s="118"/>
      <c r="G67" s="319">
        <f t="shared" si="10"/>
        <v>0</v>
      </c>
      <c r="H67" s="299"/>
      <c r="I67" s="299"/>
      <c r="J67" s="263"/>
      <c r="K67" s="300"/>
    </row>
    <row r="68" spans="1:11" s="5" customFormat="1" x14ac:dyDescent="0.25">
      <c r="A68" s="2"/>
      <c r="B68" s="2"/>
      <c r="C68" s="283"/>
      <c r="G68" s="318">
        <f>SUM(G55:G65)</f>
        <v>3426.1816297496298</v>
      </c>
      <c r="H68" s="299"/>
      <c r="I68" s="299"/>
      <c r="J68" s="263"/>
      <c r="K68" s="300"/>
    </row>
    <row r="69" spans="1:11" s="5" customFormat="1" x14ac:dyDescent="0.25">
      <c r="A69" s="2"/>
      <c r="B69" s="2"/>
      <c r="C69" s="283"/>
      <c r="G69" s="301"/>
      <c r="H69" s="299"/>
      <c r="I69" s="299"/>
      <c r="J69" s="263"/>
      <c r="K69" s="300"/>
    </row>
    <row r="70" spans="1:11" s="5" customFormat="1" x14ac:dyDescent="0.25">
      <c r="A70" s="2"/>
      <c r="B70" s="2"/>
      <c r="C70" s="283"/>
      <c r="G70" s="301"/>
      <c r="H70" s="299"/>
      <c r="I70" s="299"/>
      <c r="J70" s="263"/>
      <c r="K70" s="300"/>
    </row>
    <row r="71" spans="1:11" s="5" customFormat="1" x14ac:dyDescent="0.25">
      <c r="A71" s="339" t="str">
        <f>+Scenarios!A67</f>
        <v>Urban Downsizing to Forest</v>
      </c>
      <c r="B71" s="340"/>
      <c r="C71" s="377"/>
      <c r="D71" s="340"/>
      <c r="E71" s="340"/>
      <c r="F71" s="340"/>
      <c r="G71" s="340"/>
      <c r="H71" s="299"/>
      <c r="I71" s="299"/>
      <c r="J71" s="263"/>
      <c r="K71" s="300"/>
    </row>
    <row r="72" spans="1:11" s="5" customFormat="1" ht="45" x14ac:dyDescent="0.25">
      <c r="A72" s="25"/>
      <c r="B72" s="345" t="str">
        <f>+Scenarios!B68</f>
        <v>Land Use</v>
      </c>
      <c r="C72" s="346"/>
      <c r="D72" s="345" t="s">
        <v>527</v>
      </c>
      <c r="E72" s="317" t="s">
        <v>519</v>
      </c>
      <c r="F72" s="25"/>
      <c r="G72" s="323" t="s">
        <v>249</v>
      </c>
      <c r="H72" s="299"/>
      <c r="I72" s="299"/>
      <c r="J72" s="263"/>
      <c r="K72" s="300"/>
    </row>
    <row r="73" spans="1:11" s="5" customFormat="1" x14ac:dyDescent="0.25">
      <c r="A73" s="2"/>
      <c r="B73" s="2" t="str">
        <f>+Scenarios!B69</f>
        <v>Low Density Residential</v>
      </c>
      <c r="C73" s="283"/>
      <c r="D73" s="289">
        <f>Scenarios!H69</f>
        <v>0</v>
      </c>
      <c r="E73" s="287">
        <f>+Loads!H2-Loads!$H$19</f>
        <v>68.660700212609868</v>
      </c>
      <c r="G73" s="316">
        <f t="shared" ref="G73:G83" si="11">+E73*D73</f>
        <v>0</v>
      </c>
      <c r="H73" s="299"/>
      <c r="I73" s="299"/>
      <c r="J73" s="263"/>
      <c r="K73" s="300"/>
    </row>
    <row r="74" spans="1:11" s="5" customFormat="1" x14ac:dyDescent="0.25">
      <c r="A74" s="2"/>
      <c r="B74" s="2" t="str">
        <f>+Scenarios!B70</f>
        <v>Medium Density Residential</v>
      </c>
      <c r="C74" s="283"/>
      <c r="D74" s="289">
        <f>Scenarios!H70</f>
        <v>0</v>
      </c>
      <c r="E74" s="287">
        <f>+Loads!H3-Loads!$H$19</f>
        <v>100.88847921307709</v>
      </c>
      <c r="G74" s="316">
        <f t="shared" si="11"/>
        <v>0</v>
      </c>
      <c r="H74" s="299"/>
      <c r="I74" s="299"/>
      <c r="J74" s="263"/>
      <c r="K74" s="300"/>
    </row>
    <row r="75" spans="1:11" s="5" customFormat="1" x14ac:dyDescent="0.25">
      <c r="A75" s="2"/>
      <c r="B75" s="2" t="str">
        <f>+Scenarios!B71</f>
        <v>High Density Residential</v>
      </c>
      <c r="C75" s="283"/>
      <c r="D75" s="289">
        <f>Scenarios!H71</f>
        <v>0</v>
      </c>
      <c r="E75" s="287">
        <f>+Loads!H4-Loads!$H$19</f>
        <v>149.49916747959102</v>
      </c>
      <c r="G75" s="316">
        <f t="shared" si="11"/>
        <v>0</v>
      </c>
      <c r="H75" s="299"/>
      <c r="I75" s="299"/>
      <c r="J75" s="263"/>
      <c r="K75" s="300"/>
    </row>
    <row r="76" spans="1:11" s="5" customFormat="1" x14ac:dyDescent="0.25">
      <c r="A76" s="2"/>
      <c r="B76" s="2" t="str">
        <f>+Scenarios!B72</f>
        <v>Commercial</v>
      </c>
      <c r="C76" s="283"/>
      <c r="D76" s="289">
        <f>Scenarios!H72</f>
        <v>0</v>
      </c>
      <c r="E76" s="287">
        <f>+Loads!H5-Loads!$H$19</f>
        <v>64.020081100042603</v>
      </c>
      <c r="G76" s="316">
        <f t="shared" si="11"/>
        <v>0</v>
      </c>
      <c r="H76" s="299"/>
      <c r="I76" s="299"/>
      <c r="J76" s="263"/>
      <c r="K76" s="300"/>
    </row>
    <row r="77" spans="1:11" s="5" customFormat="1" x14ac:dyDescent="0.25">
      <c r="A77" s="2"/>
      <c r="B77" s="2" t="str">
        <f>+Scenarios!B73</f>
        <v>Industrial</v>
      </c>
      <c r="C77" s="283"/>
      <c r="D77" s="289">
        <f>Scenarios!H73</f>
        <v>0</v>
      </c>
      <c r="E77" s="287">
        <f>+Loads!H6-Loads!$H$19</f>
        <v>25.594860292218563</v>
      </c>
      <c r="G77" s="316">
        <f t="shared" si="11"/>
        <v>0</v>
      </c>
      <c r="H77" s="299"/>
      <c r="I77" s="299"/>
      <c r="J77" s="263"/>
      <c r="K77" s="300"/>
    </row>
    <row r="78" spans="1:11" s="5" customFormat="1" x14ac:dyDescent="0.25">
      <c r="A78" s="2"/>
      <c r="B78" s="2" t="str">
        <f>+Scenarios!B74</f>
        <v>Institutional</v>
      </c>
      <c r="C78" s="283"/>
      <c r="D78" s="289">
        <f>Scenarios!H74</f>
        <v>0</v>
      </c>
      <c r="E78" s="287">
        <f>+Loads!H7-Loads!$H$19</f>
        <v>45.401712210021337</v>
      </c>
      <c r="G78" s="316">
        <f t="shared" si="11"/>
        <v>0</v>
      </c>
      <c r="H78" s="299"/>
      <c r="I78" s="299"/>
      <c r="J78" s="263"/>
      <c r="K78" s="300"/>
    </row>
    <row r="79" spans="1:11" s="5" customFormat="1" x14ac:dyDescent="0.25">
      <c r="A79" s="2"/>
      <c r="B79" s="2" t="str">
        <f>+Scenarios!B75</f>
        <v>Extractive</v>
      </c>
      <c r="C79" s="283"/>
      <c r="D79" s="289">
        <f>Scenarios!H75</f>
        <v>0</v>
      </c>
      <c r="E79" s="287"/>
      <c r="G79" s="316">
        <f t="shared" si="11"/>
        <v>0</v>
      </c>
      <c r="H79" s="299"/>
      <c r="I79" s="299"/>
      <c r="J79" s="263"/>
      <c r="K79" s="300"/>
    </row>
    <row r="80" spans="1:11" s="5" customFormat="1" x14ac:dyDescent="0.25">
      <c r="A80" s="2"/>
      <c r="B80" s="2" t="str">
        <f>+Scenarios!B76</f>
        <v>Open Urban Land</v>
      </c>
      <c r="C80" s="283"/>
      <c r="D80" s="289">
        <f>Scenarios!H76</f>
        <v>95.8</v>
      </c>
      <c r="E80" s="287">
        <f>+Loads!H9-Loads!$H$19</f>
        <v>45.717937806050294</v>
      </c>
      <c r="G80" s="316">
        <f>+E80*D80</f>
        <v>4379.7784418196179</v>
      </c>
      <c r="H80" s="299"/>
      <c r="I80" s="299"/>
      <c r="J80" s="263"/>
      <c r="K80" s="300"/>
    </row>
    <row r="81" spans="1:16" s="5" customFormat="1" x14ac:dyDescent="0.25">
      <c r="A81" s="2"/>
      <c r="B81" s="2" t="str">
        <f>+Scenarios!B77</f>
        <v>Transportation</v>
      </c>
      <c r="C81" s="283"/>
      <c r="D81" s="289">
        <f>Scenarios!H77</f>
        <v>0</v>
      </c>
      <c r="E81" s="287"/>
      <c r="G81" s="316">
        <f t="shared" si="11"/>
        <v>0</v>
      </c>
      <c r="H81" s="299"/>
      <c r="I81" s="299"/>
      <c r="J81" s="263"/>
      <c r="K81" s="300"/>
    </row>
    <row r="82" spans="1:16" s="5" customFormat="1" x14ac:dyDescent="0.25">
      <c r="A82" s="2"/>
      <c r="B82" s="2" t="str">
        <f>+Scenarios!B78</f>
        <v>Large Lot Subdivision (Ag)</v>
      </c>
      <c r="C82" s="283"/>
      <c r="D82" s="289">
        <f>Scenarios!H78</f>
        <v>0</v>
      </c>
      <c r="E82" s="287">
        <f>+Loads!H11-Loads!$H$19</f>
        <v>40.684731019820568</v>
      </c>
      <c r="G82" s="316">
        <f t="shared" si="11"/>
        <v>0</v>
      </c>
      <c r="H82" s="299"/>
      <c r="I82" s="299"/>
      <c r="J82" s="263"/>
      <c r="K82" s="300"/>
    </row>
    <row r="83" spans="1:16" s="5" customFormat="1" x14ac:dyDescent="0.25">
      <c r="A83" s="2"/>
      <c r="B83" s="2" t="str">
        <f>+Scenarios!B79</f>
        <v>Large Lot Subdivision (Forest)</v>
      </c>
      <c r="C83" s="283"/>
      <c r="D83" s="289">
        <f>Scenarios!H79</f>
        <v>0</v>
      </c>
      <c r="E83" s="287">
        <f>+Loads!H12-Loads!$H$19</f>
        <v>45.993956138060504</v>
      </c>
      <c r="G83" s="319">
        <f t="shared" si="11"/>
        <v>0</v>
      </c>
      <c r="H83" s="299"/>
      <c r="I83" s="299"/>
      <c r="J83" s="263"/>
      <c r="K83" s="300"/>
    </row>
    <row r="84" spans="1:16" s="5" customFormat="1" x14ac:dyDescent="0.25">
      <c r="B84" s="2"/>
      <c r="C84" s="283"/>
      <c r="G84" s="318">
        <f>SUM(G73:G83)</f>
        <v>4379.7784418196179</v>
      </c>
      <c r="H84" s="299"/>
      <c r="I84" s="299"/>
      <c r="J84" s="263"/>
      <c r="K84" s="300"/>
    </row>
    <row r="85" spans="1:16" ht="15.75" x14ac:dyDescent="0.25">
      <c r="A85" s="158" t="s">
        <v>312</v>
      </c>
      <c r="D85" s="156"/>
    </row>
    <row r="86" spans="1:16" s="6" customFormat="1" x14ac:dyDescent="0.25">
      <c r="A86"/>
      <c r="B86"/>
      <c r="I86" s="190"/>
      <c r="J86" s="190"/>
      <c r="K86" s="191"/>
      <c r="L86" s="192"/>
      <c r="N86" s="5"/>
      <c r="O86" s="5"/>
      <c r="P86" s="5"/>
    </row>
    <row r="87" spans="1:16" x14ac:dyDescent="0.25">
      <c r="A87" s="159" t="s">
        <v>297</v>
      </c>
      <c r="B87" s="159"/>
      <c r="C87" s="160"/>
      <c r="D87" s="160"/>
      <c r="E87" s="156"/>
      <c r="I87"/>
      <c r="J87"/>
    </row>
    <row r="88" spans="1:16" x14ac:dyDescent="0.25">
      <c r="B88" t="s">
        <v>567</v>
      </c>
      <c r="D88" s="33">
        <f>+SewageData!B34</f>
        <v>114557.44000000002</v>
      </c>
      <c r="E88" s="156"/>
      <c r="I88"/>
      <c r="J88"/>
    </row>
    <row r="89" spans="1:16" x14ac:dyDescent="0.25">
      <c r="B89" t="s">
        <v>234</v>
      </c>
      <c r="D89" s="20">
        <v>0.6</v>
      </c>
      <c r="E89" s="156"/>
      <c r="I89"/>
      <c r="J89"/>
    </row>
    <row r="90" spans="1:16" x14ac:dyDescent="0.25">
      <c r="B90" t="s">
        <v>235</v>
      </c>
      <c r="D90" s="27"/>
      <c r="E90" s="156"/>
      <c r="J90"/>
    </row>
    <row r="91" spans="1:16" x14ac:dyDescent="0.25">
      <c r="B91" t="s">
        <v>249</v>
      </c>
      <c r="D91" s="33">
        <f>+D88*D89*D90</f>
        <v>0</v>
      </c>
      <c r="E91" s="156" t="s">
        <v>463</v>
      </c>
      <c r="I91" s="16"/>
      <c r="J91"/>
    </row>
    <row r="92" spans="1:16" s="6" customFormat="1" ht="15.75" thickBot="1" x14ac:dyDescent="0.3">
      <c r="A92" s="193"/>
      <c r="B92" s="194"/>
      <c r="C92" s="194"/>
      <c r="D92" s="194"/>
      <c r="I92" s="190"/>
      <c r="J92" s="190"/>
      <c r="K92" s="191"/>
      <c r="L92" s="192"/>
      <c r="N92" s="5"/>
      <c r="O92" s="5"/>
      <c r="P92" s="5"/>
    </row>
    <row r="93" spans="1:16" ht="15.75" thickTop="1" x14ac:dyDescent="0.25">
      <c r="A93" s="159" t="s">
        <v>303</v>
      </c>
      <c r="B93" s="160"/>
      <c r="C93" s="160"/>
      <c r="D93" s="160"/>
      <c r="E93" s="156"/>
      <c r="I93"/>
      <c r="J93"/>
    </row>
    <row r="94" spans="1:16" x14ac:dyDescent="0.25">
      <c r="A94" s="40"/>
      <c r="B94" s="5" t="s">
        <v>580</v>
      </c>
      <c r="C94" s="6"/>
      <c r="D94" s="430">
        <f>SewageData!B41</f>
        <v>1476468</v>
      </c>
      <c r="E94" s="156"/>
      <c r="I94"/>
      <c r="J94"/>
    </row>
    <row r="95" spans="1:16" x14ac:dyDescent="0.25">
      <c r="B95" s="6" t="s">
        <v>468</v>
      </c>
      <c r="C95" s="156"/>
      <c r="D95" s="428">
        <f>Scenarios!H89</f>
        <v>0</v>
      </c>
      <c r="E95" s="156" t="s">
        <v>467</v>
      </c>
      <c r="I95"/>
      <c r="J95"/>
    </row>
    <row r="96" spans="1:16" x14ac:dyDescent="0.25">
      <c r="B96" t="s">
        <v>317</v>
      </c>
      <c r="C96" s="156"/>
      <c r="D96" s="429">
        <f>Scenarios!H90</f>
        <v>0</v>
      </c>
      <c r="E96" s="156"/>
      <c r="F96" s="170" t="s">
        <v>469</v>
      </c>
      <c r="G96" s="170"/>
      <c r="I96"/>
      <c r="J96"/>
    </row>
    <row r="97" spans="1:10" x14ac:dyDescent="0.25">
      <c r="B97" t="s">
        <v>471</v>
      </c>
      <c r="C97" s="156"/>
      <c r="D97" s="425">
        <f>SewageData!B41-(IF(Scenarios!H89+Scenarios!H90&gt;0, (SewageData!B41*Scenarios!H89*Scenarios!H90),0))</f>
        <v>1476468</v>
      </c>
      <c r="E97" s="156"/>
      <c r="F97" s="2"/>
      <c r="G97" s="2"/>
      <c r="I97"/>
      <c r="J97"/>
    </row>
    <row r="98" spans="1:10" x14ac:dyDescent="0.25">
      <c r="B98" t="s">
        <v>249</v>
      </c>
      <c r="C98" s="167"/>
      <c r="D98" s="426">
        <f>D94-D97</f>
        <v>0</v>
      </c>
      <c r="E98" s="156"/>
      <c r="F98" s="2"/>
      <c r="G98" s="2"/>
      <c r="I98"/>
      <c r="J98"/>
    </row>
    <row r="99" spans="1:10" x14ac:dyDescent="0.25">
      <c r="A99" s="159" t="s">
        <v>313</v>
      </c>
      <c r="B99" s="160"/>
      <c r="C99" s="160"/>
      <c r="D99" s="160"/>
      <c r="E99" s="156"/>
      <c r="I99"/>
      <c r="J99"/>
    </row>
    <row r="100" spans="1:10" x14ac:dyDescent="0.25">
      <c r="A100" s="40"/>
      <c r="B100" s="5" t="s">
        <v>488</v>
      </c>
      <c r="C100" s="6"/>
      <c r="D100" s="430">
        <f>SewageData!B8*(1-Scenarios!G144/MAX(SewageData!B9,0.001))</f>
        <v>291388104</v>
      </c>
      <c r="E100" s="396">
        <v>291544596</v>
      </c>
      <c r="F100" s="398" t="s">
        <v>577</v>
      </c>
      <c r="I100"/>
      <c r="J100"/>
    </row>
    <row r="101" spans="1:10" x14ac:dyDescent="0.25">
      <c r="A101" s="40"/>
      <c r="B101" s="5" t="s">
        <v>489</v>
      </c>
      <c r="C101" s="6"/>
      <c r="D101" s="211">
        <f>(SewageData!B9*SewageData!B14-Scenarios!G144*Scenarios!G145)*(1-IF(Scenarios!G130="yes",Scenarios!G131*Scenarios!G132,0))*(1-IF(Scenarios!G134="yes",Scenarios!G135*Scenarios!G136,0))*(1-IF(Scenarios!G138="yes",Scenarios!G139*Scenarios!G140,0))/MAX((SewageData!B9-Scenarios!G144),0.001)</f>
        <v>0.13773752772286021</v>
      </c>
      <c r="E101" s="156"/>
      <c r="I101"/>
      <c r="J101"/>
    </row>
    <row r="102" spans="1:10" x14ac:dyDescent="0.25">
      <c r="A102" s="40"/>
      <c r="B102" t="s">
        <v>331</v>
      </c>
      <c r="C102" s="6"/>
      <c r="D102" s="211">
        <f>(SewageData!B9*SewageData!B12-Scenarios!G144*Scenarios!G146)/MAX(SewageData!B9-Scenarios!G146,0.001)</f>
        <v>4.8042943413106685E-2</v>
      </c>
      <c r="F102" s="172" t="s">
        <v>493</v>
      </c>
      <c r="I102"/>
      <c r="J102"/>
    </row>
    <row r="103" spans="1:10" x14ac:dyDescent="0.25">
      <c r="B103" t="s">
        <v>471</v>
      </c>
      <c r="D103" s="412">
        <f>(D100*D101*(SewageData!B16*(1-D102)*SewageData!B17+SewageData!B15*D102*SewageData!B18))</f>
        <v>288873.81046184077</v>
      </c>
      <c r="F103" s="156" t="s">
        <v>483</v>
      </c>
      <c r="I103" s="16"/>
      <c r="J103"/>
    </row>
    <row r="104" spans="1:10" x14ac:dyDescent="0.25">
      <c r="B104" t="s">
        <v>249</v>
      </c>
      <c r="D104" s="412">
        <f>SewageData!B19-Completed!D103</f>
        <v>132809.53273815924</v>
      </c>
      <c r="E104" s="156"/>
      <c r="I104" s="16"/>
      <c r="J104"/>
    </row>
    <row r="105" spans="1:10" x14ac:dyDescent="0.25">
      <c r="A105" s="159" t="s">
        <v>306</v>
      </c>
      <c r="B105" s="159"/>
      <c r="C105" s="160"/>
      <c r="D105" s="160"/>
      <c r="E105" s="156"/>
      <c r="I105"/>
      <c r="J105"/>
    </row>
    <row r="106" spans="1:10" x14ac:dyDescent="0.25">
      <c r="A106" s="159"/>
      <c r="B106" s="421" t="s">
        <v>578</v>
      </c>
      <c r="C106" s="160"/>
      <c r="D106" s="208">
        <f>SewageData!B76</f>
        <v>672243.05700000003</v>
      </c>
      <c r="E106" s="156"/>
      <c r="I106"/>
      <c r="J106"/>
    </row>
    <row r="107" spans="1:10" x14ac:dyDescent="0.25">
      <c r="A107" s="186"/>
      <c r="B107" s="160" t="s">
        <v>464</v>
      </c>
      <c r="C107" s="160"/>
      <c r="D107" s="197"/>
      <c r="E107" s="156"/>
      <c r="F107" s="5"/>
      <c r="G107" s="5"/>
      <c r="I107"/>
      <c r="J107"/>
    </row>
    <row r="108" spans="1:10" x14ac:dyDescent="0.25">
      <c r="A108" s="160"/>
      <c r="B108" s="160" t="s">
        <v>318</v>
      </c>
      <c r="C108" s="167"/>
      <c r="D108" s="196"/>
      <c r="E108" s="156"/>
      <c r="F108" s="170" t="s">
        <v>470</v>
      </c>
      <c r="G108" s="170"/>
      <c r="I108"/>
      <c r="J108"/>
    </row>
    <row r="109" spans="1:10" x14ac:dyDescent="0.25">
      <c r="A109" s="160"/>
      <c r="B109" s="160" t="s">
        <v>471</v>
      </c>
      <c r="C109" s="167"/>
      <c r="D109" s="426">
        <f>SewageData!B76-IF((Scenarios!H93*Scenarios!H92)&gt;0,(SewageData!B76*Scenarios!H93*Scenarios!H92),0)</f>
        <v>672243.05700000003</v>
      </c>
      <c r="E109" s="156" t="s">
        <v>466</v>
      </c>
      <c r="F109" s="170" t="s">
        <v>465</v>
      </c>
      <c r="G109" s="170"/>
      <c r="I109"/>
      <c r="J109"/>
    </row>
    <row r="110" spans="1:10" x14ac:dyDescent="0.25">
      <c r="A110" s="160"/>
      <c r="B110" t="s">
        <v>249</v>
      </c>
      <c r="C110" s="167"/>
      <c r="D110" s="426">
        <f>D106-D109</f>
        <v>0</v>
      </c>
      <c r="E110" s="156"/>
      <c r="F110" s="170"/>
      <c r="G110" s="170"/>
      <c r="I110"/>
      <c r="J110"/>
    </row>
    <row r="111" spans="1:10" x14ac:dyDescent="0.25">
      <c r="A111" s="159" t="s">
        <v>307</v>
      </c>
      <c r="B111" s="159"/>
      <c r="C111" s="160"/>
      <c r="D111" s="160"/>
      <c r="E111" s="156"/>
      <c r="I111"/>
      <c r="J111"/>
    </row>
    <row r="112" spans="1:10" ht="15.75" thickBot="1" x14ac:dyDescent="0.3">
      <c r="A112" s="5"/>
      <c r="B112" s="160" t="s">
        <v>449</v>
      </c>
      <c r="C112" s="167"/>
      <c r="D112" s="279">
        <f>Scenarios!G125</f>
        <v>-15649.2</v>
      </c>
      <c r="E112" s="156"/>
      <c r="I112"/>
      <c r="J112"/>
    </row>
    <row r="113" spans="1:15" s="6" customFormat="1" ht="16.5" thickTop="1" thickBot="1" x14ac:dyDescent="0.3">
      <c r="A113" s="442"/>
      <c r="B113" s="440" t="s">
        <v>581</v>
      </c>
      <c r="C113" s="406"/>
      <c r="D113" s="441">
        <f>+D92+D98+D104+D110+D112</f>
        <v>117160.33273815924</v>
      </c>
      <c r="E113" s="210"/>
      <c r="H113" s="190"/>
      <c r="I113" s="190"/>
      <c r="J113" s="191"/>
      <c r="K113" s="192"/>
      <c r="M113" s="5"/>
      <c r="N113" s="5"/>
      <c r="O113" s="5"/>
    </row>
    <row r="114" spans="1:15" ht="15.75" thickTop="1" x14ac:dyDescent="0.25">
      <c r="A114" s="5"/>
      <c r="B114" s="5"/>
      <c r="C114" s="284"/>
      <c r="D114" s="5"/>
    </row>
    <row r="115" spans="1:15" x14ac:dyDescent="0.25">
      <c r="A115" s="5"/>
      <c r="B115" s="5"/>
      <c r="C115" s="5"/>
      <c r="D115" s="5"/>
    </row>
    <row r="116" spans="1:15" x14ac:dyDescent="0.25">
      <c r="A116" s="5"/>
      <c r="B116" s="443"/>
      <c r="C116" s="5"/>
      <c r="D116" s="5"/>
    </row>
    <row r="117" spans="1:15" x14ac:dyDescent="0.25">
      <c r="B117" s="163"/>
    </row>
    <row r="118" spans="1:15" x14ac:dyDescent="0.25">
      <c r="B118" s="163"/>
    </row>
  </sheetData>
  <mergeCells count="2">
    <mergeCell ref="K1:R1"/>
    <mergeCell ref="T1:X1"/>
  </mergeCells>
  <conditionalFormatting sqref="C114">
    <cfRule type="cellIs" dxfId="0" priority="1" stopIfTrue="1" operator="equal">
      <formula>"Enter Value"</formula>
    </cfRule>
  </conditionalFormatting>
  <dataValidations disablePrompts="1" count="1">
    <dataValidation allowBlank="1" showInputMessage="1" showErrorMessage="1" promptTitle="Based on Media Type" prompt="Televsion = 40%_x000a_Radio = 25%_x000a_Newspaper = 30%_x000a_Billboard = 13%_x000a_Brochure = 8%_x000a_Workshop = 7%" sqref="C114" xr:uid="{00000000-0002-0000-0A00-000000000000}"/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theme="0" tint="-0.249977111117893"/>
  </sheetPr>
  <dimension ref="A1:AA116"/>
  <sheetViews>
    <sheetView topLeftCell="A57" workbookViewId="0">
      <selection activeCell="E95" sqref="E95"/>
    </sheetView>
  </sheetViews>
  <sheetFormatPr defaultRowHeight="15" x14ac:dyDescent="0.25"/>
  <cols>
    <col min="2" max="2" width="43.140625" bestFit="1" customWidth="1"/>
    <col min="3" max="3" width="10.28515625" customWidth="1"/>
    <col min="4" max="4" width="12.7109375" bestFit="1" customWidth="1"/>
    <col min="5" max="5" width="10.85546875" customWidth="1"/>
    <col min="6" max="6" width="13.28515625" bestFit="1" customWidth="1"/>
    <col min="7" max="7" width="11.28515625" customWidth="1"/>
    <col min="8" max="8" width="14.42578125" customWidth="1"/>
    <col min="9" max="9" width="9.5703125" style="7" customWidth="1"/>
    <col min="10" max="10" width="9.140625" style="7"/>
    <col min="11" max="11" width="9.85546875" style="104" customWidth="1"/>
    <col min="12" max="12" width="11.5703125" style="16" customWidth="1"/>
    <col min="13" max="13" width="10.28515625" customWidth="1"/>
    <col min="14" max="16" width="10.5703125" style="2" customWidth="1"/>
    <col min="17" max="17" width="10.42578125" customWidth="1"/>
    <col min="18" max="18" width="11.5703125" customWidth="1"/>
    <col min="19" max="19" width="5.140625" customWidth="1"/>
    <col min="23" max="24" width="12.140625" customWidth="1"/>
  </cols>
  <sheetData>
    <row r="1" spans="1:24" x14ac:dyDescent="0.25">
      <c r="K1" s="517" t="s">
        <v>276</v>
      </c>
      <c r="L1" s="517"/>
      <c r="M1" s="517"/>
      <c r="N1" s="517"/>
      <c r="O1" s="517"/>
      <c r="P1" s="517"/>
      <c r="Q1" s="517"/>
      <c r="R1" s="517"/>
      <c r="S1" s="9"/>
      <c r="T1" s="518" t="s">
        <v>255</v>
      </c>
      <c r="U1" s="518"/>
      <c r="V1" s="518"/>
      <c r="W1" s="518"/>
      <c r="X1" s="518"/>
    </row>
    <row r="2" spans="1:24" s="13" customFormat="1" ht="45" x14ac:dyDescent="0.25">
      <c r="A2" s="93" t="str">
        <f>+BMPs!C2</f>
        <v>Code</v>
      </c>
      <c r="B2" s="93" t="str">
        <f>+BMPs!D2</f>
        <v>Description</v>
      </c>
      <c r="C2" s="94" t="s">
        <v>190</v>
      </c>
      <c r="D2" s="94" t="s">
        <v>191</v>
      </c>
      <c r="E2" s="94" t="s">
        <v>239</v>
      </c>
      <c r="F2" s="95" t="str">
        <f>+BMPs!E2</f>
        <v>Removal Rate</v>
      </c>
      <c r="G2" s="241" t="s">
        <v>503</v>
      </c>
      <c r="H2" s="96" t="str">
        <f>+BMPs!F2</f>
        <v>Runoff Redux</v>
      </c>
      <c r="I2" s="94" t="s">
        <v>254</v>
      </c>
      <c r="J2" s="94" t="s">
        <v>255</v>
      </c>
      <c r="K2" s="105" t="s">
        <v>256</v>
      </c>
      <c r="L2" s="110" t="s">
        <v>267</v>
      </c>
      <c r="M2" s="94" t="s">
        <v>269</v>
      </c>
      <c r="N2" s="107" t="s">
        <v>246</v>
      </c>
      <c r="O2" s="107" t="s">
        <v>247</v>
      </c>
      <c r="P2" s="107" t="s">
        <v>274</v>
      </c>
      <c r="Q2" s="94" t="s">
        <v>264</v>
      </c>
      <c r="R2" s="94" t="s">
        <v>271</v>
      </c>
      <c r="T2" s="94" t="s">
        <v>192</v>
      </c>
      <c r="U2" s="94" t="s">
        <v>244</v>
      </c>
      <c r="V2" s="94" t="s">
        <v>247</v>
      </c>
      <c r="W2" s="94" t="s">
        <v>219</v>
      </c>
      <c r="X2" s="94" t="s">
        <v>274</v>
      </c>
    </row>
    <row r="3" spans="1:24" x14ac:dyDescent="0.25">
      <c r="A3" t="str">
        <f>+BMPs!C3</f>
        <v>AGRE</v>
      </c>
      <c r="B3" t="str">
        <f>+BMPs!D3</f>
        <v>Green Roof - Extensive</v>
      </c>
      <c r="C3" s="27">
        <f>+Scenarios!I3</f>
        <v>0</v>
      </c>
      <c r="D3" s="27">
        <f>+Scenarios!J3</f>
        <v>0</v>
      </c>
      <c r="E3" s="22"/>
      <c r="F3" s="76">
        <f>BMPs!E3</f>
        <v>0</v>
      </c>
      <c r="G3" s="242" t="s">
        <v>504</v>
      </c>
      <c r="H3" s="76">
        <f>IFERROR(VLOOKUP(A3,BMPs!$C$2:$J$64,HLOOKUP(G3,BMPs!$F$72:$I$73,2,FALSE),FALSE),0)</f>
        <v>0.6</v>
      </c>
      <c r="I3" s="97"/>
      <c r="J3" s="97"/>
      <c r="K3" s="99">
        <f>$C$50*(D3*'Watershed Data'!$D$23+(C3-D3)*VLOOKUP(G3,'Watershed Data'!$A$19:$E$22,5,FALSE))*3630</f>
        <v>0</v>
      </c>
      <c r="L3" s="37">
        <f t="shared" ref="L3:L44" si="0">K3/$C$51</f>
        <v>0</v>
      </c>
      <c r="M3" s="30">
        <f>BMPs!$M$8*BMPs!$M$12</f>
        <v>1.08</v>
      </c>
      <c r="N3" s="108">
        <f>1-H3</f>
        <v>0.4</v>
      </c>
      <c r="O3" s="39">
        <f t="shared" ref="O3:O44" si="1">H3+(N3*F3)</f>
        <v>0.6</v>
      </c>
      <c r="P3" s="99">
        <f t="shared" ref="P3:P44" si="2">$C$52*L3*M3*O3</f>
        <v>0</v>
      </c>
      <c r="Q3" s="116">
        <f t="shared" ref="Q3:Q20" si="3">+X3</f>
        <v>0</v>
      </c>
      <c r="R3" s="99">
        <f t="shared" ref="R3:R44" si="4">$C$52*L3*M3*O3-Q3</f>
        <v>0</v>
      </c>
      <c r="T3" s="76">
        <f>IFERROR(VLOOKUP(J3,BMPs!$C$3:$F$69,3,FALSE),0)</f>
        <v>0</v>
      </c>
      <c r="U3" s="76">
        <f>IFERROR(VLOOKUP(J3,BMPs!$C$3:$F$69,5,FALSE),0)</f>
        <v>0</v>
      </c>
      <c r="V3" s="117">
        <f>U3+(1-U3)*T3</f>
        <v>0</v>
      </c>
      <c r="W3" s="37">
        <f>IFERROR((D3*'Watershed Data'!$D$21+E3*'Watershed Data'!$E$21)/('LandUse-LandCover'!$E$30*'Watershed Data'!$D$23+'LandUse-LandCover'!$F$30*'Watershed Data'!$E$23),0)*BMPs!$M$6*BMPs!$M$8*BMPs!$M$12</f>
        <v>0</v>
      </c>
      <c r="X3" s="30">
        <f t="shared" ref="X3:X44" si="5">$C$52*W3*V3</f>
        <v>0</v>
      </c>
    </row>
    <row r="4" spans="1:24" x14ac:dyDescent="0.25">
      <c r="A4" t="str">
        <f>+BMPs!C4</f>
        <v>AGRI</v>
      </c>
      <c r="B4" t="str">
        <f>+BMPs!D4</f>
        <v>Green Roof - Intensive</v>
      </c>
      <c r="C4" s="27">
        <f>+Scenarios!I4</f>
        <v>0</v>
      </c>
      <c r="D4" s="27">
        <f>+Scenarios!J4</f>
        <v>0</v>
      </c>
      <c r="E4" s="22"/>
      <c r="F4" s="76">
        <f>BMPs!E4</f>
        <v>0</v>
      </c>
      <c r="G4" s="242" t="s">
        <v>504</v>
      </c>
      <c r="H4" s="76">
        <f>IFERROR(VLOOKUP(A4,BMPs!$C$2:$J$64,HLOOKUP(G4,BMPs!$F$72:$I$73,2,FALSE),FALSE),0)</f>
        <v>0.6</v>
      </c>
      <c r="I4" s="97"/>
      <c r="J4" s="97"/>
      <c r="K4" s="99">
        <f>$C$50*(D4*'Watershed Data'!$D$23+(C4-D4)*VLOOKUP(G4,'Watershed Data'!$A$19:$E$22,5,FALSE))*3630</f>
        <v>0</v>
      </c>
      <c r="L4" s="37">
        <f t="shared" si="0"/>
        <v>0</v>
      </c>
      <c r="M4" s="30">
        <f>BMPs!$M$8*BMPs!$M$12</f>
        <v>1.08</v>
      </c>
      <c r="N4" s="108">
        <f t="shared" ref="N4:N44" si="6">1-H4</f>
        <v>0.4</v>
      </c>
      <c r="O4" s="39">
        <f t="shared" si="1"/>
        <v>0.6</v>
      </c>
      <c r="P4" s="99">
        <f t="shared" si="2"/>
        <v>0</v>
      </c>
      <c r="Q4" s="116">
        <f t="shared" si="3"/>
        <v>0</v>
      </c>
      <c r="R4" s="99">
        <f t="shared" si="4"/>
        <v>0</v>
      </c>
      <c r="T4" s="76">
        <f>IFERROR(VLOOKUP(J4,BMPs!$C$3:$F$69,3,FALSE),0)</f>
        <v>0</v>
      </c>
      <c r="U4" s="76">
        <f>IFERROR(VLOOKUP(J4,BMPs!$C$3:$F$69,5,FALSE),0)</f>
        <v>0</v>
      </c>
      <c r="V4" s="117">
        <f t="shared" ref="V4:V44" si="7">U4+(1-U4)*T4</f>
        <v>0</v>
      </c>
      <c r="W4" s="37">
        <f>IFERROR((D4*'Watershed Data'!$D$21+E4*'Watershed Data'!$E$21)/('LandUse-LandCover'!$E$30*'Watershed Data'!$D$23+'LandUse-LandCover'!$F$30*'Watershed Data'!$E$23),0)*BMPs!$M$6*BMPs!$M$8*BMPs!$M$12</f>
        <v>0</v>
      </c>
      <c r="X4" s="30">
        <f t="shared" si="5"/>
        <v>0</v>
      </c>
    </row>
    <row r="5" spans="1:24" x14ac:dyDescent="0.25">
      <c r="A5" t="str">
        <f>+BMPs!C5</f>
        <v>APRP</v>
      </c>
      <c r="B5" t="str">
        <f>+BMPs!D5</f>
        <v>Permeable Pavement</v>
      </c>
      <c r="C5" s="27">
        <f>+Scenarios!I5</f>
        <v>0</v>
      </c>
      <c r="D5" s="27">
        <f>+Scenarios!J5</f>
        <v>0</v>
      </c>
      <c r="E5" s="22">
        <f t="shared" ref="E5:E45" si="8">IFERROR(C5-D5,"")</f>
        <v>0</v>
      </c>
      <c r="F5" s="76">
        <f>BMPs!E5</f>
        <v>0</v>
      </c>
      <c r="G5" s="242" t="s">
        <v>504</v>
      </c>
      <c r="H5" s="76">
        <f>IFERROR(VLOOKUP(A5,BMPs!$C$2:$J$64,HLOOKUP(G5,BMPs!$F$72:$I$73,2,FALSE),FALSE),0)</f>
        <v>0.45</v>
      </c>
      <c r="I5" s="97"/>
      <c r="J5" s="97"/>
      <c r="K5" s="99">
        <f>$C$50*(D5*'Watershed Data'!$D$23+(C5-D5)*VLOOKUP(G5,'Watershed Data'!$A$19:$E$22,5,FALSE))*3630</f>
        <v>0</v>
      </c>
      <c r="L5" s="37">
        <f t="shared" si="0"/>
        <v>0</v>
      </c>
      <c r="M5" s="30">
        <f>BMPs!$M$8*BMPs!$M$12</f>
        <v>1.08</v>
      </c>
      <c r="N5" s="108">
        <f t="shared" si="6"/>
        <v>0.55000000000000004</v>
      </c>
      <c r="O5" s="39">
        <f t="shared" si="1"/>
        <v>0.45</v>
      </c>
      <c r="P5" s="99">
        <f t="shared" si="2"/>
        <v>0</v>
      </c>
      <c r="Q5" s="116">
        <f t="shared" si="3"/>
        <v>0</v>
      </c>
      <c r="R5" s="99">
        <f t="shared" si="4"/>
        <v>0</v>
      </c>
      <c r="T5" s="76">
        <f>IFERROR(VLOOKUP(J5,BMPs!$C$3:$F$69,3,FALSE),0)</f>
        <v>0</v>
      </c>
      <c r="U5" s="76">
        <f>IFERROR(VLOOKUP(J5,BMPs!$C$3:$F$69,5,FALSE),0)</f>
        <v>0</v>
      </c>
      <c r="V5" s="117">
        <f t="shared" si="7"/>
        <v>0</v>
      </c>
      <c r="W5" s="37">
        <f>IFERROR((D5*'Watershed Data'!$D$21+E5*'Watershed Data'!$E$21)/('LandUse-LandCover'!$E$30*'Watershed Data'!$D$23+'LandUse-LandCover'!$F$30*'Watershed Data'!$E$23),0)*BMPs!$M$6*BMPs!$M$8*BMPs!$M$12</f>
        <v>0</v>
      </c>
      <c r="X5" s="30">
        <f t="shared" si="5"/>
        <v>0</v>
      </c>
    </row>
    <row r="6" spans="1:24" x14ac:dyDescent="0.25">
      <c r="A6" t="str">
        <f>+BMPs!C6</f>
        <v>ARTF</v>
      </c>
      <c r="B6" t="str">
        <f>+BMPs!D6</f>
        <v>Reinforced Turf</v>
      </c>
      <c r="C6" s="27">
        <f>+Scenarios!I6</f>
        <v>0</v>
      </c>
      <c r="D6" s="27">
        <f>+Scenarios!J6</f>
        <v>0</v>
      </c>
      <c r="E6" s="22">
        <f t="shared" si="8"/>
        <v>0</v>
      </c>
      <c r="F6" s="76">
        <f>BMPs!E6</f>
        <v>0</v>
      </c>
      <c r="G6" s="242" t="s">
        <v>504</v>
      </c>
      <c r="H6" s="76">
        <f>IFERROR(VLOOKUP(A6,BMPs!$C$2:$J$64,HLOOKUP(G6,BMPs!$F$72:$I$73,2,FALSE),FALSE),0)</f>
        <v>0.45</v>
      </c>
      <c r="I6" s="97"/>
      <c r="J6" s="97"/>
      <c r="K6" s="99">
        <f>$C$50*(D6*'Watershed Data'!$D$23+(C6-D6)*VLOOKUP(G6,'Watershed Data'!$A$19:$E$22,5,FALSE))*3630</f>
        <v>0</v>
      </c>
      <c r="L6" s="37">
        <f t="shared" si="0"/>
        <v>0</v>
      </c>
      <c r="M6" s="30">
        <f>BMPs!$M$8*BMPs!$M$12</f>
        <v>1.08</v>
      </c>
      <c r="N6" s="108">
        <f t="shared" si="6"/>
        <v>0.55000000000000004</v>
      </c>
      <c r="O6" s="39">
        <f t="shared" si="1"/>
        <v>0.45</v>
      </c>
      <c r="P6" s="99">
        <f t="shared" si="2"/>
        <v>0</v>
      </c>
      <c r="Q6" s="116">
        <f t="shared" si="3"/>
        <v>0</v>
      </c>
      <c r="R6" s="99">
        <f t="shared" si="4"/>
        <v>0</v>
      </c>
      <c r="T6" s="76">
        <f>IFERROR(VLOOKUP(J6,BMPs!$C$3:$F$69,3,FALSE),0)</f>
        <v>0</v>
      </c>
      <c r="U6" s="76">
        <f>IFERROR(VLOOKUP(J6,BMPs!$C$3:$F$69,5,FALSE),0)</f>
        <v>0</v>
      </c>
      <c r="V6" s="117">
        <f t="shared" si="7"/>
        <v>0</v>
      </c>
      <c r="W6" s="37">
        <f>IFERROR((D6*'Watershed Data'!$D$21+E6*'Watershed Data'!$E$21)/('LandUse-LandCover'!$E$30*'Watershed Data'!$D$23+'LandUse-LandCover'!$F$30*'Watershed Data'!$E$23),0)*BMPs!$M$6*BMPs!$M$8*BMPs!$M$12</f>
        <v>0</v>
      </c>
      <c r="X6" s="30">
        <f t="shared" si="5"/>
        <v>0</v>
      </c>
    </row>
    <row r="7" spans="1:24" x14ac:dyDescent="0.25">
      <c r="A7" t="str">
        <f>+BMPs!C7</f>
        <v>NDRR</v>
      </c>
      <c r="B7" t="str">
        <f>+BMPs!D7</f>
        <v>Disconnection of Rooftop Runoff</v>
      </c>
      <c r="C7" s="27">
        <f>+Scenarios!I7</f>
        <v>0</v>
      </c>
      <c r="D7" s="27">
        <f>+Scenarios!J7</f>
        <v>0</v>
      </c>
      <c r="E7" s="22">
        <f t="shared" si="8"/>
        <v>0</v>
      </c>
      <c r="F7" s="76">
        <f>BMPs!E7</f>
        <v>0</v>
      </c>
      <c r="G7" s="242" t="s">
        <v>504</v>
      </c>
      <c r="H7" s="76">
        <f>IFERROR(VLOOKUP(A7,BMPs!$C$2:$J$64,HLOOKUP(G7,BMPs!$F$72:$I$73,2,FALSE),FALSE),0)</f>
        <v>0.25</v>
      </c>
      <c r="I7" s="97"/>
      <c r="J7" s="97"/>
      <c r="K7" s="99">
        <f>$C$50*(D7*'Watershed Data'!$D$23+(C7-D7)*VLOOKUP(G7,'Watershed Data'!$A$19:$E$22,5,FALSE))*3630</f>
        <v>0</v>
      </c>
      <c r="L7" s="37">
        <f t="shared" si="0"/>
        <v>0</v>
      </c>
      <c r="M7" s="30">
        <f>BMPs!$M$8*BMPs!$M$12</f>
        <v>1.08</v>
      </c>
      <c r="N7" s="108">
        <f t="shared" si="6"/>
        <v>0.75</v>
      </c>
      <c r="O7" s="39">
        <f t="shared" si="1"/>
        <v>0.25</v>
      </c>
      <c r="P7" s="99">
        <f t="shared" si="2"/>
        <v>0</v>
      </c>
      <c r="Q7" s="116">
        <f t="shared" si="3"/>
        <v>0</v>
      </c>
      <c r="R7" s="99">
        <f t="shared" si="4"/>
        <v>0</v>
      </c>
      <c r="T7" s="76">
        <f>IFERROR(VLOOKUP(J7,BMPs!$C$3:$F$69,3,FALSE),0)</f>
        <v>0</v>
      </c>
      <c r="U7" s="76">
        <f>IFERROR(VLOOKUP(J7,BMPs!$C$3:$F$69,5,FALSE),0)</f>
        <v>0</v>
      </c>
      <c r="V7" s="117">
        <f t="shared" si="7"/>
        <v>0</v>
      </c>
      <c r="W7" s="37">
        <f>IFERROR((D7*'Watershed Data'!$D$21+E7*'Watershed Data'!$E$21)/('LandUse-LandCover'!$E$30*'Watershed Data'!$D$23+'LandUse-LandCover'!$F$30*'Watershed Data'!$E$23),0)*BMPs!$M$6*BMPs!$M$8*BMPs!$M$12</f>
        <v>0</v>
      </c>
      <c r="X7" s="30">
        <f t="shared" si="5"/>
        <v>0</v>
      </c>
    </row>
    <row r="8" spans="1:24" x14ac:dyDescent="0.25">
      <c r="A8" t="str">
        <f>+BMPs!C8</f>
        <v>NDNR</v>
      </c>
      <c r="B8" t="str">
        <f>+BMPs!D8</f>
        <v>Disconnection of Non-Rooftop Runoff</v>
      </c>
      <c r="C8" s="27">
        <f>+Scenarios!I8</f>
        <v>0</v>
      </c>
      <c r="D8" s="27">
        <f>+Scenarios!J8</f>
        <v>0</v>
      </c>
      <c r="E8" s="22">
        <f t="shared" si="8"/>
        <v>0</v>
      </c>
      <c r="F8" s="76">
        <f>BMPs!E8</f>
        <v>0</v>
      </c>
      <c r="G8" s="242" t="s">
        <v>504</v>
      </c>
      <c r="H8" s="76">
        <f>IFERROR(VLOOKUP(A8,BMPs!$C$2:$J$64,HLOOKUP(G8,BMPs!$F$72:$I$73,2,FALSE),FALSE),0)</f>
        <v>0.25</v>
      </c>
      <c r="I8" s="97"/>
      <c r="J8" s="97"/>
      <c r="K8" s="99">
        <f>$C$50*(D8*'Watershed Data'!$D$23+(C8-D8)*VLOOKUP(G8,'Watershed Data'!$A$19:$E$22,5,FALSE))*3630</f>
        <v>0</v>
      </c>
      <c r="L8" s="37">
        <f t="shared" si="0"/>
        <v>0</v>
      </c>
      <c r="M8" s="30">
        <f>BMPs!$M$8*BMPs!$M$12</f>
        <v>1.08</v>
      </c>
      <c r="N8" s="108">
        <f t="shared" si="6"/>
        <v>0.75</v>
      </c>
      <c r="O8" s="39">
        <f t="shared" si="1"/>
        <v>0.25</v>
      </c>
      <c r="P8" s="99">
        <f t="shared" si="2"/>
        <v>0</v>
      </c>
      <c r="Q8" s="116">
        <f t="shared" si="3"/>
        <v>0</v>
      </c>
      <c r="R8" s="99">
        <f t="shared" si="4"/>
        <v>0</v>
      </c>
      <c r="T8" s="76">
        <f>IFERROR(VLOOKUP(J8,BMPs!$C$3:$F$69,3,FALSE),0)</f>
        <v>0</v>
      </c>
      <c r="U8" s="76">
        <f>IFERROR(VLOOKUP(J8,BMPs!$C$3:$F$69,5,FALSE),0)</f>
        <v>0</v>
      </c>
      <c r="V8" s="117">
        <f t="shared" si="7"/>
        <v>0</v>
      </c>
      <c r="W8" s="37">
        <f>IFERROR((D8*'Watershed Data'!$D$21+E8*'Watershed Data'!$E$21)/('LandUse-LandCover'!$E$30*'Watershed Data'!$D$23+'LandUse-LandCover'!$F$30*'Watershed Data'!$E$23),0)*BMPs!$M$6*BMPs!$M$8*BMPs!$M$12</f>
        <v>0</v>
      </c>
      <c r="X8" s="30">
        <f t="shared" si="5"/>
        <v>0</v>
      </c>
    </row>
    <row r="9" spans="1:24" x14ac:dyDescent="0.25">
      <c r="A9" t="str">
        <f>+BMPs!C9</f>
        <v>NSCA</v>
      </c>
      <c r="B9" t="str">
        <f>+BMPs!D9</f>
        <v>Sheetflow to Conservation Areas</v>
      </c>
      <c r="C9" s="27">
        <f>+Scenarios!I9</f>
        <v>0</v>
      </c>
      <c r="D9" s="27">
        <f>+Scenarios!J9</f>
        <v>0</v>
      </c>
      <c r="E9" s="22">
        <f t="shared" si="8"/>
        <v>0</v>
      </c>
      <c r="F9" s="76">
        <f>BMPs!E9</f>
        <v>0</v>
      </c>
      <c r="G9" s="242" t="s">
        <v>504</v>
      </c>
      <c r="H9" s="76">
        <f>IFERROR(VLOOKUP(A9,BMPs!$C$2:$J$64,HLOOKUP(G9,BMPs!$F$72:$I$73,2,FALSE),FALSE),0)</f>
        <v>0.5</v>
      </c>
      <c r="I9" s="97"/>
      <c r="J9" s="97"/>
      <c r="K9" s="99">
        <f>$C$50*(D9*'Watershed Data'!$D$23+(C9-D9)*VLOOKUP(G9,'Watershed Data'!$A$19:$E$22,5,FALSE))*3630</f>
        <v>0</v>
      </c>
      <c r="L9" s="37">
        <f t="shared" si="0"/>
        <v>0</v>
      </c>
      <c r="M9" s="30">
        <f>BMPs!$M$8*BMPs!$M$12</f>
        <v>1.08</v>
      </c>
      <c r="N9" s="108">
        <f t="shared" si="6"/>
        <v>0.5</v>
      </c>
      <c r="O9" s="39">
        <f t="shared" si="1"/>
        <v>0.5</v>
      </c>
      <c r="P9" s="99">
        <f t="shared" si="2"/>
        <v>0</v>
      </c>
      <c r="Q9" s="116">
        <f t="shared" si="3"/>
        <v>0</v>
      </c>
      <c r="R9" s="99">
        <f t="shared" si="4"/>
        <v>0</v>
      </c>
      <c r="T9" s="76">
        <f>IFERROR(VLOOKUP(J9,BMPs!$C$3:$F$69,3,FALSE),0)</f>
        <v>0</v>
      </c>
      <c r="U9" s="76">
        <f>IFERROR(VLOOKUP(J9,BMPs!$C$3:$F$69,5,FALSE),0)</f>
        <v>0</v>
      </c>
      <c r="V9" s="117">
        <f t="shared" si="7"/>
        <v>0</v>
      </c>
      <c r="W9" s="37">
        <f>IFERROR((D9*'Watershed Data'!$D$21+E9*'Watershed Data'!$E$21)/('LandUse-LandCover'!$E$30*'Watershed Data'!$D$23+'LandUse-LandCover'!$F$30*'Watershed Data'!$E$23),0)*BMPs!$M$6*BMPs!$M$8*BMPs!$M$12</f>
        <v>0</v>
      </c>
      <c r="X9" s="30">
        <f t="shared" si="5"/>
        <v>0</v>
      </c>
    </row>
    <row r="10" spans="1:24" x14ac:dyDescent="0.25">
      <c r="A10" t="str">
        <f>+BMPs!C10</f>
        <v>MRWH</v>
      </c>
      <c r="B10" t="str">
        <f>+BMPs!D10</f>
        <v>Rainwater Harvesting</v>
      </c>
      <c r="C10" s="27">
        <f>+Scenarios!I10</f>
        <v>0</v>
      </c>
      <c r="D10" s="27">
        <f>+Scenarios!J10</f>
        <v>0</v>
      </c>
      <c r="E10" s="22">
        <f t="shared" si="8"/>
        <v>0</v>
      </c>
      <c r="F10" s="76">
        <f>BMPs!E10</f>
        <v>0</v>
      </c>
      <c r="G10" s="242" t="s">
        <v>504</v>
      </c>
      <c r="H10" s="76">
        <f>IFERROR(VLOOKUP(A10,BMPs!$C$2:$J$64,HLOOKUP(G10,BMPs!$F$72:$I$73,2,FALSE),FALSE),0)</f>
        <v>0.4</v>
      </c>
      <c r="I10" s="97"/>
      <c r="J10" s="97"/>
      <c r="K10" s="99">
        <f>$C$50*(D10*'Watershed Data'!$D$23+(C10-D10)*VLOOKUP(G10,'Watershed Data'!$A$19:$E$22,5,FALSE))*3630</f>
        <v>0</v>
      </c>
      <c r="L10" s="37">
        <f t="shared" si="0"/>
        <v>0</v>
      </c>
      <c r="M10" s="30">
        <f>BMPs!$M$8*BMPs!$M$12</f>
        <v>1.08</v>
      </c>
      <c r="N10" s="108">
        <f t="shared" si="6"/>
        <v>0.6</v>
      </c>
      <c r="O10" s="39">
        <f t="shared" si="1"/>
        <v>0.4</v>
      </c>
      <c r="P10" s="99">
        <f t="shared" si="2"/>
        <v>0</v>
      </c>
      <c r="Q10" s="116">
        <f t="shared" si="3"/>
        <v>0</v>
      </c>
      <c r="R10" s="99">
        <f t="shared" si="4"/>
        <v>0</v>
      </c>
      <c r="T10" s="76">
        <f>IFERROR(VLOOKUP(J10,BMPs!$C$3:$F$69,3,FALSE),0)</f>
        <v>0</v>
      </c>
      <c r="U10" s="76">
        <f>IFERROR(VLOOKUP(J10,BMPs!$C$3:$F$69,5,FALSE),0)</f>
        <v>0</v>
      </c>
      <c r="V10" s="117">
        <f t="shared" si="7"/>
        <v>0</v>
      </c>
      <c r="W10" s="37">
        <f>IFERROR((D10*'Watershed Data'!$D$21+E10*'Watershed Data'!$E$21)/('LandUse-LandCover'!$E$30*'Watershed Data'!$D$23+'LandUse-LandCover'!$F$30*'Watershed Data'!$E$23),0)*BMPs!$M$6*BMPs!$M$8*BMPs!$M$12</f>
        <v>0</v>
      </c>
      <c r="X10" s="30">
        <f t="shared" si="5"/>
        <v>0</v>
      </c>
    </row>
    <row r="11" spans="1:24" x14ac:dyDescent="0.25">
      <c r="A11" t="str">
        <f>+BMPs!C11</f>
        <v>MSGW</v>
      </c>
      <c r="B11" t="str">
        <f>+BMPs!D11</f>
        <v>Submerged Gravel Wetland</v>
      </c>
      <c r="C11" s="27">
        <f>+Scenarios!I11</f>
        <v>0</v>
      </c>
      <c r="D11" s="27">
        <f>+Scenarios!J11</f>
        <v>0</v>
      </c>
      <c r="E11" s="22">
        <f t="shared" si="8"/>
        <v>0</v>
      </c>
      <c r="F11" s="76">
        <f>BMPs!E11</f>
        <v>0</v>
      </c>
      <c r="G11" s="242" t="s">
        <v>504</v>
      </c>
      <c r="H11" s="76">
        <f>IFERROR(VLOOKUP(A11,BMPs!$C$2:$J$64,HLOOKUP(G11,BMPs!$F$72:$I$73,2,FALSE),FALSE),0)</f>
        <v>0</v>
      </c>
      <c r="I11" s="97"/>
      <c r="J11" s="97"/>
      <c r="K11" s="99">
        <f>$C$50*(D11*'Watershed Data'!$D$23+(C11-D11)*VLOOKUP(G11,'Watershed Data'!$A$19:$E$22,5,FALSE))*3630</f>
        <v>0</v>
      </c>
      <c r="L11" s="37">
        <f t="shared" si="0"/>
        <v>0</v>
      </c>
      <c r="M11" s="30">
        <f>BMPs!$M$8*BMPs!$M$12</f>
        <v>1.08</v>
      </c>
      <c r="N11" s="108">
        <f t="shared" si="6"/>
        <v>1</v>
      </c>
      <c r="O11" s="39">
        <f t="shared" si="1"/>
        <v>0</v>
      </c>
      <c r="P11" s="99">
        <f t="shared" si="2"/>
        <v>0</v>
      </c>
      <c r="Q11" s="116">
        <f t="shared" si="3"/>
        <v>0</v>
      </c>
      <c r="R11" s="99">
        <f t="shared" si="4"/>
        <v>0</v>
      </c>
      <c r="T11" s="76">
        <f>IFERROR(VLOOKUP(J11,BMPs!$C$3:$F$69,3,FALSE),0)</f>
        <v>0</v>
      </c>
      <c r="U11" s="76">
        <f>IFERROR(VLOOKUP(J11,BMPs!$C$3:$F$69,5,FALSE),0)</f>
        <v>0</v>
      </c>
      <c r="V11" s="117">
        <f t="shared" si="7"/>
        <v>0</v>
      </c>
      <c r="W11" s="37">
        <f>IFERROR((D11*'Watershed Data'!$D$21+E11*'Watershed Data'!$E$21)/('LandUse-LandCover'!$E$30*'Watershed Data'!$D$23+'LandUse-LandCover'!$F$30*'Watershed Data'!$E$23),0)*BMPs!$M$6*BMPs!$M$8*BMPs!$M$12</f>
        <v>0</v>
      </c>
      <c r="X11" s="30">
        <f t="shared" si="5"/>
        <v>0</v>
      </c>
    </row>
    <row r="12" spans="1:24" x14ac:dyDescent="0.25">
      <c r="A12" t="str">
        <f>+BMPs!C12</f>
        <v>MILS</v>
      </c>
      <c r="B12" t="str">
        <f>+BMPs!D12</f>
        <v>Landscape Infiltration</v>
      </c>
      <c r="C12" s="27">
        <f>+Scenarios!I12</f>
        <v>0</v>
      </c>
      <c r="D12" s="27">
        <f>+Scenarios!J12</f>
        <v>0</v>
      </c>
      <c r="E12" s="22">
        <f t="shared" si="8"/>
        <v>0</v>
      </c>
      <c r="F12" s="76">
        <f>BMPs!E12</f>
        <v>0.85</v>
      </c>
      <c r="G12" s="242" t="s">
        <v>504</v>
      </c>
      <c r="H12" s="76">
        <f>IFERROR(VLOOKUP(A12,BMPs!$C$2:$J$64,HLOOKUP(G12,BMPs!$F$72:$I$73,2,FALSE),FALSE),0)</f>
        <v>0.5</v>
      </c>
      <c r="I12" s="97"/>
      <c r="J12" s="97"/>
      <c r="K12" s="99">
        <f>$C$50*(D12*'Watershed Data'!$D$23+(C12-D12)*VLOOKUP(G12,'Watershed Data'!$A$19:$E$22,5,FALSE))*3630</f>
        <v>0</v>
      </c>
      <c r="L12" s="37">
        <f t="shared" si="0"/>
        <v>0</v>
      </c>
      <c r="M12" s="30">
        <f>BMPs!$M$8*BMPs!$M$12</f>
        <v>1.08</v>
      </c>
      <c r="N12" s="108">
        <f t="shared" si="6"/>
        <v>0.5</v>
      </c>
      <c r="O12" s="39">
        <f t="shared" si="1"/>
        <v>0.92500000000000004</v>
      </c>
      <c r="P12" s="99">
        <f t="shared" si="2"/>
        <v>0</v>
      </c>
      <c r="Q12" s="116">
        <f t="shared" si="3"/>
        <v>0</v>
      </c>
      <c r="R12" s="99">
        <f t="shared" si="4"/>
        <v>0</v>
      </c>
      <c r="T12" s="76">
        <f>IFERROR(VLOOKUP(J12,BMPs!$C$3:$F$69,3,FALSE),0)</f>
        <v>0</v>
      </c>
      <c r="U12" s="76">
        <f>IFERROR(VLOOKUP(J12,BMPs!$C$3:$F$69,5,FALSE),0)</f>
        <v>0</v>
      </c>
      <c r="V12" s="117">
        <f t="shared" si="7"/>
        <v>0</v>
      </c>
      <c r="W12" s="37">
        <f>IFERROR((D12*'Watershed Data'!$D$21+E12*'Watershed Data'!$E$21)/('LandUse-LandCover'!$E$30*'Watershed Data'!$D$23+'LandUse-LandCover'!$F$30*'Watershed Data'!$E$23),0)*BMPs!$M$6*BMPs!$M$8*BMPs!$M$12</f>
        <v>0</v>
      </c>
      <c r="X12" s="30">
        <f t="shared" si="5"/>
        <v>0</v>
      </c>
    </row>
    <row r="13" spans="1:24" x14ac:dyDescent="0.25">
      <c r="A13" t="str">
        <f>+BMPs!C13</f>
        <v>MIBR</v>
      </c>
      <c r="B13" t="str">
        <f>+BMPs!D13</f>
        <v>Infiltration Berm</v>
      </c>
      <c r="C13" s="27">
        <f>+Scenarios!I13</f>
        <v>0</v>
      </c>
      <c r="D13" s="27">
        <f>+Scenarios!J13</f>
        <v>0</v>
      </c>
      <c r="E13" s="22">
        <f t="shared" si="8"/>
        <v>0</v>
      </c>
      <c r="F13" s="76">
        <f>BMPs!E13</f>
        <v>0.85</v>
      </c>
      <c r="G13" s="242" t="s">
        <v>504</v>
      </c>
      <c r="H13" s="76">
        <f>IFERROR(VLOOKUP(A13,BMPs!$C$2:$J$64,HLOOKUP(G13,BMPs!$F$72:$I$73,2,FALSE),FALSE),0)</f>
        <v>0.5</v>
      </c>
      <c r="I13" s="97"/>
      <c r="J13" s="97"/>
      <c r="K13" s="99">
        <f>$C$50*(D13*'Watershed Data'!$D$23+(C13-D13)*VLOOKUP(G13,'Watershed Data'!$A$19:$E$22,5,FALSE))*3630</f>
        <v>0</v>
      </c>
      <c r="L13" s="37">
        <f t="shared" si="0"/>
        <v>0</v>
      </c>
      <c r="M13" s="30">
        <f>BMPs!$M$8*BMPs!$M$12</f>
        <v>1.08</v>
      </c>
      <c r="N13" s="108">
        <f t="shared" si="6"/>
        <v>0.5</v>
      </c>
      <c r="O13" s="39">
        <f t="shared" si="1"/>
        <v>0.92500000000000004</v>
      </c>
      <c r="P13" s="99">
        <f t="shared" si="2"/>
        <v>0</v>
      </c>
      <c r="Q13" s="116">
        <f t="shared" si="3"/>
        <v>0</v>
      </c>
      <c r="R13" s="99">
        <f t="shared" si="4"/>
        <v>0</v>
      </c>
      <c r="T13" s="76">
        <f>IFERROR(VLOOKUP(J13,BMPs!$C$3:$F$69,3,FALSE),0)</f>
        <v>0</v>
      </c>
      <c r="U13" s="76">
        <f>IFERROR(VLOOKUP(J13,BMPs!$C$3:$F$69,5,FALSE),0)</f>
        <v>0</v>
      </c>
      <c r="V13" s="117">
        <f t="shared" si="7"/>
        <v>0</v>
      </c>
      <c r="W13" s="37">
        <f>IFERROR((D13*'Watershed Data'!$D$21+E13*'Watershed Data'!$E$21)/('LandUse-LandCover'!$E$30*'Watershed Data'!$D$23+'LandUse-LandCover'!$F$30*'Watershed Data'!$E$23),0)*BMPs!$M$6*BMPs!$M$8*BMPs!$M$12</f>
        <v>0</v>
      </c>
      <c r="X13" s="30">
        <f t="shared" si="5"/>
        <v>0</v>
      </c>
    </row>
    <row r="14" spans="1:24" x14ac:dyDescent="0.25">
      <c r="A14" t="str">
        <f>+BMPs!C14</f>
        <v>MIDW</v>
      </c>
      <c r="B14" t="str">
        <f>+BMPs!D14</f>
        <v>Dry Well</v>
      </c>
      <c r="C14" s="27">
        <f>+Scenarios!I14</f>
        <v>0</v>
      </c>
      <c r="D14" s="27">
        <f>+Scenarios!J14</f>
        <v>0</v>
      </c>
      <c r="E14" s="22">
        <f t="shared" si="8"/>
        <v>0</v>
      </c>
      <c r="F14" s="76">
        <f>BMPs!E14</f>
        <v>0.85</v>
      </c>
      <c r="G14" s="242" t="s">
        <v>504</v>
      </c>
      <c r="H14" s="76">
        <f>IFERROR(VLOOKUP(A14,BMPs!$C$2:$J$64,HLOOKUP(G14,BMPs!$F$72:$I$73,2,FALSE),FALSE),0)</f>
        <v>0.5</v>
      </c>
      <c r="I14" s="97"/>
      <c r="J14" s="97"/>
      <c r="K14" s="99">
        <f>$C$50*(D14*'Watershed Data'!$D$23+(C14-D14)*VLOOKUP(G14,'Watershed Data'!$A$19:$E$22,5,FALSE))*3630</f>
        <v>0</v>
      </c>
      <c r="L14" s="37">
        <f t="shared" si="0"/>
        <v>0</v>
      </c>
      <c r="M14" s="30">
        <f>BMPs!$M$8*BMPs!$M$12</f>
        <v>1.08</v>
      </c>
      <c r="N14" s="108">
        <f t="shared" si="6"/>
        <v>0.5</v>
      </c>
      <c r="O14" s="39">
        <f t="shared" si="1"/>
        <v>0.92500000000000004</v>
      </c>
      <c r="P14" s="99">
        <f t="shared" si="2"/>
        <v>0</v>
      </c>
      <c r="Q14" s="116">
        <f t="shared" si="3"/>
        <v>0</v>
      </c>
      <c r="R14" s="99">
        <f t="shared" si="4"/>
        <v>0</v>
      </c>
      <c r="T14" s="76">
        <f>IFERROR(VLOOKUP(J14,BMPs!$C$3:$F$69,3,FALSE),0)</f>
        <v>0</v>
      </c>
      <c r="U14" s="76">
        <f>IFERROR(VLOOKUP(J14,BMPs!$C$3:$F$69,5,FALSE),0)</f>
        <v>0</v>
      </c>
      <c r="V14" s="117">
        <f t="shared" si="7"/>
        <v>0</v>
      </c>
      <c r="W14" s="37">
        <f>IFERROR((D14*'Watershed Data'!$D$21+E14*'Watershed Data'!$E$21)/('LandUse-LandCover'!$E$30*'Watershed Data'!$D$23+'LandUse-LandCover'!$F$30*'Watershed Data'!$E$23),0)*BMPs!$M$6*BMPs!$M$8*BMPs!$M$12</f>
        <v>0</v>
      </c>
      <c r="X14" s="30">
        <f t="shared" si="5"/>
        <v>0</v>
      </c>
    </row>
    <row r="15" spans="1:24" x14ac:dyDescent="0.25">
      <c r="A15" t="str">
        <f>+BMPs!C15</f>
        <v>MMBR</v>
      </c>
      <c r="B15" t="str">
        <f>+BMPs!D15</f>
        <v>Micro-Bioretention</v>
      </c>
      <c r="C15" s="27">
        <f>+Scenarios!I15</f>
        <v>3.5</v>
      </c>
      <c r="D15" s="27">
        <f>+Scenarios!J15</f>
        <v>2.2999999999999998</v>
      </c>
      <c r="E15" s="22">
        <f t="shared" si="8"/>
        <v>1.2000000000000002</v>
      </c>
      <c r="F15" s="76">
        <f>BMPs!E15</f>
        <v>0.5</v>
      </c>
      <c r="G15" s="242" t="s">
        <v>504</v>
      </c>
      <c r="H15" s="76">
        <f>IFERROR(VLOOKUP(A15,BMPs!$C$2:$J$64,HLOOKUP(G15,BMPs!$F$72:$I$73,2,FALSE),FALSE),0)</f>
        <v>0.4</v>
      </c>
      <c r="I15" s="97"/>
      <c r="J15" s="97"/>
      <c r="K15" s="99">
        <f>$C$50*(D15*'Watershed Data'!$D$23+(C15-D15)*VLOOKUP(G15,'Watershed Data'!$A$19:$E$22,5,FALSE))*3630</f>
        <v>8891.0300088020904</v>
      </c>
      <c r="L15" s="37">
        <f t="shared" si="0"/>
        <v>2.9361076731232233E-4</v>
      </c>
      <c r="M15" s="30">
        <f>BMPs!$M$8*BMPs!$M$12</f>
        <v>1.08</v>
      </c>
      <c r="N15" s="108">
        <f t="shared" si="6"/>
        <v>0.6</v>
      </c>
      <c r="O15" s="39">
        <f t="shared" si="1"/>
        <v>0.7</v>
      </c>
      <c r="P15" s="99">
        <f t="shared" si="2"/>
        <v>522.23542895506057</v>
      </c>
      <c r="Q15" s="116">
        <f t="shared" si="3"/>
        <v>0</v>
      </c>
      <c r="R15" s="99">
        <f t="shared" si="4"/>
        <v>522.23542895506057</v>
      </c>
      <c r="T15" s="76">
        <f>IFERROR(VLOOKUP(J15,BMPs!$C$3:$F$69,3,FALSE),0)</f>
        <v>0</v>
      </c>
      <c r="U15" s="76">
        <f>IFERROR(VLOOKUP(J15,BMPs!$C$3:$F$69,5,FALSE),0)</f>
        <v>0</v>
      </c>
      <c r="V15" s="117">
        <f t="shared" si="7"/>
        <v>0</v>
      </c>
      <c r="W15" s="37">
        <f>IFERROR((D15*'Watershed Data'!$D$21+E15*'Watershed Data'!$E$21)/('LandUse-LandCover'!$E$30*'Watershed Data'!$D$23+'LandUse-LandCover'!$F$30*'Watershed Data'!$E$23),0)*BMPs!$M$6*BMPs!$M$8*BMPs!$M$12</f>
        <v>2.8535243116252067E-4</v>
      </c>
      <c r="X15" s="30">
        <f t="shared" si="5"/>
        <v>0</v>
      </c>
    </row>
    <row r="16" spans="1:24" x14ac:dyDescent="0.25">
      <c r="A16" t="str">
        <f>+BMPs!C16</f>
        <v>MRNG</v>
      </c>
      <c r="B16" t="str">
        <f>+BMPs!D16</f>
        <v>Rain Gardens</v>
      </c>
      <c r="C16" s="27">
        <f>+Scenarios!I16</f>
        <v>0</v>
      </c>
      <c r="D16" s="27">
        <f>+Scenarios!J16</f>
        <v>0</v>
      </c>
      <c r="E16" s="22">
        <f t="shared" si="8"/>
        <v>0</v>
      </c>
      <c r="F16" s="76">
        <f>BMPs!E16</f>
        <v>0.5</v>
      </c>
      <c r="G16" s="242" t="s">
        <v>504</v>
      </c>
      <c r="H16" s="76">
        <f>IFERROR(VLOOKUP(A16,BMPs!$C$2:$J$64,HLOOKUP(G16,BMPs!$F$72:$I$73,2,FALSE),FALSE),0)</f>
        <v>0.4</v>
      </c>
      <c r="I16" s="97"/>
      <c r="J16" s="97"/>
      <c r="K16" s="99">
        <f>$C$50*(D16*'Watershed Data'!$D$23+(C16-D16)*VLOOKUP(G16,'Watershed Data'!$A$19:$E$22,5,FALSE))*3630</f>
        <v>0</v>
      </c>
      <c r="L16" s="37">
        <f t="shared" si="0"/>
        <v>0</v>
      </c>
      <c r="M16" s="30">
        <f>BMPs!$M$8*BMPs!$M$12</f>
        <v>1.08</v>
      </c>
      <c r="N16" s="108">
        <f t="shared" si="6"/>
        <v>0.6</v>
      </c>
      <c r="O16" s="39">
        <f t="shared" si="1"/>
        <v>0.7</v>
      </c>
      <c r="P16" s="99">
        <f t="shared" si="2"/>
        <v>0</v>
      </c>
      <c r="Q16" s="116">
        <f t="shared" si="3"/>
        <v>0</v>
      </c>
      <c r="R16" s="99">
        <f t="shared" si="4"/>
        <v>0</v>
      </c>
      <c r="T16" s="76">
        <f>IFERROR(VLOOKUP(J16,BMPs!$C$3:$F$69,3,FALSE),0)</f>
        <v>0</v>
      </c>
      <c r="U16" s="76">
        <f>IFERROR(VLOOKUP(J16,BMPs!$C$3:$F$69,5,FALSE),0)</f>
        <v>0</v>
      </c>
      <c r="V16" s="117">
        <f t="shared" si="7"/>
        <v>0</v>
      </c>
      <c r="W16" s="37">
        <f>IFERROR((D16*'Watershed Data'!$D$21+E16*'Watershed Data'!$E$21)/('LandUse-LandCover'!$E$30*'Watershed Data'!$D$23+'LandUse-LandCover'!$F$30*'Watershed Data'!$E$23),0)*BMPs!$M$6*BMPs!$M$8*BMPs!$M$12</f>
        <v>0</v>
      </c>
      <c r="X16" s="30">
        <f t="shared" si="5"/>
        <v>0</v>
      </c>
    </row>
    <row r="17" spans="1:27" x14ac:dyDescent="0.25">
      <c r="A17" t="str">
        <f>+BMPs!C17</f>
        <v>MSWG</v>
      </c>
      <c r="B17" t="str">
        <f>+BMPs!D17</f>
        <v>Grass Swale</v>
      </c>
      <c r="C17" s="27">
        <f>+Scenarios!I17</f>
        <v>0</v>
      </c>
      <c r="D17" s="27">
        <f>+Scenarios!J17</f>
        <v>0</v>
      </c>
      <c r="E17" s="22">
        <f t="shared" si="8"/>
        <v>0</v>
      </c>
      <c r="F17" s="112">
        <v>0</v>
      </c>
      <c r="G17" s="242" t="s">
        <v>504</v>
      </c>
      <c r="H17" s="76">
        <f>IFERROR(VLOOKUP(A17,BMPs!$C$2:$J$64,HLOOKUP(G17,BMPs!$F$72:$I$73,2,FALSE),FALSE),0)</f>
        <v>0.1</v>
      </c>
      <c r="I17" s="97"/>
      <c r="J17" s="97"/>
      <c r="K17" s="99">
        <f>$C$50*(D17*'Watershed Data'!$D$23+(C17-D17)*VLOOKUP(G17,'Watershed Data'!$A$19:$E$22,5,FALSE))*3630</f>
        <v>0</v>
      </c>
      <c r="L17" s="37">
        <f t="shared" si="0"/>
        <v>0</v>
      </c>
      <c r="M17" s="30">
        <f>BMPs!$M$8*BMPs!$M$12</f>
        <v>1.08</v>
      </c>
      <c r="N17" s="108">
        <f t="shared" si="6"/>
        <v>0.9</v>
      </c>
      <c r="O17" s="39">
        <f t="shared" si="1"/>
        <v>0.1</v>
      </c>
      <c r="P17" s="99">
        <f t="shared" si="2"/>
        <v>0</v>
      </c>
      <c r="Q17" s="116">
        <f t="shared" si="3"/>
        <v>0</v>
      </c>
      <c r="R17" s="99">
        <f t="shared" si="4"/>
        <v>0</v>
      </c>
      <c r="T17" s="76">
        <f>IFERROR(VLOOKUP(J17,BMPs!$C$3:$F$69,3,FALSE),0)</f>
        <v>0</v>
      </c>
      <c r="U17" s="76">
        <f>IFERROR(VLOOKUP(J17,BMPs!$C$3:$F$69,5,FALSE),0)</f>
        <v>0</v>
      </c>
      <c r="V17" s="117">
        <f t="shared" si="7"/>
        <v>0</v>
      </c>
      <c r="W17" s="37">
        <f>IFERROR((D17*'Watershed Data'!$D$21+E17*'Watershed Data'!$E$21)/('LandUse-LandCover'!$E$30*'Watershed Data'!$D$23+'LandUse-LandCover'!$F$30*'Watershed Data'!$E$23),0)*BMPs!$M$6*BMPs!$M$8*BMPs!$M$12</f>
        <v>0</v>
      </c>
      <c r="X17" s="30">
        <f t="shared" si="5"/>
        <v>0</v>
      </c>
    </row>
    <row r="18" spans="1:27" x14ac:dyDescent="0.25">
      <c r="A18" t="str">
        <f>+BMPs!C18</f>
        <v>MSWW</v>
      </c>
      <c r="B18" t="str">
        <f>+BMPs!D18</f>
        <v>Wet Swale</v>
      </c>
      <c r="C18" s="27">
        <f>+Scenarios!I18</f>
        <v>0</v>
      </c>
      <c r="D18" s="27">
        <f>+Scenarios!J18</f>
        <v>0</v>
      </c>
      <c r="E18" s="22">
        <f t="shared" si="8"/>
        <v>0</v>
      </c>
      <c r="F18" s="76">
        <f>BMPs!E18</f>
        <v>0</v>
      </c>
      <c r="G18" s="242" t="s">
        <v>504</v>
      </c>
      <c r="H18" s="76">
        <f>IFERROR(VLOOKUP(A18,BMPs!$C$2:$J$64,HLOOKUP(G18,BMPs!$F$72:$I$73,2,FALSE),FALSE),0)</f>
        <v>0</v>
      </c>
      <c r="I18" s="97"/>
      <c r="J18" s="97"/>
      <c r="K18" s="99">
        <f>$C$50*(D18*'Watershed Data'!$D$23+(C18-D18)*VLOOKUP(G18,'Watershed Data'!$A$19:$E$22,5,FALSE))*3630</f>
        <v>0</v>
      </c>
      <c r="L18" s="37">
        <f t="shared" si="0"/>
        <v>0</v>
      </c>
      <c r="M18" s="30">
        <f>BMPs!$M$8*BMPs!$M$12</f>
        <v>1.08</v>
      </c>
      <c r="N18" s="108">
        <f t="shared" si="6"/>
        <v>1</v>
      </c>
      <c r="O18" s="39">
        <f t="shared" si="1"/>
        <v>0</v>
      </c>
      <c r="P18" s="99">
        <f t="shared" si="2"/>
        <v>0</v>
      </c>
      <c r="Q18" s="116">
        <f t="shared" si="3"/>
        <v>0</v>
      </c>
      <c r="R18" s="99">
        <f t="shared" si="4"/>
        <v>0</v>
      </c>
      <c r="T18" s="76">
        <f>IFERROR(VLOOKUP(J18,BMPs!$C$3:$F$69,3,FALSE),0)</f>
        <v>0</v>
      </c>
      <c r="U18" s="76">
        <f>IFERROR(VLOOKUP(J18,BMPs!$C$3:$F$69,5,FALSE),0)</f>
        <v>0</v>
      </c>
      <c r="V18" s="117">
        <f t="shared" si="7"/>
        <v>0</v>
      </c>
      <c r="W18" s="37">
        <f>IFERROR((D18*'Watershed Data'!$D$21+E18*'Watershed Data'!$E$21)/('LandUse-LandCover'!$E$30*'Watershed Data'!$D$23+'LandUse-LandCover'!$F$30*'Watershed Data'!$E$23),0)*BMPs!$M$6*BMPs!$M$8*BMPs!$M$12</f>
        <v>0</v>
      </c>
      <c r="X18" s="30">
        <f t="shared" si="5"/>
        <v>0</v>
      </c>
    </row>
    <row r="19" spans="1:27" x14ac:dyDescent="0.25">
      <c r="A19" t="str">
        <f>+BMPs!C19</f>
        <v>MSWB</v>
      </c>
      <c r="B19" t="str">
        <f>+BMPs!D19</f>
        <v>Bio-Swale</v>
      </c>
      <c r="C19" s="27">
        <f>+Scenarios!I19</f>
        <v>0</v>
      </c>
      <c r="D19" s="27">
        <f>+Scenarios!J19</f>
        <v>0</v>
      </c>
      <c r="E19" s="22">
        <f t="shared" si="8"/>
        <v>0</v>
      </c>
      <c r="F19" s="76">
        <f>BMPs!E19</f>
        <v>0</v>
      </c>
      <c r="G19" s="242" t="s">
        <v>504</v>
      </c>
      <c r="H19" s="76">
        <f>IFERROR(VLOOKUP(A19,BMPs!$C$2:$J$64,HLOOKUP(G19,BMPs!$F$72:$I$73,2,FALSE),FALSE),0)</f>
        <v>0.4</v>
      </c>
      <c r="I19" s="97"/>
      <c r="J19" s="97"/>
      <c r="K19" s="99">
        <f>$C$50*(D19*'Watershed Data'!$D$23+(C19-D19)*VLOOKUP(G19,'Watershed Data'!$A$19:$E$22,5,FALSE))*3630</f>
        <v>0</v>
      </c>
      <c r="L19" s="37">
        <f t="shared" si="0"/>
        <v>0</v>
      </c>
      <c r="M19" s="30">
        <f>BMPs!$M$8*BMPs!$M$12</f>
        <v>1.08</v>
      </c>
      <c r="N19" s="108">
        <f t="shared" si="6"/>
        <v>0.6</v>
      </c>
      <c r="O19" s="39">
        <f t="shared" si="1"/>
        <v>0.4</v>
      </c>
      <c r="P19" s="99">
        <f t="shared" si="2"/>
        <v>0</v>
      </c>
      <c r="Q19" s="116">
        <f t="shared" si="3"/>
        <v>0</v>
      </c>
      <c r="R19" s="99">
        <f t="shared" si="4"/>
        <v>0</v>
      </c>
      <c r="T19" s="76">
        <f>IFERROR(VLOOKUP(J19,BMPs!$C$3:$F$69,3,FALSE),0)</f>
        <v>0</v>
      </c>
      <c r="U19" s="76">
        <f>IFERROR(VLOOKUP(J19,BMPs!$C$3:$F$69,5,FALSE),0)</f>
        <v>0</v>
      </c>
      <c r="V19" s="117">
        <f t="shared" si="7"/>
        <v>0</v>
      </c>
      <c r="W19" s="37">
        <f>IFERROR((D19*'Watershed Data'!$D$21+E19*'Watershed Data'!$E$21)/('LandUse-LandCover'!$E$30*'Watershed Data'!$D$23+'LandUse-LandCover'!$F$30*'Watershed Data'!$E$23),0)*BMPs!$M$6*BMPs!$M$8*BMPs!$M$12</f>
        <v>0</v>
      </c>
      <c r="X19" s="30">
        <f t="shared" si="5"/>
        <v>0</v>
      </c>
    </row>
    <row r="20" spans="1:27" x14ac:dyDescent="0.25">
      <c r="A20" t="str">
        <f>+BMPs!C20</f>
        <v>MENF</v>
      </c>
      <c r="B20" t="str">
        <f>+BMPs!D20</f>
        <v>Enhanced Filters</v>
      </c>
      <c r="C20" s="27">
        <f>+Scenarios!I20</f>
        <v>0</v>
      </c>
      <c r="D20" s="27">
        <f>+Scenarios!J20</f>
        <v>0</v>
      </c>
      <c r="E20" s="22">
        <f t="shared" si="8"/>
        <v>0</v>
      </c>
      <c r="F20" s="76">
        <f>BMPs!E20</f>
        <v>0</v>
      </c>
      <c r="G20" s="242" t="s">
        <v>504</v>
      </c>
      <c r="H20" s="76">
        <f>IFERROR(VLOOKUP(A20,BMPs!$C$2:$J$64,HLOOKUP(G20,BMPs!$F$72:$I$73,2,FALSE),FALSE),0)</f>
        <v>0</v>
      </c>
      <c r="I20" s="97"/>
      <c r="J20" s="97"/>
      <c r="K20" s="99">
        <f>$C$50*(D20*'Watershed Data'!$D$23+(C20-D20)*VLOOKUP(G20,'Watershed Data'!$A$19:$E$22,5,FALSE))*3630</f>
        <v>0</v>
      </c>
      <c r="L20" s="37">
        <f t="shared" si="0"/>
        <v>0</v>
      </c>
      <c r="M20" s="30">
        <f>BMPs!$M$8*BMPs!$M$12</f>
        <v>1.08</v>
      </c>
      <c r="N20" s="108">
        <f t="shared" si="6"/>
        <v>1</v>
      </c>
      <c r="O20" s="39">
        <f t="shared" si="1"/>
        <v>0</v>
      </c>
      <c r="P20" s="99">
        <f t="shared" si="2"/>
        <v>0</v>
      </c>
      <c r="Q20" s="116">
        <f t="shared" si="3"/>
        <v>0</v>
      </c>
      <c r="R20" s="99">
        <f t="shared" si="4"/>
        <v>0</v>
      </c>
      <c r="T20" s="76">
        <f>IFERROR(VLOOKUP(J20,BMPs!$C$3:$F$69,3,FALSE),0)</f>
        <v>0</v>
      </c>
      <c r="U20" s="76">
        <f>IFERROR(VLOOKUP(J20,BMPs!$C$3:$F$69,5,FALSE),0)</f>
        <v>0</v>
      </c>
      <c r="V20" s="117">
        <f t="shared" si="7"/>
        <v>0</v>
      </c>
      <c r="W20" s="37">
        <f>IFERROR((D20*'Watershed Data'!$D$21+E20*'Watershed Data'!$E$21)/('LandUse-LandCover'!$E$30*'Watershed Data'!$D$23+'LandUse-LandCover'!$F$30*'Watershed Data'!$E$23),0)*BMPs!$M$6*BMPs!$M$8*BMPs!$M$12</f>
        <v>0</v>
      </c>
      <c r="X20" s="30">
        <f t="shared" si="5"/>
        <v>0</v>
      </c>
    </row>
    <row r="21" spans="1:27" x14ac:dyDescent="0.25">
      <c r="A21" t="str">
        <f>+BMPs!C21</f>
        <v>FBIO</v>
      </c>
      <c r="B21" t="str">
        <f>+BMPs!D21</f>
        <v>Bioretention</v>
      </c>
      <c r="C21" s="27">
        <f>+Scenarios!I21</f>
        <v>6.4</v>
      </c>
      <c r="D21" s="27">
        <f>+Scenarios!J21</f>
        <v>1.7</v>
      </c>
      <c r="E21" s="22">
        <f t="shared" si="8"/>
        <v>4.7</v>
      </c>
      <c r="F21" s="76">
        <f>BMPs!E21</f>
        <v>0.5</v>
      </c>
      <c r="G21" s="242" t="s">
        <v>504</v>
      </c>
      <c r="H21" s="76">
        <f>IFERROR(VLOOKUP(A21,BMPs!$C$2:$J$64,HLOOKUP(G21,BMPs!$F$72:$I$73,2,FALSE),FALSE),0)</f>
        <v>0.4</v>
      </c>
      <c r="I21" s="97"/>
      <c r="J21" s="97"/>
      <c r="K21" s="99">
        <f>$C$50*(D21*'Watershed Data'!$D$23+(C21-D21)*VLOOKUP(G21,'Watershed Data'!$A$19:$E$22,5,FALSE))*3630</f>
        <v>9616.7273978102403</v>
      </c>
      <c r="L21" s="37">
        <f t="shared" si="0"/>
        <v>3.1757565855802621E-4</v>
      </c>
      <c r="M21" s="30">
        <f>BMPs!$M$8*BMPs!$M$12</f>
        <v>1.08</v>
      </c>
      <c r="N21" s="108">
        <f t="shared" si="6"/>
        <v>0.6</v>
      </c>
      <c r="O21" s="39">
        <f t="shared" si="1"/>
        <v>0.7</v>
      </c>
      <c r="P21" s="99">
        <f t="shared" si="2"/>
        <v>564.86096130227395</v>
      </c>
      <c r="Q21" s="116">
        <f>+X21</f>
        <v>0</v>
      </c>
      <c r="R21" s="99">
        <f t="shared" si="4"/>
        <v>564.86096130227395</v>
      </c>
      <c r="T21" s="76">
        <f>IFERROR(VLOOKUP(J21,BMPs!$C$3:$F$69,3,FALSE),0)</f>
        <v>0</v>
      </c>
      <c r="U21" s="76">
        <f>IFERROR(VLOOKUP(J21,BMPs!$C$3:$F$69,5,FALSE),0)</f>
        <v>0</v>
      </c>
      <c r="V21" s="117">
        <f t="shared" si="7"/>
        <v>0</v>
      </c>
      <c r="W21" s="37">
        <f>IFERROR((D21*'Watershed Data'!$D$21+E21*'Watershed Data'!$E$21)/('LandUse-LandCover'!$E$30*'Watershed Data'!$D$23+'LandUse-LandCover'!$F$30*'Watershed Data'!$E$23),0)*BMPs!$M$6*BMPs!$M$8*BMPs!$M$12</f>
        <v>3.0865601884422922E-4</v>
      </c>
      <c r="X21" s="30">
        <f t="shared" si="5"/>
        <v>0</v>
      </c>
      <c r="Y21" s="111" t="s">
        <v>277</v>
      </c>
      <c r="Z21" s="111"/>
      <c r="AA21" s="111"/>
    </row>
    <row r="22" spans="1:27" x14ac:dyDescent="0.25">
      <c r="A22" t="str">
        <f>+BMPs!C22</f>
        <v>FSND</v>
      </c>
      <c r="B22" t="str">
        <f>+BMPs!D22</f>
        <v>Surface sand filter</v>
      </c>
      <c r="C22" s="27">
        <f>+Scenarios!I22</f>
        <v>0</v>
      </c>
      <c r="D22" s="27">
        <f>+Scenarios!J22</f>
        <v>0</v>
      </c>
      <c r="E22" s="22">
        <f t="shared" si="8"/>
        <v>0</v>
      </c>
      <c r="F22" s="76">
        <f>BMPs!E22</f>
        <v>0.8</v>
      </c>
      <c r="G22" s="242" t="s">
        <v>504</v>
      </c>
      <c r="H22" s="76">
        <f>IFERROR(VLOOKUP(A22,BMPs!$C$2:$J$64,HLOOKUP(G22,BMPs!$F$72:$I$73,2,FALSE),FALSE),0)</f>
        <v>0</v>
      </c>
      <c r="I22" s="97"/>
      <c r="J22" s="97"/>
      <c r="K22" s="99">
        <f>$C$50*(D22*'Watershed Data'!$D$23+(C22-D22)*VLOOKUP(G22,'Watershed Data'!$A$19:$E$22,5,FALSE))*3630</f>
        <v>0</v>
      </c>
      <c r="L22" s="37">
        <f t="shared" si="0"/>
        <v>0</v>
      </c>
      <c r="M22" s="30">
        <f>BMPs!$M$8*BMPs!$M$12</f>
        <v>1.08</v>
      </c>
      <c r="N22" s="108">
        <f t="shared" si="6"/>
        <v>1</v>
      </c>
      <c r="O22" s="39">
        <f t="shared" si="1"/>
        <v>0.8</v>
      </c>
      <c r="P22" s="99">
        <f t="shared" si="2"/>
        <v>0</v>
      </c>
      <c r="Q22" s="116">
        <f t="shared" ref="Q22:Q44" si="9">+X22</f>
        <v>0</v>
      </c>
      <c r="R22" s="99">
        <f t="shared" si="4"/>
        <v>0</v>
      </c>
      <c r="T22" s="76">
        <f>IFERROR(VLOOKUP(J22,BMPs!$C$3:$F$69,3,FALSE),0)</f>
        <v>0</v>
      </c>
      <c r="U22" s="76">
        <f>IFERROR(VLOOKUP(J22,BMPs!$C$3:$F$69,5,FALSE),0)</f>
        <v>0</v>
      </c>
      <c r="V22" s="117">
        <f t="shared" si="7"/>
        <v>0</v>
      </c>
      <c r="W22" s="37">
        <f>IFERROR((D22*'Watershed Data'!$D$21+E22*'Watershed Data'!$E$21)/('LandUse-LandCover'!$E$30*'Watershed Data'!$D$23+'LandUse-LandCover'!$F$30*'Watershed Data'!$E$23),0)*BMPs!$M$6*BMPs!$M$8*BMPs!$M$12</f>
        <v>0</v>
      </c>
      <c r="X22" s="30">
        <f t="shared" si="5"/>
        <v>0</v>
      </c>
    </row>
    <row r="23" spans="1:27" x14ac:dyDescent="0.25">
      <c r="A23" t="str">
        <f>+BMPs!C23</f>
        <v>FUND</v>
      </c>
      <c r="B23" t="str">
        <f>+BMPs!D23</f>
        <v>Underground sand filter</v>
      </c>
      <c r="C23" s="27">
        <f>+Scenarios!I23</f>
        <v>0</v>
      </c>
      <c r="D23" s="27">
        <f>+Scenarios!J23</f>
        <v>0</v>
      </c>
      <c r="E23" s="22">
        <f t="shared" si="8"/>
        <v>0</v>
      </c>
      <c r="F23" s="76">
        <f>BMPs!E23</f>
        <v>0.8</v>
      </c>
      <c r="G23" s="242" t="s">
        <v>504</v>
      </c>
      <c r="H23" s="76">
        <f>IFERROR(VLOOKUP(A23,BMPs!$C$2:$J$64,HLOOKUP(G23,BMPs!$F$72:$I$73,2,FALSE),FALSE),0)</f>
        <v>0</v>
      </c>
      <c r="I23" s="97"/>
      <c r="J23" s="97"/>
      <c r="K23" s="99">
        <f>$C$50*(D23*'Watershed Data'!$D$23+(C23-D23)*VLOOKUP(G23,'Watershed Data'!$A$19:$E$22,5,FALSE))*3630</f>
        <v>0</v>
      </c>
      <c r="L23" s="37">
        <f t="shared" si="0"/>
        <v>0</v>
      </c>
      <c r="M23" s="30">
        <f>BMPs!$M$8*BMPs!$M$12</f>
        <v>1.08</v>
      </c>
      <c r="N23" s="108">
        <f t="shared" si="6"/>
        <v>1</v>
      </c>
      <c r="O23" s="39">
        <f t="shared" si="1"/>
        <v>0.8</v>
      </c>
      <c r="P23" s="99">
        <f t="shared" si="2"/>
        <v>0</v>
      </c>
      <c r="Q23" s="116">
        <f t="shared" si="9"/>
        <v>0</v>
      </c>
      <c r="R23" s="99">
        <f t="shared" si="4"/>
        <v>0</v>
      </c>
      <c r="T23" s="76">
        <f>IFERROR(VLOOKUP(J23,BMPs!$C$3:$F$69,3,FALSE),0)</f>
        <v>0</v>
      </c>
      <c r="U23" s="76">
        <f>IFERROR(VLOOKUP(J23,BMPs!$C$3:$F$69,5,FALSE),0)</f>
        <v>0</v>
      </c>
      <c r="V23" s="117">
        <f t="shared" si="7"/>
        <v>0</v>
      </c>
      <c r="W23" s="37">
        <f>IFERROR((D23*'Watershed Data'!$D$21+E23*'Watershed Data'!$E$21)/('LandUse-LandCover'!$E$30*'Watershed Data'!$D$23+'LandUse-LandCover'!$F$30*'Watershed Data'!$E$23),0)*BMPs!$M$6*BMPs!$M$8*BMPs!$M$12</f>
        <v>0</v>
      </c>
      <c r="X23" s="30">
        <f t="shared" si="5"/>
        <v>0</v>
      </c>
    </row>
    <row r="24" spans="1:27" x14ac:dyDescent="0.25">
      <c r="A24" t="str">
        <f>+BMPs!C24</f>
        <v>FPER</v>
      </c>
      <c r="B24" t="str">
        <f>+BMPs!D24</f>
        <v>Perimeter (sand) filter</v>
      </c>
      <c r="C24" s="27">
        <f>+Scenarios!I24</f>
        <v>0</v>
      </c>
      <c r="D24" s="27">
        <f>+Scenarios!J24</f>
        <v>0</v>
      </c>
      <c r="E24" s="22">
        <f t="shared" si="8"/>
        <v>0</v>
      </c>
      <c r="F24" s="76">
        <f>BMPs!E24</f>
        <v>0.8</v>
      </c>
      <c r="G24" s="242" t="s">
        <v>504</v>
      </c>
      <c r="H24" s="76">
        <f>IFERROR(VLOOKUP(A24,BMPs!$C$2:$J$64,HLOOKUP(G24,BMPs!$F$72:$I$73,2,FALSE),FALSE),0)</f>
        <v>0</v>
      </c>
      <c r="I24" s="97"/>
      <c r="J24" s="97"/>
      <c r="K24" s="99">
        <f>$C$50*(D24*'Watershed Data'!$D$23+(C24-D24)*VLOOKUP(G24,'Watershed Data'!$A$19:$E$22,5,FALSE))*3630</f>
        <v>0</v>
      </c>
      <c r="L24" s="37">
        <f t="shared" si="0"/>
        <v>0</v>
      </c>
      <c r="M24" s="30">
        <f>BMPs!$M$8*BMPs!$M$12</f>
        <v>1.08</v>
      </c>
      <c r="N24" s="108">
        <f t="shared" si="6"/>
        <v>1</v>
      </c>
      <c r="O24" s="39">
        <f t="shared" si="1"/>
        <v>0.8</v>
      </c>
      <c r="P24" s="99">
        <f t="shared" si="2"/>
        <v>0</v>
      </c>
      <c r="Q24" s="116">
        <f t="shared" si="9"/>
        <v>0</v>
      </c>
      <c r="R24" s="99">
        <f t="shared" si="4"/>
        <v>0</v>
      </c>
      <c r="T24" s="76">
        <f>IFERROR(VLOOKUP(J24,BMPs!$C$3:$F$69,3,FALSE),0)</f>
        <v>0</v>
      </c>
      <c r="U24" s="76">
        <f>IFERROR(VLOOKUP(J24,BMPs!$C$3:$F$69,5,FALSE),0)</f>
        <v>0</v>
      </c>
      <c r="V24" s="117">
        <f t="shared" si="7"/>
        <v>0</v>
      </c>
      <c r="W24" s="37">
        <f>IFERROR((D24*'Watershed Data'!$D$21+E24*'Watershed Data'!$E$21)/('LandUse-LandCover'!$E$30*'Watershed Data'!$D$23+'LandUse-LandCover'!$F$30*'Watershed Data'!$E$23),0)*BMPs!$M$6*BMPs!$M$8*BMPs!$M$12</f>
        <v>0</v>
      </c>
      <c r="X24" s="30">
        <f t="shared" si="5"/>
        <v>0</v>
      </c>
    </row>
    <row r="25" spans="1:27" x14ac:dyDescent="0.25">
      <c r="A25" t="str">
        <f>+BMPs!C25</f>
        <v>FORG</v>
      </c>
      <c r="B25" t="str">
        <f>+BMPs!D25</f>
        <v>Organic filter</v>
      </c>
      <c r="C25" s="27">
        <f>+Scenarios!I25</f>
        <v>0</v>
      </c>
      <c r="D25" s="27">
        <f>+Scenarios!J25</f>
        <v>0</v>
      </c>
      <c r="E25" s="22">
        <f t="shared" si="8"/>
        <v>0</v>
      </c>
      <c r="F25" s="76">
        <f>BMPs!E25</f>
        <v>0.8</v>
      </c>
      <c r="G25" s="242" t="s">
        <v>504</v>
      </c>
      <c r="H25" s="76">
        <f>IFERROR(VLOOKUP(A25,BMPs!$C$2:$J$64,HLOOKUP(G25,BMPs!$F$72:$I$73,2,FALSE),FALSE),0)</f>
        <v>0</v>
      </c>
      <c r="I25" s="97"/>
      <c r="J25" s="97"/>
      <c r="K25" s="99">
        <f>$C$50*(D25*'Watershed Data'!$D$23+(C25-D25)*VLOOKUP(G25,'Watershed Data'!$A$19:$E$22,5,FALSE))*3630</f>
        <v>0</v>
      </c>
      <c r="L25" s="37">
        <f t="shared" si="0"/>
        <v>0</v>
      </c>
      <c r="M25" s="30">
        <f>BMPs!$M$8*BMPs!$M$12</f>
        <v>1.08</v>
      </c>
      <c r="N25" s="108">
        <f t="shared" si="6"/>
        <v>1</v>
      </c>
      <c r="O25" s="39">
        <f t="shared" si="1"/>
        <v>0.8</v>
      </c>
      <c r="P25" s="99">
        <f t="shared" si="2"/>
        <v>0</v>
      </c>
      <c r="Q25" s="116">
        <f t="shared" si="9"/>
        <v>0</v>
      </c>
      <c r="R25" s="99">
        <f t="shared" si="4"/>
        <v>0</v>
      </c>
      <c r="T25" s="76">
        <f>IFERROR(VLOOKUP(J25,BMPs!$C$3:$F$69,3,FALSE),0)</f>
        <v>0</v>
      </c>
      <c r="U25" s="76">
        <f>IFERROR(VLOOKUP(J25,BMPs!$C$3:$F$69,5,FALSE),0)</f>
        <v>0</v>
      </c>
      <c r="V25" s="117">
        <f t="shared" si="7"/>
        <v>0</v>
      </c>
      <c r="W25" s="37">
        <f>IFERROR((D25*'Watershed Data'!$D$21+E25*'Watershed Data'!$E$21)/('LandUse-LandCover'!$E$30*'Watershed Data'!$D$23+'LandUse-LandCover'!$F$30*'Watershed Data'!$E$23),0)*BMPs!$M$6*BMPs!$M$8*BMPs!$M$12</f>
        <v>0</v>
      </c>
      <c r="X25" s="30">
        <f t="shared" si="5"/>
        <v>0</v>
      </c>
    </row>
    <row r="26" spans="1:27" x14ac:dyDescent="0.25">
      <c r="A26" t="str">
        <f>+BMPs!C26</f>
        <v>--</v>
      </c>
      <c r="B26" t="str">
        <f>+BMPs!D26</f>
        <v>Other filtering</v>
      </c>
      <c r="C26" s="27">
        <f>+Scenarios!I26</f>
        <v>0</v>
      </c>
      <c r="D26" s="27">
        <f>+Scenarios!J26</f>
        <v>0</v>
      </c>
      <c r="E26" s="22">
        <f t="shared" si="8"/>
        <v>0</v>
      </c>
      <c r="F26" s="76">
        <f>BMPs!E26</f>
        <v>0</v>
      </c>
      <c r="G26" s="242" t="s">
        <v>504</v>
      </c>
      <c r="H26" s="76">
        <f>IFERROR(VLOOKUP(A26,BMPs!$C$2:$J$64,HLOOKUP(G26,BMPs!$F$72:$I$73,2,FALSE),FALSE),0)</f>
        <v>0</v>
      </c>
      <c r="I26" s="97"/>
      <c r="J26" s="97"/>
      <c r="K26" s="99">
        <f>$C$50*(D26*'Watershed Data'!$D$23+(C26-D26)*VLOOKUP(G26,'Watershed Data'!$A$19:$E$22,5,FALSE))*3630</f>
        <v>0</v>
      </c>
      <c r="L26" s="37">
        <f t="shared" si="0"/>
        <v>0</v>
      </c>
      <c r="M26" s="30">
        <f>BMPs!$M$8*BMPs!$M$12</f>
        <v>1.08</v>
      </c>
      <c r="N26" s="108">
        <f t="shared" si="6"/>
        <v>1</v>
      </c>
      <c r="O26" s="39">
        <f t="shared" si="1"/>
        <v>0</v>
      </c>
      <c r="P26" s="99">
        <f t="shared" si="2"/>
        <v>0</v>
      </c>
      <c r="Q26" s="116">
        <f t="shared" si="9"/>
        <v>0</v>
      </c>
      <c r="R26" s="99">
        <f t="shared" si="4"/>
        <v>0</v>
      </c>
      <c r="T26" s="76">
        <f>IFERROR(VLOOKUP(J26,BMPs!$C$3:$F$69,3,FALSE),0)</f>
        <v>0</v>
      </c>
      <c r="U26" s="76">
        <f>IFERROR(VLOOKUP(J26,BMPs!$C$3:$F$69,5,FALSE),0)</f>
        <v>0</v>
      </c>
      <c r="V26" s="117">
        <f t="shared" si="7"/>
        <v>0</v>
      </c>
      <c r="W26" s="37">
        <f>IFERROR((D26*'Watershed Data'!$D$21+E26*'Watershed Data'!$E$21)/('LandUse-LandCover'!$E$30*'Watershed Data'!$D$23+'LandUse-LandCover'!$F$30*'Watershed Data'!$E$23),0)*BMPs!$M$6*BMPs!$M$8*BMPs!$M$12</f>
        <v>0</v>
      </c>
      <c r="X26" s="30">
        <f t="shared" si="5"/>
        <v>0</v>
      </c>
    </row>
    <row r="27" spans="1:27" x14ac:dyDescent="0.25">
      <c r="A27" t="str">
        <f>+BMPs!C27</f>
        <v>ODSW</v>
      </c>
      <c r="B27" t="str">
        <f>+BMPs!D27</f>
        <v>Dry swale</v>
      </c>
      <c r="C27" s="71">
        <f>+Scenarios!I27</f>
        <v>0</v>
      </c>
      <c r="D27" s="71">
        <f>+Scenarios!J27</f>
        <v>0</v>
      </c>
      <c r="E27" s="22">
        <f t="shared" si="8"/>
        <v>0</v>
      </c>
      <c r="F27" s="76">
        <f>BMPs!E27</f>
        <v>0</v>
      </c>
      <c r="G27" s="242" t="s">
        <v>504</v>
      </c>
      <c r="H27" s="76">
        <f>IFERROR(VLOOKUP(A27,BMPs!$C$2:$J$64,HLOOKUP(G27,BMPs!$F$72:$I$73,2,FALSE),FALSE),0)</f>
        <v>0.4</v>
      </c>
      <c r="I27" s="97"/>
      <c r="J27" s="97"/>
      <c r="K27" s="99">
        <f>$C$50*(D27*'Watershed Data'!$D$23+(C27-D27)*VLOOKUP(G27,'Watershed Data'!$A$19:$E$22,5,FALSE))*3630</f>
        <v>0</v>
      </c>
      <c r="L27" s="37">
        <f t="shared" si="0"/>
        <v>0</v>
      </c>
      <c r="M27" s="30">
        <f>BMPs!$M$8*BMPs!$M$12</f>
        <v>1.08</v>
      </c>
      <c r="N27" s="108">
        <f t="shared" si="6"/>
        <v>0.6</v>
      </c>
      <c r="O27" s="39">
        <f t="shared" si="1"/>
        <v>0.4</v>
      </c>
      <c r="P27" s="99">
        <f t="shared" si="2"/>
        <v>0</v>
      </c>
      <c r="Q27" s="116">
        <f t="shared" si="9"/>
        <v>0</v>
      </c>
      <c r="R27" s="99">
        <f t="shared" si="4"/>
        <v>0</v>
      </c>
      <c r="T27" s="76">
        <f>IFERROR(VLOOKUP(J27,BMPs!$C$3:$F$69,3,FALSE),0)</f>
        <v>0</v>
      </c>
      <c r="U27" s="76">
        <f>IFERROR(VLOOKUP(J27,BMPs!$C$3:$F$69,5,FALSE),0)</f>
        <v>0</v>
      </c>
      <c r="V27" s="117">
        <f t="shared" si="7"/>
        <v>0</v>
      </c>
      <c r="W27" s="37">
        <f>IFERROR((D27*'Watershed Data'!$D$21+E27*'Watershed Data'!$E$21)/('LandUse-LandCover'!$E$30*'Watershed Data'!$D$23+'LandUse-LandCover'!$F$30*'Watershed Data'!$E$23),0)*BMPs!$M$6*BMPs!$M$8*BMPs!$M$12</f>
        <v>0</v>
      </c>
      <c r="X27" s="30">
        <f t="shared" si="5"/>
        <v>0</v>
      </c>
    </row>
    <row r="28" spans="1:27" x14ac:dyDescent="0.25">
      <c r="A28" t="str">
        <f>+BMPs!C28</f>
        <v>OWSW</v>
      </c>
      <c r="B28" t="str">
        <f>+BMPs!D28</f>
        <v>Wet swale</v>
      </c>
      <c r="C28" s="27">
        <f>+Scenarios!I28</f>
        <v>0</v>
      </c>
      <c r="D28" s="27">
        <f>+Scenarios!J28</f>
        <v>0</v>
      </c>
      <c r="E28" s="22">
        <f t="shared" si="8"/>
        <v>0</v>
      </c>
      <c r="F28" s="76">
        <f>BMPs!E28</f>
        <v>0</v>
      </c>
      <c r="G28" s="242" t="s">
        <v>504</v>
      </c>
      <c r="H28" s="76">
        <f>IFERROR(VLOOKUP(A28,BMPs!$C$2:$J$64,HLOOKUP(G28,BMPs!$F$72:$I$73,2,FALSE),FALSE),0)</f>
        <v>0</v>
      </c>
      <c r="I28" s="97"/>
      <c r="J28" s="97"/>
      <c r="K28" s="99">
        <f>$C$50*(D28*'Watershed Data'!$D$23+(C28-D28)*VLOOKUP(G28,'Watershed Data'!$A$19:$E$22,5,FALSE))*3630</f>
        <v>0</v>
      </c>
      <c r="L28" s="37">
        <f t="shared" si="0"/>
        <v>0</v>
      </c>
      <c r="M28" s="30">
        <f>BMPs!$M$8*BMPs!$M$12</f>
        <v>1.08</v>
      </c>
      <c r="N28" s="108">
        <f t="shared" si="6"/>
        <v>1</v>
      </c>
      <c r="O28" s="39">
        <f t="shared" si="1"/>
        <v>0</v>
      </c>
      <c r="P28" s="99">
        <f t="shared" si="2"/>
        <v>0</v>
      </c>
      <c r="Q28" s="116">
        <f t="shared" si="9"/>
        <v>0</v>
      </c>
      <c r="R28" s="99">
        <f t="shared" si="4"/>
        <v>0</v>
      </c>
      <c r="T28" s="76">
        <f>IFERROR(VLOOKUP(J28,BMPs!$C$3:$F$69,3,FALSE),0)</f>
        <v>0</v>
      </c>
      <c r="U28" s="76">
        <f>IFERROR(VLOOKUP(J28,BMPs!$C$3:$F$69,5,FALSE),0)</f>
        <v>0</v>
      </c>
      <c r="V28" s="117">
        <f t="shared" si="7"/>
        <v>0</v>
      </c>
      <c r="W28" s="37">
        <f>IFERROR((D28*'Watershed Data'!$D$21+E28*'Watershed Data'!$E$21)/('LandUse-LandCover'!$E$30*'Watershed Data'!$D$23+'LandUse-LandCover'!$F$30*'Watershed Data'!$E$23),0)*BMPs!$M$6*BMPs!$M$8*BMPs!$M$12</f>
        <v>0</v>
      </c>
      <c r="X28" s="30">
        <f t="shared" si="5"/>
        <v>0</v>
      </c>
    </row>
    <row r="29" spans="1:27" x14ac:dyDescent="0.25">
      <c r="A29" t="str">
        <f>+BMPs!C29</f>
        <v>PWED</v>
      </c>
      <c r="B29" t="str">
        <f>+BMPs!D29</f>
        <v>Wet extended detention pond</v>
      </c>
      <c r="C29" s="27">
        <f>+Scenarios!I29</f>
        <v>0</v>
      </c>
      <c r="D29" s="27">
        <f>+Scenarios!J29</f>
        <v>0</v>
      </c>
      <c r="E29" s="22">
        <f t="shared" si="8"/>
        <v>0</v>
      </c>
      <c r="F29" s="76">
        <f>BMPs!E29</f>
        <v>0.7</v>
      </c>
      <c r="G29" s="242" t="s">
        <v>504</v>
      </c>
      <c r="H29" s="76">
        <f>IFERROR(VLOOKUP(A29,BMPs!$C$2:$J$64,HLOOKUP(G29,BMPs!$F$72:$I$73,2,FALSE),FALSE),0)</f>
        <v>0</v>
      </c>
      <c r="I29" s="97"/>
      <c r="J29" s="97"/>
      <c r="K29" s="99">
        <f>$C$50*(D29*'Watershed Data'!$D$23+(C29-D29)*VLOOKUP(G29,'Watershed Data'!$A$19:$E$22,5,FALSE))*3630</f>
        <v>0</v>
      </c>
      <c r="L29" s="37">
        <f t="shared" si="0"/>
        <v>0</v>
      </c>
      <c r="M29" s="30">
        <f>BMPs!$M$8*BMPs!$M$12</f>
        <v>1.08</v>
      </c>
      <c r="N29" s="108">
        <f t="shared" si="6"/>
        <v>1</v>
      </c>
      <c r="O29" s="39">
        <f t="shared" si="1"/>
        <v>0.7</v>
      </c>
      <c r="P29" s="99">
        <f t="shared" si="2"/>
        <v>0</v>
      </c>
      <c r="Q29" s="116">
        <f t="shared" si="9"/>
        <v>0</v>
      </c>
      <c r="R29" s="99">
        <f t="shared" si="4"/>
        <v>0</v>
      </c>
      <c r="T29" s="76">
        <f>IFERROR(VLOOKUP(J29,BMPs!$C$3:$F$69,3,FALSE),0)</f>
        <v>0</v>
      </c>
      <c r="U29" s="76">
        <f>IFERROR(VLOOKUP(J29,BMPs!$C$3:$F$69,5,FALSE),0)</f>
        <v>0</v>
      </c>
      <c r="V29" s="117">
        <f t="shared" si="7"/>
        <v>0</v>
      </c>
      <c r="W29" s="37">
        <f>IFERROR((D29*'Watershed Data'!$D$21+E29*'Watershed Data'!$E$21)/('LandUse-LandCover'!$E$30*'Watershed Data'!$D$23+'LandUse-LandCover'!$F$30*'Watershed Data'!$E$23),0)*BMPs!$M$6*BMPs!$M$8*BMPs!$M$12</f>
        <v>0</v>
      </c>
      <c r="X29" s="30">
        <f t="shared" si="5"/>
        <v>0</v>
      </c>
    </row>
    <row r="30" spans="1:27" x14ac:dyDescent="0.25">
      <c r="A30" t="str">
        <f>+BMPs!C30</f>
        <v>PWET</v>
      </c>
      <c r="B30" t="str">
        <f>+BMPs!D30</f>
        <v>Wet pond</v>
      </c>
      <c r="C30" s="27">
        <f>+Scenarios!I30</f>
        <v>0</v>
      </c>
      <c r="D30" s="27">
        <f>+Scenarios!J30</f>
        <v>0</v>
      </c>
      <c r="E30" s="22">
        <f t="shared" si="8"/>
        <v>0</v>
      </c>
      <c r="F30" s="76">
        <f>BMPs!E30</f>
        <v>0.7</v>
      </c>
      <c r="G30" s="242" t="s">
        <v>504</v>
      </c>
      <c r="H30" s="76">
        <f>IFERROR(VLOOKUP(A30,BMPs!$C$2:$J$64,HLOOKUP(G30,BMPs!$F$72:$I$73,2,FALSE),FALSE),0)</f>
        <v>0</v>
      </c>
      <c r="I30" s="97"/>
      <c r="J30" s="97"/>
      <c r="K30" s="99">
        <f>$C$50*(D30*'Watershed Data'!$D$23+(C30-D30)*VLOOKUP(G30,'Watershed Data'!$A$19:$E$22,5,FALSE))*3630</f>
        <v>0</v>
      </c>
      <c r="L30" s="37">
        <f t="shared" si="0"/>
        <v>0</v>
      </c>
      <c r="M30" s="30">
        <f>BMPs!$M$8*BMPs!$M$12</f>
        <v>1.08</v>
      </c>
      <c r="N30" s="108">
        <f t="shared" si="6"/>
        <v>1</v>
      </c>
      <c r="O30" s="39">
        <f t="shared" si="1"/>
        <v>0.7</v>
      </c>
      <c r="P30" s="99">
        <f t="shared" si="2"/>
        <v>0</v>
      </c>
      <c r="Q30" s="116">
        <f t="shared" si="9"/>
        <v>0</v>
      </c>
      <c r="R30" s="99">
        <f t="shared" si="4"/>
        <v>0</v>
      </c>
      <c r="T30" s="76">
        <f>IFERROR(VLOOKUP(J30,BMPs!$C$3:$F$69,3,FALSE),0)</f>
        <v>0</v>
      </c>
      <c r="U30" s="76">
        <f>IFERROR(VLOOKUP(J30,BMPs!$C$3:$F$69,5,FALSE),0)</f>
        <v>0</v>
      </c>
      <c r="V30" s="117">
        <f t="shared" si="7"/>
        <v>0</v>
      </c>
      <c r="W30" s="37">
        <f>IFERROR((D30*'Watershed Data'!$D$21+E30*'Watershed Data'!$E$21)/('LandUse-LandCover'!$E$30*'Watershed Data'!$D$23+'LandUse-LandCover'!$F$30*'Watershed Data'!$E$23),0)*BMPs!$M$6*BMPs!$M$8*BMPs!$M$12</f>
        <v>0</v>
      </c>
      <c r="X30" s="30">
        <f t="shared" si="5"/>
        <v>0</v>
      </c>
    </row>
    <row r="31" spans="1:27" x14ac:dyDescent="0.25">
      <c r="A31" t="str">
        <f>+BMPs!C31</f>
        <v>PMPS</v>
      </c>
      <c r="B31" t="str">
        <f>+BMPs!D31</f>
        <v>Multiple Pond Systems</v>
      </c>
      <c r="C31" s="27">
        <f>+Scenarios!I31</f>
        <v>0</v>
      </c>
      <c r="D31" s="27">
        <f>+Scenarios!J31</f>
        <v>0</v>
      </c>
      <c r="E31" s="22">
        <f t="shared" si="8"/>
        <v>0</v>
      </c>
      <c r="F31" s="76">
        <f>BMPs!E31</f>
        <v>0.7</v>
      </c>
      <c r="G31" s="242" t="s">
        <v>504</v>
      </c>
      <c r="H31" s="76">
        <f>IFERROR(VLOOKUP(A31,BMPs!$C$2:$J$64,HLOOKUP(G31,BMPs!$F$72:$I$73,2,FALSE),FALSE),0)</f>
        <v>0</v>
      </c>
      <c r="I31" s="97"/>
      <c r="J31" s="97"/>
      <c r="K31" s="99">
        <f>$C$50*(D31*'Watershed Data'!$D$23+(C31-D31)*VLOOKUP(G31,'Watershed Data'!$A$19:$E$22,5,FALSE))*3630</f>
        <v>0</v>
      </c>
      <c r="L31" s="37">
        <f t="shared" si="0"/>
        <v>0</v>
      </c>
      <c r="M31" s="30">
        <f>BMPs!$M$8*BMPs!$M$12</f>
        <v>1.08</v>
      </c>
      <c r="N31" s="108">
        <f t="shared" si="6"/>
        <v>1</v>
      </c>
      <c r="O31" s="39">
        <f t="shared" si="1"/>
        <v>0.7</v>
      </c>
      <c r="P31" s="99">
        <f t="shared" si="2"/>
        <v>0</v>
      </c>
      <c r="Q31" s="116">
        <f t="shared" si="9"/>
        <v>0</v>
      </c>
      <c r="R31" s="99">
        <f t="shared" si="4"/>
        <v>0</v>
      </c>
      <c r="T31" s="76">
        <f>IFERROR(VLOOKUP(J31,BMPs!$C$3:$F$69,3,FALSE),0)</f>
        <v>0</v>
      </c>
      <c r="U31" s="76">
        <f>IFERROR(VLOOKUP(J31,BMPs!$C$3:$F$69,5,FALSE),0)</f>
        <v>0</v>
      </c>
      <c r="V31" s="117">
        <f t="shared" si="7"/>
        <v>0</v>
      </c>
      <c r="W31" s="37">
        <f>IFERROR((D31*'Watershed Data'!$D$21+E31*'Watershed Data'!$E$21)/('LandUse-LandCover'!$E$30*'Watershed Data'!$D$23+'LandUse-LandCover'!$F$30*'Watershed Data'!$E$23),0)*BMPs!$M$6*BMPs!$M$8*BMPs!$M$12</f>
        <v>0</v>
      </c>
      <c r="X31" s="30">
        <f t="shared" si="5"/>
        <v>0</v>
      </c>
    </row>
    <row r="32" spans="1:27" x14ac:dyDescent="0.25">
      <c r="A32" t="str">
        <f>+BMPs!C32</f>
        <v>PPKT</v>
      </c>
      <c r="B32" t="str">
        <f>+BMPs!D32</f>
        <v>Pocket pond</v>
      </c>
      <c r="C32" s="27">
        <f>+Scenarios!I32</f>
        <v>0</v>
      </c>
      <c r="D32" s="27">
        <f>+Scenarios!J32</f>
        <v>0</v>
      </c>
      <c r="E32" s="22">
        <f t="shared" si="8"/>
        <v>0</v>
      </c>
      <c r="F32" s="76">
        <f>BMPs!E32</f>
        <v>0.7</v>
      </c>
      <c r="G32" s="242" t="s">
        <v>504</v>
      </c>
      <c r="H32" s="76">
        <f>IFERROR(VLOOKUP(A32,BMPs!$C$2:$J$64,HLOOKUP(G32,BMPs!$F$72:$I$73,2,FALSE),FALSE),0)</f>
        <v>0</v>
      </c>
      <c r="I32" s="97"/>
      <c r="J32" s="97"/>
      <c r="K32" s="99">
        <f>$C$50*(D32*'Watershed Data'!$D$23+(C32-D32)*VLOOKUP(G32,'Watershed Data'!$A$19:$E$22,5,FALSE))*3630</f>
        <v>0</v>
      </c>
      <c r="L32" s="37">
        <f t="shared" si="0"/>
        <v>0</v>
      </c>
      <c r="M32" s="30">
        <f>BMPs!$M$8*BMPs!$M$12</f>
        <v>1.08</v>
      </c>
      <c r="N32" s="108">
        <f t="shared" si="6"/>
        <v>1</v>
      </c>
      <c r="O32" s="39">
        <f t="shared" si="1"/>
        <v>0.7</v>
      </c>
      <c r="P32" s="99">
        <f t="shared" si="2"/>
        <v>0</v>
      </c>
      <c r="Q32" s="116">
        <f t="shared" si="9"/>
        <v>0</v>
      </c>
      <c r="R32" s="99">
        <f t="shared" si="4"/>
        <v>0</v>
      </c>
      <c r="T32" s="76">
        <f>IFERROR(VLOOKUP(J32,BMPs!$C$3:$F$69,3,FALSE),0)</f>
        <v>0</v>
      </c>
      <c r="U32" s="76">
        <f>IFERROR(VLOOKUP(J32,BMPs!$C$3:$F$69,5,FALSE),0)</f>
        <v>0</v>
      </c>
      <c r="V32" s="117">
        <f t="shared" si="7"/>
        <v>0</v>
      </c>
      <c r="W32" s="37">
        <f>IFERROR((D32*'Watershed Data'!$D$21+E32*'Watershed Data'!$E$21)/('LandUse-LandCover'!$E$30*'Watershed Data'!$D$23+'LandUse-LandCover'!$F$30*'Watershed Data'!$E$23),0)*BMPs!$M$6*BMPs!$M$8*BMPs!$M$12</f>
        <v>0</v>
      </c>
      <c r="X32" s="30">
        <f t="shared" si="5"/>
        <v>0</v>
      </c>
    </row>
    <row r="33" spans="1:24" x14ac:dyDescent="0.25">
      <c r="A33" t="str">
        <f>+BMPs!C33</f>
        <v>PMED</v>
      </c>
      <c r="B33" t="str">
        <f>+BMPs!D33</f>
        <v>Micropool extended detention pond</v>
      </c>
      <c r="C33" s="27">
        <f>+Scenarios!I33</f>
        <v>0</v>
      </c>
      <c r="D33" s="27">
        <f>+Scenarios!J33</f>
        <v>0</v>
      </c>
      <c r="E33" s="22">
        <f t="shared" si="8"/>
        <v>0</v>
      </c>
      <c r="F33" s="76">
        <f>BMPs!E33</f>
        <v>0.7</v>
      </c>
      <c r="G33" s="242" t="s">
        <v>504</v>
      </c>
      <c r="H33" s="76">
        <f>IFERROR(VLOOKUP(A33,BMPs!$C$2:$J$64,HLOOKUP(G33,BMPs!$F$72:$I$73,2,FALSE),FALSE),0)</f>
        <v>0</v>
      </c>
      <c r="I33" s="97"/>
      <c r="J33" s="97"/>
      <c r="K33" s="99">
        <f>$C$50*(D33*'Watershed Data'!$D$23+(C33-D33)*VLOOKUP(G33,'Watershed Data'!$A$19:$E$22,5,FALSE))*3630</f>
        <v>0</v>
      </c>
      <c r="L33" s="37">
        <f t="shared" si="0"/>
        <v>0</v>
      </c>
      <c r="M33" s="30">
        <f>BMPs!$M$8*BMPs!$M$12</f>
        <v>1.08</v>
      </c>
      <c r="N33" s="108">
        <f t="shared" si="6"/>
        <v>1</v>
      </c>
      <c r="O33" s="39">
        <f t="shared" si="1"/>
        <v>0.7</v>
      </c>
      <c r="P33" s="99">
        <f t="shared" si="2"/>
        <v>0</v>
      </c>
      <c r="Q33" s="116">
        <f t="shared" si="9"/>
        <v>0</v>
      </c>
      <c r="R33" s="99">
        <f t="shared" si="4"/>
        <v>0</v>
      </c>
      <c r="T33" s="76">
        <f>IFERROR(VLOOKUP(J33,BMPs!$C$3:$F$69,3,FALSE),0)</f>
        <v>0</v>
      </c>
      <c r="U33" s="76">
        <f>IFERROR(VLOOKUP(J33,BMPs!$C$3:$F$69,5,FALSE),0)</f>
        <v>0</v>
      </c>
      <c r="V33" s="117">
        <f t="shared" si="7"/>
        <v>0</v>
      </c>
      <c r="W33" s="37">
        <f>IFERROR((D33*'Watershed Data'!$D$21+E33*'Watershed Data'!$E$21)/('LandUse-LandCover'!$E$30*'Watershed Data'!$D$23+'LandUse-LandCover'!$F$30*'Watershed Data'!$E$23),0)*BMPs!$M$6*BMPs!$M$8*BMPs!$M$12</f>
        <v>0</v>
      </c>
      <c r="X33" s="30">
        <f t="shared" si="5"/>
        <v>0</v>
      </c>
    </row>
    <row r="34" spans="1:24" x14ac:dyDescent="0.25">
      <c r="A34" t="str">
        <f>+BMPs!C34</f>
        <v>WSHW</v>
      </c>
      <c r="B34" t="str">
        <f>+BMPs!D34</f>
        <v>Shallow marsh</v>
      </c>
      <c r="C34" s="27">
        <f>+Scenarios!I34</f>
        <v>0</v>
      </c>
      <c r="D34" s="27">
        <f>+Scenarios!J34</f>
        <v>0</v>
      </c>
      <c r="E34" s="22">
        <f t="shared" si="8"/>
        <v>0</v>
      </c>
      <c r="F34" s="76">
        <f>BMPs!E34</f>
        <v>0.8</v>
      </c>
      <c r="G34" s="242" t="s">
        <v>504</v>
      </c>
      <c r="H34" s="76">
        <f>IFERROR(VLOOKUP(A34,BMPs!$C$2:$J$64,HLOOKUP(G34,BMPs!$F$72:$I$73,2,FALSE),FALSE),0)</f>
        <v>0</v>
      </c>
      <c r="I34" s="97"/>
      <c r="J34" s="97"/>
      <c r="K34" s="99">
        <f>$C$50*(D34*'Watershed Data'!$D$23+(C34-D34)*VLOOKUP(G34,'Watershed Data'!$A$19:$E$22,5,FALSE))*3630</f>
        <v>0</v>
      </c>
      <c r="L34" s="37">
        <f t="shared" si="0"/>
        <v>0</v>
      </c>
      <c r="M34" s="30">
        <f>BMPs!$M$8*BMPs!$M$12</f>
        <v>1.08</v>
      </c>
      <c r="N34" s="108">
        <f t="shared" si="6"/>
        <v>1</v>
      </c>
      <c r="O34" s="39">
        <f t="shared" si="1"/>
        <v>0.8</v>
      </c>
      <c r="P34" s="99">
        <f t="shared" si="2"/>
        <v>0</v>
      </c>
      <c r="Q34" s="116">
        <f t="shared" si="9"/>
        <v>0</v>
      </c>
      <c r="R34" s="99">
        <f t="shared" si="4"/>
        <v>0</v>
      </c>
      <c r="T34" s="76">
        <f>IFERROR(VLOOKUP(J34,BMPs!$C$3:$F$69,3,FALSE),0)</f>
        <v>0</v>
      </c>
      <c r="U34" s="76">
        <f>IFERROR(VLOOKUP(J34,BMPs!$C$3:$F$69,5,FALSE),0)</f>
        <v>0</v>
      </c>
      <c r="V34" s="117">
        <f t="shared" si="7"/>
        <v>0</v>
      </c>
      <c r="W34" s="37">
        <f>IFERROR((D34*'Watershed Data'!$D$21+E34*'Watershed Data'!$E$21)/('LandUse-LandCover'!$E$30*'Watershed Data'!$D$23+'LandUse-LandCover'!$F$30*'Watershed Data'!$E$23),0)*BMPs!$M$6*BMPs!$M$8*BMPs!$M$12</f>
        <v>0</v>
      </c>
      <c r="X34" s="30">
        <f t="shared" si="5"/>
        <v>0</v>
      </c>
    </row>
    <row r="35" spans="1:24" x14ac:dyDescent="0.25">
      <c r="A35" t="str">
        <f>+BMPs!C35</f>
        <v>WEDW</v>
      </c>
      <c r="B35" t="str">
        <f>+BMPs!D35</f>
        <v>ED shallow wetland</v>
      </c>
      <c r="C35" s="27">
        <f>+Scenarios!I35</f>
        <v>0</v>
      </c>
      <c r="D35" s="27">
        <f>+Scenarios!J35</f>
        <v>0</v>
      </c>
      <c r="E35" s="22">
        <f t="shared" si="8"/>
        <v>0</v>
      </c>
      <c r="F35" s="76">
        <f>BMPs!E35</f>
        <v>0.8</v>
      </c>
      <c r="G35" s="242" t="s">
        <v>504</v>
      </c>
      <c r="H35" s="76">
        <f>IFERROR(VLOOKUP(A35,BMPs!$C$2:$J$64,HLOOKUP(G35,BMPs!$F$72:$I$73,2,FALSE),FALSE),0)</f>
        <v>0</v>
      </c>
      <c r="I35" s="97"/>
      <c r="J35" s="97"/>
      <c r="K35" s="99">
        <f>$C$50*(D35*'Watershed Data'!$D$23+(C35-D35)*VLOOKUP(G35,'Watershed Data'!$A$19:$E$22,5,FALSE))*3630</f>
        <v>0</v>
      </c>
      <c r="L35" s="37">
        <f t="shared" si="0"/>
        <v>0</v>
      </c>
      <c r="M35" s="30">
        <f>BMPs!$M$8*BMPs!$M$12</f>
        <v>1.08</v>
      </c>
      <c r="N35" s="108">
        <f t="shared" si="6"/>
        <v>1</v>
      </c>
      <c r="O35" s="39">
        <f t="shared" si="1"/>
        <v>0.8</v>
      </c>
      <c r="P35" s="99">
        <f t="shared" si="2"/>
        <v>0</v>
      </c>
      <c r="Q35" s="116">
        <f t="shared" si="9"/>
        <v>0</v>
      </c>
      <c r="R35" s="99">
        <f t="shared" si="4"/>
        <v>0</v>
      </c>
      <c r="T35" s="76">
        <f>IFERROR(VLOOKUP(J35,BMPs!$C$3:$F$69,3,FALSE),0)</f>
        <v>0</v>
      </c>
      <c r="U35" s="76">
        <f>IFERROR(VLOOKUP(J35,BMPs!$C$3:$F$69,5,FALSE),0)</f>
        <v>0</v>
      </c>
      <c r="V35" s="117">
        <f t="shared" si="7"/>
        <v>0</v>
      </c>
      <c r="W35" s="37">
        <f>IFERROR((D35*'Watershed Data'!$D$21+E35*'Watershed Data'!$E$21)/('LandUse-LandCover'!$E$30*'Watershed Data'!$D$23+'LandUse-LandCover'!$F$30*'Watershed Data'!$E$23),0)*BMPs!$M$6*BMPs!$M$8*BMPs!$M$12</f>
        <v>0</v>
      </c>
      <c r="X35" s="30">
        <f t="shared" si="5"/>
        <v>0</v>
      </c>
    </row>
    <row r="36" spans="1:24" x14ac:dyDescent="0.25">
      <c r="A36" t="str">
        <f>+BMPs!C36</f>
        <v>WPWS</v>
      </c>
      <c r="B36" t="str">
        <f>+BMPs!D36</f>
        <v>Pond/wetland system</v>
      </c>
      <c r="C36" s="27">
        <f>+Scenarios!I36</f>
        <v>0</v>
      </c>
      <c r="D36" s="27">
        <f>+Scenarios!J36</f>
        <v>0</v>
      </c>
      <c r="E36" s="22">
        <f t="shared" si="8"/>
        <v>0</v>
      </c>
      <c r="F36" s="76">
        <f>BMPs!E36</f>
        <v>0.8</v>
      </c>
      <c r="G36" s="242" t="s">
        <v>504</v>
      </c>
      <c r="H36" s="76">
        <f>IFERROR(VLOOKUP(A36,BMPs!$C$2:$J$64,HLOOKUP(G36,BMPs!$F$72:$I$73,2,FALSE),FALSE),0)</f>
        <v>0</v>
      </c>
      <c r="I36" s="97"/>
      <c r="J36" s="97"/>
      <c r="K36" s="99">
        <f>$C$50*(D36*'Watershed Data'!$D$23+(C36-D36)*VLOOKUP(G36,'Watershed Data'!$A$19:$E$22,5,FALSE))*3630</f>
        <v>0</v>
      </c>
      <c r="L36" s="37">
        <f t="shared" si="0"/>
        <v>0</v>
      </c>
      <c r="M36" s="30">
        <f>BMPs!$M$8*BMPs!$M$12</f>
        <v>1.08</v>
      </c>
      <c r="N36" s="108">
        <f t="shared" si="6"/>
        <v>1</v>
      </c>
      <c r="O36" s="39">
        <f t="shared" si="1"/>
        <v>0.8</v>
      </c>
      <c r="P36" s="99">
        <f t="shared" si="2"/>
        <v>0</v>
      </c>
      <c r="Q36" s="116">
        <f t="shared" si="9"/>
        <v>0</v>
      </c>
      <c r="R36" s="99">
        <f t="shared" si="4"/>
        <v>0</v>
      </c>
      <c r="T36" s="76">
        <f>IFERROR(VLOOKUP(J36,BMPs!$C$3:$F$69,3,FALSE),0)</f>
        <v>0</v>
      </c>
      <c r="U36" s="76">
        <f>IFERROR(VLOOKUP(J36,BMPs!$C$3:$F$69,5,FALSE),0)</f>
        <v>0</v>
      </c>
      <c r="V36" s="117">
        <f t="shared" si="7"/>
        <v>0</v>
      </c>
      <c r="W36" s="37">
        <f>IFERROR((D36*'Watershed Data'!$D$21+E36*'Watershed Data'!$E$21)/('LandUse-LandCover'!$E$30*'Watershed Data'!$D$23+'LandUse-LandCover'!$F$30*'Watershed Data'!$E$23),0)*BMPs!$M$6*BMPs!$M$8*BMPs!$M$12</f>
        <v>0</v>
      </c>
      <c r="X36" s="30">
        <f t="shared" si="5"/>
        <v>0</v>
      </c>
    </row>
    <row r="37" spans="1:24" x14ac:dyDescent="0.25">
      <c r="A37" t="str">
        <f>+BMPs!C37</f>
        <v>WPKT</v>
      </c>
      <c r="B37" t="str">
        <f>+BMPs!D37</f>
        <v>Pocket wetland</v>
      </c>
      <c r="C37" s="27">
        <f>+Scenarios!I37</f>
        <v>0</v>
      </c>
      <c r="D37" s="27">
        <f>+Scenarios!J37</f>
        <v>0</v>
      </c>
      <c r="E37" s="22">
        <f t="shared" si="8"/>
        <v>0</v>
      </c>
      <c r="F37" s="76">
        <f>BMPs!E37</f>
        <v>0.8</v>
      </c>
      <c r="G37" s="242" t="s">
        <v>504</v>
      </c>
      <c r="H37" s="76">
        <f>IFERROR(VLOOKUP(A37,BMPs!$C$2:$J$64,HLOOKUP(G37,BMPs!$F$72:$I$73,2,FALSE),FALSE),0)</f>
        <v>0</v>
      </c>
      <c r="I37" s="97"/>
      <c r="J37" s="97"/>
      <c r="K37" s="99">
        <f>$C$50*(D37*'Watershed Data'!$D$23+(C37-D37)*VLOOKUP(G37,'Watershed Data'!$A$19:$E$22,5,FALSE))*3630</f>
        <v>0</v>
      </c>
      <c r="L37" s="37">
        <f t="shared" si="0"/>
        <v>0</v>
      </c>
      <c r="M37" s="30">
        <f>BMPs!$M$8*BMPs!$M$12</f>
        <v>1.08</v>
      </c>
      <c r="N37" s="108">
        <f t="shared" si="6"/>
        <v>1</v>
      </c>
      <c r="O37" s="39">
        <f t="shared" si="1"/>
        <v>0.8</v>
      </c>
      <c r="P37" s="99">
        <f t="shared" si="2"/>
        <v>0</v>
      </c>
      <c r="Q37" s="116">
        <f t="shared" si="9"/>
        <v>0</v>
      </c>
      <c r="R37" s="99">
        <f t="shared" si="4"/>
        <v>0</v>
      </c>
      <c r="T37" s="76">
        <f>IFERROR(VLOOKUP(J37,BMPs!$C$3:$F$69,3,FALSE),0)</f>
        <v>0</v>
      </c>
      <c r="U37" s="76">
        <f>IFERROR(VLOOKUP(J37,BMPs!$C$3:$F$69,5,FALSE),0)</f>
        <v>0</v>
      </c>
      <c r="V37" s="117">
        <f t="shared" si="7"/>
        <v>0</v>
      </c>
      <c r="W37" s="37">
        <f>IFERROR((D37*'Watershed Data'!$D$21+E37*'Watershed Data'!$E$21)/('LandUse-LandCover'!$E$30*'Watershed Data'!$D$23+'LandUse-LandCover'!$F$30*'Watershed Data'!$E$23),0)*BMPs!$M$6*BMPs!$M$8*BMPs!$M$12</f>
        <v>0</v>
      </c>
      <c r="X37" s="30">
        <f t="shared" si="5"/>
        <v>0</v>
      </c>
    </row>
    <row r="38" spans="1:24" x14ac:dyDescent="0.25">
      <c r="A38" t="str">
        <f>+BMPs!C38</f>
        <v>IBAS</v>
      </c>
      <c r="B38" t="str">
        <f>+BMPs!D38</f>
        <v>Infiltration basin</v>
      </c>
      <c r="C38" s="27">
        <f>+Scenarios!I38</f>
        <v>0</v>
      </c>
      <c r="D38" s="27">
        <f>+Scenarios!J38</f>
        <v>0</v>
      </c>
      <c r="E38" s="22">
        <f t="shared" si="8"/>
        <v>0</v>
      </c>
      <c r="F38" s="76">
        <f>BMPs!E38</f>
        <v>0.85</v>
      </c>
      <c r="G38" s="242" t="s">
        <v>504</v>
      </c>
      <c r="H38" s="76">
        <f>IFERROR(VLOOKUP(A38,BMPs!$C$2:$J$64,HLOOKUP(G38,BMPs!$F$72:$I$73,2,FALSE),FALSE),0)</f>
        <v>0.5</v>
      </c>
      <c r="I38" s="97"/>
      <c r="J38" s="97"/>
      <c r="K38" s="99">
        <f>$C$50*(D38*'Watershed Data'!$D$23+(C38-D38)*VLOOKUP(G38,'Watershed Data'!$A$19:$E$22,5,FALSE))*3630</f>
        <v>0</v>
      </c>
      <c r="L38" s="37">
        <f t="shared" si="0"/>
        <v>0</v>
      </c>
      <c r="M38" s="30">
        <f>BMPs!$M$8*BMPs!$M$12</f>
        <v>1.08</v>
      </c>
      <c r="N38" s="108">
        <f t="shared" si="6"/>
        <v>0.5</v>
      </c>
      <c r="O38" s="39">
        <f t="shared" si="1"/>
        <v>0.92500000000000004</v>
      </c>
      <c r="P38" s="99">
        <f t="shared" si="2"/>
        <v>0</v>
      </c>
      <c r="Q38" s="116">
        <f t="shared" si="9"/>
        <v>0</v>
      </c>
      <c r="R38" s="99">
        <f t="shared" si="4"/>
        <v>0</v>
      </c>
      <c r="T38" s="76">
        <f>IFERROR(VLOOKUP(J38,BMPs!$C$3:$F$69,3,FALSE),0)</f>
        <v>0</v>
      </c>
      <c r="U38" s="76">
        <f>IFERROR(VLOOKUP(J38,BMPs!$C$3:$F$69,5,FALSE),0)</f>
        <v>0</v>
      </c>
      <c r="V38" s="117">
        <f t="shared" si="7"/>
        <v>0</v>
      </c>
      <c r="W38" s="37">
        <f>IFERROR((D38*'Watershed Data'!$D$21+E38*'Watershed Data'!$E$21)/('LandUse-LandCover'!$E$30*'Watershed Data'!$D$23+'LandUse-LandCover'!$F$30*'Watershed Data'!$E$23),0)*BMPs!$M$6*BMPs!$M$8*BMPs!$M$12</f>
        <v>0</v>
      </c>
      <c r="X38" s="30">
        <f t="shared" si="5"/>
        <v>0</v>
      </c>
    </row>
    <row r="39" spans="1:24" x14ac:dyDescent="0.25">
      <c r="A39" t="str">
        <f>+BMPs!C39</f>
        <v>ITRN</v>
      </c>
      <c r="B39" t="str">
        <f>+BMPs!D39</f>
        <v>Infiltration trench</v>
      </c>
      <c r="C39" s="27">
        <f>+Scenarios!I39</f>
        <v>0</v>
      </c>
      <c r="D39" s="27">
        <f>+Scenarios!J39</f>
        <v>0</v>
      </c>
      <c r="E39" s="22">
        <f t="shared" si="8"/>
        <v>0</v>
      </c>
      <c r="F39" s="76">
        <f>BMPs!E39</f>
        <v>0.85</v>
      </c>
      <c r="G39" s="242" t="s">
        <v>504</v>
      </c>
      <c r="H39" s="76">
        <f>IFERROR(VLOOKUP(A39,BMPs!$C$2:$J$64,HLOOKUP(G39,BMPs!$F$72:$I$73,2,FALSE),FALSE),0)</f>
        <v>0.5</v>
      </c>
      <c r="I39" s="97"/>
      <c r="J39" s="97"/>
      <c r="K39" s="99">
        <f>$C$50*(D39*'Watershed Data'!$D$23+(C39-D39)*VLOOKUP(G39,'Watershed Data'!$A$19:$E$22,5,FALSE))*3630</f>
        <v>0</v>
      </c>
      <c r="L39" s="37">
        <f t="shared" si="0"/>
        <v>0</v>
      </c>
      <c r="M39" s="30">
        <f>BMPs!$M$8*BMPs!$M$12</f>
        <v>1.08</v>
      </c>
      <c r="N39" s="108">
        <f t="shared" si="6"/>
        <v>0.5</v>
      </c>
      <c r="O39" s="39">
        <f t="shared" si="1"/>
        <v>0.92500000000000004</v>
      </c>
      <c r="P39" s="99">
        <f t="shared" si="2"/>
        <v>0</v>
      </c>
      <c r="Q39" s="116">
        <f t="shared" si="9"/>
        <v>0</v>
      </c>
      <c r="R39" s="99">
        <f t="shared" si="4"/>
        <v>0</v>
      </c>
      <c r="T39" s="76">
        <f>IFERROR(VLOOKUP(J39,BMPs!$C$3:$F$69,3,FALSE),0)</f>
        <v>0</v>
      </c>
      <c r="U39" s="76">
        <f>IFERROR(VLOOKUP(J39,BMPs!$C$3:$F$69,5,FALSE),0)</f>
        <v>0</v>
      </c>
      <c r="V39" s="117">
        <f t="shared" si="7"/>
        <v>0</v>
      </c>
      <c r="W39" s="37">
        <f>IFERROR((D39*'Watershed Data'!$D$21+E39*'Watershed Data'!$E$21)/('LandUse-LandCover'!$E$30*'Watershed Data'!$D$23+'LandUse-LandCover'!$F$30*'Watershed Data'!$E$23),0)*BMPs!$M$6*BMPs!$M$8*BMPs!$M$12</f>
        <v>0</v>
      </c>
      <c r="X39" s="30">
        <f t="shared" si="5"/>
        <v>0</v>
      </c>
    </row>
    <row r="40" spans="1:24" x14ac:dyDescent="0.25">
      <c r="A40" t="str">
        <f>+BMPs!C40</f>
        <v>XDPD</v>
      </c>
      <c r="B40" t="str">
        <f>+BMPs!D40</f>
        <v>Dry pond</v>
      </c>
      <c r="C40" s="27">
        <f>+Scenarios!I40</f>
        <v>0</v>
      </c>
      <c r="D40" s="27">
        <f>+Scenarios!J40</f>
        <v>0</v>
      </c>
      <c r="E40" s="22">
        <f t="shared" si="8"/>
        <v>0</v>
      </c>
      <c r="F40" s="76">
        <f>BMPs!E40</f>
        <v>0</v>
      </c>
      <c r="G40" s="242" t="s">
        <v>504</v>
      </c>
      <c r="H40" s="76">
        <f>IFERROR(VLOOKUP(A40,BMPs!$C$2:$J$64,HLOOKUP(G40,BMPs!$F$72:$I$73,2,FALSE),FALSE),0)</f>
        <v>0</v>
      </c>
      <c r="I40" s="97"/>
      <c r="J40" s="97"/>
      <c r="K40" s="99">
        <f>$C$50*(D40*'Watershed Data'!$D$23+(C40-D40)*VLOOKUP(G40,'Watershed Data'!$A$19:$E$22,5,FALSE))*3630</f>
        <v>0</v>
      </c>
      <c r="L40" s="37">
        <f t="shared" si="0"/>
        <v>0</v>
      </c>
      <c r="M40" s="30">
        <f>BMPs!$M$8*BMPs!$M$12</f>
        <v>1.08</v>
      </c>
      <c r="N40" s="108">
        <f t="shared" si="6"/>
        <v>1</v>
      </c>
      <c r="O40" s="39">
        <f t="shared" si="1"/>
        <v>0</v>
      </c>
      <c r="P40" s="99">
        <f t="shared" si="2"/>
        <v>0</v>
      </c>
      <c r="Q40" s="116">
        <f t="shared" si="9"/>
        <v>0</v>
      </c>
      <c r="R40" s="99">
        <f t="shared" si="4"/>
        <v>0</v>
      </c>
      <c r="T40" s="76">
        <f>IFERROR(VLOOKUP(J40,BMPs!$C$3:$F$69,3,FALSE),0)</f>
        <v>0</v>
      </c>
      <c r="U40" s="76">
        <f>IFERROR(VLOOKUP(J40,BMPs!$C$3:$F$69,5,FALSE),0)</f>
        <v>0</v>
      </c>
      <c r="V40" s="117">
        <f t="shared" si="7"/>
        <v>0</v>
      </c>
      <c r="W40" s="37">
        <f>IFERROR((D40*'Watershed Data'!$D$21+E40*'Watershed Data'!$E$21)/('LandUse-LandCover'!$E$30*'Watershed Data'!$D$23+'LandUse-LandCover'!$F$30*'Watershed Data'!$E$23),0)*BMPs!$M$6*BMPs!$M$8*BMPs!$M$12</f>
        <v>0</v>
      </c>
      <c r="X40" s="30">
        <f t="shared" si="5"/>
        <v>0</v>
      </c>
    </row>
    <row r="41" spans="1:24" x14ac:dyDescent="0.25">
      <c r="A41" t="str">
        <f>+BMPs!C41</f>
        <v>XDED</v>
      </c>
      <c r="B41" t="str">
        <f>+BMPs!D41</f>
        <v>Dry extended detention pond</v>
      </c>
      <c r="C41" s="27">
        <f>+Scenarios!I41</f>
        <v>0</v>
      </c>
      <c r="D41" s="27">
        <f>+Scenarios!J41</f>
        <v>0</v>
      </c>
      <c r="E41" s="22">
        <f t="shared" si="8"/>
        <v>0</v>
      </c>
      <c r="F41" s="76">
        <f>BMPs!E41</f>
        <v>0</v>
      </c>
      <c r="G41" s="242" t="s">
        <v>504</v>
      </c>
      <c r="H41" s="76">
        <f>IFERROR(VLOOKUP(A41,BMPs!$C$2:$J$64,HLOOKUP(G41,BMPs!$F$72:$I$73,2,FALSE),FALSE),0)</f>
        <v>0</v>
      </c>
      <c r="I41" s="97"/>
      <c r="J41" s="97"/>
      <c r="K41" s="99">
        <f>$C$50*(D41*'Watershed Data'!$D$23+(C41-D41)*VLOOKUP(G41,'Watershed Data'!$A$19:$E$22,5,FALSE))*3630</f>
        <v>0</v>
      </c>
      <c r="L41" s="37">
        <f t="shared" si="0"/>
        <v>0</v>
      </c>
      <c r="M41" s="30">
        <f>BMPs!$M$8*BMPs!$M$12</f>
        <v>1.08</v>
      </c>
      <c r="N41" s="108">
        <f t="shared" si="6"/>
        <v>1</v>
      </c>
      <c r="O41" s="39">
        <f t="shared" si="1"/>
        <v>0</v>
      </c>
      <c r="P41" s="99">
        <f t="shared" si="2"/>
        <v>0</v>
      </c>
      <c r="Q41" s="116">
        <f t="shared" si="9"/>
        <v>0</v>
      </c>
      <c r="R41" s="99">
        <f t="shared" si="4"/>
        <v>0</v>
      </c>
      <c r="T41" s="76">
        <f>IFERROR(VLOOKUP(J41,BMPs!$C$3:$F$69,3,FALSE),0)</f>
        <v>0</v>
      </c>
      <c r="U41" s="76">
        <f>IFERROR(VLOOKUP(J41,BMPs!$C$3:$F$69,5,FALSE),0)</f>
        <v>0</v>
      </c>
      <c r="V41" s="117">
        <f t="shared" si="7"/>
        <v>0</v>
      </c>
      <c r="W41" s="37">
        <f>IFERROR((D41*'Watershed Data'!$D$21+E41*'Watershed Data'!$E$21)/('LandUse-LandCover'!$E$30*'Watershed Data'!$D$23+'LandUse-LandCover'!$F$30*'Watershed Data'!$E$23),0)*BMPs!$M$6*BMPs!$M$8*BMPs!$M$12</f>
        <v>0</v>
      </c>
      <c r="X41" s="30">
        <f t="shared" si="5"/>
        <v>0</v>
      </c>
    </row>
    <row r="42" spans="1:24" x14ac:dyDescent="0.25">
      <c r="A42" t="str">
        <f>+BMPs!C42</f>
        <v>XFLD</v>
      </c>
      <c r="B42" t="str">
        <f>+BMPs!D42</f>
        <v>Flood Mgmt Area</v>
      </c>
      <c r="C42" s="27">
        <f>+Scenarios!I42</f>
        <v>0</v>
      </c>
      <c r="D42" s="27">
        <f>+Scenarios!J42</f>
        <v>0</v>
      </c>
      <c r="E42" s="22">
        <f t="shared" si="8"/>
        <v>0</v>
      </c>
      <c r="F42" s="76">
        <f>BMPs!E42</f>
        <v>0</v>
      </c>
      <c r="G42" s="242" t="s">
        <v>504</v>
      </c>
      <c r="H42" s="76">
        <f>IFERROR(VLOOKUP(A42,BMPs!$C$2:$J$64,HLOOKUP(G42,BMPs!$F$72:$I$73,2,FALSE),FALSE),0)</f>
        <v>0</v>
      </c>
      <c r="I42" s="97"/>
      <c r="J42" s="97"/>
      <c r="K42" s="99">
        <f>$C$50*(D42*'Watershed Data'!$D$23+(C42-D42)*VLOOKUP(G42,'Watershed Data'!$A$19:$E$22,5,FALSE))*3630</f>
        <v>0</v>
      </c>
      <c r="L42" s="37">
        <f t="shared" si="0"/>
        <v>0</v>
      </c>
      <c r="M42" s="30">
        <f>BMPs!$M$8*BMPs!$M$12</f>
        <v>1.08</v>
      </c>
      <c r="N42" s="108">
        <f t="shared" si="6"/>
        <v>1</v>
      </c>
      <c r="O42" s="39">
        <f t="shared" si="1"/>
        <v>0</v>
      </c>
      <c r="P42" s="99">
        <f t="shared" si="2"/>
        <v>0</v>
      </c>
      <c r="Q42" s="116">
        <f t="shared" si="9"/>
        <v>0</v>
      </c>
      <c r="R42" s="99">
        <f t="shared" si="4"/>
        <v>0</v>
      </c>
      <c r="T42" s="76">
        <f>IFERROR(VLOOKUP(J42,BMPs!$C$3:$F$69,3,FALSE),0)</f>
        <v>0</v>
      </c>
      <c r="U42" s="76">
        <f>IFERROR(VLOOKUP(J42,BMPs!$C$3:$F$69,5,FALSE),0)</f>
        <v>0</v>
      </c>
      <c r="V42" s="117">
        <f t="shared" si="7"/>
        <v>0</v>
      </c>
      <c r="W42" s="37">
        <f>IFERROR((D42*'Watershed Data'!$D$21+E42*'Watershed Data'!$E$21)/('LandUse-LandCover'!$E$30*'Watershed Data'!$D$23+'LandUse-LandCover'!$F$30*'Watershed Data'!$E$23),0)*BMPs!$M$6*BMPs!$M$8*BMPs!$M$12</f>
        <v>0</v>
      </c>
      <c r="X42" s="30">
        <f t="shared" si="5"/>
        <v>0</v>
      </c>
    </row>
    <row r="43" spans="1:24" x14ac:dyDescent="0.25">
      <c r="A43" t="str">
        <f>+BMPs!C43</f>
        <v>XOGS</v>
      </c>
      <c r="B43" t="str">
        <f>+BMPs!D43</f>
        <v>Oil grit separator</v>
      </c>
      <c r="C43" s="27">
        <f>+Scenarios!I43</f>
        <v>0</v>
      </c>
      <c r="D43" s="27">
        <f>+Scenarios!J43</f>
        <v>0</v>
      </c>
      <c r="E43" s="22">
        <f t="shared" si="8"/>
        <v>0</v>
      </c>
      <c r="F43" s="76">
        <f>BMPs!E43</f>
        <v>0</v>
      </c>
      <c r="G43" s="242" t="s">
        <v>504</v>
      </c>
      <c r="H43" s="76">
        <f>IFERROR(VLOOKUP(A43,BMPs!$C$2:$J$64,HLOOKUP(G43,BMPs!$F$72:$I$73,2,FALSE),FALSE),0)</f>
        <v>0</v>
      </c>
      <c r="I43" s="97"/>
      <c r="J43" s="97"/>
      <c r="K43" s="99">
        <f>$C$50*(D43*'Watershed Data'!$D$23+(C43-D43)*VLOOKUP(G43,'Watershed Data'!$A$19:$E$22,5,FALSE))*3630</f>
        <v>0</v>
      </c>
      <c r="L43" s="37">
        <f t="shared" si="0"/>
        <v>0</v>
      </c>
      <c r="M43" s="30">
        <f>BMPs!$M$8*BMPs!$M$12</f>
        <v>1.08</v>
      </c>
      <c r="N43" s="108">
        <f t="shared" si="6"/>
        <v>1</v>
      </c>
      <c r="O43" s="39">
        <f t="shared" si="1"/>
        <v>0</v>
      </c>
      <c r="P43" s="99">
        <f t="shared" si="2"/>
        <v>0</v>
      </c>
      <c r="Q43" s="116">
        <f t="shared" si="9"/>
        <v>0</v>
      </c>
      <c r="R43" s="99">
        <f t="shared" si="4"/>
        <v>0</v>
      </c>
      <c r="T43" s="76">
        <f>IFERROR(VLOOKUP(J43,BMPs!$C$3:$F$69,3,FALSE),0)</f>
        <v>0</v>
      </c>
      <c r="U43" s="76">
        <f>IFERROR(VLOOKUP(J43,BMPs!$C$3:$F$69,5,FALSE),0)</f>
        <v>0</v>
      </c>
      <c r="V43" s="117">
        <f t="shared" si="7"/>
        <v>0</v>
      </c>
      <c r="W43" s="37">
        <f>IFERROR((D43*'Watershed Data'!$D$21+E43*'Watershed Data'!$E$21)/('LandUse-LandCover'!$E$30*'Watershed Data'!$D$23+'LandUse-LandCover'!$F$30*'Watershed Data'!$E$23),0)*BMPs!$M$6*BMPs!$M$8*BMPs!$M$12</f>
        <v>0</v>
      </c>
      <c r="X43" s="30">
        <f t="shared" si="5"/>
        <v>0</v>
      </c>
    </row>
    <row r="44" spans="1:24" x14ac:dyDescent="0.25">
      <c r="A44" t="str">
        <f>+BMPs!C44</f>
        <v>XOTH</v>
      </c>
      <c r="B44" t="str">
        <f>+BMPs!D44</f>
        <v>Other</v>
      </c>
      <c r="C44" s="27">
        <f>+Scenarios!I44</f>
        <v>0</v>
      </c>
      <c r="D44" s="27">
        <f>+Scenarios!J44</f>
        <v>0</v>
      </c>
      <c r="E44" s="22">
        <f t="shared" si="8"/>
        <v>0</v>
      </c>
      <c r="F44" s="76">
        <f>BMPs!E44</f>
        <v>0</v>
      </c>
      <c r="G44" s="242" t="s">
        <v>504</v>
      </c>
      <c r="H44" s="76">
        <f>IFERROR(VLOOKUP(A44,BMPs!$C$2:$J$64,HLOOKUP(G44,BMPs!$F$72:$I$73,2,FALSE),FALSE),0)</f>
        <v>0.5</v>
      </c>
      <c r="I44" s="97"/>
      <c r="J44" s="97"/>
      <c r="K44" s="99">
        <f>$C$50*(D44*'Watershed Data'!$D$23+(C44-D44)*VLOOKUP(G44,'Watershed Data'!$A$19:$E$22,5,FALSE))*3630</f>
        <v>0</v>
      </c>
      <c r="L44" s="37">
        <f t="shared" si="0"/>
        <v>0</v>
      </c>
      <c r="M44" s="30">
        <f>BMPs!$M$8*BMPs!$M$12</f>
        <v>1.08</v>
      </c>
      <c r="N44" s="108">
        <f t="shared" si="6"/>
        <v>0.5</v>
      </c>
      <c r="O44" s="39">
        <f t="shared" si="1"/>
        <v>0.5</v>
      </c>
      <c r="P44" s="99">
        <f t="shared" si="2"/>
        <v>0</v>
      </c>
      <c r="Q44" s="116">
        <f t="shared" si="9"/>
        <v>0</v>
      </c>
      <c r="R44" s="99">
        <f t="shared" si="4"/>
        <v>0</v>
      </c>
      <c r="T44" s="76">
        <f>IFERROR(VLOOKUP(J44,BMPs!$C$3:$F$69,3,FALSE),0)</f>
        <v>0</v>
      </c>
      <c r="U44" s="76">
        <f>IFERROR(VLOOKUP(J44,BMPs!$C$3:$F$69,5,FALSE),0)</f>
        <v>0</v>
      </c>
      <c r="V44" s="117">
        <f t="shared" si="7"/>
        <v>0</v>
      </c>
      <c r="W44" s="37">
        <f>IFERROR((D44*'Watershed Data'!$D$21+E44*'Watershed Data'!$E$21)/('LandUse-LandCover'!$E$30*'Watershed Data'!$D$23+'LandUse-LandCover'!$F$30*'Watershed Data'!$E$23),0)*BMPs!$M$6*BMPs!$M$8*BMPs!$M$12</f>
        <v>0</v>
      </c>
      <c r="X44" s="30">
        <f t="shared" si="5"/>
        <v>0</v>
      </c>
    </row>
    <row r="45" spans="1:24" x14ac:dyDescent="0.25">
      <c r="B45" s="63" t="s">
        <v>203</v>
      </c>
      <c r="C45" s="22">
        <f>SUM(C3:C44)</f>
        <v>9.9</v>
      </c>
      <c r="D45" s="22">
        <f>SUM(D3:D44)</f>
        <v>4</v>
      </c>
      <c r="E45" s="22">
        <f t="shared" si="8"/>
        <v>5.9</v>
      </c>
      <c r="F45" s="76"/>
      <c r="G45" s="195"/>
      <c r="H45" s="76"/>
      <c r="O45" s="114" t="s">
        <v>270</v>
      </c>
      <c r="P45" s="114"/>
      <c r="Q45" s="22"/>
      <c r="R45" s="115">
        <f>SUM(R3:R44)</f>
        <v>1087.0963902573344</v>
      </c>
      <c r="T45" s="118"/>
      <c r="U45" s="118"/>
      <c r="V45" s="119"/>
      <c r="W45" s="120"/>
      <c r="X45" s="115">
        <f>SUM(X3:X44)</f>
        <v>0</v>
      </c>
    </row>
    <row r="46" spans="1:24" s="2" customFormat="1" x14ac:dyDescent="0.25">
      <c r="B46" s="78"/>
      <c r="F46" s="118"/>
      <c r="G46" s="118"/>
      <c r="H46" s="118"/>
      <c r="I46" s="238"/>
      <c r="J46" s="238"/>
      <c r="K46" s="250"/>
      <c r="L46" s="120"/>
      <c r="O46" s="69"/>
      <c r="P46" s="69"/>
      <c r="R46" s="372"/>
      <c r="T46" s="118"/>
      <c r="U46" s="118"/>
      <c r="V46" s="119"/>
      <c r="W46" s="120"/>
      <c r="X46" s="372"/>
    </row>
    <row r="47" spans="1:24" x14ac:dyDescent="0.25">
      <c r="B47" s="373" t="s">
        <v>298</v>
      </c>
      <c r="C47" s="409">
        <v>0</v>
      </c>
      <c r="D47" s="116"/>
      <c r="E47" s="30">
        <f>IFERROR(C47-D47,"")</f>
        <v>0</v>
      </c>
      <c r="F47" s="76">
        <f>BMPs!E47</f>
        <v>0.42</v>
      </c>
      <c r="G47" s="242" t="s">
        <v>504</v>
      </c>
      <c r="H47" s="76">
        <f>+BMPs!F47</f>
        <v>0.75</v>
      </c>
      <c r="I47" s="97"/>
      <c r="J47" s="97"/>
      <c r="K47" s="99"/>
      <c r="L47" s="122">
        <f>+C47/'LandUse-LandCover'!E30</f>
        <v>0</v>
      </c>
      <c r="M47" s="30">
        <v>0.4</v>
      </c>
      <c r="N47" s="108">
        <f>1-H47</f>
        <v>0.25</v>
      </c>
      <c r="O47" s="39">
        <f>H47+(N47*F47)</f>
        <v>0.85499999999999998</v>
      </c>
      <c r="P47" s="99">
        <f>($C$52-(G68+G84+D91))*L47*M47*O47</f>
        <v>0</v>
      </c>
      <c r="Q47" s="116">
        <f>+X47</f>
        <v>0</v>
      </c>
      <c r="R47" s="99">
        <f>($C$52 -(G68+G84+D91))*L47*M47*O47-X47</f>
        <v>0</v>
      </c>
      <c r="S47" s="2"/>
      <c r="T47" s="118"/>
      <c r="U47" s="118"/>
      <c r="V47" s="119"/>
      <c r="W47" s="120"/>
      <c r="X47" s="321"/>
    </row>
    <row r="48" spans="1:24" x14ac:dyDescent="0.25">
      <c r="L48" s="120"/>
      <c r="M48" s="2"/>
    </row>
    <row r="49" spans="1:16" x14ac:dyDescent="0.25">
      <c r="G49" s="2"/>
      <c r="H49" s="2"/>
      <c r="I49" s="238"/>
      <c r="J49" s="238"/>
      <c r="K49" s="250"/>
      <c r="L49" s="120"/>
      <c r="M49" s="2"/>
    </row>
    <row r="50" spans="1:16" x14ac:dyDescent="0.25">
      <c r="B50" t="s">
        <v>257</v>
      </c>
      <c r="C50" s="98">
        <v>1</v>
      </c>
      <c r="D50" t="s">
        <v>262</v>
      </c>
    </row>
    <row r="51" spans="1:16" x14ac:dyDescent="0.25">
      <c r="B51" t="s">
        <v>258</v>
      </c>
      <c r="C51" s="109">
        <f>C50*('LandUse-LandCover'!E30*'Watershed Data'!D23+('LandUse-LandCover'!F30)*'Watershed Data'!E23)*3630</f>
        <v>30281689.224783923</v>
      </c>
      <c r="D51" t="s">
        <v>263</v>
      </c>
      <c r="E51" s="111" t="s">
        <v>268</v>
      </c>
      <c r="F51" s="111"/>
      <c r="G51" s="111"/>
      <c r="H51" s="111"/>
    </row>
    <row r="52" spans="1:16" x14ac:dyDescent="0.25">
      <c r="B52" t="s">
        <v>265</v>
      </c>
      <c r="C52" s="106">
        <f>Loads!I29</f>
        <v>2352732.5334874382</v>
      </c>
    </row>
    <row r="53" spans="1:16" s="6" customFormat="1" x14ac:dyDescent="0.25">
      <c r="A53" s="69"/>
      <c r="B53" s="5"/>
      <c r="C53" s="5"/>
      <c r="D53" s="5"/>
      <c r="G53"/>
      <c r="I53" s="190"/>
      <c r="J53" s="190"/>
      <c r="K53" s="191"/>
      <c r="L53" s="192"/>
      <c r="N53" s="5"/>
      <c r="O53" s="5"/>
      <c r="P53" s="5"/>
    </row>
    <row r="54" spans="1:16" s="2" customFormat="1" ht="45" x14ac:dyDescent="0.25">
      <c r="A54" s="369" t="s">
        <v>187</v>
      </c>
      <c r="B54" s="340"/>
      <c r="C54" s="341"/>
      <c r="D54" s="342" t="s">
        <v>528</v>
      </c>
      <c r="E54" s="343" t="s">
        <v>519</v>
      </c>
      <c r="F54" s="344"/>
      <c r="G54" s="341" t="s">
        <v>249</v>
      </c>
      <c r="H54" s="90"/>
      <c r="K54" s="238"/>
      <c r="M54" s="298"/>
    </row>
    <row r="55" spans="1:16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0"/>
      <c r="D55" s="494">
        <f>+Scenarios!I52</f>
        <v>66.78</v>
      </c>
      <c r="E55" s="320">
        <f>+BMPs!I51</f>
        <v>51.303181256300434</v>
      </c>
      <c r="F55" s="118"/>
      <c r="G55" s="316">
        <f t="shared" ref="G55:G67" si="10">+E55*D55</f>
        <v>3426.0264442957432</v>
      </c>
      <c r="H55" s="90"/>
      <c r="K55" s="238"/>
      <c r="M55" s="298"/>
    </row>
    <row r="56" spans="1:16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0"/>
      <c r="D56" s="143">
        <f>+Scenarios!J53</f>
        <v>0</v>
      </c>
      <c r="E56" s="320">
        <f>+BMPs!I52</f>
        <v>286.34052096597577</v>
      </c>
      <c r="F56" s="118"/>
      <c r="G56" s="316">
        <f t="shared" si="10"/>
        <v>0</v>
      </c>
      <c r="H56" s="90"/>
      <c r="K56" s="238"/>
      <c r="M56" s="298"/>
    </row>
    <row r="57" spans="1:16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0"/>
      <c r="D57" s="143">
        <f>+Scenarios!J54</f>
        <v>0</v>
      </c>
      <c r="E57" s="320">
        <f>+BMPs!I53</f>
        <v>286.34052096597577</v>
      </c>
      <c r="F57" s="118"/>
      <c r="G57" s="316">
        <f t="shared" si="10"/>
        <v>0</v>
      </c>
      <c r="H57" s="90"/>
      <c r="K57" s="238"/>
      <c r="M57" s="298"/>
    </row>
    <row r="58" spans="1:16" s="2" customFormat="1" x14ac:dyDescent="0.25">
      <c r="A58" s="2" t="str">
        <f>BMPs!C54</f>
        <v>MSS</v>
      </c>
      <c r="B58" s="2" t="str">
        <f>BMPs!D54</f>
        <v>Mechanical Street Sweeping</v>
      </c>
      <c r="C58" s="250"/>
      <c r="D58" s="143">
        <f>+Scenarios!J55</f>
        <v>0</v>
      </c>
      <c r="E58" s="320">
        <f>+BMPs!I54</f>
        <v>0</v>
      </c>
      <c r="F58" s="118"/>
      <c r="G58" s="316">
        <f t="shared" si="10"/>
        <v>0</v>
      </c>
      <c r="H58" s="90"/>
      <c r="K58" s="238"/>
      <c r="M58" s="298"/>
    </row>
    <row r="59" spans="1:16" s="2" customFormat="1" x14ac:dyDescent="0.25">
      <c r="A59" s="2" t="str">
        <f>BMPs!C55</f>
        <v>VSS</v>
      </c>
      <c r="B59" s="2" t="str">
        <f>BMPs!D55</f>
        <v>Regen / Vacuum Street Sweeping</v>
      </c>
      <c r="C59" s="250"/>
      <c r="D59" s="143">
        <f>+Scenarios!J56</f>
        <v>0</v>
      </c>
      <c r="E59" s="320">
        <f>+BMPs!I55</f>
        <v>0</v>
      </c>
      <c r="F59" s="118"/>
      <c r="G59" s="316">
        <f t="shared" si="10"/>
        <v>0</v>
      </c>
      <c r="H59" s="90"/>
      <c r="K59" s="238"/>
      <c r="M59" s="298"/>
    </row>
    <row r="60" spans="1:16" s="2" customFormat="1" x14ac:dyDescent="0.25">
      <c r="E60" s="321"/>
      <c r="F60" s="298"/>
      <c r="G60" s="316">
        <f t="shared" si="10"/>
        <v>0</v>
      </c>
      <c r="H60" s="90"/>
      <c r="K60" s="238"/>
      <c r="M60" s="298"/>
    </row>
    <row r="61" spans="1:16" s="5" customFormat="1" x14ac:dyDescent="0.25">
      <c r="A61" s="2" t="str">
        <f>BMPs!C57</f>
        <v>STRE</v>
      </c>
      <c r="B61" s="2" t="str">
        <f>BMPs!D57</f>
        <v>Stream Restoration</v>
      </c>
      <c r="C61" s="250"/>
      <c r="D61" s="494">
        <f>+Scenarios!J58</f>
        <v>3001</v>
      </c>
      <c r="E61" s="228">
        <f>BMPs!E58</f>
        <v>0</v>
      </c>
      <c r="F61" s="118"/>
      <c r="G61" s="316">
        <f t="shared" si="10"/>
        <v>0</v>
      </c>
      <c r="K61" s="299"/>
      <c r="M61" s="301"/>
    </row>
    <row r="62" spans="1:16" s="5" customFormat="1" x14ac:dyDescent="0.25">
      <c r="A62" s="2" t="str">
        <f>BMPs!C58</f>
        <v>OUT</v>
      </c>
      <c r="B62" s="2" t="str">
        <f>BMPs!D58</f>
        <v>Outfall Stabilization</v>
      </c>
      <c r="C62" s="250"/>
      <c r="D62" s="143">
        <v>10</v>
      </c>
      <c r="E62" s="228">
        <f>BMPs!E59</f>
        <v>0</v>
      </c>
      <c r="F62" s="118"/>
      <c r="G62" s="316">
        <f t="shared" si="10"/>
        <v>0</v>
      </c>
      <c r="H62" s="299"/>
      <c r="I62" s="299"/>
      <c r="J62" s="263"/>
      <c r="K62" s="300"/>
    </row>
    <row r="63" spans="1:16" s="5" customFormat="1" x14ac:dyDescent="0.25">
      <c r="A63" s="2" t="str">
        <f>BMPs!C59</f>
        <v>SHST</v>
      </c>
      <c r="B63" s="2" t="str">
        <f>BMPs!D59</f>
        <v>Shoreline Stabilization</v>
      </c>
      <c r="C63" s="250"/>
      <c r="D63" s="143">
        <f>+Scenarios!J60</f>
        <v>0</v>
      </c>
      <c r="E63" s="228">
        <f>BMPs!E60</f>
        <v>0</v>
      </c>
      <c r="F63" s="118"/>
      <c r="G63" s="316">
        <f t="shared" si="10"/>
        <v>0</v>
      </c>
      <c r="H63" s="299"/>
      <c r="I63" s="299"/>
      <c r="J63" s="263"/>
      <c r="K63" s="300"/>
    </row>
    <row r="64" spans="1:16" s="5" customFormat="1" x14ac:dyDescent="0.25">
      <c r="A64" s="2" t="str">
        <f>BMPs!C60</f>
        <v>SDV</v>
      </c>
      <c r="B64" s="2" t="str">
        <f>BMPs!D60</f>
        <v>Storm Drain Vacuuming</v>
      </c>
      <c r="C64" s="250"/>
      <c r="D64" s="143">
        <f>+Scenarios!J61</f>
        <v>0</v>
      </c>
      <c r="E64" s="228">
        <f>BMPs!E61</f>
        <v>0</v>
      </c>
      <c r="F64" s="118"/>
      <c r="G64" s="316">
        <f t="shared" si="10"/>
        <v>0</v>
      </c>
      <c r="H64" s="299"/>
      <c r="I64" s="299"/>
      <c r="J64" s="263"/>
      <c r="K64" s="300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0"/>
      <c r="D65" s="143">
        <f>+Scenarios!J62</f>
        <v>0</v>
      </c>
      <c r="E65" s="228">
        <f>BMPs!E63</f>
        <v>0</v>
      </c>
      <c r="F65" s="118"/>
      <c r="G65" s="316">
        <f t="shared" si="10"/>
        <v>0</v>
      </c>
      <c r="H65" s="299"/>
      <c r="I65" s="299"/>
      <c r="J65" s="263"/>
      <c r="K65" s="300"/>
    </row>
    <row r="66" spans="1:11" s="5" customFormat="1" x14ac:dyDescent="0.25">
      <c r="A66" s="2"/>
      <c r="B66" s="2"/>
      <c r="C66" s="283"/>
      <c r="E66" s="322"/>
      <c r="H66" s="299"/>
      <c r="I66" s="299"/>
      <c r="J66" s="263"/>
      <c r="K66" s="300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0"/>
      <c r="D67" s="143">
        <f>+Scenarios!J64</f>
        <v>0</v>
      </c>
      <c r="E67" s="320">
        <f>BMPs!E46</f>
        <v>0</v>
      </c>
      <c r="F67" s="118"/>
      <c r="G67" s="319">
        <f t="shared" si="10"/>
        <v>0</v>
      </c>
      <c r="H67" s="299"/>
      <c r="I67" s="299"/>
      <c r="J67" s="263"/>
      <c r="K67" s="300"/>
    </row>
    <row r="68" spans="1:11" s="5" customFormat="1" x14ac:dyDescent="0.25">
      <c r="A68" s="2"/>
      <c r="B68" s="2"/>
      <c r="C68" s="283"/>
      <c r="G68" s="318">
        <f>SUM(G55:G65)</f>
        <v>3426.0264442957432</v>
      </c>
      <c r="H68" s="299"/>
      <c r="I68" s="299"/>
      <c r="J68" s="263"/>
      <c r="K68" s="300"/>
    </row>
    <row r="69" spans="1:11" s="5" customFormat="1" x14ac:dyDescent="0.25">
      <c r="A69" s="2"/>
      <c r="B69" s="2"/>
      <c r="C69" s="283"/>
      <c r="G69" s="301"/>
      <c r="H69" s="299"/>
      <c r="I69" s="299"/>
      <c r="J69" s="263"/>
      <c r="K69" s="300"/>
    </row>
    <row r="70" spans="1:11" s="5" customFormat="1" x14ac:dyDescent="0.25">
      <c r="A70" s="2"/>
      <c r="B70" s="2"/>
      <c r="C70" s="283"/>
      <c r="G70" s="301"/>
      <c r="H70" s="299"/>
      <c r="I70" s="299"/>
      <c r="J70" s="263"/>
      <c r="K70" s="300"/>
    </row>
    <row r="71" spans="1:11" s="5" customFormat="1" x14ac:dyDescent="0.25">
      <c r="A71" s="339" t="str">
        <f>+Scenarios!A67</f>
        <v>Urban Downsizing to Forest</v>
      </c>
      <c r="B71" s="340"/>
      <c r="C71" s="377"/>
      <c r="D71" s="340"/>
      <c r="E71" s="340"/>
      <c r="F71" s="340"/>
      <c r="G71" s="340"/>
      <c r="H71" s="299"/>
      <c r="I71" s="299"/>
      <c r="J71" s="263"/>
      <c r="K71" s="300"/>
    </row>
    <row r="72" spans="1:11" s="354" customFormat="1" ht="45" x14ac:dyDescent="0.25">
      <c r="A72" s="286"/>
      <c r="B72" s="348" t="str">
        <f>+Scenarios!B68</f>
        <v>Land Use</v>
      </c>
      <c r="C72" s="349"/>
      <c r="D72" s="348" t="s">
        <v>527</v>
      </c>
      <c r="E72" s="317" t="s">
        <v>519</v>
      </c>
      <c r="F72" s="286"/>
      <c r="G72" s="350" t="s">
        <v>249</v>
      </c>
      <c r="H72" s="351"/>
      <c r="I72" s="351"/>
      <c r="J72" s="352"/>
      <c r="K72" s="353"/>
    </row>
    <row r="73" spans="1:11" s="5" customFormat="1" x14ac:dyDescent="0.25">
      <c r="A73" s="2"/>
      <c r="B73" s="2" t="str">
        <f>+Scenarios!B69</f>
        <v>Low Density Residential</v>
      </c>
      <c r="C73" s="283"/>
      <c r="D73" s="289">
        <f>Scenarios!J69</f>
        <v>0</v>
      </c>
      <c r="E73" s="287">
        <f>+Loads!H2-Loads!$H$19</f>
        <v>68.660700212609868</v>
      </c>
      <c r="G73" s="316">
        <f t="shared" ref="G73:G83" si="11">+E73*D73</f>
        <v>0</v>
      </c>
      <c r="H73" s="299"/>
      <c r="I73" s="299"/>
      <c r="J73" s="263"/>
      <c r="K73" s="300"/>
    </row>
    <row r="74" spans="1:11" s="5" customFormat="1" x14ac:dyDescent="0.25">
      <c r="A74" s="2"/>
      <c r="B74" s="2" t="str">
        <f>+Scenarios!B70</f>
        <v>Medium Density Residential</v>
      </c>
      <c r="C74" s="283"/>
      <c r="D74" s="289">
        <f>Scenarios!J70</f>
        <v>0</v>
      </c>
      <c r="E74" s="287">
        <f>+Loads!H3-Loads!$H$19</f>
        <v>100.88847921307709</v>
      </c>
      <c r="G74" s="316">
        <f t="shared" si="11"/>
        <v>0</v>
      </c>
      <c r="H74" s="299"/>
      <c r="I74" s="299"/>
      <c r="J74" s="263"/>
      <c r="K74" s="300"/>
    </row>
    <row r="75" spans="1:11" s="5" customFormat="1" x14ac:dyDescent="0.25">
      <c r="A75" s="2"/>
      <c r="B75" s="2" t="str">
        <f>+Scenarios!B71</f>
        <v>High Density Residential</v>
      </c>
      <c r="C75" s="283"/>
      <c r="D75" s="289">
        <f>Scenarios!J71</f>
        <v>0</v>
      </c>
      <c r="E75" s="287">
        <f>+Loads!H4-Loads!$H$19</f>
        <v>149.49916747959102</v>
      </c>
      <c r="G75" s="316">
        <f t="shared" si="11"/>
        <v>0</v>
      </c>
      <c r="H75" s="299"/>
      <c r="I75" s="299"/>
      <c r="J75" s="263"/>
      <c r="K75" s="300"/>
    </row>
    <row r="76" spans="1:11" s="5" customFormat="1" x14ac:dyDescent="0.25">
      <c r="A76" s="2"/>
      <c r="B76" s="2" t="str">
        <f>+Scenarios!B72</f>
        <v>Commercial</v>
      </c>
      <c r="C76" s="283"/>
      <c r="D76" s="289">
        <f>Scenarios!J72</f>
        <v>0</v>
      </c>
      <c r="E76" s="287">
        <f>+Loads!H5-Loads!$H$19</f>
        <v>64.020081100042603</v>
      </c>
      <c r="G76" s="316">
        <f t="shared" si="11"/>
        <v>0</v>
      </c>
      <c r="H76" s="299"/>
      <c r="I76" s="299"/>
      <c r="J76" s="263"/>
      <c r="K76" s="300"/>
    </row>
    <row r="77" spans="1:11" s="5" customFormat="1" x14ac:dyDescent="0.25">
      <c r="A77" s="2"/>
      <c r="B77" s="2" t="str">
        <f>+Scenarios!B73</f>
        <v>Industrial</v>
      </c>
      <c r="C77" s="283"/>
      <c r="D77" s="289">
        <f>Scenarios!J73</f>
        <v>0</v>
      </c>
      <c r="E77" s="287">
        <f>+Loads!H6-Loads!$H$19</f>
        <v>25.594860292218563</v>
      </c>
      <c r="G77" s="316">
        <f t="shared" si="11"/>
        <v>0</v>
      </c>
      <c r="H77" s="299"/>
      <c r="I77" s="299"/>
      <c r="J77" s="263"/>
      <c r="K77" s="300"/>
    </row>
    <row r="78" spans="1:11" s="5" customFormat="1" x14ac:dyDescent="0.25">
      <c r="A78" s="2"/>
      <c r="B78" s="2" t="str">
        <f>+Scenarios!B74</f>
        <v>Institutional</v>
      </c>
      <c r="C78" s="283"/>
      <c r="D78" s="289">
        <f>Scenarios!J74</f>
        <v>0</v>
      </c>
      <c r="E78" s="287">
        <f>+Loads!H7-Loads!$H$19</f>
        <v>45.401712210021337</v>
      </c>
      <c r="G78" s="316">
        <f t="shared" si="11"/>
        <v>0</v>
      </c>
      <c r="H78" s="299"/>
      <c r="I78" s="299"/>
      <c r="J78" s="263"/>
      <c r="K78" s="300"/>
    </row>
    <row r="79" spans="1:11" s="5" customFormat="1" x14ac:dyDescent="0.25">
      <c r="A79" s="2"/>
      <c r="B79" s="2" t="str">
        <f>+Scenarios!B75</f>
        <v>Extractive</v>
      </c>
      <c r="C79" s="283"/>
      <c r="D79" s="289">
        <f>Scenarios!J75</f>
        <v>0</v>
      </c>
      <c r="E79" s="287"/>
      <c r="G79" s="316">
        <f t="shared" si="11"/>
        <v>0</v>
      </c>
      <c r="H79" s="299"/>
      <c r="I79" s="299"/>
      <c r="J79" s="263"/>
      <c r="K79" s="300"/>
    </row>
    <row r="80" spans="1:11" s="5" customFormat="1" x14ac:dyDescent="0.25">
      <c r="A80" s="2"/>
      <c r="B80" s="2" t="str">
        <f>+Scenarios!B76</f>
        <v>Open Urban Land</v>
      </c>
      <c r="C80" s="283"/>
      <c r="D80" s="289">
        <f>Scenarios!J76</f>
        <v>0</v>
      </c>
      <c r="E80" s="287">
        <f>+Loads!H9-Loads!$H$19</f>
        <v>45.717937806050294</v>
      </c>
      <c r="G80" s="316">
        <f t="shared" si="11"/>
        <v>0</v>
      </c>
      <c r="H80" s="299"/>
      <c r="I80" s="299"/>
      <c r="J80" s="263"/>
      <c r="K80" s="300"/>
    </row>
    <row r="81" spans="1:16" s="5" customFormat="1" x14ac:dyDescent="0.25">
      <c r="A81" s="2"/>
      <c r="B81" s="2" t="str">
        <f>+Scenarios!B77</f>
        <v>Transportation</v>
      </c>
      <c r="C81" s="283"/>
      <c r="D81" s="289">
        <f>Scenarios!J77</f>
        <v>0</v>
      </c>
      <c r="E81" s="287"/>
      <c r="G81" s="316">
        <f t="shared" si="11"/>
        <v>0</v>
      </c>
      <c r="H81" s="299"/>
      <c r="I81" s="299"/>
      <c r="J81" s="263"/>
      <c r="K81" s="300"/>
    </row>
    <row r="82" spans="1:16" s="5" customFormat="1" x14ac:dyDescent="0.25">
      <c r="A82" s="2"/>
      <c r="B82" s="2" t="str">
        <f>+Scenarios!B78</f>
        <v>Large Lot Subdivision (Ag)</v>
      </c>
      <c r="C82" s="283"/>
      <c r="D82" s="289">
        <f>Scenarios!J78</f>
        <v>0</v>
      </c>
      <c r="E82" s="287">
        <f>+Loads!H11-Loads!$H$19</f>
        <v>40.684731019820568</v>
      </c>
      <c r="G82" s="316">
        <f t="shared" si="11"/>
        <v>0</v>
      </c>
      <c r="H82" s="299"/>
      <c r="I82" s="299"/>
      <c r="J82" s="263"/>
      <c r="K82" s="300"/>
    </row>
    <row r="83" spans="1:16" s="5" customFormat="1" x14ac:dyDescent="0.25">
      <c r="A83" s="2"/>
      <c r="B83" s="2" t="str">
        <f>+Scenarios!B79</f>
        <v>Large Lot Subdivision (Forest)</v>
      </c>
      <c r="C83" s="283"/>
      <c r="D83" s="289">
        <f>Scenarios!J79</f>
        <v>0</v>
      </c>
      <c r="E83" s="287">
        <f>+Loads!H12-Loads!$H$19</f>
        <v>45.993956138060504</v>
      </c>
      <c r="G83" s="319">
        <f t="shared" si="11"/>
        <v>0</v>
      </c>
      <c r="H83" s="299"/>
      <c r="I83" s="299"/>
      <c r="J83" s="263"/>
      <c r="K83" s="300"/>
    </row>
    <row r="84" spans="1:16" s="6" customFormat="1" x14ac:dyDescent="0.25">
      <c r="A84" s="2"/>
      <c r="B84" s="2"/>
      <c r="C84" s="5"/>
      <c r="D84" s="5"/>
      <c r="G84" s="64">
        <f>SUM(G73:G83)</f>
        <v>0</v>
      </c>
      <c r="I84" s="190"/>
      <c r="J84" s="190"/>
      <c r="K84" s="191"/>
      <c r="L84" s="192"/>
      <c r="N84" s="5"/>
      <c r="O84" s="5"/>
      <c r="P84" s="5"/>
    </row>
    <row r="85" spans="1:16" ht="15.75" x14ac:dyDescent="0.25">
      <c r="A85" s="158" t="s">
        <v>312</v>
      </c>
      <c r="D85" s="156"/>
    </row>
    <row r="86" spans="1:16" s="6" customFormat="1" x14ac:dyDescent="0.25">
      <c r="A86" s="2"/>
      <c r="B86" s="2"/>
      <c r="C86" s="5"/>
      <c r="D86" s="5"/>
      <c r="G86"/>
      <c r="I86" s="190"/>
      <c r="J86" s="190"/>
      <c r="K86" s="191"/>
      <c r="L86" s="192"/>
      <c r="N86" s="5"/>
      <c r="O86" s="5"/>
      <c r="P86" s="5"/>
    </row>
    <row r="87" spans="1:16" x14ac:dyDescent="0.25">
      <c r="A87" s="159" t="s">
        <v>297</v>
      </c>
      <c r="B87" s="159"/>
      <c r="C87" s="160"/>
      <c r="D87" s="160"/>
      <c r="E87" s="156"/>
      <c r="I87"/>
      <c r="J87"/>
    </row>
    <row r="88" spans="1:16" x14ac:dyDescent="0.25">
      <c r="B88" t="s">
        <v>567</v>
      </c>
      <c r="D88" s="33">
        <f>+SewageData!B34</f>
        <v>114557.44000000002</v>
      </c>
      <c r="E88" s="156"/>
      <c r="I88"/>
      <c r="J88"/>
    </row>
    <row r="89" spans="1:16" x14ac:dyDescent="0.25">
      <c r="B89" t="s">
        <v>234</v>
      </c>
      <c r="D89" s="20">
        <v>0.6</v>
      </c>
      <c r="E89" s="156"/>
      <c r="I89"/>
      <c r="J89"/>
    </row>
    <row r="90" spans="1:16" x14ac:dyDescent="0.25">
      <c r="B90" t="s">
        <v>235</v>
      </c>
      <c r="D90" s="27">
        <f>Scenarios!J83</f>
        <v>0</v>
      </c>
      <c r="E90" s="156"/>
      <c r="J90"/>
    </row>
    <row r="91" spans="1:16" x14ac:dyDescent="0.25">
      <c r="B91" t="s">
        <v>249</v>
      </c>
      <c r="D91" s="33">
        <f>+D88*D89*D90</f>
        <v>0</v>
      </c>
      <c r="E91" s="156"/>
      <c r="I91" s="16"/>
      <c r="J91"/>
    </row>
    <row r="92" spans="1:16" s="6" customFormat="1" ht="15.75" thickBot="1" x14ac:dyDescent="0.3">
      <c r="A92" s="193"/>
      <c r="B92" s="194"/>
      <c r="C92" s="194"/>
      <c r="D92" s="194"/>
      <c r="G92"/>
      <c r="I92" s="190"/>
      <c r="J92" s="190"/>
      <c r="K92" s="191"/>
      <c r="L92" s="192"/>
      <c r="N92" s="5"/>
      <c r="O92" s="5"/>
      <c r="P92" s="5"/>
    </row>
    <row r="93" spans="1:16" ht="15.75" thickTop="1" x14ac:dyDescent="0.25">
      <c r="A93" s="159" t="s">
        <v>303</v>
      </c>
      <c r="B93" s="160"/>
      <c r="C93" s="160"/>
      <c r="D93" s="160"/>
      <c r="E93" s="156"/>
      <c r="I93"/>
      <c r="J93"/>
    </row>
    <row r="94" spans="1:16" x14ac:dyDescent="0.25">
      <c r="A94" s="40"/>
      <c r="B94" s="5" t="s">
        <v>580</v>
      </c>
      <c r="C94" s="6"/>
      <c r="D94" s="430">
        <f>SewageData!B41</f>
        <v>1476468</v>
      </c>
      <c r="E94" s="156"/>
      <c r="I94"/>
      <c r="J94"/>
    </row>
    <row r="95" spans="1:16" x14ac:dyDescent="0.25">
      <c r="B95" s="6" t="s">
        <v>468</v>
      </c>
      <c r="C95" s="156"/>
      <c r="D95" s="428">
        <f>Scenarios!J89</f>
        <v>0</v>
      </c>
      <c r="E95" s="156" t="s">
        <v>467</v>
      </c>
      <c r="I95"/>
      <c r="J95"/>
    </row>
    <row r="96" spans="1:16" x14ac:dyDescent="0.25">
      <c r="B96" t="s">
        <v>317</v>
      </c>
      <c r="C96" s="156"/>
      <c r="D96" s="429">
        <f>Scenarios!J90</f>
        <v>0</v>
      </c>
      <c r="E96" s="156"/>
      <c r="F96" s="170" t="s">
        <v>469</v>
      </c>
      <c r="H96" s="170" t="s">
        <v>576</v>
      </c>
      <c r="I96"/>
      <c r="J96"/>
    </row>
    <row r="97" spans="1:10" x14ac:dyDescent="0.25">
      <c r="B97" t="s">
        <v>471</v>
      </c>
      <c r="C97" s="156"/>
      <c r="D97" s="33">
        <f>SewageData!B41-(IF(Scenarios!J89+Scenarios!J90&gt;0, (SewageData!B41*Scenarios!J89*Scenarios!J90),0))</f>
        <v>1476468</v>
      </c>
      <c r="E97" s="156"/>
      <c r="F97" s="2"/>
      <c r="I97"/>
      <c r="J97"/>
    </row>
    <row r="98" spans="1:10" x14ac:dyDescent="0.25">
      <c r="B98" t="s">
        <v>249</v>
      </c>
      <c r="C98" s="167"/>
      <c r="D98" s="426">
        <f>D94-D97</f>
        <v>0</v>
      </c>
      <c r="E98" s="156"/>
      <c r="F98" s="2"/>
      <c r="I98"/>
      <c r="J98"/>
    </row>
    <row r="99" spans="1:10" x14ac:dyDescent="0.25">
      <c r="A99" s="159" t="s">
        <v>313</v>
      </c>
      <c r="B99" s="160"/>
      <c r="C99" s="160"/>
      <c r="D99" s="160"/>
      <c r="E99" s="156"/>
      <c r="I99"/>
      <c r="J99"/>
    </row>
    <row r="100" spans="1:10" x14ac:dyDescent="0.25">
      <c r="A100" s="40"/>
      <c r="B100" s="5" t="s">
        <v>488</v>
      </c>
      <c r="C100" s="6"/>
      <c r="D100" s="430">
        <f>SewageData!B8*(1-Scenarios!I144/MAX(SewageData!B9,0.001))</f>
        <v>291544596</v>
      </c>
      <c r="E100" s="156"/>
      <c r="I100"/>
      <c r="J100"/>
    </row>
    <row r="101" spans="1:10" x14ac:dyDescent="0.25">
      <c r="A101" s="40"/>
      <c r="B101" s="5" t="s">
        <v>489</v>
      </c>
      <c r="C101" s="6"/>
      <c r="D101" s="417">
        <f>(SewageData!B9*SewageData!B14-Scenarios!I144*Scenarios!I145)*(1-IF(Scenarios!I130="yes",Scenarios!I131*Scenarios!I132,0))*(1-IF(Scenarios!I134="yes",Scenarios!I135*Scenarios!I136,0))*(1-IF(Scenarios!I138="yes",Scenarios!I139*Scenarios!I140,0))/MAX((SewageData!B9-Scenarios!I144),0.001)</f>
        <v>0.19999999999999998</v>
      </c>
      <c r="E101" s="156"/>
      <c r="I101"/>
      <c r="J101"/>
    </row>
    <row r="102" spans="1:10" x14ac:dyDescent="0.25">
      <c r="A102" s="40"/>
      <c r="B102" t="s">
        <v>331</v>
      </c>
      <c r="C102" s="6"/>
      <c r="D102" s="416">
        <f>(SewageData!B9*SewageData!B12-Scenarios!I144*Scenarios!I146)/MAX(SewageData!B9-Scenarios!I146,0.001)</f>
        <v>4.8311339745023482E-2</v>
      </c>
      <c r="E102" s="172" t="s">
        <v>490</v>
      </c>
      <c r="I102"/>
      <c r="J102"/>
    </row>
    <row r="103" spans="1:10" x14ac:dyDescent="0.25">
      <c r="B103" t="s">
        <v>471</v>
      </c>
      <c r="D103" s="412">
        <f>(D100*D101*(SewageData!B16*(1-D102)*SewageData!B17+SewageData!B15*D102*SewageData!B18))</f>
        <v>421699.59792708559</v>
      </c>
      <c r="E103" s="156" t="s">
        <v>483</v>
      </c>
      <c r="I103" s="16"/>
      <c r="J103"/>
    </row>
    <row r="104" spans="1:10" x14ac:dyDescent="0.25">
      <c r="B104" t="s">
        <v>249</v>
      </c>
      <c r="D104" s="412">
        <f>SewageData!B19-Permit!D103</f>
        <v>-16.254727085586637</v>
      </c>
      <c r="E104" s="156"/>
      <c r="I104" s="16"/>
      <c r="J104"/>
    </row>
    <row r="105" spans="1:10" x14ac:dyDescent="0.25">
      <c r="A105" s="159" t="s">
        <v>306</v>
      </c>
      <c r="B105" s="159"/>
      <c r="C105" s="160"/>
      <c r="D105" s="160"/>
      <c r="E105" s="156"/>
      <c r="I105"/>
      <c r="J105"/>
    </row>
    <row r="106" spans="1:10" x14ac:dyDescent="0.25">
      <c r="A106" s="159"/>
      <c r="B106" s="421" t="s">
        <v>578</v>
      </c>
      <c r="C106" s="160"/>
      <c r="D106" s="208">
        <f>SewageData!B76</f>
        <v>672243.05700000003</v>
      </c>
      <c r="E106" s="156"/>
      <c r="I106"/>
      <c r="J106"/>
    </row>
    <row r="107" spans="1:10" x14ac:dyDescent="0.25">
      <c r="A107" s="186"/>
      <c r="B107" s="160" t="s">
        <v>464</v>
      </c>
      <c r="C107" s="160"/>
      <c r="D107" s="424"/>
      <c r="E107" s="156"/>
      <c r="F107" s="5"/>
      <c r="I107"/>
      <c r="J107"/>
    </row>
    <row r="108" spans="1:10" x14ac:dyDescent="0.25">
      <c r="A108" s="160"/>
      <c r="B108" s="160" t="s">
        <v>318</v>
      </c>
      <c r="C108" s="167"/>
      <c r="D108" s="424"/>
      <c r="E108" s="156"/>
      <c r="F108" s="170" t="s">
        <v>470</v>
      </c>
      <c r="H108" s="170" t="s">
        <v>576</v>
      </c>
      <c r="I108"/>
      <c r="J108"/>
    </row>
    <row r="109" spans="1:10" x14ac:dyDescent="0.25">
      <c r="A109" s="160"/>
      <c r="B109" s="160" t="s">
        <v>471</v>
      </c>
      <c r="C109" s="167"/>
      <c r="D109" s="426">
        <f>SewageData!B76-IF((Scenarios!J93*Scenarios!J92)&gt;0,(SewageData!B76*Scenarios!J93*Scenarios!J92),0)</f>
        <v>672243.05700000003</v>
      </c>
      <c r="E109" s="156" t="s">
        <v>466</v>
      </c>
      <c r="F109" s="170" t="s">
        <v>465</v>
      </c>
      <c r="I109"/>
      <c r="J109"/>
    </row>
    <row r="110" spans="1:10" x14ac:dyDescent="0.25">
      <c r="A110" s="160"/>
      <c r="B110" t="s">
        <v>249</v>
      </c>
      <c r="C110" s="167"/>
      <c r="D110" s="426">
        <f>D106-D109</f>
        <v>0</v>
      </c>
      <c r="E110" s="156"/>
      <c r="F110" s="170"/>
      <c r="I110"/>
      <c r="J110"/>
    </row>
    <row r="111" spans="1:10" x14ac:dyDescent="0.25">
      <c r="A111" s="159" t="s">
        <v>307</v>
      </c>
      <c r="B111" s="159"/>
      <c r="C111" s="160"/>
      <c r="D111" s="160"/>
      <c r="E111" s="156"/>
      <c r="I111"/>
      <c r="J111"/>
    </row>
    <row r="112" spans="1:10" ht="15.75" thickBot="1" x14ac:dyDescent="0.3">
      <c r="A112" s="5"/>
      <c r="B112" s="160" t="s">
        <v>449</v>
      </c>
      <c r="C112" s="167"/>
      <c r="D112" s="279">
        <f>Scenarios!J125</f>
        <v>0</v>
      </c>
      <c r="E112" s="156"/>
      <c r="I112"/>
      <c r="J112"/>
    </row>
    <row r="113" spans="1:15" s="6" customFormat="1" ht="16.5" thickTop="1" thickBot="1" x14ac:dyDescent="0.3">
      <c r="A113" s="442"/>
      <c r="B113" s="440" t="s">
        <v>581</v>
      </c>
      <c r="C113" s="406"/>
      <c r="D113" s="441">
        <f>+D92+D98+D104+D110+D112</f>
        <v>-16.254727085586637</v>
      </c>
      <c r="E113" s="210"/>
      <c r="G113"/>
      <c r="H113" s="190"/>
      <c r="I113" s="190"/>
      <c r="J113" s="191"/>
      <c r="K113" s="192"/>
      <c r="M113" s="5"/>
      <c r="N113" s="5"/>
      <c r="O113" s="5"/>
    </row>
    <row r="114" spans="1:15" ht="15.75" thickTop="1" x14ac:dyDescent="0.25">
      <c r="A114" s="5"/>
      <c r="B114" s="5"/>
      <c r="C114" s="5"/>
      <c r="D114" s="5"/>
    </row>
    <row r="115" spans="1:15" x14ac:dyDescent="0.25">
      <c r="A115" s="5"/>
      <c r="B115" s="5"/>
      <c r="C115" s="5"/>
      <c r="D115" s="5"/>
    </row>
    <row r="116" spans="1:15" x14ac:dyDescent="0.25">
      <c r="A116" s="5"/>
      <c r="B116" s="5"/>
      <c r="C116" s="5"/>
      <c r="D116" s="5"/>
    </row>
  </sheetData>
  <mergeCells count="2">
    <mergeCell ref="K1:R1"/>
    <mergeCell ref="T1:X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A116"/>
  <sheetViews>
    <sheetView topLeftCell="A66" zoomScaleNormal="100" workbookViewId="0">
      <selection activeCell="E95" sqref="E95"/>
    </sheetView>
  </sheetViews>
  <sheetFormatPr defaultRowHeight="15" x14ac:dyDescent="0.25"/>
  <cols>
    <col min="2" max="2" width="43.140625" bestFit="1" customWidth="1"/>
    <col min="3" max="3" width="10.42578125" customWidth="1"/>
    <col min="4" max="4" width="13.28515625" bestFit="1" customWidth="1"/>
    <col min="5" max="5" width="10.7109375" customWidth="1"/>
    <col min="6" max="6" width="13.28515625" bestFit="1" customWidth="1"/>
    <col min="7" max="7" width="13.28515625" customWidth="1"/>
    <col min="8" max="8" width="14.42578125" customWidth="1"/>
    <col min="9" max="9" width="9.5703125" style="7" customWidth="1"/>
    <col min="10" max="10" width="8.7109375" style="7"/>
    <col min="11" max="11" width="9.85546875" style="104" customWidth="1"/>
    <col min="12" max="12" width="11.5703125" style="16" customWidth="1"/>
    <col min="13" max="13" width="10.28515625" customWidth="1"/>
    <col min="14" max="16" width="10.5703125" style="2" customWidth="1"/>
    <col min="17" max="17" width="10.42578125" customWidth="1"/>
    <col min="18" max="18" width="11.5703125" customWidth="1"/>
    <col min="19" max="19" width="5.140625" customWidth="1"/>
    <col min="23" max="24" width="12" customWidth="1"/>
  </cols>
  <sheetData>
    <row r="1" spans="1:24" x14ac:dyDescent="0.25">
      <c r="K1" s="517" t="s">
        <v>276</v>
      </c>
      <c r="L1" s="517"/>
      <c r="M1" s="517"/>
      <c r="N1" s="517"/>
      <c r="O1" s="517"/>
      <c r="P1" s="517"/>
      <c r="Q1" s="517"/>
      <c r="R1" s="517"/>
      <c r="S1" s="9"/>
      <c r="T1" s="518" t="s">
        <v>255</v>
      </c>
      <c r="U1" s="518"/>
      <c r="V1" s="518"/>
      <c r="W1" s="518"/>
      <c r="X1" s="518"/>
    </row>
    <row r="2" spans="1:24" s="13" customFormat="1" ht="45" x14ac:dyDescent="0.25">
      <c r="A2" s="93" t="str">
        <f>+BMPs!C2</f>
        <v>Code</v>
      </c>
      <c r="B2" s="93" t="str">
        <f>+BMPs!D2</f>
        <v>Description</v>
      </c>
      <c r="C2" s="94" t="s">
        <v>190</v>
      </c>
      <c r="D2" s="94" t="s">
        <v>191</v>
      </c>
      <c r="E2" s="94" t="s">
        <v>239</v>
      </c>
      <c r="F2" s="95" t="str">
        <f>+BMPs!E2</f>
        <v>Removal Rate</v>
      </c>
      <c r="G2" s="241" t="s">
        <v>503</v>
      </c>
      <c r="H2" s="96" t="str">
        <f>+BMPs!F2</f>
        <v>Runoff Redux</v>
      </c>
      <c r="I2" s="94" t="s">
        <v>254</v>
      </c>
      <c r="J2" s="94" t="s">
        <v>255</v>
      </c>
      <c r="K2" s="105" t="s">
        <v>256</v>
      </c>
      <c r="L2" s="110" t="s">
        <v>267</v>
      </c>
      <c r="M2" s="94" t="s">
        <v>269</v>
      </c>
      <c r="N2" s="107" t="s">
        <v>246</v>
      </c>
      <c r="O2" s="107" t="s">
        <v>247</v>
      </c>
      <c r="P2" s="107" t="s">
        <v>274</v>
      </c>
      <c r="Q2" s="94" t="s">
        <v>264</v>
      </c>
      <c r="R2" s="94" t="s">
        <v>271</v>
      </c>
      <c r="T2" s="94" t="s">
        <v>192</v>
      </c>
      <c r="U2" s="94" t="s">
        <v>244</v>
      </c>
      <c r="V2" s="94" t="s">
        <v>247</v>
      </c>
      <c r="W2" s="94" t="s">
        <v>219</v>
      </c>
      <c r="X2" s="94" t="s">
        <v>274</v>
      </c>
    </row>
    <row r="3" spans="1:24" x14ac:dyDescent="0.25">
      <c r="A3" t="str">
        <f>+BMPs!C3</f>
        <v>AGRE</v>
      </c>
      <c r="B3" t="str">
        <f>+BMPs!D3</f>
        <v>Green Roof - Extensive</v>
      </c>
      <c r="C3" s="27">
        <f>Scenarios!K3</f>
        <v>0</v>
      </c>
      <c r="D3" s="27">
        <f>Scenarios!L3</f>
        <v>0</v>
      </c>
      <c r="E3" s="22"/>
      <c r="F3" s="76">
        <f>BMPs!E3</f>
        <v>0</v>
      </c>
      <c r="G3" s="242" t="s">
        <v>504</v>
      </c>
      <c r="H3" s="76">
        <f>IFERROR(VLOOKUP(A3,BMPs!$C$2:$J$64,HLOOKUP(G3,BMPs!$F$72:$I$73,2,FALSE),FALSE),0)</f>
        <v>0.6</v>
      </c>
      <c r="I3" s="97"/>
      <c r="J3" s="97"/>
      <c r="K3" s="99">
        <f>$C$50*(D3*'Watershed Data'!$D$23+(C3-D3)*VLOOKUP(G3,'Watershed Data'!$A$19:$E$22,5,FALSE))*3630</f>
        <v>0</v>
      </c>
      <c r="L3" s="37">
        <f t="shared" ref="L3:L44" si="0">K3/$C$51</f>
        <v>0</v>
      </c>
      <c r="M3" s="30">
        <f>BMPs!$M$8*BMPs!$M$12</f>
        <v>1.08</v>
      </c>
      <c r="N3" s="108">
        <f>1-H3</f>
        <v>0.4</v>
      </c>
      <c r="O3" s="39">
        <f t="shared" ref="O3:O44" si="1">H3+(N3*F3)</f>
        <v>0.6</v>
      </c>
      <c r="P3" s="99">
        <f t="shared" ref="P3:P44" si="2">$C$52*L3*M3*O3</f>
        <v>0</v>
      </c>
      <c r="Q3" s="116">
        <f t="shared" ref="Q3:Q20" si="3">+X3</f>
        <v>0</v>
      </c>
      <c r="R3" s="99">
        <f t="shared" ref="R3:R44" si="4">$C$52*L3*M3*O3-Q3</f>
        <v>0</v>
      </c>
      <c r="T3" s="76">
        <f>IFERROR(VLOOKUP(J3,BMPs!$C$3:$F$69,3,FALSE),0)</f>
        <v>0</v>
      </c>
      <c r="U3" s="76">
        <f>IFERROR(VLOOKUP(J3,BMPs!$C$3:$F$69,5,FALSE),0)</f>
        <v>0</v>
      </c>
      <c r="V3" s="117">
        <f>U3+(1-U3)*T3</f>
        <v>0</v>
      </c>
      <c r="W3" s="37">
        <f>IFERROR((D3*'Watershed Data'!$D$21+E3*'Watershed Data'!$E$21)/('LandUse-LandCover'!$E$30*'Watershed Data'!$D$23+'LandUse-LandCover'!$F$30*'Watershed Data'!$E$23),0)*BMPs!$M$6*BMPs!$M$8*BMPs!$M$12</f>
        <v>0</v>
      </c>
      <c r="X3" s="30">
        <f t="shared" ref="X3:X44" si="5">$C$52*W3*V3</f>
        <v>0</v>
      </c>
    </row>
    <row r="4" spans="1:24" x14ac:dyDescent="0.25">
      <c r="A4" t="str">
        <f>+BMPs!C4</f>
        <v>AGRI</v>
      </c>
      <c r="B4" t="str">
        <f>+BMPs!D4</f>
        <v>Green Roof - Intensive</v>
      </c>
      <c r="C4" s="27">
        <f>Scenarios!K4</f>
        <v>0</v>
      </c>
      <c r="D4" s="27">
        <f>Scenarios!L4</f>
        <v>0</v>
      </c>
      <c r="E4" s="22"/>
      <c r="F4" s="76">
        <f>BMPs!E4</f>
        <v>0</v>
      </c>
      <c r="G4" s="242" t="s">
        <v>504</v>
      </c>
      <c r="H4" s="76">
        <f>IFERROR(VLOOKUP(A4,BMPs!$C$2:$J$64,HLOOKUP(G4,BMPs!$F$72:$I$73,2,FALSE),FALSE),0)</f>
        <v>0.6</v>
      </c>
      <c r="I4" s="97"/>
      <c r="J4" s="97"/>
      <c r="K4" s="99">
        <f>$C$50*(D4*'Watershed Data'!$D$23+(C4-D4)*VLOOKUP(G4,'Watershed Data'!$A$19:$E$22,5,FALSE))*3630</f>
        <v>0</v>
      </c>
      <c r="L4" s="37">
        <f t="shared" si="0"/>
        <v>0</v>
      </c>
      <c r="M4" s="30">
        <f>BMPs!$M$8*BMPs!$M$12</f>
        <v>1.08</v>
      </c>
      <c r="N4" s="108">
        <f t="shared" ref="N4:N44" si="6">1-H4</f>
        <v>0.4</v>
      </c>
      <c r="O4" s="39">
        <f t="shared" si="1"/>
        <v>0.6</v>
      </c>
      <c r="P4" s="99">
        <f t="shared" si="2"/>
        <v>0</v>
      </c>
      <c r="Q4" s="116">
        <f t="shared" si="3"/>
        <v>0</v>
      </c>
      <c r="R4" s="99">
        <f t="shared" si="4"/>
        <v>0</v>
      </c>
      <c r="T4" s="76">
        <f>IFERROR(VLOOKUP(J4,BMPs!$C$3:$F$69,3,FALSE),0)</f>
        <v>0</v>
      </c>
      <c r="U4" s="76">
        <f>IFERROR(VLOOKUP(J4,BMPs!$C$3:$F$69,5,FALSE),0)</f>
        <v>0</v>
      </c>
      <c r="V4" s="117">
        <f t="shared" ref="V4:V44" si="7">U4+(1-U4)*T4</f>
        <v>0</v>
      </c>
      <c r="W4" s="37">
        <f>IFERROR((D4*'Watershed Data'!$D$21+E4*'Watershed Data'!$E$21)/('LandUse-LandCover'!$E$30*'Watershed Data'!$D$23+'LandUse-LandCover'!$F$30*'Watershed Data'!$E$23),0)*BMPs!$M$6*BMPs!$M$8*BMPs!$M$12</f>
        <v>0</v>
      </c>
      <c r="X4" s="30">
        <f t="shared" si="5"/>
        <v>0</v>
      </c>
    </row>
    <row r="5" spans="1:24" x14ac:dyDescent="0.25">
      <c r="A5" t="str">
        <f>+BMPs!C5</f>
        <v>APRP</v>
      </c>
      <c r="B5" t="str">
        <f>+BMPs!D5</f>
        <v>Permeable Pavement</v>
      </c>
      <c r="C5" s="27">
        <f>Scenarios!K5</f>
        <v>0</v>
      </c>
      <c r="D5" s="27">
        <f>Scenarios!L5</f>
        <v>0</v>
      </c>
      <c r="E5" s="22">
        <f t="shared" ref="E5:E45" si="8">IFERROR(C5-D5,"")</f>
        <v>0</v>
      </c>
      <c r="F5" s="76">
        <f>BMPs!E5</f>
        <v>0</v>
      </c>
      <c r="G5" s="242" t="s">
        <v>504</v>
      </c>
      <c r="H5" s="76">
        <f>IFERROR(VLOOKUP(A5,BMPs!$C$2:$J$64,HLOOKUP(G5,BMPs!$F$72:$I$73,2,FALSE),FALSE),0)</f>
        <v>0.45</v>
      </c>
      <c r="I5" s="97"/>
      <c r="J5" s="97"/>
      <c r="K5" s="99">
        <f>$C$50*(D5*'Watershed Data'!$D$23+(C5-D5)*VLOOKUP(G5,'Watershed Data'!$A$19:$E$22,5,FALSE))*3630</f>
        <v>0</v>
      </c>
      <c r="L5" s="37">
        <f t="shared" si="0"/>
        <v>0</v>
      </c>
      <c r="M5" s="30">
        <f>BMPs!$M$8*BMPs!$M$12</f>
        <v>1.08</v>
      </c>
      <c r="N5" s="108">
        <f t="shared" si="6"/>
        <v>0.55000000000000004</v>
      </c>
      <c r="O5" s="39">
        <f t="shared" si="1"/>
        <v>0.45</v>
      </c>
      <c r="P5" s="99">
        <f t="shared" si="2"/>
        <v>0</v>
      </c>
      <c r="Q5" s="116">
        <f t="shared" si="3"/>
        <v>0</v>
      </c>
      <c r="R5" s="99">
        <f t="shared" si="4"/>
        <v>0</v>
      </c>
      <c r="T5" s="76">
        <f>IFERROR(VLOOKUP(J5,BMPs!$C$3:$F$69,3,FALSE),0)</f>
        <v>0</v>
      </c>
      <c r="U5" s="76">
        <f>IFERROR(VLOOKUP(J5,BMPs!$C$3:$F$69,5,FALSE),0)</f>
        <v>0</v>
      </c>
      <c r="V5" s="117">
        <f t="shared" si="7"/>
        <v>0</v>
      </c>
      <c r="W5" s="37">
        <f>IFERROR((D5*'Watershed Data'!$D$21+E5*'Watershed Data'!$E$21)/('LandUse-LandCover'!$E$30*'Watershed Data'!$D$23+'LandUse-LandCover'!$F$30*'Watershed Data'!$E$23),0)*BMPs!$M$6*BMPs!$M$8*BMPs!$M$12</f>
        <v>0</v>
      </c>
      <c r="X5" s="30">
        <f t="shared" si="5"/>
        <v>0</v>
      </c>
    </row>
    <row r="6" spans="1:24" x14ac:dyDescent="0.25">
      <c r="A6" t="str">
        <f>+BMPs!C6</f>
        <v>ARTF</v>
      </c>
      <c r="B6" t="str">
        <f>+BMPs!D6</f>
        <v>Reinforced Turf</v>
      </c>
      <c r="C6" s="27">
        <f>Scenarios!K6</f>
        <v>0</v>
      </c>
      <c r="D6" s="27">
        <f>Scenarios!L6</f>
        <v>0</v>
      </c>
      <c r="E6" s="22">
        <f t="shared" si="8"/>
        <v>0</v>
      </c>
      <c r="F6" s="76">
        <f>BMPs!E6</f>
        <v>0</v>
      </c>
      <c r="G6" s="242" t="s">
        <v>504</v>
      </c>
      <c r="H6" s="76">
        <f>IFERROR(VLOOKUP(A6,BMPs!$C$2:$J$64,HLOOKUP(G6,BMPs!$F$72:$I$73,2,FALSE),FALSE),0)</f>
        <v>0.45</v>
      </c>
      <c r="I6" s="97"/>
      <c r="J6" s="97"/>
      <c r="K6" s="99">
        <f>$C$50*(D6*'Watershed Data'!$D$23+(C6-D6)*VLOOKUP(G6,'Watershed Data'!$A$19:$E$22,5,FALSE))*3630</f>
        <v>0</v>
      </c>
      <c r="L6" s="37">
        <f t="shared" si="0"/>
        <v>0</v>
      </c>
      <c r="M6" s="30">
        <f>BMPs!$M$8*BMPs!$M$12</f>
        <v>1.08</v>
      </c>
      <c r="N6" s="108">
        <f t="shared" si="6"/>
        <v>0.55000000000000004</v>
      </c>
      <c r="O6" s="39">
        <f t="shared" si="1"/>
        <v>0.45</v>
      </c>
      <c r="P6" s="99">
        <f t="shared" si="2"/>
        <v>0</v>
      </c>
      <c r="Q6" s="116">
        <f t="shared" si="3"/>
        <v>0</v>
      </c>
      <c r="R6" s="99">
        <f t="shared" si="4"/>
        <v>0</v>
      </c>
      <c r="T6" s="76">
        <f>IFERROR(VLOOKUP(J6,BMPs!$C$3:$F$69,3,FALSE),0)</f>
        <v>0</v>
      </c>
      <c r="U6" s="76">
        <f>IFERROR(VLOOKUP(J6,BMPs!$C$3:$F$69,5,FALSE),0)</f>
        <v>0</v>
      </c>
      <c r="V6" s="117">
        <f t="shared" si="7"/>
        <v>0</v>
      </c>
      <c r="W6" s="37">
        <f>IFERROR((D6*'Watershed Data'!$D$21+E6*'Watershed Data'!$E$21)/('LandUse-LandCover'!$E$30*'Watershed Data'!$D$23+'LandUse-LandCover'!$F$30*'Watershed Data'!$E$23),0)*BMPs!$M$6*BMPs!$M$8*BMPs!$M$12</f>
        <v>0</v>
      </c>
      <c r="X6" s="30">
        <f t="shared" si="5"/>
        <v>0</v>
      </c>
    </row>
    <row r="7" spans="1:24" x14ac:dyDescent="0.25">
      <c r="A7" t="str">
        <f>+BMPs!C7</f>
        <v>NDRR</v>
      </c>
      <c r="B7" t="str">
        <f>+BMPs!D7</f>
        <v>Disconnection of Rooftop Runoff</v>
      </c>
      <c r="C7" s="27">
        <f>Scenarios!K7</f>
        <v>0</v>
      </c>
      <c r="D7" s="27">
        <f>Scenarios!L7</f>
        <v>0</v>
      </c>
      <c r="E7" s="22">
        <f t="shared" si="8"/>
        <v>0</v>
      </c>
      <c r="F7" s="76">
        <f>BMPs!E7</f>
        <v>0</v>
      </c>
      <c r="G7" s="242" t="s">
        <v>504</v>
      </c>
      <c r="H7" s="76">
        <f>IFERROR(VLOOKUP(A7,BMPs!$C$2:$J$64,HLOOKUP(G7,BMPs!$F$72:$I$73,2,FALSE),FALSE),0)</f>
        <v>0.25</v>
      </c>
      <c r="I7" s="97"/>
      <c r="J7" s="97"/>
      <c r="K7" s="99">
        <f>$C$50*(D7*'Watershed Data'!$D$23+(C7-D7)*VLOOKUP(G7,'Watershed Data'!$A$19:$E$22,5,FALSE))*3630</f>
        <v>0</v>
      </c>
      <c r="L7" s="37">
        <f t="shared" si="0"/>
        <v>0</v>
      </c>
      <c r="M7" s="30">
        <f>BMPs!$M$8*BMPs!$M$12</f>
        <v>1.08</v>
      </c>
      <c r="N7" s="108">
        <f t="shared" si="6"/>
        <v>0.75</v>
      </c>
      <c r="O7" s="39">
        <f t="shared" si="1"/>
        <v>0.25</v>
      </c>
      <c r="P7" s="99">
        <f t="shared" si="2"/>
        <v>0</v>
      </c>
      <c r="Q7" s="116">
        <f t="shared" si="3"/>
        <v>0</v>
      </c>
      <c r="R7" s="99">
        <f t="shared" si="4"/>
        <v>0</v>
      </c>
      <c r="T7" s="76">
        <f>IFERROR(VLOOKUP(J7,BMPs!$C$3:$F$69,3,FALSE),0)</f>
        <v>0</v>
      </c>
      <c r="U7" s="76">
        <f>IFERROR(VLOOKUP(J7,BMPs!$C$3:$F$69,5,FALSE),0)</f>
        <v>0</v>
      </c>
      <c r="V7" s="117">
        <f t="shared" si="7"/>
        <v>0</v>
      </c>
      <c r="W7" s="37">
        <f>IFERROR((D7*'Watershed Data'!$D$21+E7*'Watershed Data'!$E$21)/('LandUse-LandCover'!$E$30*'Watershed Data'!$D$23+'LandUse-LandCover'!$F$30*'Watershed Data'!$E$23),0)*BMPs!$M$6*BMPs!$M$8*BMPs!$M$12</f>
        <v>0</v>
      </c>
      <c r="X7" s="30">
        <f t="shared" si="5"/>
        <v>0</v>
      </c>
    </row>
    <row r="8" spans="1:24" x14ac:dyDescent="0.25">
      <c r="A8" t="str">
        <f>+BMPs!C8</f>
        <v>NDNR</v>
      </c>
      <c r="B8" t="str">
        <f>+BMPs!D8</f>
        <v>Disconnection of Non-Rooftop Runoff</v>
      </c>
      <c r="C8" s="27">
        <f>Scenarios!K8</f>
        <v>0</v>
      </c>
      <c r="D8" s="27">
        <f>Scenarios!L8</f>
        <v>0</v>
      </c>
      <c r="E8" s="22">
        <f t="shared" si="8"/>
        <v>0</v>
      </c>
      <c r="F8" s="76">
        <f>BMPs!E8</f>
        <v>0</v>
      </c>
      <c r="G8" s="242" t="s">
        <v>504</v>
      </c>
      <c r="H8" s="76">
        <f>IFERROR(VLOOKUP(A8,BMPs!$C$2:$J$64,HLOOKUP(G8,BMPs!$F$72:$I$73,2,FALSE),FALSE),0)</f>
        <v>0.25</v>
      </c>
      <c r="I8" s="97"/>
      <c r="J8" s="97"/>
      <c r="K8" s="99">
        <f>$C$50*(D8*'Watershed Data'!$D$23+(C8-D8)*VLOOKUP(G8,'Watershed Data'!$A$19:$E$22,5,FALSE))*3630</f>
        <v>0</v>
      </c>
      <c r="L8" s="37">
        <f t="shared" si="0"/>
        <v>0</v>
      </c>
      <c r="M8" s="30">
        <f>BMPs!$M$8*BMPs!$M$12</f>
        <v>1.08</v>
      </c>
      <c r="N8" s="108">
        <f t="shared" si="6"/>
        <v>0.75</v>
      </c>
      <c r="O8" s="39">
        <f t="shared" si="1"/>
        <v>0.25</v>
      </c>
      <c r="P8" s="99">
        <f t="shared" si="2"/>
        <v>0</v>
      </c>
      <c r="Q8" s="116">
        <f t="shared" si="3"/>
        <v>0</v>
      </c>
      <c r="R8" s="99">
        <f t="shared" si="4"/>
        <v>0</v>
      </c>
      <c r="T8" s="76">
        <f>IFERROR(VLOOKUP(J8,BMPs!$C$3:$F$69,3,FALSE),0)</f>
        <v>0</v>
      </c>
      <c r="U8" s="76">
        <f>IFERROR(VLOOKUP(J8,BMPs!$C$3:$F$69,5,FALSE),0)</f>
        <v>0</v>
      </c>
      <c r="V8" s="117">
        <f t="shared" si="7"/>
        <v>0</v>
      </c>
      <c r="W8" s="37">
        <f>IFERROR((D8*'Watershed Data'!$D$21+E8*'Watershed Data'!$E$21)/('LandUse-LandCover'!$E$30*'Watershed Data'!$D$23+'LandUse-LandCover'!$F$30*'Watershed Data'!$E$23),0)*BMPs!$M$6*BMPs!$M$8*BMPs!$M$12</f>
        <v>0</v>
      </c>
      <c r="X8" s="30">
        <f t="shared" si="5"/>
        <v>0</v>
      </c>
    </row>
    <row r="9" spans="1:24" x14ac:dyDescent="0.25">
      <c r="A9" t="str">
        <f>+BMPs!C9</f>
        <v>NSCA</v>
      </c>
      <c r="B9" t="str">
        <f>+BMPs!D9</f>
        <v>Sheetflow to Conservation Areas</v>
      </c>
      <c r="C9" s="27">
        <f>Scenarios!K9</f>
        <v>0</v>
      </c>
      <c r="D9" s="27">
        <f>Scenarios!L9</f>
        <v>0</v>
      </c>
      <c r="E9" s="22">
        <f t="shared" si="8"/>
        <v>0</v>
      </c>
      <c r="F9" s="76">
        <f>BMPs!E9</f>
        <v>0</v>
      </c>
      <c r="G9" s="242" t="s">
        <v>504</v>
      </c>
      <c r="H9" s="76">
        <f>IFERROR(VLOOKUP(A9,BMPs!$C$2:$J$64,HLOOKUP(G9,BMPs!$F$72:$I$73,2,FALSE),FALSE),0)</f>
        <v>0.5</v>
      </c>
      <c r="I9" s="97"/>
      <c r="J9" s="97"/>
      <c r="K9" s="99">
        <f>$C$50*(D9*'Watershed Data'!$D$23+(C9-D9)*VLOOKUP(G9,'Watershed Data'!$A$19:$E$22,5,FALSE))*3630</f>
        <v>0</v>
      </c>
      <c r="L9" s="37">
        <f t="shared" si="0"/>
        <v>0</v>
      </c>
      <c r="M9" s="30">
        <f>BMPs!$M$8*BMPs!$M$12</f>
        <v>1.08</v>
      </c>
      <c r="N9" s="108">
        <f t="shared" si="6"/>
        <v>0.5</v>
      </c>
      <c r="O9" s="39">
        <f t="shared" si="1"/>
        <v>0.5</v>
      </c>
      <c r="P9" s="99">
        <f t="shared" si="2"/>
        <v>0</v>
      </c>
      <c r="Q9" s="116">
        <f t="shared" si="3"/>
        <v>0</v>
      </c>
      <c r="R9" s="99">
        <f t="shared" si="4"/>
        <v>0</v>
      </c>
      <c r="T9" s="76">
        <f>IFERROR(VLOOKUP(J9,BMPs!$C$3:$F$69,3,FALSE),0)</f>
        <v>0</v>
      </c>
      <c r="U9" s="76">
        <f>IFERROR(VLOOKUP(J9,BMPs!$C$3:$F$69,5,FALSE),0)</f>
        <v>0</v>
      </c>
      <c r="V9" s="117">
        <f t="shared" si="7"/>
        <v>0</v>
      </c>
      <c r="W9" s="37">
        <f>IFERROR((D9*'Watershed Data'!$D$21+E9*'Watershed Data'!$E$21)/('LandUse-LandCover'!$E$30*'Watershed Data'!$D$23+'LandUse-LandCover'!$F$30*'Watershed Data'!$E$23),0)*BMPs!$M$6*BMPs!$M$8*BMPs!$M$12</f>
        <v>0</v>
      </c>
      <c r="X9" s="30">
        <f t="shared" si="5"/>
        <v>0</v>
      </c>
    </row>
    <row r="10" spans="1:24" x14ac:dyDescent="0.25">
      <c r="A10" t="str">
        <f>+BMPs!C10</f>
        <v>MRWH</v>
      </c>
      <c r="B10" t="str">
        <f>+BMPs!D10</f>
        <v>Rainwater Harvesting</v>
      </c>
      <c r="C10" s="27">
        <f>Scenarios!K10</f>
        <v>0</v>
      </c>
      <c r="D10" s="27">
        <f>Scenarios!L10</f>
        <v>0</v>
      </c>
      <c r="E10" s="22">
        <f t="shared" si="8"/>
        <v>0</v>
      </c>
      <c r="F10" s="76">
        <f>BMPs!E10</f>
        <v>0</v>
      </c>
      <c r="G10" s="242" t="s">
        <v>504</v>
      </c>
      <c r="H10" s="76">
        <f>IFERROR(VLOOKUP(A10,BMPs!$C$2:$J$64,HLOOKUP(G10,BMPs!$F$72:$I$73,2,FALSE),FALSE),0)</f>
        <v>0.4</v>
      </c>
      <c r="I10" s="97"/>
      <c r="J10" s="97"/>
      <c r="K10" s="99">
        <f>$C$50*(D10*'Watershed Data'!$D$23+(C10-D10)*VLOOKUP(G10,'Watershed Data'!$A$19:$E$22,5,FALSE))*3630</f>
        <v>0</v>
      </c>
      <c r="L10" s="37">
        <f t="shared" si="0"/>
        <v>0</v>
      </c>
      <c r="M10" s="30">
        <f>BMPs!$M$8*BMPs!$M$12</f>
        <v>1.08</v>
      </c>
      <c r="N10" s="108">
        <f t="shared" si="6"/>
        <v>0.6</v>
      </c>
      <c r="O10" s="39">
        <f t="shared" si="1"/>
        <v>0.4</v>
      </c>
      <c r="P10" s="99">
        <f t="shared" si="2"/>
        <v>0</v>
      </c>
      <c r="Q10" s="116">
        <f t="shared" si="3"/>
        <v>0</v>
      </c>
      <c r="R10" s="99">
        <f t="shared" si="4"/>
        <v>0</v>
      </c>
      <c r="T10" s="76">
        <f>IFERROR(VLOOKUP(J10,BMPs!$C$3:$F$69,3,FALSE),0)</f>
        <v>0</v>
      </c>
      <c r="U10" s="76">
        <f>IFERROR(VLOOKUP(J10,BMPs!$C$3:$F$69,5,FALSE),0)</f>
        <v>0</v>
      </c>
      <c r="V10" s="117">
        <f t="shared" si="7"/>
        <v>0</v>
      </c>
      <c r="W10" s="37">
        <f>IFERROR((D10*'Watershed Data'!$D$21+E10*'Watershed Data'!$E$21)/('LandUse-LandCover'!$E$30*'Watershed Data'!$D$23+'LandUse-LandCover'!$F$30*'Watershed Data'!$E$23),0)*BMPs!$M$6*BMPs!$M$8*BMPs!$M$12</f>
        <v>0</v>
      </c>
      <c r="X10" s="30">
        <f t="shared" si="5"/>
        <v>0</v>
      </c>
    </row>
    <row r="11" spans="1:24" x14ac:dyDescent="0.25">
      <c r="A11" t="str">
        <f>+BMPs!C11</f>
        <v>MSGW</v>
      </c>
      <c r="B11" t="str">
        <f>+BMPs!D11</f>
        <v>Submerged Gravel Wetland</v>
      </c>
      <c r="C11" s="27">
        <f>Scenarios!K11</f>
        <v>0</v>
      </c>
      <c r="D11" s="27">
        <f>Scenarios!L11</f>
        <v>0</v>
      </c>
      <c r="E11" s="22">
        <f t="shared" si="8"/>
        <v>0</v>
      </c>
      <c r="F11" s="76">
        <f>BMPs!E11</f>
        <v>0</v>
      </c>
      <c r="G11" s="242" t="s">
        <v>504</v>
      </c>
      <c r="H11" s="76">
        <f>IFERROR(VLOOKUP(A11,BMPs!$C$2:$J$64,HLOOKUP(G11,BMPs!$F$72:$I$73,2,FALSE),FALSE),0)</f>
        <v>0</v>
      </c>
      <c r="I11" s="97"/>
      <c r="J11" s="97"/>
      <c r="K11" s="99">
        <f>$C$50*(D11*'Watershed Data'!$D$23+(C11-D11)*VLOOKUP(G11,'Watershed Data'!$A$19:$E$22,5,FALSE))*3630</f>
        <v>0</v>
      </c>
      <c r="L11" s="37">
        <f t="shared" si="0"/>
        <v>0</v>
      </c>
      <c r="M11" s="30">
        <f>BMPs!$M$8*BMPs!$M$12</f>
        <v>1.08</v>
      </c>
      <c r="N11" s="108">
        <f t="shared" si="6"/>
        <v>1</v>
      </c>
      <c r="O11" s="39">
        <f t="shared" si="1"/>
        <v>0</v>
      </c>
      <c r="P11" s="99">
        <f t="shared" si="2"/>
        <v>0</v>
      </c>
      <c r="Q11" s="116">
        <f t="shared" si="3"/>
        <v>0</v>
      </c>
      <c r="R11" s="99">
        <f t="shared" si="4"/>
        <v>0</v>
      </c>
      <c r="T11" s="76">
        <f>IFERROR(VLOOKUP(J11,BMPs!$C$3:$F$69,3,FALSE),0)</f>
        <v>0</v>
      </c>
      <c r="U11" s="76">
        <f>IFERROR(VLOOKUP(J11,BMPs!$C$3:$F$69,5,FALSE),0)</f>
        <v>0</v>
      </c>
      <c r="V11" s="117">
        <f t="shared" si="7"/>
        <v>0</v>
      </c>
      <c r="W11" s="37">
        <f>IFERROR((D11*'Watershed Data'!$D$21+E11*'Watershed Data'!$E$21)/('LandUse-LandCover'!$E$30*'Watershed Data'!$D$23+'LandUse-LandCover'!$F$30*'Watershed Data'!$E$23),0)*BMPs!$M$6*BMPs!$M$8*BMPs!$M$12</f>
        <v>0</v>
      </c>
      <c r="X11" s="30">
        <f t="shared" si="5"/>
        <v>0</v>
      </c>
    </row>
    <row r="12" spans="1:24" x14ac:dyDescent="0.25">
      <c r="A12" t="str">
        <f>+BMPs!C12</f>
        <v>MILS</v>
      </c>
      <c r="B12" t="str">
        <f>+BMPs!D12</f>
        <v>Landscape Infiltration</v>
      </c>
      <c r="C12" s="27">
        <f>Scenarios!K12</f>
        <v>0</v>
      </c>
      <c r="D12" s="27">
        <f>Scenarios!L12</f>
        <v>0</v>
      </c>
      <c r="E12" s="22">
        <f t="shared" si="8"/>
        <v>0</v>
      </c>
      <c r="F12" s="76">
        <f>BMPs!E12</f>
        <v>0.85</v>
      </c>
      <c r="G12" s="242" t="s">
        <v>504</v>
      </c>
      <c r="H12" s="76">
        <f>IFERROR(VLOOKUP(A12,BMPs!$C$2:$J$64,HLOOKUP(G12,BMPs!$F$72:$I$73,2,FALSE),FALSE),0)</f>
        <v>0.5</v>
      </c>
      <c r="I12" s="97"/>
      <c r="J12" s="97"/>
      <c r="K12" s="99">
        <f>$C$50*(D12*'Watershed Data'!$D$23+(C12-D12)*VLOOKUP(G12,'Watershed Data'!$A$19:$E$22,5,FALSE))*3630</f>
        <v>0</v>
      </c>
      <c r="L12" s="37">
        <f t="shared" si="0"/>
        <v>0</v>
      </c>
      <c r="M12" s="30">
        <f>BMPs!$M$8*BMPs!$M$12</f>
        <v>1.08</v>
      </c>
      <c r="N12" s="108">
        <f t="shared" si="6"/>
        <v>0.5</v>
      </c>
      <c r="O12" s="39">
        <f t="shared" si="1"/>
        <v>0.92500000000000004</v>
      </c>
      <c r="P12" s="99">
        <f t="shared" si="2"/>
        <v>0</v>
      </c>
      <c r="Q12" s="116">
        <f t="shared" si="3"/>
        <v>0</v>
      </c>
      <c r="R12" s="99">
        <f t="shared" si="4"/>
        <v>0</v>
      </c>
      <c r="T12" s="76">
        <f>IFERROR(VLOOKUP(J12,BMPs!$C$3:$F$69,3,FALSE),0)</f>
        <v>0</v>
      </c>
      <c r="U12" s="76">
        <f>IFERROR(VLOOKUP(J12,BMPs!$C$3:$F$69,5,FALSE),0)</f>
        <v>0</v>
      </c>
      <c r="V12" s="117">
        <f t="shared" si="7"/>
        <v>0</v>
      </c>
      <c r="W12" s="37">
        <f>IFERROR((D12*'Watershed Data'!$D$21+E12*'Watershed Data'!$E$21)/('LandUse-LandCover'!$E$30*'Watershed Data'!$D$23+'LandUse-LandCover'!$F$30*'Watershed Data'!$E$23),0)*BMPs!$M$6*BMPs!$M$8*BMPs!$M$12</f>
        <v>0</v>
      </c>
      <c r="X12" s="30">
        <f t="shared" si="5"/>
        <v>0</v>
      </c>
    </row>
    <row r="13" spans="1:24" x14ac:dyDescent="0.25">
      <c r="A13" t="str">
        <f>+BMPs!C13</f>
        <v>MIBR</v>
      </c>
      <c r="B13" t="str">
        <f>+BMPs!D13</f>
        <v>Infiltration Berm</v>
      </c>
      <c r="C13" s="27">
        <f>Scenarios!K13</f>
        <v>0</v>
      </c>
      <c r="D13" s="27">
        <f>Scenarios!L13</f>
        <v>0</v>
      </c>
      <c r="E13" s="22">
        <f t="shared" si="8"/>
        <v>0</v>
      </c>
      <c r="F13" s="76">
        <f>BMPs!E13</f>
        <v>0.85</v>
      </c>
      <c r="G13" s="242" t="s">
        <v>504</v>
      </c>
      <c r="H13" s="76">
        <f>IFERROR(VLOOKUP(A13,BMPs!$C$2:$J$64,HLOOKUP(G13,BMPs!$F$72:$I$73,2,FALSE),FALSE),0)</f>
        <v>0.5</v>
      </c>
      <c r="I13" s="97"/>
      <c r="J13" s="97"/>
      <c r="K13" s="99">
        <f>$C$50*(D13*'Watershed Data'!$D$23+(C13-D13)*VLOOKUP(G13,'Watershed Data'!$A$19:$E$22,5,FALSE))*3630</f>
        <v>0</v>
      </c>
      <c r="L13" s="37">
        <f t="shared" si="0"/>
        <v>0</v>
      </c>
      <c r="M13" s="30">
        <f>BMPs!$M$8*BMPs!$M$12</f>
        <v>1.08</v>
      </c>
      <c r="N13" s="108">
        <f t="shared" si="6"/>
        <v>0.5</v>
      </c>
      <c r="O13" s="39">
        <f t="shared" si="1"/>
        <v>0.92500000000000004</v>
      </c>
      <c r="P13" s="99">
        <f t="shared" si="2"/>
        <v>0</v>
      </c>
      <c r="Q13" s="116">
        <f t="shared" si="3"/>
        <v>0</v>
      </c>
      <c r="R13" s="99">
        <f t="shared" si="4"/>
        <v>0</v>
      </c>
      <c r="T13" s="76">
        <f>IFERROR(VLOOKUP(J13,BMPs!$C$3:$F$69,3,FALSE),0)</f>
        <v>0</v>
      </c>
      <c r="U13" s="76">
        <f>IFERROR(VLOOKUP(J13,BMPs!$C$3:$F$69,5,FALSE),0)</f>
        <v>0</v>
      </c>
      <c r="V13" s="117">
        <f t="shared" si="7"/>
        <v>0</v>
      </c>
      <c r="W13" s="37">
        <f>IFERROR((D13*'Watershed Data'!$D$21+E13*'Watershed Data'!$E$21)/('LandUse-LandCover'!$E$30*'Watershed Data'!$D$23+'LandUse-LandCover'!$F$30*'Watershed Data'!$E$23),0)*BMPs!$M$6*BMPs!$M$8*BMPs!$M$12</f>
        <v>0</v>
      </c>
      <c r="X13" s="30">
        <f t="shared" si="5"/>
        <v>0</v>
      </c>
    </row>
    <row r="14" spans="1:24" x14ac:dyDescent="0.25">
      <c r="A14" t="str">
        <f>+BMPs!C14</f>
        <v>MIDW</v>
      </c>
      <c r="B14" t="str">
        <f>+BMPs!D14</f>
        <v>Dry Well</v>
      </c>
      <c r="C14" s="27">
        <f>Scenarios!K14</f>
        <v>0</v>
      </c>
      <c r="D14" s="27">
        <f>Scenarios!L14</f>
        <v>0</v>
      </c>
      <c r="E14" s="22">
        <f t="shared" si="8"/>
        <v>0</v>
      </c>
      <c r="F14" s="76">
        <f>BMPs!E14</f>
        <v>0.85</v>
      </c>
      <c r="G14" s="242" t="s">
        <v>504</v>
      </c>
      <c r="H14" s="76">
        <f>IFERROR(VLOOKUP(A14,BMPs!$C$2:$J$64,HLOOKUP(G14,BMPs!$F$72:$I$73,2,FALSE),FALSE),0)</f>
        <v>0.5</v>
      </c>
      <c r="I14" s="97"/>
      <c r="J14" s="97"/>
      <c r="K14" s="99">
        <f>$C$50*(D14*'Watershed Data'!$D$23+(C14-D14)*VLOOKUP(G14,'Watershed Data'!$A$19:$E$22,5,FALSE))*3630</f>
        <v>0</v>
      </c>
      <c r="L14" s="37">
        <f t="shared" si="0"/>
        <v>0</v>
      </c>
      <c r="M14" s="30">
        <f>BMPs!$M$8*BMPs!$M$12</f>
        <v>1.08</v>
      </c>
      <c r="N14" s="108">
        <f t="shared" si="6"/>
        <v>0.5</v>
      </c>
      <c r="O14" s="39">
        <f t="shared" si="1"/>
        <v>0.92500000000000004</v>
      </c>
      <c r="P14" s="99">
        <f t="shared" si="2"/>
        <v>0</v>
      </c>
      <c r="Q14" s="116">
        <f t="shared" si="3"/>
        <v>0</v>
      </c>
      <c r="R14" s="99">
        <f t="shared" si="4"/>
        <v>0</v>
      </c>
      <c r="T14" s="76">
        <f>IFERROR(VLOOKUP(J14,BMPs!$C$3:$F$69,3,FALSE),0)</f>
        <v>0</v>
      </c>
      <c r="U14" s="76">
        <f>IFERROR(VLOOKUP(J14,BMPs!$C$3:$F$69,5,FALSE),0)</f>
        <v>0</v>
      </c>
      <c r="V14" s="117">
        <f t="shared" si="7"/>
        <v>0</v>
      </c>
      <c r="W14" s="37">
        <f>IFERROR((D14*'Watershed Data'!$D$21+E14*'Watershed Data'!$E$21)/('LandUse-LandCover'!$E$30*'Watershed Data'!$D$23+'LandUse-LandCover'!$F$30*'Watershed Data'!$E$23),0)*BMPs!$M$6*BMPs!$M$8*BMPs!$M$12</f>
        <v>0</v>
      </c>
      <c r="X14" s="30">
        <f t="shared" si="5"/>
        <v>0</v>
      </c>
    </row>
    <row r="15" spans="1:24" x14ac:dyDescent="0.25">
      <c r="A15" t="str">
        <f>+BMPs!C15</f>
        <v>MMBR</v>
      </c>
      <c r="B15" t="str">
        <f>+BMPs!D15</f>
        <v>Micro-Bioretention</v>
      </c>
      <c r="C15" s="27">
        <f>Scenarios!K15</f>
        <v>0</v>
      </c>
      <c r="D15" s="27">
        <f>Scenarios!L15</f>
        <v>0</v>
      </c>
      <c r="E15" s="22">
        <f t="shared" si="8"/>
        <v>0</v>
      </c>
      <c r="F15" s="76">
        <f>BMPs!E15</f>
        <v>0.5</v>
      </c>
      <c r="G15" s="242" t="s">
        <v>504</v>
      </c>
      <c r="H15" s="76">
        <f>IFERROR(VLOOKUP(A15,BMPs!$C$2:$J$64,HLOOKUP(G15,BMPs!$F$72:$I$73,2,FALSE),FALSE),0)</f>
        <v>0.4</v>
      </c>
      <c r="I15" s="97"/>
      <c r="J15" s="97"/>
      <c r="K15" s="99">
        <f>$C$50*(D15*'Watershed Data'!$D$23+(C15-D15)*VLOOKUP(G15,'Watershed Data'!$A$19:$E$22,5,FALSE))*3630</f>
        <v>0</v>
      </c>
      <c r="L15" s="37">
        <f t="shared" si="0"/>
        <v>0</v>
      </c>
      <c r="M15" s="30">
        <f>BMPs!$M$8*BMPs!$M$12</f>
        <v>1.08</v>
      </c>
      <c r="N15" s="108">
        <f t="shared" si="6"/>
        <v>0.6</v>
      </c>
      <c r="O15" s="39">
        <f t="shared" si="1"/>
        <v>0.7</v>
      </c>
      <c r="P15" s="99">
        <f t="shared" si="2"/>
        <v>0</v>
      </c>
      <c r="Q15" s="116">
        <f t="shared" si="3"/>
        <v>0</v>
      </c>
      <c r="R15" s="99">
        <f t="shared" si="4"/>
        <v>0</v>
      </c>
      <c r="T15" s="76">
        <f>IFERROR(VLOOKUP(J15,BMPs!$C$3:$F$69,3,FALSE),0)</f>
        <v>0</v>
      </c>
      <c r="U15" s="76">
        <f>IFERROR(VLOOKUP(J15,BMPs!$C$3:$F$69,5,FALSE),0)</f>
        <v>0</v>
      </c>
      <c r="V15" s="117">
        <f t="shared" si="7"/>
        <v>0</v>
      </c>
      <c r="W15" s="37">
        <f>IFERROR((D15*'Watershed Data'!$D$21+E15*'Watershed Data'!$E$21)/('LandUse-LandCover'!$E$30*'Watershed Data'!$D$23+'LandUse-LandCover'!$F$30*'Watershed Data'!$E$23),0)*BMPs!$M$6*BMPs!$M$8*BMPs!$M$12</f>
        <v>0</v>
      </c>
      <c r="X15" s="30">
        <f t="shared" si="5"/>
        <v>0</v>
      </c>
    </row>
    <row r="16" spans="1:24" x14ac:dyDescent="0.25">
      <c r="A16" t="str">
        <f>+BMPs!C16</f>
        <v>MRNG</v>
      </c>
      <c r="B16" t="str">
        <f>+BMPs!D16</f>
        <v>Rain Gardens</v>
      </c>
      <c r="C16" s="27">
        <f>Scenarios!K16</f>
        <v>0</v>
      </c>
      <c r="D16" s="27">
        <f>Scenarios!L16</f>
        <v>0</v>
      </c>
      <c r="E16" s="22">
        <f t="shared" si="8"/>
        <v>0</v>
      </c>
      <c r="F16" s="76">
        <f>BMPs!E16</f>
        <v>0.5</v>
      </c>
      <c r="G16" s="242" t="s">
        <v>504</v>
      </c>
      <c r="H16" s="76">
        <f>IFERROR(VLOOKUP(A16,BMPs!$C$2:$J$64,HLOOKUP(G16,BMPs!$F$72:$I$73,2,FALSE),FALSE),0)</f>
        <v>0.4</v>
      </c>
      <c r="I16" s="97"/>
      <c r="J16" s="97"/>
      <c r="K16" s="99">
        <f>$C$50*(D16*'Watershed Data'!$D$23+(C16-D16)*VLOOKUP(G16,'Watershed Data'!$A$19:$E$22,5,FALSE))*3630</f>
        <v>0</v>
      </c>
      <c r="L16" s="37">
        <f t="shared" si="0"/>
        <v>0</v>
      </c>
      <c r="M16" s="30">
        <f>BMPs!$M$8*BMPs!$M$12</f>
        <v>1.08</v>
      </c>
      <c r="N16" s="108">
        <f t="shared" si="6"/>
        <v>0.6</v>
      </c>
      <c r="O16" s="39">
        <f t="shared" si="1"/>
        <v>0.7</v>
      </c>
      <c r="P16" s="99">
        <f t="shared" si="2"/>
        <v>0</v>
      </c>
      <c r="Q16" s="116">
        <f t="shared" si="3"/>
        <v>0</v>
      </c>
      <c r="R16" s="99">
        <f t="shared" si="4"/>
        <v>0</v>
      </c>
      <c r="T16" s="76">
        <f>IFERROR(VLOOKUP(J16,BMPs!$C$3:$F$69,3,FALSE),0)</f>
        <v>0</v>
      </c>
      <c r="U16" s="76">
        <f>IFERROR(VLOOKUP(J16,BMPs!$C$3:$F$69,5,FALSE),0)</f>
        <v>0</v>
      </c>
      <c r="V16" s="117">
        <f t="shared" si="7"/>
        <v>0</v>
      </c>
      <c r="W16" s="37">
        <f>IFERROR((D16*'Watershed Data'!$D$21+E16*'Watershed Data'!$E$21)/('LandUse-LandCover'!$E$30*'Watershed Data'!$D$23+'LandUse-LandCover'!$F$30*'Watershed Data'!$E$23),0)*BMPs!$M$6*BMPs!$M$8*BMPs!$M$12</f>
        <v>0</v>
      </c>
      <c r="X16" s="30">
        <f t="shared" si="5"/>
        <v>0</v>
      </c>
    </row>
    <row r="17" spans="1:27" x14ac:dyDescent="0.25">
      <c r="A17" t="str">
        <f>+BMPs!C17</f>
        <v>MSWG</v>
      </c>
      <c r="B17" t="str">
        <f>+BMPs!D17</f>
        <v>Grass Swale</v>
      </c>
      <c r="C17" s="27">
        <f>Scenarios!K17</f>
        <v>0</v>
      </c>
      <c r="D17" s="27">
        <f>Scenarios!L17</f>
        <v>0</v>
      </c>
      <c r="E17" s="22">
        <f t="shared" si="8"/>
        <v>0</v>
      </c>
      <c r="F17" s="112">
        <v>0</v>
      </c>
      <c r="G17" s="242" t="s">
        <v>504</v>
      </c>
      <c r="H17" s="76">
        <f>IFERROR(VLOOKUP(A17,BMPs!$C$2:$J$64,HLOOKUP(G17,BMPs!$F$72:$I$73,2,FALSE),FALSE),0)</f>
        <v>0.1</v>
      </c>
      <c r="I17" s="97"/>
      <c r="J17" s="97"/>
      <c r="K17" s="99">
        <f>$C$50*(D17*'Watershed Data'!$D$23+(C17-D17)*VLOOKUP(G17,'Watershed Data'!$A$19:$E$22,5,FALSE))*3630</f>
        <v>0</v>
      </c>
      <c r="L17" s="37">
        <f t="shared" si="0"/>
        <v>0</v>
      </c>
      <c r="M17" s="30">
        <f>BMPs!$M$8*BMPs!$M$12</f>
        <v>1.08</v>
      </c>
      <c r="N17" s="108">
        <f t="shared" si="6"/>
        <v>0.9</v>
      </c>
      <c r="O17" s="39">
        <f t="shared" si="1"/>
        <v>0.1</v>
      </c>
      <c r="P17" s="99">
        <f t="shared" si="2"/>
        <v>0</v>
      </c>
      <c r="Q17" s="116">
        <f t="shared" si="3"/>
        <v>0</v>
      </c>
      <c r="R17" s="99">
        <f t="shared" si="4"/>
        <v>0</v>
      </c>
      <c r="T17" s="76">
        <f>IFERROR(VLOOKUP(J17,BMPs!$C$3:$F$69,3,FALSE),0)</f>
        <v>0</v>
      </c>
      <c r="U17" s="76">
        <f>IFERROR(VLOOKUP(J17,BMPs!$C$3:$F$69,5,FALSE),0)</f>
        <v>0</v>
      </c>
      <c r="V17" s="117">
        <f t="shared" si="7"/>
        <v>0</v>
      </c>
      <c r="W17" s="37">
        <f>IFERROR((D17*'Watershed Data'!$D$21+E17*'Watershed Data'!$E$21)/('LandUse-LandCover'!$E$30*'Watershed Data'!$D$23+'LandUse-LandCover'!$F$30*'Watershed Data'!$E$23),0)*BMPs!$M$6*BMPs!$M$8*BMPs!$M$12</f>
        <v>0</v>
      </c>
      <c r="X17" s="30">
        <f t="shared" si="5"/>
        <v>0</v>
      </c>
    </row>
    <row r="18" spans="1:27" x14ac:dyDescent="0.25">
      <c r="A18" t="str">
        <f>+BMPs!C18</f>
        <v>MSWW</v>
      </c>
      <c r="B18" t="str">
        <f>+BMPs!D18</f>
        <v>Wet Swale</v>
      </c>
      <c r="C18" s="27">
        <f>Scenarios!K18</f>
        <v>0</v>
      </c>
      <c r="D18" s="27">
        <f>Scenarios!L18</f>
        <v>0</v>
      </c>
      <c r="E18" s="22">
        <f t="shared" si="8"/>
        <v>0</v>
      </c>
      <c r="F18" s="76">
        <f>BMPs!E18</f>
        <v>0</v>
      </c>
      <c r="G18" s="242" t="s">
        <v>504</v>
      </c>
      <c r="H18" s="76">
        <f>IFERROR(VLOOKUP(A18,BMPs!$C$2:$J$64,HLOOKUP(G18,BMPs!$F$72:$I$73,2,FALSE),FALSE),0)</f>
        <v>0</v>
      </c>
      <c r="I18" s="97"/>
      <c r="J18" s="97"/>
      <c r="K18" s="99">
        <f>$C$50*(D18*'Watershed Data'!$D$23+(C18-D18)*VLOOKUP(G18,'Watershed Data'!$A$19:$E$22,5,FALSE))*3630</f>
        <v>0</v>
      </c>
      <c r="L18" s="37">
        <f t="shared" si="0"/>
        <v>0</v>
      </c>
      <c r="M18" s="30">
        <f>BMPs!$M$8*BMPs!$M$12</f>
        <v>1.08</v>
      </c>
      <c r="N18" s="108">
        <f t="shared" si="6"/>
        <v>1</v>
      </c>
      <c r="O18" s="39">
        <f t="shared" si="1"/>
        <v>0</v>
      </c>
      <c r="P18" s="99">
        <f t="shared" si="2"/>
        <v>0</v>
      </c>
      <c r="Q18" s="116">
        <f t="shared" si="3"/>
        <v>0</v>
      </c>
      <c r="R18" s="99">
        <f t="shared" si="4"/>
        <v>0</v>
      </c>
      <c r="T18" s="76">
        <f>IFERROR(VLOOKUP(J18,BMPs!$C$3:$F$69,3,FALSE),0)</f>
        <v>0</v>
      </c>
      <c r="U18" s="76">
        <f>IFERROR(VLOOKUP(J18,BMPs!$C$3:$F$69,5,FALSE),0)</f>
        <v>0</v>
      </c>
      <c r="V18" s="117">
        <f t="shared" si="7"/>
        <v>0</v>
      </c>
      <c r="W18" s="37">
        <f>IFERROR((D18*'Watershed Data'!$D$21+E18*'Watershed Data'!$E$21)/('LandUse-LandCover'!$E$30*'Watershed Data'!$D$23+'LandUse-LandCover'!$F$30*'Watershed Data'!$E$23),0)*BMPs!$M$6*BMPs!$M$8*BMPs!$M$12</f>
        <v>0</v>
      </c>
      <c r="X18" s="30">
        <f t="shared" si="5"/>
        <v>0</v>
      </c>
    </row>
    <row r="19" spans="1:27" x14ac:dyDescent="0.25">
      <c r="A19" t="str">
        <f>+BMPs!C19</f>
        <v>MSWB</v>
      </c>
      <c r="B19" t="str">
        <f>+BMPs!D19</f>
        <v>Bio-Swale</v>
      </c>
      <c r="C19" s="27">
        <f>Scenarios!K19</f>
        <v>6</v>
      </c>
      <c r="D19" s="27">
        <f>Scenarios!L19</f>
        <v>5.2</v>
      </c>
      <c r="E19" s="22">
        <f t="shared" si="8"/>
        <v>0.79999999999999982</v>
      </c>
      <c r="F19" s="76">
        <f>BMPs!E19</f>
        <v>0</v>
      </c>
      <c r="G19" s="242" t="s">
        <v>504</v>
      </c>
      <c r="H19" s="76">
        <f>IFERROR(VLOOKUP(A19,BMPs!$C$2:$J$64,HLOOKUP(G19,BMPs!$F$72:$I$73,2,FALSE),FALSE),0)</f>
        <v>0.4</v>
      </c>
      <c r="I19" s="97"/>
      <c r="J19" s="97"/>
      <c r="K19" s="99">
        <f>$C$50*(D19*'Watershed Data'!$D$23+(C19-D19)*VLOOKUP(G19,'Watershed Data'!$A$19:$E$22,5,FALSE))*3630</f>
        <v>18573.702628596035</v>
      </c>
      <c r="L19" s="37">
        <f t="shared" si="0"/>
        <v>6.1336415187150336E-4</v>
      </c>
      <c r="M19" s="30">
        <f>BMPs!$M$8*BMPs!$M$12</f>
        <v>1.08</v>
      </c>
      <c r="N19" s="108">
        <f t="shared" si="6"/>
        <v>0.6</v>
      </c>
      <c r="O19" s="39">
        <f t="shared" si="1"/>
        <v>0.4</v>
      </c>
      <c r="P19" s="99">
        <f t="shared" si="2"/>
        <v>623.41133543266301</v>
      </c>
      <c r="Q19" s="116">
        <f t="shared" si="3"/>
        <v>0</v>
      </c>
      <c r="R19" s="99">
        <f t="shared" si="4"/>
        <v>623.41133543266301</v>
      </c>
      <c r="T19" s="76">
        <f>IFERROR(VLOOKUP(J19,BMPs!$C$3:$F$69,3,FALSE),0)</f>
        <v>0</v>
      </c>
      <c r="U19" s="76">
        <f>IFERROR(VLOOKUP(J19,BMPs!$C$3:$F$69,5,FALSE),0)</f>
        <v>0</v>
      </c>
      <c r="V19" s="117">
        <f t="shared" si="7"/>
        <v>0</v>
      </c>
      <c r="W19" s="37">
        <f>IFERROR((D19*'Watershed Data'!$D$21+E19*'Watershed Data'!$E$21)/('LandUse-LandCover'!$E$30*'Watershed Data'!$D$23+'LandUse-LandCover'!$F$30*'Watershed Data'!$E$23),0)*BMPs!$M$6*BMPs!$M$8*BMPs!$M$12</f>
        <v>5.9610577289810358E-4</v>
      </c>
      <c r="X19" s="30">
        <f t="shared" si="5"/>
        <v>0</v>
      </c>
    </row>
    <row r="20" spans="1:27" x14ac:dyDescent="0.25">
      <c r="A20" t="str">
        <f>+BMPs!C20</f>
        <v>MENF</v>
      </c>
      <c r="B20" t="str">
        <f>+BMPs!D20</f>
        <v>Enhanced Filters</v>
      </c>
      <c r="C20" s="27">
        <f>Scenarios!K20</f>
        <v>0</v>
      </c>
      <c r="D20" s="27">
        <f>Scenarios!L20</f>
        <v>0</v>
      </c>
      <c r="E20" s="22">
        <f t="shared" si="8"/>
        <v>0</v>
      </c>
      <c r="F20" s="76">
        <f>BMPs!E20</f>
        <v>0</v>
      </c>
      <c r="G20" s="242" t="s">
        <v>504</v>
      </c>
      <c r="H20" s="76">
        <f>IFERROR(VLOOKUP(A20,BMPs!$C$2:$J$64,HLOOKUP(G20,BMPs!$F$72:$I$73,2,FALSE),FALSE),0)</f>
        <v>0</v>
      </c>
      <c r="I20" s="97"/>
      <c r="J20" s="97"/>
      <c r="K20" s="99">
        <f>$C$50*(D20*'Watershed Data'!$D$23+(C20-D20)*VLOOKUP(G20,'Watershed Data'!$A$19:$E$22,5,FALSE))*3630</f>
        <v>0</v>
      </c>
      <c r="L20" s="37">
        <f t="shared" si="0"/>
        <v>0</v>
      </c>
      <c r="M20" s="30">
        <f>BMPs!$M$8*BMPs!$M$12</f>
        <v>1.08</v>
      </c>
      <c r="N20" s="108">
        <f t="shared" si="6"/>
        <v>1</v>
      </c>
      <c r="O20" s="39">
        <f t="shared" si="1"/>
        <v>0</v>
      </c>
      <c r="P20" s="99">
        <f t="shared" si="2"/>
        <v>0</v>
      </c>
      <c r="Q20" s="116">
        <f t="shared" si="3"/>
        <v>0</v>
      </c>
      <c r="R20" s="99">
        <f t="shared" si="4"/>
        <v>0</v>
      </c>
      <c r="T20" s="76">
        <f>IFERROR(VLOOKUP(J20,BMPs!$C$3:$F$69,3,FALSE),0)</f>
        <v>0</v>
      </c>
      <c r="U20" s="76">
        <f>IFERROR(VLOOKUP(J20,BMPs!$C$3:$F$69,5,FALSE),0)</f>
        <v>0</v>
      </c>
      <c r="V20" s="117">
        <f t="shared" si="7"/>
        <v>0</v>
      </c>
      <c r="W20" s="37">
        <f>IFERROR((D20*'Watershed Data'!$D$21+E20*'Watershed Data'!$E$21)/('LandUse-LandCover'!$E$30*'Watershed Data'!$D$23+'LandUse-LandCover'!$F$30*'Watershed Data'!$E$23),0)*BMPs!$M$6*BMPs!$M$8*BMPs!$M$12</f>
        <v>0</v>
      </c>
      <c r="X20" s="30">
        <f t="shared" si="5"/>
        <v>0</v>
      </c>
    </row>
    <row r="21" spans="1:27" x14ac:dyDescent="0.25">
      <c r="A21" t="str">
        <f>+BMPs!C21</f>
        <v>FBIO</v>
      </c>
      <c r="B21" t="str">
        <f>+BMPs!D21</f>
        <v>Bioretention</v>
      </c>
      <c r="C21" s="27">
        <f>Scenarios!K21</f>
        <v>0</v>
      </c>
      <c r="D21" s="27">
        <f>Scenarios!L21</f>
        <v>0</v>
      </c>
      <c r="E21" s="22">
        <f t="shared" si="8"/>
        <v>0</v>
      </c>
      <c r="F21" s="76">
        <f>BMPs!E21</f>
        <v>0.5</v>
      </c>
      <c r="G21" s="242" t="s">
        <v>504</v>
      </c>
      <c r="H21" s="76">
        <f>IFERROR(VLOOKUP(A21,BMPs!$C$2:$J$64,HLOOKUP(G21,BMPs!$F$72:$I$73,2,FALSE),FALSE),0)</f>
        <v>0.4</v>
      </c>
      <c r="I21" s="97"/>
      <c r="J21" s="97"/>
      <c r="K21" s="99">
        <f>$C$50*(D21*'Watershed Data'!$D$23+(C21-D21)*VLOOKUP(G21,'Watershed Data'!$A$19:$E$22,5,FALSE))*3630</f>
        <v>0</v>
      </c>
      <c r="L21" s="37">
        <f t="shared" si="0"/>
        <v>0</v>
      </c>
      <c r="M21" s="30">
        <f>BMPs!$M$8*BMPs!$M$12</f>
        <v>1.08</v>
      </c>
      <c r="N21" s="108">
        <f t="shared" si="6"/>
        <v>0.6</v>
      </c>
      <c r="O21" s="39">
        <f t="shared" si="1"/>
        <v>0.7</v>
      </c>
      <c r="P21" s="99">
        <f t="shared" si="2"/>
        <v>0</v>
      </c>
      <c r="Q21" s="116">
        <f>+X21</f>
        <v>0</v>
      </c>
      <c r="R21" s="99">
        <f t="shared" si="4"/>
        <v>0</v>
      </c>
      <c r="T21" s="76">
        <f>IFERROR(VLOOKUP(J21,BMPs!$C$3:$F$69,3,FALSE),0)</f>
        <v>0</v>
      </c>
      <c r="U21" s="76">
        <f>IFERROR(VLOOKUP(J21,BMPs!$C$3:$F$69,5,FALSE),0)</f>
        <v>0</v>
      </c>
      <c r="V21" s="117">
        <f t="shared" si="7"/>
        <v>0</v>
      </c>
      <c r="W21" s="37">
        <f>IFERROR((D21*'Watershed Data'!$D$21+E21*'Watershed Data'!$E$21)/('LandUse-LandCover'!$E$30*'Watershed Data'!$D$23+'LandUse-LandCover'!$F$30*'Watershed Data'!$E$23),0)*BMPs!$M$6*BMPs!$M$8*BMPs!$M$12</f>
        <v>0</v>
      </c>
      <c r="X21" s="30">
        <f t="shared" si="5"/>
        <v>0</v>
      </c>
      <c r="Y21" s="111" t="s">
        <v>275</v>
      </c>
      <c r="Z21" s="111"/>
      <c r="AA21" s="111"/>
    </row>
    <row r="22" spans="1:27" x14ac:dyDescent="0.25">
      <c r="A22" t="str">
        <f>+BMPs!C22</f>
        <v>FSND</v>
      </c>
      <c r="B22" t="str">
        <f>+BMPs!D22</f>
        <v>Surface sand filter</v>
      </c>
      <c r="C22" s="27">
        <f>Scenarios!K22</f>
        <v>9.84</v>
      </c>
      <c r="D22" s="27">
        <f>Scenarios!L22</f>
        <v>7.24</v>
      </c>
      <c r="E22" s="22">
        <f t="shared" si="8"/>
        <v>2.5999999999999996</v>
      </c>
      <c r="F22" s="76">
        <f>BMPs!E22</f>
        <v>0.8</v>
      </c>
      <c r="G22" s="242" t="s">
        <v>504</v>
      </c>
      <c r="H22" s="76">
        <f>IFERROR(VLOOKUP(A22,BMPs!$C$2:$J$64,HLOOKUP(G22,BMPs!$F$72:$I$73,2,FALSE),FALSE),0)</f>
        <v>0</v>
      </c>
      <c r="I22" s="97"/>
      <c r="J22" s="97"/>
      <c r="K22" s="99">
        <f>$C$50*(D22*'Watershed Data'!$D$23+(C22-D22)*VLOOKUP(G22,'Watershed Data'!$A$19:$E$22,5,FALSE))*3630</f>
        <v>27047.151505968322</v>
      </c>
      <c r="L22" s="37">
        <f t="shared" si="0"/>
        <v>8.9318503024037683E-4</v>
      </c>
      <c r="M22" s="30">
        <f>BMPs!$M$8*BMPs!$M$12</f>
        <v>1.08</v>
      </c>
      <c r="N22" s="108">
        <f t="shared" si="6"/>
        <v>1</v>
      </c>
      <c r="O22" s="39">
        <f t="shared" si="1"/>
        <v>0.8</v>
      </c>
      <c r="P22" s="99">
        <f t="shared" si="2"/>
        <v>1815.6316139169085</v>
      </c>
      <c r="Q22" s="116">
        <f t="shared" ref="Q22:Q44" si="9">+X22</f>
        <v>0</v>
      </c>
      <c r="R22" s="99">
        <f t="shared" si="4"/>
        <v>1815.6316139169085</v>
      </c>
      <c r="T22" s="76">
        <f>IFERROR(VLOOKUP(J22,BMPs!$C$3:$F$69,3,FALSE),0)</f>
        <v>0</v>
      </c>
      <c r="U22" s="76">
        <f>IFERROR(VLOOKUP(J22,BMPs!$C$3:$F$69,5,FALSE),0)</f>
        <v>0</v>
      </c>
      <c r="V22" s="117">
        <f t="shared" si="7"/>
        <v>0</v>
      </c>
      <c r="W22" s="37">
        <f>IFERROR((D22*'Watershed Data'!$D$21+E22*'Watershed Data'!$E$21)/('LandUse-LandCover'!$E$30*'Watershed Data'!$D$23+'LandUse-LandCover'!$F$30*'Watershed Data'!$E$23),0)*BMPs!$M$6*BMPs!$M$8*BMPs!$M$12</f>
        <v>8.6805864114364198E-4</v>
      </c>
      <c r="X22" s="30">
        <f t="shared" si="5"/>
        <v>0</v>
      </c>
    </row>
    <row r="23" spans="1:27" x14ac:dyDescent="0.25">
      <c r="A23" t="str">
        <f>+BMPs!C23</f>
        <v>FUND</v>
      </c>
      <c r="B23" t="str">
        <f>+BMPs!D23</f>
        <v>Underground sand filter</v>
      </c>
      <c r="C23" s="27">
        <f>Scenarios!K23</f>
        <v>0</v>
      </c>
      <c r="D23" s="27">
        <f>Scenarios!L23</f>
        <v>0</v>
      </c>
      <c r="E23" s="22">
        <f t="shared" si="8"/>
        <v>0</v>
      </c>
      <c r="F23" s="76">
        <f>BMPs!E23</f>
        <v>0.8</v>
      </c>
      <c r="G23" s="242" t="s">
        <v>504</v>
      </c>
      <c r="H23" s="76">
        <f>IFERROR(VLOOKUP(A23,BMPs!$C$2:$J$64,HLOOKUP(G23,BMPs!$F$72:$I$73,2,FALSE),FALSE),0)</f>
        <v>0</v>
      </c>
      <c r="I23" s="97"/>
      <c r="J23" s="97"/>
      <c r="K23" s="99">
        <f>$C$50*(D23*'Watershed Data'!$D$23+(C23-D23)*VLOOKUP(G23,'Watershed Data'!$A$19:$E$22,5,FALSE))*3630</f>
        <v>0</v>
      </c>
      <c r="L23" s="37">
        <f t="shared" si="0"/>
        <v>0</v>
      </c>
      <c r="M23" s="30">
        <f>BMPs!$M$8*BMPs!$M$12</f>
        <v>1.08</v>
      </c>
      <c r="N23" s="108">
        <f t="shared" si="6"/>
        <v>1</v>
      </c>
      <c r="O23" s="39">
        <f t="shared" si="1"/>
        <v>0.8</v>
      </c>
      <c r="P23" s="99">
        <f t="shared" si="2"/>
        <v>0</v>
      </c>
      <c r="Q23" s="116">
        <f t="shared" si="9"/>
        <v>0</v>
      </c>
      <c r="R23" s="99">
        <f t="shared" si="4"/>
        <v>0</v>
      </c>
      <c r="T23" s="76">
        <f>IFERROR(VLOOKUP(J23,BMPs!$C$3:$F$69,3,FALSE),0)</f>
        <v>0</v>
      </c>
      <c r="U23" s="76">
        <f>IFERROR(VLOOKUP(J23,BMPs!$C$3:$F$69,5,FALSE),0)</f>
        <v>0</v>
      </c>
      <c r="V23" s="117">
        <f t="shared" si="7"/>
        <v>0</v>
      </c>
      <c r="W23" s="37">
        <f>IFERROR((D23*'Watershed Data'!$D$21+E23*'Watershed Data'!$E$21)/('LandUse-LandCover'!$E$30*'Watershed Data'!$D$23+'LandUse-LandCover'!$F$30*'Watershed Data'!$E$23),0)*BMPs!$M$6*BMPs!$M$8*BMPs!$M$12</f>
        <v>0</v>
      </c>
      <c r="X23" s="30">
        <f t="shared" si="5"/>
        <v>0</v>
      </c>
    </row>
    <row r="24" spans="1:27" x14ac:dyDescent="0.25">
      <c r="A24" t="str">
        <f>+BMPs!C24</f>
        <v>FPER</v>
      </c>
      <c r="B24" t="str">
        <f>+BMPs!D24</f>
        <v>Perimeter (sand) filter</v>
      </c>
      <c r="C24" s="27">
        <f>Scenarios!K24</f>
        <v>0</v>
      </c>
      <c r="D24" s="27">
        <f>Scenarios!L24</f>
        <v>0</v>
      </c>
      <c r="E24" s="22">
        <f t="shared" si="8"/>
        <v>0</v>
      </c>
      <c r="F24" s="76">
        <f>BMPs!E24</f>
        <v>0.8</v>
      </c>
      <c r="G24" s="242" t="s">
        <v>504</v>
      </c>
      <c r="H24" s="76">
        <f>IFERROR(VLOOKUP(A24,BMPs!$C$2:$J$64,HLOOKUP(G24,BMPs!$F$72:$I$73,2,FALSE),FALSE),0)</f>
        <v>0</v>
      </c>
      <c r="I24" s="97"/>
      <c r="J24" s="97"/>
      <c r="K24" s="99">
        <f>$C$50*(D24*'Watershed Data'!$D$23+(C24-D24)*VLOOKUP(G24,'Watershed Data'!$A$19:$E$22,5,FALSE))*3630</f>
        <v>0</v>
      </c>
      <c r="L24" s="37">
        <f t="shared" si="0"/>
        <v>0</v>
      </c>
      <c r="M24" s="30">
        <f>BMPs!$M$8*BMPs!$M$12</f>
        <v>1.08</v>
      </c>
      <c r="N24" s="108">
        <f t="shared" si="6"/>
        <v>1</v>
      </c>
      <c r="O24" s="39">
        <f t="shared" si="1"/>
        <v>0.8</v>
      </c>
      <c r="P24" s="99">
        <f t="shared" si="2"/>
        <v>0</v>
      </c>
      <c r="Q24" s="116">
        <f t="shared" si="9"/>
        <v>0</v>
      </c>
      <c r="R24" s="99">
        <f t="shared" si="4"/>
        <v>0</v>
      </c>
      <c r="T24" s="76">
        <f>IFERROR(VLOOKUP(J24,BMPs!$C$3:$F$69,3,FALSE),0)</f>
        <v>0</v>
      </c>
      <c r="U24" s="76">
        <f>IFERROR(VLOOKUP(J24,BMPs!$C$3:$F$69,5,FALSE),0)</f>
        <v>0</v>
      </c>
      <c r="V24" s="117">
        <f t="shared" si="7"/>
        <v>0</v>
      </c>
      <c r="W24" s="37">
        <f>IFERROR((D24*'Watershed Data'!$D$21+E24*'Watershed Data'!$E$21)/('LandUse-LandCover'!$E$30*'Watershed Data'!$D$23+'LandUse-LandCover'!$F$30*'Watershed Data'!$E$23),0)*BMPs!$M$6*BMPs!$M$8*BMPs!$M$12</f>
        <v>0</v>
      </c>
      <c r="X24" s="30">
        <f t="shared" si="5"/>
        <v>0</v>
      </c>
    </row>
    <row r="25" spans="1:27" x14ac:dyDescent="0.25">
      <c r="A25" t="str">
        <f>+BMPs!C25</f>
        <v>FORG</v>
      </c>
      <c r="B25" t="str">
        <f>+BMPs!D25</f>
        <v>Organic filter</v>
      </c>
      <c r="C25" s="27">
        <f>Scenarios!K25</f>
        <v>0</v>
      </c>
      <c r="D25" s="27">
        <f>Scenarios!L25</f>
        <v>0</v>
      </c>
      <c r="E25" s="22">
        <f t="shared" si="8"/>
        <v>0</v>
      </c>
      <c r="F25" s="76">
        <f>BMPs!E25</f>
        <v>0.8</v>
      </c>
      <c r="G25" s="242" t="s">
        <v>504</v>
      </c>
      <c r="H25" s="76">
        <f>IFERROR(VLOOKUP(A25,BMPs!$C$2:$J$64,HLOOKUP(G25,BMPs!$F$72:$I$73,2,FALSE),FALSE),0)</f>
        <v>0</v>
      </c>
      <c r="I25" s="97"/>
      <c r="J25" s="97"/>
      <c r="K25" s="99">
        <f>$C$50*(D25*'Watershed Data'!$D$23+(C25-D25)*VLOOKUP(G25,'Watershed Data'!$A$19:$E$22,5,FALSE))*3630</f>
        <v>0</v>
      </c>
      <c r="L25" s="37">
        <f t="shared" si="0"/>
        <v>0</v>
      </c>
      <c r="M25" s="30">
        <f>BMPs!$M$8*BMPs!$M$12</f>
        <v>1.08</v>
      </c>
      <c r="N25" s="108">
        <f t="shared" si="6"/>
        <v>1</v>
      </c>
      <c r="O25" s="39">
        <f t="shared" si="1"/>
        <v>0.8</v>
      </c>
      <c r="P25" s="99">
        <f t="shared" si="2"/>
        <v>0</v>
      </c>
      <c r="Q25" s="116">
        <f t="shared" si="9"/>
        <v>0</v>
      </c>
      <c r="R25" s="99">
        <f t="shared" si="4"/>
        <v>0</v>
      </c>
      <c r="T25" s="76">
        <f>IFERROR(VLOOKUP(J25,BMPs!$C$3:$F$69,3,FALSE),0)</f>
        <v>0</v>
      </c>
      <c r="U25" s="76">
        <f>IFERROR(VLOOKUP(J25,BMPs!$C$3:$F$69,5,FALSE),0)</f>
        <v>0</v>
      </c>
      <c r="V25" s="117">
        <f t="shared" si="7"/>
        <v>0</v>
      </c>
      <c r="W25" s="37">
        <f>IFERROR((D25*'Watershed Data'!$D$21+E25*'Watershed Data'!$E$21)/('LandUse-LandCover'!$E$30*'Watershed Data'!$D$23+'LandUse-LandCover'!$F$30*'Watershed Data'!$E$23),0)*BMPs!$M$6*BMPs!$M$8*BMPs!$M$12</f>
        <v>0</v>
      </c>
      <c r="X25" s="30">
        <f t="shared" si="5"/>
        <v>0</v>
      </c>
    </row>
    <row r="26" spans="1:27" x14ac:dyDescent="0.25">
      <c r="A26" t="str">
        <f>+BMPs!C26</f>
        <v>--</v>
      </c>
      <c r="B26" t="str">
        <f>+BMPs!D26</f>
        <v>Other filtering</v>
      </c>
      <c r="C26" s="27">
        <f>Scenarios!K26</f>
        <v>0</v>
      </c>
      <c r="D26" s="27">
        <f>Scenarios!L26</f>
        <v>0</v>
      </c>
      <c r="E26" s="22">
        <f t="shared" si="8"/>
        <v>0</v>
      </c>
      <c r="F26" s="76">
        <f>BMPs!E26</f>
        <v>0</v>
      </c>
      <c r="G26" s="242" t="s">
        <v>504</v>
      </c>
      <c r="H26" s="76">
        <f>IFERROR(VLOOKUP(A26,BMPs!$C$2:$J$64,HLOOKUP(G26,BMPs!$F$72:$I$73,2,FALSE),FALSE),0)</f>
        <v>0</v>
      </c>
      <c r="I26" s="97"/>
      <c r="J26" s="97"/>
      <c r="K26" s="99">
        <f>$C$50*(D26*'Watershed Data'!$D$23+(C26-D26)*VLOOKUP(G26,'Watershed Data'!$A$19:$E$22,5,FALSE))*3630</f>
        <v>0</v>
      </c>
      <c r="L26" s="37">
        <f t="shared" si="0"/>
        <v>0</v>
      </c>
      <c r="M26" s="30">
        <f>BMPs!$M$8*BMPs!$M$12</f>
        <v>1.08</v>
      </c>
      <c r="N26" s="108">
        <f t="shared" si="6"/>
        <v>1</v>
      </c>
      <c r="O26" s="39">
        <f t="shared" si="1"/>
        <v>0</v>
      </c>
      <c r="P26" s="99">
        <f t="shared" si="2"/>
        <v>0</v>
      </c>
      <c r="Q26" s="116">
        <f t="shared" si="9"/>
        <v>0</v>
      </c>
      <c r="R26" s="99">
        <f t="shared" si="4"/>
        <v>0</v>
      </c>
      <c r="T26" s="76">
        <f>IFERROR(VLOOKUP(J26,BMPs!$C$3:$F$69,3,FALSE),0)</f>
        <v>0</v>
      </c>
      <c r="U26" s="76">
        <f>IFERROR(VLOOKUP(J26,BMPs!$C$3:$F$69,5,FALSE),0)</f>
        <v>0</v>
      </c>
      <c r="V26" s="117">
        <f t="shared" si="7"/>
        <v>0</v>
      </c>
      <c r="W26" s="37">
        <f>IFERROR((D26*'Watershed Data'!$D$21+E26*'Watershed Data'!$E$21)/('LandUse-LandCover'!$E$30*'Watershed Data'!$D$23+'LandUse-LandCover'!$F$30*'Watershed Data'!$E$23),0)*BMPs!$M$6*BMPs!$M$8*BMPs!$M$12</f>
        <v>0</v>
      </c>
      <c r="X26" s="30">
        <f t="shared" si="5"/>
        <v>0</v>
      </c>
    </row>
    <row r="27" spans="1:27" x14ac:dyDescent="0.25">
      <c r="A27" t="str">
        <f>+BMPs!C27</f>
        <v>ODSW</v>
      </c>
      <c r="B27" t="str">
        <f>+BMPs!D27</f>
        <v>Dry swale</v>
      </c>
      <c r="C27" s="27">
        <f>Scenarios!K27</f>
        <v>0</v>
      </c>
      <c r="D27" s="27">
        <f>Scenarios!L27</f>
        <v>0</v>
      </c>
      <c r="E27" s="22">
        <f t="shared" si="8"/>
        <v>0</v>
      </c>
      <c r="F27" s="76">
        <f>BMPs!E27</f>
        <v>0</v>
      </c>
      <c r="G27" s="242" t="s">
        <v>504</v>
      </c>
      <c r="H27" s="76">
        <f>IFERROR(VLOOKUP(A27,BMPs!$C$2:$J$64,HLOOKUP(G27,BMPs!$F$72:$I$73,2,FALSE),FALSE),0)</f>
        <v>0.4</v>
      </c>
      <c r="I27" s="97"/>
      <c r="J27" s="97"/>
      <c r="K27" s="99">
        <f>$C$50*(D27*'Watershed Data'!$D$23+(C27-D27)*VLOOKUP(G27,'Watershed Data'!$A$19:$E$22,5,FALSE))*3630</f>
        <v>0</v>
      </c>
      <c r="L27" s="37">
        <f t="shared" si="0"/>
        <v>0</v>
      </c>
      <c r="M27" s="30">
        <f>BMPs!$M$8*BMPs!$M$12</f>
        <v>1.08</v>
      </c>
      <c r="N27" s="108">
        <f t="shared" si="6"/>
        <v>0.6</v>
      </c>
      <c r="O27" s="39">
        <f t="shared" si="1"/>
        <v>0.4</v>
      </c>
      <c r="P27" s="99">
        <f t="shared" si="2"/>
        <v>0</v>
      </c>
      <c r="Q27" s="116">
        <f t="shared" si="9"/>
        <v>0</v>
      </c>
      <c r="R27" s="99">
        <f t="shared" si="4"/>
        <v>0</v>
      </c>
      <c r="T27" s="76">
        <f>IFERROR(VLOOKUP(J27,BMPs!$C$3:$F$69,3,FALSE),0)</f>
        <v>0</v>
      </c>
      <c r="U27" s="76">
        <f>IFERROR(VLOOKUP(J27,BMPs!$C$3:$F$69,5,FALSE),0)</f>
        <v>0</v>
      </c>
      <c r="V27" s="117">
        <f t="shared" si="7"/>
        <v>0</v>
      </c>
      <c r="W27" s="37">
        <f>IFERROR((D27*'Watershed Data'!$D$21+E27*'Watershed Data'!$E$21)/('LandUse-LandCover'!$E$30*'Watershed Data'!$D$23+'LandUse-LandCover'!$F$30*'Watershed Data'!$E$23),0)*BMPs!$M$6*BMPs!$M$8*BMPs!$M$12</f>
        <v>0</v>
      </c>
      <c r="X27" s="30">
        <f t="shared" si="5"/>
        <v>0</v>
      </c>
    </row>
    <row r="28" spans="1:27" x14ac:dyDescent="0.25">
      <c r="A28" t="str">
        <f>+BMPs!C28</f>
        <v>OWSW</v>
      </c>
      <c r="B28" t="str">
        <f>+BMPs!D28</f>
        <v>Wet swale</v>
      </c>
      <c r="C28" s="27">
        <f>Scenarios!K28</f>
        <v>0</v>
      </c>
      <c r="D28" s="27">
        <f>Scenarios!L28</f>
        <v>0</v>
      </c>
      <c r="E28" s="22">
        <f t="shared" si="8"/>
        <v>0</v>
      </c>
      <c r="F28" s="76">
        <f>BMPs!E28</f>
        <v>0</v>
      </c>
      <c r="G28" s="242" t="s">
        <v>504</v>
      </c>
      <c r="H28" s="76">
        <f>IFERROR(VLOOKUP(A28,BMPs!$C$2:$J$64,HLOOKUP(G28,BMPs!$F$72:$I$73,2,FALSE),FALSE),0)</f>
        <v>0</v>
      </c>
      <c r="I28" s="97"/>
      <c r="J28" s="97"/>
      <c r="K28" s="99">
        <f>$C$50*(D28*'Watershed Data'!$D$23+(C28-D28)*VLOOKUP(G28,'Watershed Data'!$A$19:$E$22,5,FALSE))*3630</f>
        <v>0</v>
      </c>
      <c r="L28" s="37">
        <f t="shared" si="0"/>
        <v>0</v>
      </c>
      <c r="M28" s="30">
        <f>BMPs!$M$8*BMPs!$M$12</f>
        <v>1.08</v>
      </c>
      <c r="N28" s="108">
        <f t="shared" si="6"/>
        <v>1</v>
      </c>
      <c r="O28" s="39">
        <f t="shared" si="1"/>
        <v>0</v>
      </c>
      <c r="P28" s="99">
        <f t="shared" si="2"/>
        <v>0</v>
      </c>
      <c r="Q28" s="116">
        <f t="shared" si="9"/>
        <v>0</v>
      </c>
      <c r="R28" s="99">
        <f t="shared" si="4"/>
        <v>0</v>
      </c>
      <c r="T28" s="76">
        <f>IFERROR(VLOOKUP(J28,BMPs!$C$3:$F$69,3,FALSE),0)</f>
        <v>0</v>
      </c>
      <c r="U28" s="76">
        <f>IFERROR(VLOOKUP(J28,BMPs!$C$3:$F$69,5,FALSE),0)</f>
        <v>0</v>
      </c>
      <c r="V28" s="117">
        <f t="shared" si="7"/>
        <v>0</v>
      </c>
      <c r="W28" s="37">
        <f>IFERROR((D28*'Watershed Data'!$D$21+E28*'Watershed Data'!$E$21)/('LandUse-LandCover'!$E$30*'Watershed Data'!$D$23+'LandUse-LandCover'!$F$30*'Watershed Data'!$E$23),0)*BMPs!$M$6*BMPs!$M$8*BMPs!$M$12</f>
        <v>0</v>
      </c>
      <c r="X28" s="30">
        <f t="shared" si="5"/>
        <v>0</v>
      </c>
    </row>
    <row r="29" spans="1:27" x14ac:dyDescent="0.25">
      <c r="A29" t="str">
        <f>+BMPs!C29</f>
        <v>PWED</v>
      </c>
      <c r="B29" t="str">
        <f>+BMPs!D29</f>
        <v>Wet extended detention pond</v>
      </c>
      <c r="C29" s="27">
        <f>Scenarios!K29</f>
        <v>853.6099999999999</v>
      </c>
      <c r="D29" s="27">
        <f>Scenarios!L29</f>
        <v>263.36899999999997</v>
      </c>
      <c r="E29" s="22">
        <f t="shared" si="8"/>
        <v>590.24099999999999</v>
      </c>
      <c r="F29" s="76">
        <f>BMPs!E29</f>
        <v>0.7</v>
      </c>
      <c r="G29" s="242" t="s">
        <v>504</v>
      </c>
      <c r="H29" s="76">
        <f>IFERROR(VLOOKUP(A29,BMPs!$C$2:$J$64,HLOOKUP(G29,BMPs!$F$72:$I$73,2,FALSE),FALSE),0)</f>
        <v>0</v>
      </c>
      <c r="I29" s="97"/>
      <c r="J29" s="97"/>
      <c r="K29" s="99">
        <f>$C$50*(D29*'Watershed Data'!$D$23+(C29-D29)*VLOOKUP(G29,'Watershed Data'!$A$19:$E$22,5,FALSE))*3630</f>
        <v>1379727.2896905208</v>
      </c>
      <c r="L29" s="37">
        <f t="shared" si="0"/>
        <v>4.5563088619286429E-2</v>
      </c>
      <c r="M29" s="30">
        <f>BMPs!$M$8*BMPs!$M$12</f>
        <v>1.08</v>
      </c>
      <c r="N29" s="108">
        <f t="shared" si="6"/>
        <v>1</v>
      </c>
      <c r="O29" s="39">
        <f t="shared" si="1"/>
        <v>0.7</v>
      </c>
      <c r="P29" s="99">
        <f t="shared" si="2"/>
        <v>81041.507256099416</v>
      </c>
      <c r="Q29" s="116">
        <f t="shared" si="9"/>
        <v>0</v>
      </c>
      <c r="R29" s="99">
        <f t="shared" si="4"/>
        <v>81041.507256099416</v>
      </c>
      <c r="T29" s="76">
        <f>IFERROR(VLOOKUP(J29,BMPs!$C$3:$F$69,3,FALSE),0)</f>
        <v>0</v>
      </c>
      <c r="U29" s="76">
        <f>IFERROR(VLOOKUP(J29,BMPs!$C$3:$F$69,5,FALSE),0)</f>
        <v>0</v>
      </c>
      <c r="V29" s="117">
        <f t="shared" si="7"/>
        <v>0</v>
      </c>
      <c r="W29" s="37">
        <f>IFERROR((D29*'Watershed Data'!$D$21+E29*'Watershed Data'!$E$21)/('LandUse-LandCover'!$E$30*'Watershed Data'!$D$23+'LandUse-LandCover'!$F$30*'Watershed Data'!$E$23),0)*BMPs!$M$6*BMPs!$M$8*BMPs!$M$12</f>
        <v>4.4283058461206705E-2</v>
      </c>
      <c r="X29" s="30">
        <f t="shared" si="5"/>
        <v>0</v>
      </c>
    </row>
    <row r="30" spans="1:27" x14ac:dyDescent="0.25">
      <c r="A30" t="str">
        <f>+BMPs!C30</f>
        <v>PWET</v>
      </c>
      <c r="B30" t="str">
        <f>+BMPs!D30</f>
        <v>Wet pond</v>
      </c>
      <c r="C30" s="27">
        <f>Scenarios!K30</f>
        <v>102.16</v>
      </c>
      <c r="D30" s="27">
        <f>Scenarios!L30</f>
        <v>25.55</v>
      </c>
      <c r="E30" s="22">
        <f t="shared" si="8"/>
        <v>76.61</v>
      </c>
      <c r="F30" s="76">
        <f>BMPs!E30</f>
        <v>0.7</v>
      </c>
      <c r="G30" s="242" t="s">
        <v>504</v>
      </c>
      <c r="H30" s="76">
        <f>IFERROR(VLOOKUP(A30,BMPs!$C$2:$J$64,HLOOKUP(G30,BMPs!$F$72:$I$73,2,FALSE),FALSE),0)</f>
        <v>0</v>
      </c>
      <c r="I30" s="97" t="s">
        <v>301</v>
      </c>
      <c r="J30" s="97" t="s">
        <v>120</v>
      </c>
      <c r="K30" s="99">
        <f>$C$50*(D30*'Watershed Data'!$D$23+(C30-D30)*VLOOKUP(G30,'Watershed Data'!$A$19:$E$22,5,FALSE))*3630</f>
        <v>149302.80718473627</v>
      </c>
      <c r="L30" s="122">
        <f t="shared" si="0"/>
        <v>4.9304649445559992E-3</v>
      </c>
      <c r="M30" s="30">
        <f>BMPs!$M$8*BMPs!$M$12</f>
        <v>1.08</v>
      </c>
      <c r="N30" s="108">
        <f t="shared" si="6"/>
        <v>1</v>
      </c>
      <c r="O30" s="39">
        <f t="shared" si="1"/>
        <v>0.7</v>
      </c>
      <c r="P30" s="99">
        <f t="shared" si="2"/>
        <v>8769.6493518888365</v>
      </c>
      <c r="Q30" s="116">
        <f t="shared" si="9"/>
        <v>0</v>
      </c>
      <c r="R30" s="99">
        <f t="shared" si="4"/>
        <v>8769.6493518888365</v>
      </c>
      <c r="T30" s="76">
        <f>IFERROR(VLOOKUP(J30,BMPs!$C$3:$F$69,3,FALSE),0)</f>
        <v>0</v>
      </c>
      <c r="U30" s="76">
        <f>IFERROR(VLOOKUP(J30,BMPs!$C$3:$F$69,5,FALSE),0)</f>
        <v>0</v>
      </c>
      <c r="V30" s="117">
        <f t="shared" si="7"/>
        <v>0</v>
      </c>
      <c r="W30" s="37">
        <f>IFERROR((D30*'Watershed Data'!$D$21+E30*'Watershed Data'!$E$21)/('LandUse-LandCover'!$E$30*'Watershed Data'!$D$23+'LandUse-LandCover'!$F$30*'Watershed Data'!$E$23),0)*BMPs!$M$6*BMPs!$M$8*BMPs!$M$12</f>
        <v>4.7919982975466067E-3</v>
      </c>
      <c r="X30" s="30">
        <f t="shared" si="5"/>
        <v>0</v>
      </c>
    </row>
    <row r="31" spans="1:27" x14ac:dyDescent="0.25">
      <c r="A31" t="str">
        <f>+BMPs!C31</f>
        <v>PMPS</v>
      </c>
      <c r="B31" t="str">
        <f>+BMPs!D31</f>
        <v>Multiple Pond Systems</v>
      </c>
      <c r="C31" s="27">
        <f>Scenarios!K31</f>
        <v>0</v>
      </c>
      <c r="D31" s="27">
        <f>Scenarios!L31</f>
        <v>0</v>
      </c>
      <c r="E31" s="22">
        <f t="shared" si="8"/>
        <v>0</v>
      </c>
      <c r="F31" s="76">
        <f>BMPs!E31</f>
        <v>0.7</v>
      </c>
      <c r="G31" s="242" t="s">
        <v>504</v>
      </c>
      <c r="H31" s="76">
        <f>IFERROR(VLOOKUP(A31,BMPs!$C$2:$J$64,HLOOKUP(G31,BMPs!$F$72:$I$73,2,FALSE),FALSE),0)</f>
        <v>0</v>
      </c>
      <c r="I31" s="97"/>
      <c r="J31" s="97"/>
      <c r="K31" s="99">
        <f>$C$50*(D31*'Watershed Data'!$D$23+(C31-D31)*VLOOKUP(G31,'Watershed Data'!$A$19:$E$22,5,FALSE))*3630</f>
        <v>0</v>
      </c>
      <c r="L31" s="37">
        <f t="shared" si="0"/>
        <v>0</v>
      </c>
      <c r="M31" s="30">
        <f>BMPs!$M$8*BMPs!$M$12</f>
        <v>1.08</v>
      </c>
      <c r="N31" s="108">
        <f t="shared" si="6"/>
        <v>1</v>
      </c>
      <c r="O31" s="39">
        <f t="shared" si="1"/>
        <v>0.7</v>
      </c>
      <c r="P31" s="99">
        <f t="shared" si="2"/>
        <v>0</v>
      </c>
      <c r="Q31" s="116">
        <f t="shared" si="9"/>
        <v>0</v>
      </c>
      <c r="R31" s="99">
        <f t="shared" si="4"/>
        <v>0</v>
      </c>
      <c r="T31" s="76">
        <f>IFERROR(VLOOKUP(J31,BMPs!$C$3:$F$69,3,FALSE),0)</f>
        <v>0</v>
      </c>
      <c r="U31" s="76">
        <f>IFERROR(VLOOKUP(J31,BMPs!$C$3:$F$69,5,FALSE),0)</f>
        <v>0</v>
      </c>
      <c r="V31" s="117">
        <f t="shared" si="7"/>
        <v>0</v>
      </c>
      <c r="W31" s="37">
        <f>IFERROR((D31*'Watershed Data'!$D$21+E31*'Watershed Data'!$E$21)/('LandUse-LandCover'!$E$30*'Watershed Data'!$D$23+'LandUse-LandCover'!$F$30*'Watershed Data'!$E$23),0)*BMPs!$M$6*BMPs!$M$8*BMPs!$M$12</f>
        <v>0</v>
      </c>
      <c r="X31" s="30">
        <f t="shared" si="5"/>
        <v>0</v>
      </c>
    </row>
    <row r="32" spans="1:27" x14ac:dyDescent="0.25">
      <c r="A32" t="str">
        <f>+BMPs!C32</f>
        <v>PPKT</v>
      </c>
      <c r="B32" t="str">
        <f>+BMPs!D32</f>
        <v>Pocket pond</v>
      </c>
      <c r="C32" s="27">
        <f>Scenarios!K32</f>
        <v>0</v>
      </c>
      <c r="D32" s="27">
        <f>Scenarios!L32</f>
        <v>0</v>
      </c>
      <c r="E32" s="22">
        <f t="shared" si="8"/>
        <v>0</v>
      </c>
      <c r="F32" s="76">
        <f>BMPs!E32</f>
        <v>0.7</v>
      </c>
      <c r="G32" s="242" t="s">
        <v>504</v>
      </c>
      <c r="H32" s="76">
        <f>IFERROR(VLOOKUP(A32,BMPs!$C$2:$J$64,HLOOKUP(G32,BMPs!$F$72:$I$73,2,FALSE),FALSE),0)</f>
        <v>0</v>
      </c>
      <c r="I32" s="97"/>
      <c r="J32" s="97"/>
      <c r="K32" s="99">
        <f>$C$50*(D32*'Watershed Data'!$D$23+(C32-D32)*VLOOKUP(G32,'Watershed Data'!$A$19:$E$22,5,FALSE))*3630</f>
        <v>0</v>
      </c>
      <c r="L32" s="37">
        <f t="shared" si="0"/>
        <v>0</v>
      </c>
      <c r="M32" s="30">
        <f>BMPs!$M$8*BMPs!$M$12</f>
        <v>1.08</v>
      </c>
      <c r="N32" s="108">
        <f t="shared" si="6"/>
        <v>1</v>
      </c>
      <c r="O32" s="39">
        <f t="shared" si="1"/>
        <v>0.7</v>
      </c>
      <c r="P32" s="99">
        <f t="shared" si="2"/>
        <v>0</v>
      </c>
      <c r="Q32" s="116">
        <f t="shared" si="9"/>
        <v>0</v>
      </c>
      <c r="R32" s="99">
        <f t="shared" si="4"/>
        <v>0</v>
      </c>
      <c r="T32" s="76">
        <f>IFERROR(VLOOKUP(J32,BMPs!$C$3:$F$69,3,FALSE),0)</f>
        <v>0</v>
      </c>
      <c r="U32" s="76">
        <f>IFERROR(VLOOKUP(J32,BMPs!$C$3:$F$69,5,FALSE),0)</f>
        <v>0</v>
      </c>
      <c r="V32" s="117">
        <f t="shared" si="7"/>
        <v>0</v>
      </c>
      <c r="W32" s="37">
        <f>IFERROR((D32*'Watershed Data'!$D$21+E32*'Watershed Data'!$E$21)/('LandUse-LandCover'!$E$30*'Watershed Data'!$D$23+'LandUse-LandCover'!$F$30*'Watershed Data'!$E$23),0)*BMPs!$M$6*BMPs!$M$8*BMPs!$M$12</f>
        <v>0</v>
      </c>
      <c r="X32" s="30">
        <f t="shared" si="5"/>
        <v>0</v>
      </c>
    </row>
    <row r="33" spans="1:24" x14ac:dyDescent="0.25">
      <c r="A33" t="str">
        <f>+BMPs!C33</f>
        <v>PMED</v>
      </c>
      <c r="B33" t="str">
        <f>+BMPs!D33</f>
        <v>Micropool extended detention pond</v>
      </c>
      <c r="C33" s="27">
        <f>Scenarios!K33</f>
        <v>0</v>
      </c>
      <c r="D33" s="27">
        <f>Scenarios!L33</f>
        <v>0</v>
      </c>
      <c r="E33" s="22">
        <f t="shared" si="8"/>
        <v>0</v>
      </c>
      <c r="F33" s="76">
        <f>BMPs!E33</f>
        <v>0.7</v>
      </c>
      <c r="G33" s="242" t="s">
        <v>504</v>
      </c>
      <c r="H33" s="76">
        <f>IFERROR(VLOOKUP(A33,BMPs!$C$2:$J$64,HLOOKUP(G33,BMPs!$F$72:$I$73,2,FALSE),FALSE),0)</f>
        <v>0</v>
      </c>
      <c r="I33" s="97"/>
      <c r="J33" s="97"/>
      <c r="K33" s="99">
        <f>$C$50*(D33*'Watershed Data'!$D$23+(C33-D33)*VLOOKUP(G33,'Watershed Data'!$A$19:$E$22,5,FALSE))*3630</f>
        <v>0</v>
      </c>
      <c r="L33" s="37">
        <f t="shared" si="0"/>
        <v>0</v>
      </c>
      <c r="M33" s="30">
        <f>BMPs!$M$8*BMPs!$M$12</f>
        <v>1.08</v>
      </c>
      <c r="N33" s="108">
        <f t="shared" si="6"/>
        <v>1</v>
      </c>
      <c r="O33" s="39">
        <f t="shared" si="1"/>
        <v>0.7</v>
      </c>
      <c r="P33" s="99">
        <f t="shared" si="2"/>
        <v>0</v>
      </c>
      <c r="Q33" s="116">
        <f t="shared" si="9"/>
        <v>0</v>
      </c>
      <c r="R33" s="99">
        <f t="shared" si="4"/>
        <v>0</v>
      </c>
      <c r="T33" s="76">
        <f>IFERROR(VLOOKUP(J33,BMPs!$C$3:$F$69,3,FALSE),0)</f>
        <v>0</v>
      </c>
      <c r="U33" s="76">
        <f>IFERROR(VLOOKUP(J33,BMPs!$C$3:$F$69,5,FALSE),0)</f>
        <v>0</v>
      </c>
      <c r="V33" s="117">
        <f t="shared" si="7"/>
        <v>0</v>
      </c>
      <c r="W33" s="37">
        <f>IFERROR((D33*'Watershed Data'!$D$21+E33*'Watershed Data'!$E$21)/('LandUse-LandCover'!$E$30*'Watershed Data'!$D$23+'LandUse-LandCover'!$F$30*'Watershed Data'!$E$23),0)*BMPs!$M$6*BMPs!$M$8*BMPs!$M$12</f>
        <v>0</v>
      </c>
      <c r="X33" s="30">
        <f t="shared" si="5"/>
        <v>0</v>
      </c>
    </row>
    <row r="34" spans="1:24" x14ac:dyDescent="0.25">
      <c r="A34" t="str">
        <f>+BMPs!C34</f>
        <v>WSHW</v>
      </c>
      <c r="B34" t="str">
        <f>+BMPs!D34</f>
        <v>Shallow marsh</v>
      </c>
      <c r="C34" s="27">
        <f>Scenarios!K34</f>
        <v>0</v>
      </c>
      <c r="D34" s="27">
        <f>Scenarios!L34</f>
        <v>0</v>
      </c>
      <c r="E34" s="22">
        <f t="shared" si="8"/>
        <v>0</v>
      </c>
      <c r="F34" s="76">
        <f>BMPs!E34</f>
        <v>0.8</v>
      </c>
      <c r="G34" s="242" t="s">
        <v>504</v>
      </c>
      <c r="H34" s="76">
        <f>IFERROR(VLOOKUP(A34,BMPs!$C$2:$J$64,HLOOKUP(G34,BMPs!$F$72:$I$73,2,FALSE),FALSE),0)</f>
        <v>0</v>
      </c>
      <c r="I34" s="97"/>
      <c r="J34" s="97"/>
      <c r="K34" s="99">
        <f>$C$50*(D34*'Watershed Data'!$D$23+(C34-D34)*VLOOKUP(G34,'Watershed Data'!$A$19:$E$22,5,FALSE))*3630</f>
        <v>0</v>
      </c>
      <c r="L34" s="37">
        <f t="shared" si="0"/>
        <v>0</v>
      </c>
      <c r="M34" s="30">
        <f>BMPs!$M$8*BMPs!$M$12</f>
        <v>1.08</v>
      </c>
      <c r="N34" s="108">
        <f t="shared" si="6"/>
        <v>1</v>
      </c>
      <c r="O34" s="39">
        <f t="shared" si="1"/>
        <v>0.8</v>
      </c>
      <c r="P34" s="99">
        <f t="shared" si="2"/>
        <v>0</v>
      </c>
      <c r="Q34" s="116">
        <f t="shared" si="9"/>
        <v>0</v>
      </c>
      <c r="R34" s="99">
        <f t="shared" si="4"/>
        <v>0</v>
      </c>
      <c r="T34" s="76">
        <f>IFERROR(VLOOKUP(J34,BMPs!$C$3:$F$69,3,FALSE),0)</f>
        <v>0</v>
      </c>
      <c r="U34" s="76">
        <f>IFERROR(VLOOKUP(J34,BMPs!$C$3:$F$69,5,FALSE),0)</f>
        <v>0</v>
      </c>
      <c r="V34" s="117">
        <f t="shared" si="7"/>
        <v>0</v>
      </c>
      <c r="W34" s="37">
        <f>IFERROR((D34*'Watershed Data'!$D$21+E34*'Watershed Data'!$E$21)/('LandUse-LandCover'!$E$30*'Watershed Data'!$D$23+'LandUse-LandCover'!$F$30*'Watershed Data'!$E$23),0)*BMPs!$M$6*BMPs!$M$8*BMPs!$M$12</f>
        <v>0</v>
      </c>
      <c r="X34" s="30">
        <f t="shared" si="5"/>
        <v>0</v>
      </c>
    </row>
    <row r="35" spans="1:24" x14ac:dyDescent="0.25">
      <c r="A35" t="str">
        <f>+BMPs!C35</f>
        <v>WEDW</v>
      </c>
      <c r="B35" t="str">
        <f>+BMPs!D35</f>
        <v>ED shallow wetland</v>
      </c>
      <c r="C35" s="27">
        <f>Scenarios!K35</f>
        <v>0</v>
      </c>
      <c r="D35" s="27">
        <f>Scenarios!L35</f>
        <v>0</v>
      </c>
      <c r="E35" s="22">
        <f t="shared" si="8"/>
        <v>0</v>
      </c>
      <c r="F35" s="76">
        <f>BMPs!E35</f>
        <v>0.8</v>
      </c>
      <c r="G35" s="242" t="s">
        <v>504</v>
      </c>
      <c r="H35" s="76">
        <f>IFERROR(VLOOKUP(A35,BMPs!$C$2:$J$64,HLOOKUP(G35,BMPs!$F$72:$I$73,2,FALSE),FALSE),0)</f>
        <v>0</v>
      </c>
      <c r="I35" s="97"/>
      <c r="J35" s="97"/>
      <c r="K35" s="99">
        <f>$C$50*(D35*'Watershed Data'!$D$23+(C35-D35)*VLOOKUP(G35,'Watershed Data'!$A$19:$E$22,5,FALSE))*3630</f>
        <v>0</v>
      </c>
      <c r="L35" s="37">
        <f t="shared" si="0"/>
        <v>0</v>
      </c>
      <c r="M35" s="30">
        <f>BMPs!$M$8*BMPs!$M$12</f>
        <v>1.08</v>
      </c>
      <c r="N35" s="108">
        <f t="shared" si="6"/>
        <v>1</v>
      </c>
      <c r="O35" s="39">
        <f t="shared" si="1"/>
        <v>0.8</v>
      </c>
      <c r="P35" s="99">
        <f t="shared" si="2"/>
        <v>0</v>
      </c>
      <c r="Q35" s="116">
        <f t="shared" si="9"/>
        <v>0</v>
      </c>
      <c r="R35" s="99">
        <f t="shared" si="4"/>
        <v>0</v>
      </c>
      <c r="T35" s="76">
        <f>IFERROR(VLOOKUP(J35,BMPs!$C$3:$F$69,3,FALSE),0)</f>
        <v>0</v>
      </c>
      <c r="U35" s="76">
        <f>IFERROR(VLOOKUP(J35,BMPs!$C$3:$F$69,5,FALSE),0)</f>
        <v>0</v>
      </c>
      <c r="V35" s="117">
        <f t="shared" si="7"/>
        <v>0</v>
      </c>
      <c r="W35" s="37">
        <f>IFERROR((D35*'Watershed Data'!$D$21+E35*'Watershed Data'!$E$21)/('LandUse-LandCover'!$E$30*'Watershed Data'!$D$23+'LandUse-LandCover'!$F$30*'Watershed Data'!$E$23),0)*BMPs!$M$6*BMPs!$M$8*BMPs!$M$12</f>
        <v>0</v>
      </c>
      <c r="X35" s="30">
        <f t="shared" si="5"/>
        <v>0</v>
      </c>
    </row>
    <row r="36" spans="1:24" x14ac:dyDescent="0.25">
      <c r="A36" t="str">
        <f>+BMPs!C36</f>
        <v>WPWS</v>
      </c>
      <c r="B36" t="str">
        <f>+BMPs!D36</f>
        <v>Pond/wetland system</v>
      </c>
      <c r="C36" s="27">
        <f>Scenarios!K36</f>
        <v>0</v>
      </c>
      <c r="D36" s="27">
        <f>Scenarios!L36</f>
        <v>0</v>
      </c>
      <c r="E36" s="22">
        <f t="shared" si="8"/>
        <v>0</v>
      </c>
      <c r="F36" s="76">
        <f>BMPs!E36</f>
        <v>0.8</v>
      </c>
      <c r="G36" s="242" t="s">
        <v>504</v>
      </c>
      <c r="H36" s="76">
        <f>IFERROR(VLOOKUP(A36,BMPs!$C$2:$J$64,HLOOKUP(G36,BMPs!$F$72:$I$73,2,FALSE),FALSE),0)</f>
        <v>0</v>
      </c>
      <c r="I36" s="97"/>
      <c r="J36" s="97"/>
      <c r="K36" s="99">
        <f>$C$50*(D36*'Watershed Data'!$D$23+(C36-D36)*VLOOKUP(G36,'Watershed Data'!$A$19:$E$22,5,FALSE))*3630</f>
        <v>0</v>
      </c>
      <c r="L36" s="37">
        <f t="shared" si="0"/>
        <v>0</v>
      </c>
      <c r="M36" s="30">
        <f>BMPs!$M$8*BMPs!$M$12</f>
        <v>1.08</v>
      </c>
      <c r="N36" s="108">
        <f t="shared" si="6"/>
        <v>1</v>
      </c>
      <c r="O36" s="39">
        <f t="shared" si="1"/>
        <v>0.8</v>
      </c>
      <c r="P36" s="99">
        <f t="shared" si="2"/>
        <v>0</v>
      </c>
      <c r="Q36" s="116">
        <f t="shared" si="9"/>
        <v>0</v>
      </c>
      <c r="R36" s="99">
        <f t="shared" si="4"/>
        <v>0</v>
      </c>
      <c r="T36" s="76">
        <f>IFERROR(VLOOKUP(J36,BMPs!$C$3:$F$69,3,FALSE),0)</f>
        <v>0</v>
      </c>
      <c r="U36" s="76">
        <f>IFERROR(VLOOKUP(J36,BMPs!$C$3:$F$69,5,FALSE),0)</f>
        <v>0</v>
      </c>
      <c r="V36" s="117">
        <f t="shared" si="7"/>
        <v>0</v>
      </c>
      <c r="W36" s="37">
        <f>IFERROR((D36*'Watershed Data'!$D$21+E36*'Watershed Data'!$E$21)/('LandUse-LandCover'!$E$30*'Watershed Data'!$D$23+'LandUse-LandCover'!$F$30*'Watershed Data'!$E$23),0)*BMPs!$M$6*BMPs!$M$8*BMPs!$M$12</f>
        <v>0</v>
      </c>
      <c r="X36" s="30">
        <f t="shared" si="5"/>
        <v>0</v>
      </c>
    </row>
    <row r="37" spans="1:24" x14ac:dyDescent="0.25">
      <c r="A37" t="str">
        <f>+BMPs!C37</f>
        <v>WPKT</v>
      </c>
      <c r="B37" t="str">
        <f>+BMPs!D37</f>
        <v>Pocket wetland</v>
      </c>
      <c r="C37" s="27">
        <f>Scenarios!K37</f>
        <v>0</v>
      </c>
      <c r="D37" s="27">
        <f>Scenarios!L37</f>
        <v>0</v>
      </c>
      <c r="E37" s="22">
        <f t="shared" si="8"/>
        <v>0</v>
      </c>
      <c r="F37" s="76">
        <f>BMPs!E37</f>
        <v>0.8</v>
      </c>
      <c r="G37" s="242" t="s">
        <v>504</v>
      </c>
      <c r="H37" s="76">
        <f>IFERROR(VLOOKUP(A37,BMPs!$C$2:$J$64,HLOOKUP(G37,BMPs!$F$72:$I$73,2,FALSE),FALSE),0)</f>
        <v>0</v>
      </c>
      <c r="I37" s="97"/>
      <c r="J37" s="97"/>
      <c r="K37" s="99">
        <f>$C$50*(D37*'Watershed Data'!$D$23+(C37-D37)*VLOOKUP(G37,'Watershed Data'!$A$19:$E$22,5,FALSE))*3630</f>
        <v>0</v>
      </c>
      <c r="L37" s="37">
        <f t="shared" si="0"/>
        <v>0</v>
      </c>
      <c r="M37" s="30">
        <f>BMPs!$M$8*BMPs!$M$12</f>
        <v>1.08</v>
      </c>
      <c r="N37" s="108">
        <f t="shared" si="6"/>
        <v>1</v>
      </c>
      <c r="O37" s="39">
        <f t="shared" si="1"/>
        <v>0.8</v>
      </c>
      <c r="P37" s="99">
        <f t="shared" si="2"/>
        <v>0</v>
      </c>
      <c r="Q37" s="116">
        <f t="shared" si="9"/>
        <v>0</v>
      </c>
      <c r="R37" s="99">
        <f t="shared" si="4"/>
        <v>0</v>
      </c>
      <c r="T37" s="76">
        <f>IFERROR(VLOOKUP(J37,BMPs!$C$3:$F$69,3,FALSE),0)</f>
        <v>0</v>
      </c>
      <c r="U37" s="76">
        <f>IFERROR(VLOOKUP(J37,BMPs!$C$3:$F$69,5,FALSE),0)</f>
        <v>0</v>
      </c>
      <c r="V37" s="117">
        <f t="shared" si="7"/>
        <v>0</v>
      </c>
      <c r="W37" s="37">
        <f>IFERROR((D37*'Watershed Data'!$D$21+E37*'Watershed Data'!$E$21)/('LandUse-LandCover'!$E$30*'Watershed Data'!$D$23+'LandUse-LandCover'!$F$30*'Watershed Data'!$E$23),0)*BMPs!$M$6*BMPs!$M$8*BMPs!$M$12</f>
        <v>0</v>
      </c>
      <c r="X37" s="30">
        <f t="shared" si="5"/>
        <v>0</v>
      </c>
    </row>
    <row r="38" spans="1:24" x14ac:dyDescent="0.25">
      <c r="A38" t="str">
        <f>+BMPs!C38</f>
        <v>IBAS</v>
      </c>
      <c r="B38" t="str">
        <f>+BMPs!D38</f>
        <v>Infiltration basin</v>
      </c>
      <c r="C38" s="27">
        <f>Scenarios!K38</f>
        <v>0</v>
      </c>
      <c r="D38" s="27">
        <f>Scenarios!L38</f>
        <v>0</v>
      </c>
      <c r="E38" s="22">
        <f t="shared" si="8"/>
        <v>0</v>
      </c>
      <c r="F38" s="76">
        <f>BMPs!E38</f>
        <v>0.85</v>
      </c>
      <c r="G38" s="242" t="s">
        <v>504</v>
      </c>
      <c r="H38" s="76">
        <f>IFERROR(VLOOKUP(A38,BMPs!$C$2:$J$64,HLOOKUP(G38,BMPs!$F$72:$I$73,2,FALSE),FALSE),0)</f>
        <v>0.5</v>
      </c>
      <c r="I38" s="97"/>
      <c r="J38" s="97"/>
      <c r="K38" s="99">
        <f>$C$50*(D38*'Watershed Data'!$D$23+(C38-D38)*VLOOKUP(G38,'Watershed Data'!$A$19:$E$22,5,FALSE))*3630</f>
        <v>0</v>
      </c>
      <c r="L38" s="37">
        <f t="shared" si="0"/>
        <v>0</v>
      </c>
      <c r="M38" s="30">
        <f>BMPs!$M$8*BMPs!$M$12</f>
        <v>1.08</v>
      </c>
      <c r="N38" s="108">
        <f t="shared" si="6"/>
        <v>0.5</v>
      </c>
      <c r="O38" s="39">
        <f t="shared" si="1"/>
        <v>0.92500000000000004</v>
      </c>
      <c r="P38" s="99">
        <f t="shared" si="2"/>
        <v>0</v>
      </c>
      <c r="Q38" s="116">
        <f t="shared" si="9"/>
        <v>0</v>
      </c>
      <c r="R38" s="99">
        <f t="shared" si="4"/>
        <v>0</v>
      </c>
      <c r="T38" s="76">
        <f>IFERROR(VLOOKUP(J38,BMPs!$C$3:$F$69,3,FALSE),0)</f>
        <v>0</v>
      </c>
      <c r="U38" s="76">
        <f>IFERROR(VLOOKUP(J38,BMPs!$C$3:$F$69,5,FALSE),0)</f>
        <v>0</v>
      </c>
      <c r="V38" s="117">
        <f t="shared" si="7"/>
        <v>0</v>
      </c>
      <c r="W38" s="37">
        <f>IFERROR((D38*'Watershed Data'!$D$21+E38*'Watershed Data'!$E$21)/('LandUse-LandCover'!$E$30*'Watershed Data'!$D$23+'LandUse-LandCover'!$F$30*'Watershed Data'!$E$23),0)*BMPs!$M$6*BMPs!$M$8*BMPs!$M$12</f>
        <v>0</v>
      </c>
      <c r="X38" s="30">
        <f t="shared" si="5"/>
        <v>0</v>
      </c>
    </row>
    <row r="39" spans="1:24" x14ac:dyDescent="0.25">
      <c r="A39" t="str">
        <f>+BMPs!C39</f>
        <v>ITRN</v>
      </c>
      <c r="B39" t="str">
        <f>+BMPs!D39</f>
        <v>Infiltration trench</v>
      </c>
      <c r="C39" s="27">
        <f>Scenarios!K39</f>
        <v>0</v>
      </c>
      <c r="D39" s="27">
        <f>Scenarios!L39</f>
        <v>0</v>
      </c>
      <c r="E39" s="22">
        <f t="shared" si="8"/>
        <v>0</v>
      </c>
      <c r="F39" s="76">
        <f>BMPs!E39</f>
        <v>0.85</v>
      </c>
      <c r="G39" s="242" t="s">
        <v>504</v>
      </c>
      <c r="H39" s="76">
        <f>IFERROR(VLOOKUP(A39,BMPs!$C$2:$J$64,HLOOKUP(G39,BMPs!$F$72:$I$73,2,FALSE),FALSE),0)</f>
        <v>0.5</v>
      </c>
      <c r="I39" s="97"/>
      <c r="J39" s="97"/>
      <c r="K39" s="99">
        <f>$C$50*(D39*'Watershed Data'!$D$23+(C39-D39)*VLOOKUP(G39,'Watershed Data'!$A$19:$E$22,5,FALSE))*3630</f>
        <v>0</v>
      </c>
      <c r="L39" s="37">
        <f t="shared" si="0"/>
        <v>0</v>
      </c>
      <c r="M39" s="30">
        <f>BMPs!$M$8*BMPs!$M$12</f>
        <v>1.08</v>
      </c>
      <c r="N39" s="108">
        <f t="shared" si="6"/>
        <v>0.5</v>
      </c>
      <c r="O39" s="39">
        <f t="shared" si="1"/>
        <v>0.92500000000000004</v>
      </c>
      <c r="P39" s="99">
        <f t="shared" si="2"/>
        <v>0</v>
      </c>
      <c r="Q39" s="116">
        <f t="shared" si="9"/>
        <v>0</v>
      </c>
      <c r="R39" s="99">
        <f t="shared" si="4"/>
        <v>0</v>
      </c>
      <c r="T39" s="76">
        <f>IFERROR(VLOOKUP(J39,BMPs!$C$3:$F$69,3,FALSE),0)</f>
        <v>0</v>
      </c>
      <c r="U39" s="76">
        <f>IFERROR(VLOOKUP(J39,BMPs!$C$3:$F$69,5,FALSE),0)</f>
        <v>0</v>
      </c>
      <c r="V39" s="117">
        <f t="shared" si="7"/>
        <v>0</v>
      </c>
      <c r="W39" s="37">
        <f>IFERROR((D39*'Watershed Data'!$D$21+E39*'Watershed Data'!$E$21)/('LandUse-LandCover'!$E$30*'Watershed Data'!$D$23+'LandUse-LandCover'!$F$30*'Watershed Data'!$E$23),0)*BMPs!$M$6*BMPs!$M$8*BMPs!$M$12</f>
        <v>0</v>
      </c>
      <c r="X39" s="30">
        <f t="shared" si="5"/>
        <v>0</v>
      </c>
    </row>
    <row r="40" spans="1:24" x14ac:dyDescent="0.25">
      <c r="A40" t="str">
        <f>+BMPs!C40</f>
        <v>XDPD</v>
      </c>
      <c r="B40" t="str">
        <f>+BMPs!D40</f>
        <v>Dry pond</v>
      </c>
      <c r="C40" s="27">
        <f>Scenarios!K40</f>
        <v>0</v>
      </c>
      <c r="D40" s="27">
        <f>Scenarios!L40</f>
        <v>0</v>
      </c>
      <c r="E40" s="22">
        <f t="shared" si="8"/>
        <v>0</v>
      </c>
      <c r="F40" s="76">
        <f>BMPs!E40</f>
        <v>0</v>
      </c>
      <c r="G40" s="242" t="s">
        <v>504</v>
      </c>
      <c r="H40" s="76">
        <f>IFERROR(VLOOKUP(A40,BMPs!$C$2:$J$64,HLOOKUP(G40,BMPs!$F$72:$I$73,2,FALSE),FALSE),0)</f>
        <v>0</v>
      </c>
      <c r="I40" s="97"/>
      <c r="J40" s="97"/>
      <c r="K40" s="99">
        <f>$C$50*(D40*'Watershed Data'!$D$23+(C40-D40)*VLOOKUP(G40,'Watershed Data'!$A$19:$E$22,5,FALSE))*3630</f>
        <v>0</v>
      </c>
      <c r="L40" s="37">
        <f t="shared" si="0"/>
        <v>0</v>
      </c>
      <c r="M40" s="30">
        <f>BMPs!$M$8*BMPs!$M$12</f>
        <v>1.08</v>
      </c>
      <c r="N40" s="108">
        <f t="shared" si="6"/>
        <v>1</v>
      </c>
      <c r="O40" s="39">
        <f t="shared" si="1"/>
        <v>0</v>
      </c>
      <c r="P40" s="99">
        <f t="shared" si="2"/>
        <v>0</v>
      </c>
      <c r="Q40" s="116">
        <f t="shared" si="9"/>
        <v>0</v>
      </c>
      <c r="R40" s="99">
        <f t="shared" si="4"/>
        <v>0</v>
      </c>
      <c r="T40" s="76">
        <f>IFERROR(VLOOKUP(J40,BMPs!$C$3:$F$69,3,FALSE),0)</f>
        <v>0</v>
      </c>
      <c r="U40" s="76">
        <f>IFERROR(VLOOKUP(J40,BMPs!$C$3:$F$69,5,FALSE),0)</f>
        <v>0</v>
      </c>
      <c r="V40" s="117">
        <f t="shared" si="7"/>
        <v>0</v>
      </c>
      <c r="W40" s="37">
        <f>IFERROR((D40*'Watershed Data'!$D$21+E40*'Watershed Data'!$E$21)/('LandUse-LandCover'!$E$30*'Watershed Data'!$D$23+'LandUse-LandCover'!$F$30*'Watershed Data'!$E$23),0)*BMPs!$M$6*BMPs!$M$8*BMPs!$M$12</f>
        <v>0</v>
      </c>
      <c r="X40" s="30">
        <f t="shared" si="5"/>
        <v>0</v>
      </c>
    </row>
    <row r="41" spans="1:24" x14ac:dyDescent="0.25">
      <c r="A41" t="str">
        <f>+BMPs!C41</f>
        <v>XDED</v>
      </c>
      <c r="B41" t="str">
        <f>+BMPs!D41</f>
        <v>Dry extended detention pond</v>
      </c>
      <c r="C41" s="27">
        <f>Scenarios!K41</f>
        <v>0</v>
      </c>
      <c r="D41" s="27">
        <f>Scenarios!L41</f>
        <v>0</v>
      </c>
      <c r="E41" s="22">
        <f t="shared" si="8"/>
        <v>0</v>
      </c>
      <c r="F41" s="76">
        <f>BMPs!E41</f>
        <v>0</v>
      </c>
      <c r="G41" s="242" t="s">
        <v>504</v>
      </c>
      <c r="H41" s="76">
        <f>IFERROR(VLOOKUP(A41,BMPs!$C$2:$J$64,HLOOKUP(G41,BMPs!$F$72:$I$73,2,FALSE),FALSE),0)</f>
        <v>0</v>
      </c>
      <c r="I41" s="97"/>
      <c r="J41" s="97"/>
      <c r="K41" s="33">
        <f>$C$50*(D41*'Watershed Data'!$D$23+(C41-D41)*VLOOKUP(G41,'Watershed Data'!$A$19:$E$22,5,FALSE))*3630</f>
        <v>0</v>
      </c>
      <c r="L41" s="37">
        <f t="shared" si="0"/>
        <v>0</v>
      </c>
      <c r="M41" s="30">
        <f>BMPs!$M$8*BMPs!$M$12</f>
        <v>1.08</v>
      </c>
      <c r="N41" s="108">
        <f t="shared" si="6"/>
        <v>1</v>
      </c>
      <c r="O41" s="39">
        <f t="shared" si="1"/>
        <v>0</v>
      </c>
      <c r="P41" s="99">
        <f t="shared" si="2"/>
        <v>0</v>
      </c>
      <c r="Q41" s="116">
        <f t="shared" si="9"/>
        <v>0</v>
      </c>
      <c r="R41" s="99">
        <f t="shared" si="4"/>
        <v>0</v>
      </c>
      <c r="T41" s="76">
        <f>IFERROR(VLOOKUP(J41,BMPs!$C$3:$F$69,3,FALSE),0)</f>
        <v>0</v>
      </c>
      <c r="U41" s="76">
        <f>IFERROR(VLOOKUP(J41,BMPs!$C$3:$F$69,5,FALSE),0)</f>
        <v>0</v>
      </c>
      <c r="V41" s="117">
        <f t="shared" si="7"/>
        <v>0</v>
      </c>
      <c r="W41" s="37">
        <f>IFERROR((D41*'Watershed Data'!$D$21+E41*'Watershed Data'!$E$21)/('LandUse-LandCover'!$E$30*'Watershed Data'!$D$23+'LandUse-LandCover'!$F$30*'Watershed Data'!$E$23),0)*BMPs!$M$6*BMPs!$M$8*BMPs!$M$12</f>
        <v>0</v>
      </c>
      <c r="X41" s="30">
        <f t="shared" si="5"/>
        <v>0</v>
      </c>
    </row>
    <row r="42" spans="1:24" x14ac:dyDescent="0.25">
      <c r="A42" t="str">
        <f>+BMPs!C42</f>
        <v>XFLD</v>
      </c>
      <c r="B42" t="str">
        <f>+BMPs!D42</f>
        <v>Flood Mgmt Area</v>
      </c>
      <c r="C42" s="27">
        <f>Scenarios!K42</f>
        <v>0</v>
      </c>
      <c r="D42" s="27">
        <f>Scenarios!L42</f>
        <v>0</v>
      </c>
      <c r="E42" s="22">
        <f t="shared" si="8"/>
        <v>0</v>
      </c>
      <c r="F42" s="76">
        <f>BMPs!E42</f>
        <v>0</v>
      </c>
      <c r="G42" s="242" t="s">
        <v>504</v>
      </c>
      <c r="H42" s="76">
        <f>IFERROR(VLOOKUP(A42,BMPs!$C$2:$J$64,HLOOKUP(G42,BMPs!$F$72:$I$73,2,FALSE),FALSE),0)</f>
        <v>0</v>
      </c>
      <c r="I42" s="97"/>
      <c r="J42" s="97"/>
      <c r="K42" s="99">
        <f>$C$50*(D42*'Watershed Data'!$D$23+(C42-D42)*VLOOKUP(G42,'Watershed Data'!$A$19:$E$22,5,FALSE))*3630</f>
        <v>0</v>
      </c>
      <c r="L42" s="37">
        <f t="shared" si="0"/>
        <v>0</v>
      </c>
      <c r="M42" s="30">
        <f>BMPs!$M$8*BMPs!$M$12</f>
        <v>1.08</v>
      </c>
      <c r="N42" s="108">
        <f t="shared" si="6"/>
        <v>1</v>
      </c>
      <c r="O42" s="39">
        <f t="shared" si="1"/>
        <v>0</v>
      </c>
      <c r="P42" s="99">
        <f t="shared" si="2"/>
        <v>0</v>
      </c>
      <c r="Q42" s="116">
        <f t="shared" si="9"/>
        <v>0</v>
      </c>
      <c r="R42" s="99">
        <f t="shared" si="4"/>
        <v>0</v>
      </c>
      <c r="T42" s="76">
        <f>IFERROR(VLOOKUP(J42,BMPs!$C$3:$F$69,3,FALSE),0)</f>
        <v>0</v>
      </c>
      <c r="U42" s="76">
        <f>IFERROR(VLOOKUP(J42,BMPs!$C$3:$F$69,5,FALSE),0)</f>
        <v>0</v>
      </c>
      <c r="V42" s="117">
        <f t="shared" si="7"/>
        <v>0</v>
      </c>
      <c r="W42" s="37">
        <f>IFERROR((D42*'Watershed Data'!$D$21+E42*'Watershed Data'!$E$21)/('LandUse-LandCover'!$E$30*'Watershed Data'!$D$23+'LandUse-LandCover'!$F$30*'Watershed Data'!$E$23),0)*BMPs!$M$6*BMPs!$M$8*BMPs!$M$12</f>
        <v>0</v>
      </c>
      <c r="X42" s="30">
        <f t="shared" si="5"/>
        <v>0</v>
      </c>
    </row>
    <row r="43" spans="1:24" x14ac:dyDescent="0.25">
      <c r="A43" t="str">
        <f>+BMPs!C43</f>
        <v>XOGS</v>
      </c>
      <c r="B43" t="str">
        <f>+BMPs!D43</f>
        <v>Oil grit separator</v>
      </c>
      <c r="C43" s="27">
        <f>Scenarios!K43</f>
        <v>0</v>
      </c>
      <c r="D43" s="27">
        <f>Scenarios!L43</f>
        <v>0</v>
      </c>
      <c r="E43" s="22">
        <f t="shared" si="8"/>
        <v>0</v>
      </c>
      <c r="F43" s="76">
        <f>BMPs!E43</f>
        <v>0</v>
      </c>
      <c r="G43" s="242" t="s">
        <v>504</v>
      </c>
      <c r="H43" s="76">
        <f>IFERROR(VLOOKUP(A43,BMPs!$C$2:$J$64,HLOOKUP(G43,BMPs!$F$72:$I$73,2,FALSE),FALSE),0)</f>
        <v>0</v>
      </c>
      <c r="I43" s="97"/>
      <c r="J43" s="97"/>
      <c r="K43" s="99">
        <f>$C$50*(D43*'Watershed Data'!$D$23+(C43-D43)*VLOOKUP(G43,'Watershed Data'!$A$19:$E$22,5,FALSE))*3630</f>
        <v>0</v>
      </c>
      <c r="L43" s="37">
        <f t="shared" si="0"/>
        <v>0</v>
      </c>
      <c r="M43" s="30">
        <f>BMPs!$M$8*BMPs!$M$12</f>
        <v>1.08</v>
      </c>
      <c r="N43" s="108">
        <f t="shared" si="6"/>
        <v>1</v>
      </c>
      <c r="O43" s="39">
        <f t="shared" si="1"/>
        <v>0</v>
      </c>
      <c r="P43" s="99">
        <f t="shared" si="2"/>
        <v>0</v>
      </c>
      <c r="Q43" s="116">
        <f t="shared" si="9"/>
        <v>0</v>
      </c>
      <c r="R43" s="99">
        <f t="shared" si="4"/>
        <v>0</v>
      </c>
      <c r="T43" s="76">
        <f>IFERROR(VLOOKUP(J43,BMPs!$C$3:$F$69,3,FALSE),0)</f>
        <v>0</v>
      </c>
      <c r="U43" s="76">
        <f>IFERROR(VLOOKUP(J43,BMPs!$C$3:$F$69,5,FALSE),0)</f>
        <v>0</v>
      </c>
      <c r="V43" s="117">
        <f t="shared" si="7"/>
        <v>0</v>
      </c>
      <c r="W43" s="37">
        <f>IFERROR((D43*'Watershed Data'!$D$21+E43*'Watershed Data'!$E$21)/('LandUse-LandCover'!$E$30*'Watershed Data'!$D$23+'LandUse-LandCover'!$F$30*'Watershed Data'!$E$23),0)*BMPs!$M$6*BMPs!$M$8*BMPs!$M$12</f>
        <v>0</v>
      </c>
      <c r="X43" s="30">
        <f t="shared" si="5"/>
        <v>0</v>
      </c>
    </row>
    <row r="44" spans="1:24" x14ac:dyDescent="0.25">
      <c r="A44" t="str">
        <f>+BMPs!C44</f>
        <v>XOTH</v>
      </c>
      <c r="B44" t="str">
        <f>+BMPs!D44</f>
        <v>Other</v>
      </c>
      <c r="C44" s="27">
        <f>Scenarios!K44</f>
        <v>0</v>
      </c>
      <c r="D44" s="27">
        <f>Scenarios!L44</f>
        <v>0</v>
      </c>
      <c r="E44" s="22">
        <f t="shared" si="8"/>
        <v>0</v>
      </c>
      <c r="F44" s="76">
        <f>BMPs!E44</f>
        <v>0</v>
      </c>
      <c r="G44" s="242" t="s">
        <v>504</v>
      </c>
      <c r="H44" s="76">
        <f>IFERROR(VLOOKUP(A44,BMPs!$C$2:$J$64,HLOOKUP(G44,BMPs!$F$72:$I$73,2,FALSE),FALSE),0)</f>
        <v>0.5</v>
      </c>
      <c r="I44" s="97"/>
      <c r="J44" s="97"/>
      <c r="K44" s="99">
        <f>$C$50*(D44*'Watershed Data'!$D$23+(C44-D44)*VLOOKUP(G44,'Watershed Data'!$A$19:$E$22,5,FALSE))*3630</f>
        <v>0</v>
      </c>
      <c r="L44" s="37">
        <f t="shared" si="0"/>
        <v>0</v>
      </c>
      <c r="M44" s="30">
        <f>BMPs!$M$8*BMPs!$M$12</f>
        <v>1.08</v>
      </c>
      <c r="N44" s="108">
        <f t="shared" si="6"/>
        <v>0.5</v>
      </c>
      <c r="O44" s="39">
        <f t="shared" si="1"/>
        <v>0.5</v>
      </c>
      <c r="P44" s="99">
        <f t="shared" si="2"/>
        <v>0</v>
      </c>
      <c r="Q44" s="116">
        <f t="shared" si="9"/>
        <v>0</v>
      </c>
      <c r="R44" s="99">
        <f t="shared" si="4"/>
        <v>0</v>
      </c>
      <c r="T44" s="76">
        <f>IFERROR(VLOOKUP(J44,BMPs!$C$3:$F$69,3,FALSE),0)</f>
        <v>0</v>
      </c>
      <c r="U44" s="76">
        <f>IFERROR(VLOOKUP(J44,BMPs!$C$3:$F$69,5,FALSE),0)</f>
        <v>0</v>
      </c>
      <c r="V44" s="117">
        <f t="shared" si="7"/>
        <v>0</v>
      </c>
      <c r="W44" s="37">
        <f>IFERROR((D44*'Watershed Data'!$D$21+E44*'Watershed Data'!$E$21)/('LandUse-LandCover'!$E$30*'Watershed Data'!$D$23+'LandUse-LandCover'!$F$30*'Watershed Data'!$E$23),0)*BMPs!$M$6*BMPs!$M$8*BMPs!$M$12</f>
        <v>0</v>
      </c>
      <c r="X44" s="30">
        <f t="shared" si="5"/>
        <v>0</v>
      </c>
    </row>
    <row r="45" spans="1:24" x14ac:dyDescent="0.25">
      <c r="B45" s="63" t="s">
        <v>203</v>
      </c>
      <c r="C45" s="22">
        <f>SUM(C3:C44)</f>
        <v>971.6099999999999</v>
      </c>
      <c r="D45" s="22">
        <f>SUM(D3:D44)</f>
        <v>301.35899999999998</v>
      </c>
      <c r="E45" s="22">
        <f t="shared" si="8"/>
        <v>670.25099999999998</v>
      </c>
      <c r="F45" s="76"/>
      <c r="G45" s="195"/>
      <c r="H45" s="76"/>
      <c r="O45" s="114" t="s">
        <v>270</v>
      </c>
      <c r="P45" s="114"/>
      <c r="Q45" s="22"/>
      <c r="R45" s="115">
        <f>SUM(R3:R44)</f>
        <v>92250.199557337823</v>
      </c>
      <c r="T45" s="118"/>
      <c r="U45" s="118"/>
      <c r="V45" s="119"/>
      <c r="W45" s="120"/>
      <c r="X45" s="115">
        <f>SUM(X3:X44)</f>
        <v>0</v>
      </c>
    </row>
    <row r="46" spans="1:24" s="2" customFormat="1" x14ac:dyDescent="0.25">
      <c r="B46" s="78"/>
      <c r="F46" s="118"/>
      <c r="G46" s="118"/>
      <c r="H46" s="118"/>
      <c r="I46" s="238"/>
      <c r="J46" s="238"/>
      <c r="K46" s="250"/>
      <c r="L46" s="120"/>
      <c r="O46" s="69"/>
      <c r="P46" s="69"/>
      <c r="R46" s="372"/>
      <c r="T46" s="118"/>
      <c r="U46" s="118"/>
      <c r="V46" s="119"/>
      <c r="W46" s="120"/>
      <c r="X46" s="372"/>
    </row>
    <row r="47" spans="1:24" x14ac:dyDescent="0.25">
      <c r="B47" s="373" t="s">
        <v>298</v>
      </c>
      <c r="C47" s="116">
        <f>+Scenarios!K48</f>
        <v>0</v>
      </c>
      <c r="D47" s="116"/>
      <c r="E47" s="30">
        <f>IFERROR(C47-D47,"")</f>
        <v>0</v>
      </c>
      <c r="F47" s="76">
        <f>BMPs!E47</f>
        <v>0.42</v>
      </c>
      <c r="G47" s="242" t="s">
        <v>504</v>
      </c>
      <c r="H47" s="76">
        <f>+BMPs!F47</f>
        <v>0.75</v>
      </c>
      <c r="I47" s="97"/>
      <c r="J47" s="97"/>
      <c r="K47" s="99"/>
      <c r="L47" s="122">
        <f>+C47/'LandUse-LandCover'!E30</f>
        <v>0</v>
      </c>
      <c r="M47" s="30">
        <v>0.4</v>
      </c>
      <c r="N47" s="108">
        <f>1-H47</f>
        <v>0.25</v>
      </c>
      <c r="O47" s="39">
        <f>H47+(N47*F47)</f>
        <v>0.85499999999999998</v>
      </c>
      <c r="P47" s="99">
        <f>($C$52-(G68+G84+D91))*L47*M47*O47</f>
        <v>0</v>
      </c>
      <c r="Q47" s="116">
        <f>+X47</f>
        <v>0</v>
      </c>
      <c r="R47" s="99">
        <f>($C$52 -(G68+G84+D91))*L47*M47*O47-X47</f>
        <v>0</v>
      </c>
      <c r="S47" s="250"/>
      <c r="T47" s="118"/>
      <c r="U47" s="118"/>
      <c r="V47" s="119"/>
      <c r="W47" s="120"/>
      <c r="X47" s="321"/>
    </row>
    <row r="48" spans="1:24" x14ac:dyDescent="0.25">
      <c r="K48" s="121"/>
      <c r="X48" s="104"/>
    </row>
    <row r="49" spans="1:24" x14ac:dyDescent="0.25">
      <c r="G49" s="2"/>
      <c r="H49" s="2"/>
      <c r="I49" s="238"/>
      <c r="J49" s="238"/>
      <c r="K49" s="250"/>
    </row>
    <row r="50" spans="1:24" x14ac:dyDescent="0.25">
      <c r="B50" t="s">
        <v>257</v>
      </c>
      <c r="C50" s="98">
        <v>1</v>
      </c>
      <c r="D50" t="s">
        <v>262</v>
      </c>
      <c r="R50" s="104"/>
      <c r="X50" s="104"/>
    </row>
    <row r="51" spans="1:24" x14ac:dyDescent="0.25">
      <c r="B51" t="s">
        <v>258</v>
      </c>
      <c r="C51" s="109">
        <f>C50*('LandUse-LandCover'!E30*'Watershed Data'!D23+('LandUse-LandCover'!F30)*'Watershed Data'!E23)*3630</f>
        <v>30281689.224783923</v>
      </c>
      <c r="D51" t="s">
        <v>263</v>
      </c>
      <c r="E51" s="111" t="s">
        <v>268</v>
      </c>
      <c r="F51" s="111"/>
      <c r="G51" s="111"/>
      <c r="H51" s="111"/>
    </row>
    <row r="52" spans="1:24" x14ac:dyDescent="0.25">
      <c r="B52" t="s">
        <v>265</v>
      </c>
      <c r="C52" s="106">
        <f>Loads!I29</f>
        <v>2352732.5334874382</v>
      </c>
    </row>
    <row r="53" spans="1:24" x14ac:dyDescent="0.25">
      <c r="C53" s="64"/>
    </row>
    <row r="54" spans="1:24" s="360" customFormat="1" ht="45" x14ac:dyDescent="0.25">
      <c r="A54" s="369" t="s">
        <v>187</v>
      </c>
      <c r="B54" s="355"/>
      <c r="C54" s="356"/>
      <c r="D54" s="357" t="s">
        <v>528</v>
      </c>
      <c r="E54" s="343" t="s">
        <v>519</v>
      </c>
      <c r="F54" s="358"/>
      <c r="G54" s="356" t="s">
        <v>249</v>
      </c>
      <c r="H54" s="359"/>
      <c r="K54" s="361"/>
      <c r="M54" s="362"/>
    </row>
    <row r="55" spans="1:24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0"/>
      <c r="D55" s="143">
        <f>+Scenarios!K52</f>
        <v>225.63267407000006</v>
      </c>
      <c r="E55" s="320">
        <f>+BMPs!I51</f>
        <v>51.303181256300434</v>
      </c>
      <c r="F55" s="118"/>
      <c r="G55" s="316">
        <f t="shared" ref="G55:G67" si="10">+E55*D55</f>
        <v>11575.673975156973</v>
      </c>
      <c r="H55" s="90"/>
      <c r="K55" s="238"/>
      <c r="M55" s="298"/>
    </row>
    <row r="56" spans="1:24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0"/>
      <c r="D56" s="143">
        <f>+Scenarios!L53</f>
        <v>0</v>
      </c>
      <c r="E56" s="320">
        <f>+BMPs!I52</f>
        <v>286.34052096597577</v>
      </c>
      <c r="F56" s="118"/>
      <c r="G56" s="316">
        <f t="shared" si="10"/>
        <v>0</v>
      </c>
      <c r="H56" s="90"/>
      <c r="K56" s="238"/>
      <c r="M56" s="298"/>
    </row>
    <row r="57" spans="1:24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0"/>
      <c r="D57" s="143">
        <f>+Scenarios!L54</f>
        <v>0</v>
      </c>
      <c r="E57" s="320">
        <f>+BMPs!I53</f>
        <v>286.34052096597577</v>
      </c>
      <c r="F57" s="118"/>
      <c r="G57" s="316">
        <f t="shared" si="10"/>
        <v>0</v>
      </c>
      <c r="H57" s="90"/>
      <c r="K57" s="238"/>
      <c r="M57" s="298"/>
    </row>
    <row r="58" spans="1:24" s="2" customFormat="1" x14ac:dyDescent="0.25">
      <c r="A58" s="2" t="str">
        <f>BMPs!C54</f>
        <v>MSS</v>
      </c>
      <c r="B58" s="2" t="str">
        <f>BMPs!D54</f>
        <v>Mechanical Street Sweeping</v>
      </c>
      <c r="C58" s="250"/>
      <c r="D58" s="143">
        <f>+Scenarios!L55</f>
        <v>0</v>
      </c>
      <c r="E58" s="320">
        <f>+BMPs!I54</f>
        <v>0</v>
      </c>
      <c r="F58" s="118"/>
      <c r="G58" s="316">
        <f t="shared" si="10"/>
        <v>0</v>
      </c>
      <c r="H58" s="90"/>
      <c r="K58" s="238"/>
      <c r="M58" s="298"/>
    </row>
    <row r="59" spans="1:24" s="2" customFormat="1" x14ac:dyDescent="0.25">
      <c r="A59" s="2" t="str">
        <f>BMPs!C55</f>
        <v>VSS</v>
      </c>
      <c r="B59" s="2" t="str">
        <f>BMPs!D55</f>
        <v>Regen / Vacuum Street Sweeping</v>
      </c>
      <c r="C59" s="250"/>
      <c r="D59" s="143">
        <f>+Scenarios!L56</f>
        <v>0</v>
      </c>
      <c r="E59" s="320">
        <f>+BMPs!I55</f>
        <v>0</v>
      </c>
      <c r="F59" s="118"/>
      <c r="G59" s="316">
        <f t="shared" si="10"/>
        <v>0</v>
      </c>
      <c r="H59" s="90"/>
      <c r="K59" s="238"/>
      <c r="M59" s="298"/>
    </row>
    <row r="60" spans="1:24" s="2" customFormat="1" x14ac:dyDescent="0.25">
      <c r="E60" s="321"/>
      <c r="F60" s="298"/>
      <c r="G60" s="316">
        <f t="shared" si="10"/>
        <v>0</v>
      </c>
      <c r="H60" s="90"/>
      <c r="K60" s="238"/>
      <c r="M60" s="298"/>
    </row>
    <row r="61" spans="1:24" s="5" customFormat="1" x14ac:dyDescent="0.25">
      <c r="A61" s="2" t="str">
        <f>BMPs!C57</f>
        <v>STRE</v>
      </c>
      <c r="B61" s="2" t="str">
        <f>BMPs!D57</f>
        <v>Stream Restoration</v>
      </c>
      <c r="C61" s="250"/>
      <c r="D61" s="143">
        <f>+Scenarios!L58</f>
        <v>4436</v>
      </c>
      <c r="E61" s="228">
        <f>BMPs!E58</f>
        <v>0</v>
      </c>
      <c r="F61" s="118"/>
      <c r="G61" s="316">
        <f t="shared" si="10"/>
        <v>0</v>
      </c>
      <c r="K61" s="299"/>
      <c r="M61" s="301"/>
    </row>
    <row r="62" spans="1:24" s="5" customFormat="1" x14ac:dyDescent="0.25">
      <c r="A62" s="2" t="str">
        <f>BMPs!C58</f>
        <v>OUT</v>
      </c>
      <c r="B62" s="2" t="str">
        <f>BMPs!D58</f>
        <v>Outfall Stabilization</v>
      </c>
      <c r="C62" s="250"/>
      <c r="D62" s="143">
        <f>+Scenarios!L59</f>
        <v>0</v>
      </c>
      <c r="E62" s="228">
        <f>BMPs!E59</f>
        <v>0</v>
      </c>
      <c r="F62" s="118"/>
      <c r="G62" s="316">
        <f t="shared" si="10"/>
        <v>0</v>
      </c>
      <c r="H62" s="299"/>
      <c r="I62" s="299"/>
      <c r="J62" s="263"/>
      <c r="K62" s="300"/>
    </row>
    <row r="63" spans="1:24" s="5" customFormat="1" x14ac:dyDescent="0.25">
      <c r="A63" s="2" t="str">
        <f>BMPs!C59</f>
        <v>SHST</v>
      </c>
      <c r="B63" s="2" t="str">
        <f>BMPs!D59</f>
        <v>Shoreline Stabilization</v>
      </c>
      <c r="C63" s="250"/>
      <c r="D63" s="143">
        <f>+Scenarios!L60</f>
        <v>0</v>
      </c>
      <c r="E63" s="228">
        <f>BMPs!E60</f>
        <v>0</v>
      </c>
      <c r="F63" s="118"/>
      <c r="G63" s="316">
        <f t="shared" si="10"/>
        <v>0</v>
      </c>
      <c r="H63" s="299"/>
      <c r="I63" s="299"/>
      <c r="J63" s="263"/>
      <c r="K63" s="300"/>
    </row>
    <row r="64" spans="1:24" s="5" customFormat="1" x14ac:dyDescent="0.25">
      <c r="A64" s="2" t="str">
        <f>BMPs!C60</f>
        <v>SDV</v>
      </c>
      <c r="B64" s="2" t="str">
        <f>BMPs!D60</f>
        <v>Storm Drain Vacuuming</v>
      </c>
      <c r="C64" s="250"/>
      <c r="D64" s="143">
        <f>+Scenarios!L61</f>
        <v>0</v>
      </c>
      <c r="E64" s="228">
        <f>BMPs!E61</f>
        <v>0</v>
      </c>
      <c r="F64" s="118"/>
      <c r="G64" s="316">
        <f t="shared" si="10"/>
        <v>0</v>
      </c>
      <c r="H64" s="299"/>
      <c r="I64" s="299"/>
      <c r="J64" s="263"/>
      <c r="K64" s="300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0"/>
      <c r="D65" s="143">
        <f>+Scenarios!L62</f>
        <v>0</v>
      </c>
      <c r="E65" s="228">
        <f>BMPs!E63</f>
        <v>0</v>
      </c>
      <c r="F65" s="118"/>
      <c r="G65" s="316">
        <f t="shared" si="10"/>
        <v>0</v>
      </c>
      <c r="H65" s="299"/>
      <c r="I65" s="299"/>
      <c r="J65" s="263"/>
      <c r="K65" s="300"/>
    </row>
    <row r="66" spans="1:11" s="5" customFormat="1" x14ac:dyDescent="0.25">
      <c r="A66" s="2"/>
      <c r="B66" s="2"/>
      <c r="C66" s="283"/>
      <c r="E66" s="322"/>
      <c r="H66" s="299"/>
      <c r="I66" s="299"/>
      <c r="J66" s="263"/>
      <c r="K66" s="300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0"/>
      <c r="D67" s="143">
        <f>+Scenarios!L64</f>
        <v>0</v>
      </c>
      <c r="E67" s="320">
        <f>BMPs!E46</f>
        <v>0</v>
      </c>
      <c r="F67" s="118"/>
      <c r="G67" s="319">
        <f t="shared" si="10"/>
        <v>0</v>
      </c>
      <c r="H67" s="299"/>
      <c r="I67" s="299"/>
      <c r="J67" s="263"/>
      <c r="K67" s="300"/>
    </row>
    <row r="68" spans="1:11" s="5" customFormat="1" x14ac:dyDescent="0.25">
      <c r="A68" s="2"/>
      <c r="B68" s="2"/>
      <c r="C68" s="283"/>
      <c r="G68" s="318">
        <f>SUM(G55:G65)</f>
        <v>11575.673975156973</v>
      </c>
      <c r="H68" s="299"/>
      <c r="I68" s="299"/>
      <c r="J68" s="263"/>
      <c r="K68" s="300"/>
    </row>
    <row r="69" spans="1:11" s="5" customFormat="1" x14ac:dyDescent="0.25">
      <c r="A69" s="2"/>
      <c r="B69" s="2"/>
      <c r="C69" s="283"/>
      <c r="G69" s="301"/>
      <c r="H69" s="299"/>
      <c r="I69" s="299"/>
      <c r="J69" s="263"/>
      <c r="K69" s="300"/>
    </row>
    <row r="70" spans="1:11" s="5" customFormat="1" x14ac:dyDescent="0.25">
      <c r="A70" s="2"/>
      <c r="B70" s="2"/>
      <c r="C70" s="283"/>
      <c r="G70" s="301"/>
      <c r="H70" s="299"/>
      <c r="I70" s="299"/>
      <c r="J70" s="263"/>
      <c r="K70" s="300"/>
    </row>
    <row r="71" spans="1:11" s="5" customFormat="1" x14ac:dyDescent="0.25">
      <c r="A71" s="339" t="str">
        <f>+Scenarios!A67</f>
        <v>Urban Downsizing to Forest</v>
      </c>
      <c r="B71" s="340"/>
      <c r="C71" s="377"/>
      <c r="D71" s="340"/>
      <c r="E71" s="340"/>
      <c r="F71" s="340"/>
      <c r="G71" s="340"/>
      <c r="H71" s="299"/>
      <c r="I71" s="299"/>
      <c r="J71" s="263"/>
      <c r="K71" s="300"/>
    </row>
    <row r="72" spans="1:11" s="354" customFormat="1" ht="45" x14ac:dyDescent="0.25">
      <c r="A72" s="286"/>
      <c r="B72" s="348" t="str">
        <f>+Scenarios!B68</f>
        <v>Land Use</v>
      </c>
      <c r="C72" s="349"/>
      <c r="D72" s="348" t="s">
        <v>527</v>
      </c>
      <c r="E72" s="317" t="s">
        <v>519</v>
      </c>
      <c r="F72" s="286"/>
      <c r="G72" s="350" t="s">
        <v>249</v>
      </c>
      <c r="H72" s="351"/>
      <c r="I72" s="351"/>
      <c r="J72" s="352"/>
      <c r="K72" s="353"/>
    </row>
    <row r="73" spans="1:11" s="5" customFormat="1" x14ac:dyDescent="0.25">
      <c r="A73" s="2"/>
      <c r="B73" s="2" t="str">
        <f>+Scenarios!B69</f>
        <v>Low Density Residential</v>
      </c>
      <c r="C73" s="283"/>
      <c r="D73" s="143">
        <f>+Scenarios!L69</f>
        <v>0</v>
      </c>
      <c r="E73" s="287">
        <f>+Loads!H2-Loads!$H$19</f>
        <v>68.660700212609868</v>
      </c>
      <c r="G73" s="316">
        <f t="shared" ref="G73:G83" si="11">+E73*D73</f>
        <v>0</v>
      </c>
      <c r="H73" s="299"/>
      <c r="I73" s="299"/>
      <c r="J73" s="263"/>
      <c r="K73" s="300"/>
    </row>
    <row r="74" spans="1:11" s="5" customFormat="1" x14ac:dyDescent="0.25">
      <c r="A74" s="2"/>
      <c r="B74" s="2" t="str">
        <f>+Scenarios!B70</f>
        <v>Medium Density Residential</v>
      </c>
      <c r="C74" s="283"/>
      <c r="D74" s="143">
        <f>+Scenarios!L70</f>
        <v>0</v>
      </c>
      <c r="E74" s="287">
        <f>+Loads!H3-Loads!$H$19</f>
        <v>100.88847921307709</v>
      </c>
      <c r="G74" s="316">
        <f t="shared" si="11"/>
        <v>0</v>
      </c>
      <c r="H74" s="299"/>
      <c r="I74" s="299"/>
      <c r="J74" s="263"/>
      <c r="K74" s="300"/>
    </row>
    <row r="75" spans="1:11" s="5" customFormat="1" x14ac:dyDescent="0.25">
      <c r="A75" s="2"/>
      <c r="B75" s="2" t="str">
        <f>+Scenarios!B71</f>
        <v>High Density Residential</v>
      </c>
      <c r="C75" s="283"/>
      <c r="D75" s="143">
        <f>+Scenarios!L71</f>
        <v>0</v>
      </c>
      <c r="E75" s="287">
        <f>+Loads!H4-Loads!$H$19</f>
        <v>149.49916747959102</v>
      </c>
      <c r="G75" s="316">
        <f t="shared" si="11"/>
        <v>0</v>
      </c>
      <c r="H75" s="299"/>
      <c r="I75" s="299"/>
      <c r="J75" s="263"/>
      <c r="K75" s="300"/>
    </row>
    <row r="76" spans="1:11" s="5" customFormat="1" x14ac:dyDescent="0.25">
      <c r="A76" s="2"/>
      <c r="B76" s="2" t="str">
        <f>+Scenarios!B72</f>
        <v>Commercial</v>
      </c>
      <c r="C76" s="283"/>
      <c r="D76" s="143">
        <f>+Scenarios!L72</f>
        <v>0</v>
      </c>
      <c r="E76" s="287">
        <f>+Loads!H5-Loads!$H$19</f>
        <v>64.020081100042603</v>
      </c>
      <c r="G76" s="316">
        <f t="shared" si="11"/>
        <v>0</v>
      </c>
      <c r="H76" s="299"/>
      <c r="I76" s="299"/>
      <c r="J76" s="263"/>
      <c r="K76" s="300"/>
    </row>
    <row r="77" spans="1:11" s="5" customFormat="1" x14ac:dyDescent="0.25">
      <c r="A77" s="2"/>
      <c r="B77" s="2" t="str">
        <f>+Scenarios!B73</f>
        <v>Industrial</v>
      </c>
      <c r="C77" s="283"/>
      <c r="D77" s="143">
        <f>+Scenarios!L73</f>
        <v>0</v>
      </c>
      <c r="E77" s="287">
        <f>+Loads!H6-Loads!$H$19</f>
        <v>25.594860292218563</v>
      </c>
      <c r="G77" s="316">
        <f t="shared" si="11"/>
        <v>0</v>
      </c>
      <c r="H77" s="299"/>
      <c r="I77" s="299"/>
      <c r="J77" s="263"/>
      <c r="K77" s="300"/>
    </row>
    <row r="78" spans="1:11" s="5" customFormat="1" x14ac:dyDescent="0.25">
      <c r="A78" s="2"/>
      <c r="B78" s="2" t="str">
        <f>+Scenarios!B74</f>
        <v>Institutional</v>
      </c>
      <c r="C78" s="283"/>
      <c r="D78" s="143">
        <f>+Scenarios!L74</f>
        <v>0</v>
      </c>
      <c r="E78" s="287">
        <f>+Loads!H7-Loads!$H$19</f>
        <v>45.401712210021337</v>
      </c>
      <c r="G78" s="316">
        <f t="shared" si="11"/>
        <v>0</v>
      </c>
      <c r="H78" s="299"/>
      <c r="I78" s="299"/>
      <c r="J78" s="263"/>
      <c r="K78" s="300"/>
    </row>
    <row r="79" spans="1:11" s="5" customFormat="1" x14ac:dyDescent="0.25">
      <c r="A79" s="2"/>
      <c r="B79" s="2" t="str">
        <f>+Scenarios!B75</f>
        <v>Extractive</v>
      </c>
      <c r="C79" s="283"/>
      <c r="D79" s="143">
        <f>+Scenarios!L75</f>
        <v>0</v>
      </c>
      <c r="E79" s="287"/>
      <c r="G79" s="316">
        <f t="shared" si="11"/>
        <v>0</v>
      </c>
      <c r="H79" s="299"/>
      <c r="I79" s="299"/>
      <c r="J79" s="263"/>
      <c r="K79" s="300"/>
    </row>
    <row r="80" spans="1:11" s="5" customFormat="1" x14ac:dyDescent="0.25">
      <c r="A80" s="2"/>
      <c r="B80" s="2" t="str">
        <f>+Scenarios!B76</f>
        <v>Open Urban Land</v>
      </c>
      <c r="C80" s="283"/>
      <c r="D80" s="143">
        <f>+Scenarios!L76</f>
        <v>110</v>
      </c>
      <c r="E80" s="287">
        <f>+Loads!H9-Loads!$H$19</f>
        <v>45.717937806050294</v>
      </c>
      <c r="G80" s="316">
        <f t="shared" si="11"/>
        <v>5028.9731586655325</v>
      </c>
      <c r="H80" s="299"/>
      <c r="I80" s="299"/>
      <c r="J80" s="263"/>
      <c r="K80" s="300"/>
    </row>
    <row r="81" spans="1:16" s="5" customFormat="1" x14ac:dyDescent="0.25">
      <c r="A81" s="2"/>
      <c r="B81" s="2" t="str">
        <f>+Scenarios!B77</f>
        <v>Transportation</v>
      </c>
      <c r="C81" s="283"/>
      <c r="D81" s="143">
        <f>+Scenarios!L77</f>
        <v>0</v>
      </c>
      <c r="E81" s="287"/>
      <c r="G81" s="316">
        <f t="shared" si="11"/>
        <v>0</v>
      </c>
      <c r="H81" s="299"/>
      <c r="I81" s="299"/>
      <c r="J81" s="263"/>
      <c r="K81" s="300"/>
    </row>
    <row r="82" spans="1:16" s="5" customFormat="1" x14ac:dyDescent="0.25">
      <c r="A82" s="2"/>
      <c r="B82" s="2" t="str">
        <f>+Scenarios!B78</f>
        <v>Large Lot Subdivision (Ag)</v>
      </c>
      <c r="C82" s="283"/>
      <c r="D82" s="143">
        <f>+Scenarios!L78</f>
        <v>0</v>
      </c>
      <c r="E82" s="287">
        <f>+Loads!H11-Loads!$H$19</f>
        <v>40.684731019820568</v>
      </c>
      <c r="G82" s="316">
        <f t="shared" si="11"/>
        <v>0</v>
      </c>
      <c r="H82" s="299"/>
      <c r="I82" s="299"/>
      <c r="J82" s="263"/>
      <c r="K82" s="300"/>
    </row>
    <row r="83" spans="1:16" s="5" customFormat="1" x14ac:dyDescent="0.25">
      <c r="A83" s="2"/>
      <c r="B83" s="2" t="str">
        <f>+Scenarios!B79</f>
        <v>Large Lot Subdivision (Forest)</v>
      </c>
      <c r="C83" s="283"/>
      <c r="D83" s="143">
        <f>+Scenarios!L79</f>
        <v>0</v>
      </c>
      <c r="E83" s="287">
        <f>+Loads!H12-Loads!$H$19</f>
        <v>45.993956138060504</v>
      </c>
      <c r="G83" s="319">
        <f t="shared" si="11"/>
        <v>0</v>
      </c>
      <c r="H83" s="299"/>
      <c r="I83" s="299"/>
      <c r="J83" s="263"/>
      <c r="K83" s="300"/>
    </row>
    <row r="84" spans="1:16" s="5" customFormat="1" x14ac:dyDescent="0.25">
      <c r="B84" s="2"/>
      <c r="C84" s="283"/>
      <c r="G84" s="318">
        <f>SUM(G73:G83)</f>
        <v>5028.9731586655325</v>
      </c>
      <c r="H84" s="299"/>
      <c r="I84" s="299"/>
      <c r="J84" s="263"/>
      <c r="K84" s="300"/>
    </row>
    <row r="85" spans="1:16" ht="15.75" x14ac:dyDescent="0.25">
      <c r="A85" s="158" t="s">
        <v>312</v>
      </c>
      <c r="D85" s="156"/>
    </row>
    <row r="86" spans="1:16" s="6" customFormat="1" x14ac:dyDescent="0.25">
      <c r="A86"/>
      <c r="B86"/>
      <c r="I86" s="190"/>
      <c r="J86" s="190"/>
      <c r="K86" s="191"/>
      <c r="L86" s="192"/>
      <c r="N86" s="5"/>
      <c r="O86" s="5"/>
      <c r="P86" s="5"/>
    </row>
    <row r="87" spans="1:16" s="6" customFormat="1" x14ac:dyDescent="0.25">
      <c r="A87" s="159" t="s">
        <v>297</v>
      </c>
      <c r="B87" s="159"/>
      <c r="C87" s="160"/>
      <c r="D87" s="160"/>
      <c r="I87" s="190"/>
      <c r="J87" s="190"/>
      <c r="K87" s="191"/>
      <c r="L87" s="192"/>
      <c r="N87" s="5"/>
      <c r="O87" s="5"/>
      <c r="P87" s="5"/>
    </row>
    <row r="88" spans="1:16" s="6" customFormat="1" x14ac:dyDescent="0.25">
      <c r="A88"/>
      <c r="B88" t="s">
        <v>567</v>
      </c>
      <c r="C88"/>
      <c r="D88" s="33">
        <f>+SewageData!B34</f>
        <v>114557.44000000002</v>
      </c>
      <c r="I88" s="190"/>
      <c r="J88" s="190"/>
      <c r="K88" s="191"/>
      <c r="L88" s="192"/>
      <c r="N88" s="5"/>
      <c r="O88" s="5"/>
      <c r="P88" s="5"/>
    </row>
    <row r="89" spans="1:16" x14ac:dyDescent="0.25">
      <c r="B89" t="s">
        <v>568</v>
      </c>
      <c r="D89" s="20">
        <v>0.6</v>
      </c>
      <c r="E89" s="156"/>
      <c r="I89"/>
      <c r="J89"/>
    </row>
    <row r="90" spans="1:16" x14ac:dyDescent="0.25">
      <c r="B90" t="s">
        <v>235</v>
      </c>
      <c r="D90" s="27">
        <f>Scenarios!L83</f>
        <v>0.45</v>
      </c>
      <c r="E90" s="156"/>
      <c r="I90"/>
      <c r="J90"/>
    </row>
    <row r="91" spans="1:16" x14ac:dyDescent="0.25">
      <c r="B91" t="s">
        <v>249</v>
      </c>
      <c r="D91" s="33">
        <f>+D88*D89*D90</f>
        <v>30930.508800000003</v>
      </c>
      <c r="E91" s="156"/>
      <c r="I91"/>
      <c r="J91"/>
    </row>
    <row r="92" spans="1:16" s="6" customFormat="1" ht="15.75" thickBot="1" x14ac:dyDescent="0.3">
      <c r="A92" s="193"/>
      <c r="B92" s="194"/>
      <c r="C92" s="194"/>
      <c r="D92" s="194"/>
      <c r="I92" s="190"/>
      <c r="J92" s="190"/>
      <c r="K92" s="191"/>
      <c r="L92" s="192"/>
      <c r="N92" s="5"/>
      <c r="O92" s="5"/>
      <c r="P92" s="5"/>
    </row>
    <row r="93" spans="1:16" ht="15.75" thickTop="1" x14ac:dyDescent="0.25">
      <c r="A93" s="159" t="s">
        <v>303</v>
      </c>
      <c r="B93" s="160"/>
      <c r="C93" s="160"/>
      <c r="D93" s="160"/>
      <c r="E93" s="156"/>
      <c r="I93"/>
      <c r="J93"/>
    </row>
    <row r="94" spans="1:16" x14ac:dyDescent="0.25">
      <c r="A94" s="40"/>
      <c r="B94" s="5" t="s">
        <v>580</v>
      </c>
      <c r="C94" s="6"/>
      <c r="D94" s="430">
        <f>SewageData!B41</f>
        <v>1476468</v>
      </c>
      <c r="E94" s="156"/>
      <c r="I94"/>
      <c r="J94"/>
    </row>
    <row r="95" spans="1:16" x14ac:dyDescent="0.25">
      <c r="B95" s="6" t="s">
        <v>468</v>
      </c>
      <c r="C95" s="156"/>
      <c r="D95" s="429">
        <f>Scenarios!L89</f>
        <v>0</v>
      </c>
      <c r="E95" s="156" t="s">
        <v>467</v>
      </c>
      <c r="I95"/>
      <c r="J95"/>
    </row>
    <row r="96" spans="1:16" x14ac:dyDescent="0.25">
      <c r="B96" t="s">
        <v>317</v>
      </c>
      <c r="C96" s="156"/>
      <c r="D96" s="429">
        <f>Scenarios!L90</f>
        <v>0</v>
      </c>
      <c r="E96" s="156"/>
      <c r="F96" s="170" t="s">
        <v>469</v>
      </c>
      <c r="G96" s="170"/>
      <c r="I96"/>
      <c r="J96"/>
    </row>
    <row r="97" spans="1:10" x14ac:dyDescent="0.25">
      <c r="B97" t="s">
        <v>471</v>
      </c>
      <c r="C97" s="156"/>
      <c r="D97" s="33">
        <f>SewageData!B41-(IF(Scenarios!L89+Scenarios!L90&gt;0, (SewageData!B41*Scenarios!L89*Scenarios!L90),0))</f>
        <v>1476468</v>
      </c>
      <c r="E97" s="156"/>
      <c r="F97" s="2"/>
      <c r="G97" s="2"/>
      <c r="I97"/>
      <c r="J97"/>
    </row>
    <row r="98" spans="1:10" x14ac:dyDescent="0.25">
      <c r="B98" t="s">
        <v>249</v>
      </c>
      <c r="C98" s="167"/>
      <c r="D98" s="426">
        <f>D94-D97</f>
        <v>0</v>
      </c>
      <c r="E98" s="156"/>
      <c r="F98" s="2"/>
      <c r="G98" s="2"/>
      <c r="I98"/>
      <c r="J98"/>
    </row>
    <row r="99" spans="1:10" x14ac:dyDescent="0.25">
      <c r="A99" s="159" t="s">
        <v>313</v>
      </c>
      <c r="B99" s="160"/>
      <c r="C99" s="160"/>
      <c r="D99" s="160"/>
      <c r="E99" s="156"/>
      <c r="I99"/>
      <c r="J99"/>
    </row>
    <row r="100" spans="1:10" x14ac:dyDescent="0.25">
      <c r="A100" s="40"/>
      <c r="B100" s="5" t="s">
        <v>488</v>
      </c>
      <c r="C100" s="6"/>
      <c r="D100" s="430">
        <f>SewageData!B8*(1-Scenarios!K144/MAX(SewageData!B9,0.001))</f>
        <v>291544596</v>
      </c>
      <c r="E100" s="156"/>
      <c r="I100"/>
      <c r="J100"/>
    </row>
    <row r="101" spans="1:10" x14ac:dyDescent="0.25">
      <c r="A101" s="40"/>
      <c r="B101" s="5" t="s">
        <v>489</v>
      </c>
      <c r="C101" s="6"/>
      <c r="D101" s="211">
        <f>(SewageData!B9*SewageData!B14-Scenarios!K144*Scenarios!K145)*(1-IF(Scenarios!K130="yes",Scenarios!K131*Scenarios!K132,0))*(1-IF(Scenarios!K134="yes",Scenarios!K135*Scenarios!K136,0))*(1-IF(Scenarios!K138="yes",Scenarios!K139*Scenarios!K140,0))/MAX((SewageData!B9-Scenarios!K144),0.001)</f>
        <v>0.19999999999999998</v>
      </c>
      <c r="E101" s="156"/>
      <c r="I101"/>
      <c r="J101"/>
    </row>
    <row r="102" spans="1:10" x14ac:dyDescent="0.25">
      <c r="A102" s="40"/>
      <c r="B102" t="s">
        <v>331</v>
      </c>
      <c r="C102" s="6"/>
      <c r="D102" s="211">
        <f>(SewageData!B9*SewageData!B12-Scenarios!K144*Scenarios!K146)/MAX(SewageData!B9-Scenarios!K146,0.001)</f>
        <v>4.8311339745023482E-2</v>
      </c>
      <c r="E102" s="172" t="s">
        <v>490</v>
      </c>
      <c r="I102"/>
      <c r="J102"/>
    </row>
    <row r="103" spans="1:10" x14ac:dyDescent="0.25">
      <c r="B103" t="s">
        <v>471</v>
      </c>
      <c r="D103" s="412">
        <f>(D100*D101*(SewageData!B16*(1-D102)*SewageData!B17+SewageData!B15*D102*SewageData!B18))</f>
        <v>421699.59792708559</v>
      </c>
      <c r="E103" s="156" t="s">
        <v>483</v>
      </c>
      <c r="I103" s="16"/>
      <c r="J103"/>
    </row>
    <row r="104" spans="1:10" x14ac:dyDescent="0.25">
      <c r="B104" t="s">
        <v>249</v>
      </c>
      <c r="D104" s="412">
        <f>SewageData!B19-Programmed!D103</f>
        <v>-16.254727085586637</v>
      </c>
      <c r="E104" s="156"/>
      <c r="I104" s="16"/>
      <c r="J104"/>
    </row>
    <row r="105" spans="1:10" x14ac:dyDescent="0.25">
      <c r="A105" s="159" t="s">
        <v>306</v>
      </c>
      <c r="B105" s="159"/>
      <c r="C105" s="160"/>
      <c r="D105" s="160"/>
      <c r="E105" s="156"/>
      <c r="I105"/>
      <c r="J105"/>
    </row>
    <row r="106" spans="1:10" x14ac:dyDescent="0.25">
      <c r="A106" s="159"/>
      <c r="B106" s="421" t="s">
        <v>578</v>
      </c>
      <c r="C106" s="160"/>
      <c r="D106" s="208">
        <f>SewageData!B76</f>
        <v>672243.05700000003</v>
      </c>
      <c r="E106" s="156"/>
      <c r="I106"/>
      <c r="J106"/>
    </row>
    <row r="107" spans="1:10" x14ac:dyDescent="0.25">
      <c r="A107" s="186"/>
      <c r="B107" s="160" t="s">
        <v>464</v>
      </c>
      <c r="C107" s="160"/>
      <c r="D107" s="197"/>
      <c r="E107" s="156"/>
      <c r="F107" s="5"/>
      <c r="G107" s="5"/>
      <c r="I107"/>
      <c r="J107"/>
    </row>
    <row r="108" spans="1:10" x14ac:dyDescent="0.25">
      <c r="A108" s="160"/>
      <c r="B108" s="160" t="s">
        <v>318</v>
      </c>
      <c r="C108" s="167"/>
      <c r="D108" s="196"/>
      <c r="E108" s="156"/>
      <c r="F108" s="170" t="s">
        <v>470</v>
      </c>
      <c r="G108" s="170"/>
      <c r="I108"/>
      <c r="J108"/>
    </row>
    <row r="109" spans="1:10" x14ac:dyDescent="0.25">
      <c r="A109" s="160"/>
      <c r="B109" s="160" t="s">
        <v>471</v>
      </c>
      <c r="C109" s="167"/>
      <c r="D109" s="426">
        <f>SewageData!B76-IF((Scenarios!L93*Scenarios!L92)&gt;0,(SewageData!B76*Scenarios!L93*Scenarios!L92),0)</f>
        <v>672243.05700000003</v>
      </c>
      <c r="E109" s="156" t="s">
        <v>466</v>
      </c>
      <c r="F109" s="170" t="s">
        <v>465</v>
      </c>
      <c r="G109" s="170"/>
      <c r="I109"/>
      <c r="J109"/>
    </row>
    <row r="110" spans="1:10" x14ac:dyDescent="0.25">
      <c r="A110" s="160"/>
      <c r="B110" t="s">
        <v>249</v>
      </c>
      <c r="C110" s="167"/>
      <c r="D110" s="426">
        <f>D106-D109</f>
        <v>0</v>
      </c>
      <c r="E110" s="156"/>
      <c r="F110" s="170"/>
      <c r="G110" s="170"/>
      <c r="I110"/>
      <c r="J110"/>
    </row>
    <row r="111" spans="1:10" x14ac:dyDescent="0.25">
      <c r="A111" s="159" t="s">
        <v>307</v>
      </c>
      <c r="B111" s="159"/>
      <c r="C111" s="160"/>
      <c r="D111" s="160"/>
      <c r="E111" s="156"/>
      <c r="I111"/>
      <c r="J111"/>
    </row>
    <row r="112" spans="1:10" ht="15.75" thickBot="1" x14ac:dyDescent="0.3">
      <c r="A112" s="5"/>
      <c r="B112" s="160" t="s">
        <v>449</v>
      </c>
      <c r="C112" s="167"/>
      <c r="D112" s="279">
        <f>Scenarios!M125</f>
        <v>0</v>
      </c>
      <c r="E112" s="156"/>
      <c r="I112"/>
      <c r="J112"/>
    </row>
    <row r="113" spans="1:15" s="6" customFormat="1" ht="16.5" thickTop="1" thickBot="1" x14ac:dyDescent="0.3">
      <c r="A113" s="442"/>
      <c r="B113" s="440" t="s">
        <v>581</v>
      </c>
      <c r="C113" s="406"/>
      <c r="D113" s="441">
        <f>+D92+D98+D104+D110+D112</f>
        <v>-16.254727085586637</v>
      </c>
      <c r="E113" s="210"/>
      <c r="H113" s="190"/>
      <c r="I113" s="190"/>
      <c r="J113" s="191"/>
      <c r="K113" s="192"/>
      <c r="M113" s="5"/>
      <c r="N113" s="5"/>
      <c r="O113" s="5"/>
    </row>
    <row r="114" spans="1:15" ht="15.75" thickTop="1" x14ac:dyDescent="0.25">
      <c r="A114" s="5"/>
      <c r="B114" s="5"/>
      <c r="C114" s="5"/>
      <c r="D114" s="5"/>
    </row>
    <row r="115" spans="1:15" x14ac:dyDescent="0.25">
      <c r="A115" s="5"/>
      <c r="B115" s="5"/>
      <c r="C115" s="5"/>
      <c r="D115" s="5"/>
    </row>
    <row r="116" spans="1:15" x14ac:dyDescent="0.25">
      <c r="A116" s="5"/>
      <c r="B116" s="5"/>
      <c r="C116" s="5"/>
      <c r="D116" s="5"/>
    </row>
  </sheetData>
  <mergeCells count="2">
    <mergeCell ref="K1:R1"/>
    <mergeCell ref="T1:X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Y116"/>
  <sheetViews>
    <sheetView workbookViewId="0">
      <selection activeCell="E95" sqref="E95"/>
    </sheetView>
  </sheetViews>
  <sheetFormatPr defaultRowHeight="15" x14ac:dyDescent="0.25"/>
  <cols>
    <col min="1" max="1" width="7.42578125" bestFit="1" customWidth="1"/>
    <col min="2" max="2" width="35.140625" bestFit="1" customWidth="1"/>
    <col min="3" max="3" width="10.140625" bestFit="1" customWidth="1"/>
    <col min="4" max="4" width="13.28515625" bestFit="1" customWidth="1"/>
    <col min="5" max="5" width="10.7109375" customWidth="1"/>
    <col min="7" max="7" width="14" customWidth="1"/>
  </cols>
  <sheetData>
    <row r="1" spans="1:25" x14ac:dyDescent="0.25">
      <c r="I1" s="7"/>
      <c r="J1" s="7"/>
      <c r="K1" s="517" t="s">
        <v>276</v>
      </c>
      <c r="L1" s="517"/>
      <c r="M1" s="517"/>
      <c r="N1" s="517"/>
      <c r="O1" s="517"/>
      <c r="P1" s="517"/>
      <c r="Q1" s="517"/>
      <c r="R1" s="517"/>
      <c r="S1" s="9"/>
      <c r="T1" s="518" t="s">
        <v>255</v>
      </c>
      <c r="U1" s="518"/>
      <c r="V1" s="518"/>
      <c r="W1" s="518"/>
      <c r="X1" s="518"/>
    </row>
    <row r="2" spans="1:25" ht="45" x14ac:dyDescent="0.25">
      <c r="A2" s="93" t="str">
        <f>+BMPs!C2</f>
        <v>Code</v>
      </c>
      <c r="B2" s="93" t="str">
        <f>+BMPs!D2</f>
        <v>Description</v>
      </c>
      <c r="C2" s="94" t="s">
        <v>190</v>
      </c>
      <c r="D2" s="94" t="s">
        <v>191</v>
      </c>
      <c r="E2" s="94" t="s">
        <v>239</v>
      </c>
      <c r="F2" s="95" t="str">
        <f>+BMPs!E2</f>
        <v>Removal Rate</v>
      </c>
      <c r="G2" s="241" t="s">
        <v>503</v>
      </c>
      <c r="H2" s="96" t="str">
        <f>+BMPs!F2</f>
        <v>Runoff Redux</v>
      </c>
      <c r="I2" s="94" t="s">
        <v>254</v>
      </c>
      <c r="J2" s="94" t="s">
        <v>255</v>
      </c>
      <c r="K2" s="105" t="s">
        <v>256</v>
      </c>
      <c r="L2" s="110" t="s">
        <v>267</v>
      </c>
      <c r="M2" s="94" t="s">
        <v>269</v>
      </c>
      <c r="N2" s="107" t="s">
        <v>246</v>
      </c>
      <c r="O2" s="107" t="s">
        <v>247</v>
      </c>
      <c r="P2" s="107" t="s">
        <v>274</v>
      </c>
      <c r="Q2" s="94" t="s">
        <v>264</v>
      </c>
      <c r="R2" s="94" t="s">
        <v>271</v>
      </c>
      <c r="S2" s="13"/>
      <c r="T2" s="94" t="s">
        <v>192</v>
      </c>
      <c r="U2" s="94" t="s">
        <v>244</v>
      </c>
      <c r="V2" s="94" t="s">
        <v>247</v>
      </c>
      <c r="W2" s="94" t="s">
        <v>219</v>
      </c>
      <c r="X2" s="94" t="s">
        <v>274</v>
      </c>
      <c r="Y2" s="13"/>
    </row>
    <row r="3" spans="1:25" x14ac:dyDescent="0.25">
      <c r="A3" t="str">
        <f>+BMPs!C3</f>
        <v>AGRE</v>
      </c>
      <c r="B3" t="str">
        <f>+BMPs!D3</f>
        <v>Green Roof - Extensive</v>
      </c>
      <c r="C3" s="27">
        <f>+Scenarios!M3</f>
        <v>0</v>
      </c>
      <c r="D3" s="27">
        <f>+Scenarios!N3</f>
        <v>0</v>
      </c>
      <c r="E3" s="22"/>
      <c r="F3" s="76">
        <f>BMPs!E3</f>
        <v>0</v>
      </c>
      <c r="G3" s="242" t="s">
        <v>504</v>
      </c>
      <c r="H3" s="76">
        <f>IFERROR(VLOOKUP(A3,BMPs!$C$2:$J$64,HLOOKUP(G3,BMPs!$F$72:$I$73,2,FALSE),FALSE),0)</f>
        <v>0.6</v>
      </c>
      <c r="I3" s="97"/>
      <c r="J3" s="97"/>
      <c r="K3" s="99">
        <f>$C$50*(D3*'Watershed Data'!$D$23+(C3-D3)*VLOOKUP(G3,'Watershed Data'!$A$19:$E$22,5,FALSE))*3630</f>
        <v>0</v>
      </c>
      <c r="L3" s="37">
        <f t="shared" ref="L3:L44" si="0">K3/$C$51</f>
        <v>0</v>
      </c>
      <c r="M3" s="30">
        <f>BMPs!$M$8*BMPs!$M$12</f>
        <v>1.08</v>
      </c>
      <c r="N3" s="108">
        <f>1-H3</f>
        <v>0.4</v>
      </c>
      <c r="O3" s="39">
        <f t="shared" ref="O3:O44" si="1">H3+(N3*F3)</f>
        <v>0.6</v>
      </c>
      <c r="P3" s="99">
        <f t="shared" ref="P3:P44" si="2">$C$52*L3*M3*O3</f>
        <v>0</v>
      </c>
      <c r="Q3" s="116">
        <f t="shared" ref="Q3:Q20" si="3">+X3</f>
        <v>0</v>
      </c>
      <c r="R3" s="99">
        <f t="shared" ref="R3:R44" si="4">$C$52*L3*M3*O3-Q3</f>
        <v>0</v>
      </c>
      <c r="T3" s="76">
        <f>IFERROR(VLOOKUP(J3,BMPs!$C$3:$F$69,3,FALSE),0)</f>
        <v>0</v>
      </c>
      <c r="U3" s="76">
        <f>IFERROR(VLOOKUP(J3,BMPs!$C$3:$F$69,5,FALSE),0)</f>
        <v>0</v>
      </c>
      <c r="V3" s="117">
        <f>U3+(1-U3)*T3</f>
        <v>0</v>
      </c>
      <c r="W3" s="37">
        <f>IFERROR((D3*'Watershed Data'!$D$21+E3*'Watershed Data'!$E$21)/('LandUse-LandCover'!$E$30*'Watershed Data'!$D$23+'LandUse-LandCover'!$F$30*'Watershed Data'!$E$23),0)*BMPs!$M$6*BMPs!$M$8*BMPs!$M$12</f>
        <v>0</v>
      </c>
      <c r="X3" s="30">
        <f t="shared" ref="X3:X44" si="5">$C$52*W3*V3</f>
        <v>0</v>
      </c>
    </row>
    <row r="4" spans="1:25" x14ac:dyDescent="0.25">
      <c r="A4" t="str">
        <f>+BMPs!C4</f>
        <v>AGRI</v>
      </c>
      <c r="B4" t="str">
        <f>+BMPs!D4</f>
        <v>Green Roof - Intensive</v>
      </c>
      <c r="C4" s="27">
        <f>+Scenarios!M4</f>
        <v>0</v>
      </c>
      <c r="D4" s="27">
        <f>+Scenarios!N4</f>
        <v>0</v>
      </c>
      <c r="E4" s="22"/>
      <c r="F4" s="76">
        <f>BMPs!E4</f>
        <v>0</v>
      </c>
      <c r="G4" s="242" t="s">
        <v>504</v>
      </c>
      <c r="H4" s="76">
        <f>IFERROR(VLOOKUP(A4,BMPs!$C$2:$J$64,HLOOKUP(G4,BMPs!$F$72:$I$73,2,FALSE),FALSE),0)</f>
        <v>0.6</v>
      </c>
      <c r="I4" s="97"/>
      <c r="J4" s="97"/>
      <c r="K4" s="99">
        <f>$C$50*(D4*'Watershed Data'!$D$23+(C4-D4)*VLOOKUP(G4,'Watershed Data'!$A$19:$E$22,5,FALSE))*3630</f>
        <v>0</v>
      </c>
      <c r="L4" s="37">
        <f t="shared" si="0"/>
        <v>0</v>
      </c>
      <c r="M4" s="30">
        <f>BMPs!$M$8*BMPs!$M$12</f>
        <v>1.08</v>
      </c>
      <c r="N4" s="108">
        <f t="shared" ref="N4:N44" si="6">1-H4</f>
        <v>0.4</v>
      </c>
      <c r="O4" s="39">
        <f t="shared" si="1"/>
        <v>0.6</v>
      </c>
      <c r="P4" s="99">
        <f t="shared" si="2"/>
        <v>0</v>
      </c>
      <c r="Q4" s="116">
        <f t="shared" si="3"/>
        <v>0</v>
      </c>
      <c r="R4" s="99">
        <f t="shared" si="4"/>
        <v>0</v>
      </c>
      <c r="T4" s="76">
        <f>IFERROR(VLOOKUP(J4,BMPs!$C$3:$F$69,3,FALSE),0)</f>
        <v>0</v>
      </c>
      <c r="U4" s="76">
        <f>IFERROR(VLOOKUP(J4,BMPs!$C$3:$F$69,5,FALSE),0)</f>
        <v>0</v>
      </c>
      <c r="V4" s="117">
        <f t="shared" ref="V4:V44" si="7">U4+(1-U4)*T4</f>
        <v>0</v>
      </c>
      <c r="W4" s="37">
        <f>IFERROR((D4*'Watershed Data'!$D$21+E4*'Watershed Data'!$E$21)/('LandUse-LandCover'!$E$30*'Watershed Data'!$D$23+'LandUse-LandCover'!$F$30*'Watershed Data'!$E$23),0)*BMPs!$M$6*BMPs!$M$8*BMPs!$M$12</f>
        <v>0</v>
      </c>
      <c r="X4" s="30">
        <f t="shared" si="5"/>
        <v>0</v>
      </c>
    </row>
    <row r="5" spans="1:25" x14ac:dyDescent="0.25">
      <c r="A5" t="str">
        <f>+BMPs!C5</f>
        <v>APRP</v>
      </c>
      <c r="B5" t="str">
        <f>+BMPs!D5</f>
        <v>Permeable Pavement</v>
      </c>
      <c r="C5" s="27">
        <f>+Scenarios!M5</f>
        <v>0</v>
      </c>
      <c r="D5" s="27">
        <f>+Scenarios!N5</f>
        <v>0</v>
      </c>
      <c r="E5" s="22">
        <f t="shared" ref="E5:E45" si="8">IFERROR(C5-D5,"")</f>
        <v>0</v>
      </c>
      <c r="F5" s="76">
        <f>BMPs!E5</f>
        <v>0</v>
      </c>
      <c r="G5" s="242" t="s">
        <v>504</v>
      </c>
      <c r="H5" s="76">
        <f>IFERROR(VLOOKUP(A5,BMPs!$C$2:$J$64,HLOOKUP(G5,BMPs!$F$72:$I$73,2,FALSE),FALSE),0)</f>
        <v>0.45</v>
      </c>
      <c r="I5" s="97"/>
      <c r="J5" s="97"/>
      <c r="K5" s="99">
        <f>$C$50*(D5*'Watershed Data'!$D$23+(C5-D5)*VLOOKUP(G5,'Watershed Data'!$A$19:$E$22,5,FALSE))*3630</f>
        <v>0</v>
      </c>
      <c r="L5" s="37">
        <f t="shared" si="0"/>
        <v>0</v>
      </c>
      <c r="M5" s="30">
        <f>BMPs!$M$8*BMPs!$M$12</f>
        <v>1.08</v>
      </c>
      <c r="N5" s="108">
        <f t="shared" si="6"/>
        <v>0.55000000000000004</v>
      </c>
      <c r="O5" s="39">
        <f t="shared" si="1"/>
        <v>0.45</v>
      </c>
      <c r="P5" s="99">
        <f t="shared" si="2"/>
        <v>0</v>
      </c>
      <c r="Q5" s="116">
        <f t="shared" si="3"/>
        <v>0</v>
      </c>
      <c r="R5" s="99">
        <f t="shared" si="4"/>
        <v>0</v>
      </c>
      <c r="T5" s="76">
        <f>IFERROR(VLOOKUP(J5,BMPs!$C$3:$F$69,3,FALSE),0)</f>
        <v>0</v>
      </c>
      <c r="U5" s="76">
        <f>IFERROR(VLOOKUP(J5,BMPs!$C$3:$F$69,5,FALSE),0)</f>
        <v>0</v>
      </c>
      <c r="V5" s="117">
        <f t="shared" si="7"/>
        <v>0</v>
      </c>
      <c r="W5" s="37">
        <f>IFERROR((D5*'Watershed Data'!$D$21+E5*'Watershed Data'!$E$21)/('LandUse-LandCover'!$E$30*'Watershed Data'!$D$23+'LandUse-LandCover'!$F$30*'Watershed Data'!$E$23),0)*BMPs!$M$6*BMPs!$M$8*BMPs!$M$12</f>
        <v>0</v>
      </c>
      <c r="X5" s="30">
        <f t="shared" si="5"/>
        <v>0</v>
      </c>
    </row>
    <row r="6" spans="1:25" x14ac:dyDescent="0.25">
      <c r="A6" t="str">
        <f>+BMPs!C6</f>
        <v>ARTF</v>
      </c>
      <c r="B6" t="str">
        <f>+BMPs!D6</f>
        <v>Reinforced Turf</v>
      </c>
      <c r="C6" s="27">
        <f>+Scenarios!M6</f>
        <v>0</v>
      </c>
      <c r="D6" s="27">
        <f>+Scenarios!N6</f>
        <v>0</v>
      </c>
      <c r="E6" s="22">
        <f t="shared" si="8"/>
        <v>0</v>
      </c>
      <c r="F6" s="76">
        <f>BMPs!E6</f>
        <v>0</v>
      </c>
      <c r="G6" s="242" t="s">
        <v>504</v>
      </c>
      <c r="H6" s="76">
        <f>IFERROR(VLOOKUP(A6,BMPs!$C$2:$J$64,HLOOKUP(G6,BMPs!$F$72:$I$73,2,FALSE),FALSE),0)</f>
        <v>0.45</v>
      </c>
      <c r="I6" s="97"/>
      <c r="J6" s="97"/>
      <c r="K6" s="99">
        <f>$C$50*(D6*'Watershed Data'!$D$23+(C6-D6)*VLOOKUP(G6,'Watershed Data'!$A$19:$E$22,5,FALSE))*3630</f>
        <v>0</v>
      </c>
      <c r="L6" s="37">
        <f t="shared" si="0"/>
        <v>0</v>
      </c>
      <c r="M6" s="30">
        <f>BMPs!$M$8*BMPs!$M$12</f>
        <v>1.08</v>
      </c>
      <c r="N6" s="108">
        <f t="shared" si="6"/>
        <v>0.55000000000000004</v>
      </c>
      <c r="O6" s="39">
        <f t="shared" si="1"/>
        <v>0.45</v>
      </c>
      <c r="P6" s="99">
        <f t="shared" si="2"/>
        <v>0</v>
      </c>
      <c r="Q6" s="116">
        <f t="shared" si="3"/>
        <v>0</v>
      </c>
      <c r="R6" s="99">
        <f t="shared" si="4"/>
        <v>0</v>
      </c>
      <c r="T6" s="76">
        <f>IFERROR(VLOOKUP(J6,BMPs!$C$3:$F$69,3,FALSE),0)</f>
        <v>0</v>
      </c>
      <c r="U6" s="76">
        <f>IFERROR(VLOOKUP(J6,BMPs!$C$3:$F$69,5,FALSE),0)</f>
        <v>0</v>
      </c>
      <c r="V6" s="117">
        <f t="shared" si="7"/>
        <v>0</v>
      </c>
      <c r="W6" s="37">
        <f>IFERROR((D6*'Watershed Data'!$D$21+E6*'Watershed Data'!$E$21)/('LandUse-LandCover'!$E$30*'Watershed Data'!$D$23+'LandUse-LandCover'!$F$30*'Watershed Data'!$E$23),0)*BMPs!$M$6*BMPs!$M$8*BMPs!$M$12</f>
        <v>0</v>
      </c>
      <c r="X6" s="30">
        <f t="shared" si="5"/>
        <v>0</v>
      </c>
    </row>
    <row r="7" spans="1:25" x14ac:dyDescent="0.25">
      <c r="A7" t="str">
        <f>+BMPs!C7</f>
        <v>NDRR</v>
      </c>
      <c r="B7" t="str">
        <f>+BMPs!D7</f>
        <v>Disconnection of Rooftop Runoff</v>
      </c>
      <c r="C7" s="27">
        <f>+Scenarios!M7</f>
        <v>0</v>
      </c>
      <c r="D7" s="27">
        <f>+Scenarios!N7</f>
        <v>0</v>
      </c>
      <c r="E7" s="22">
        <f t="shared" si="8"/>
        <v>0</v>
      </c>
      <c r="F7" s="76">
        <f>BMPs!E7</f>
        <v>0</v>
      </c>
      <c r="G7" s="242" t="s">
        <v>504</v>
      </c>
      <c r="H7" s="76">
        <f>IFERROR(VLOOKUP(A7,BMPs!$C$2:$J$64,HLOOKUP(G7,BMPs!$F$72:$I$73,2,FALSE),FALSE),0)</f>
        <v>0.25</v>
      </c>
      <c r="I7" s="97"/>
      <c r="J7" s="97"/>
      <c r="K7" s="99">
        <f>$C$50*(D7*'Watershed Data'!$D$23+(C7-D7)*VLOOKUP(G7,'Watershed Data'!$A$19:$E$22,5,FALSE))*3630</f>
        <v>0</v>
      </c>
      <c r="L7" s="37">
        <f t="shared" si="0"/>
        <v>0</v>
      </c>
      <c r="M7" s="30">
        <f>BMPs!$M$8*BMPs!$M$12</f>
        <v>1.08</v>
      </c>
      <c r="N7" s="108">
        <f t="shared" si="6"/>
        <v>0.75</v>
      </c>
      <c r="O7" s="39">
        <f t="shared" si="1"/>
        <v>0.25</v>
      </c>
      <c r="P7" s="99">
        <f t="shared" si="2"/>
        <v>0</v>
      </c>
      <c r="Q7" s="116">
        <f t="shared" si="3"/>
        <v>0</v>
      </c>
      <c r="R7" s="99">
        <f t="shared" si="4"/>
        <v>0</v>
      </c>
      <c r="T7" s="76">
        <f>IFERROR(VLOOKUP(J7,BMPs!$C$3:$F$69,3,FALSE),0)</f>
        <v>0</v>
      </c>
      <c r="U7" s="76">
        <f>IFERROR(VLOOKUP(J7,BMPs!$C$3:$F$69,5,FALSE),0)</f>
        <v>0</v>
      </c>
      <c r="V7" s="117">
        <f t="shared" si="7"/>
        <v>0</v>
      </c>
      <c r="W7" s="37">
        <f>IFERROR((D7*'Watershed Data'!$D$21+E7*'Watershed Data'!$E$21)/('LandUse-LandCover'!$E$30*'Watershed Data'!$D$23+'LandUse-LandCover'!$F$30*'Watershed Data'!$E$23),0)*BMPs!$M$6*BMPs!$M$8*BMPs!$M$12</f>
        <v>0</v>
      </c>
      <c r="X7" s="30">
        <f t="shared" si="5"/>
        <v>0</v>
      </c>
    </row>
    <row r="8" spans="1:25" x14ac:dyDescent="0.25">
      <c r="A8" t="str">
        <f>+BMPs!C8</f>
        <v>NDNR</v>
      </c>
      <c r="B8" t="str">
        <f>+BMPs!D8</f>
        <v>Disconnection of Non-Rooftop Runoff</v>
      </c>
      <c r="C8" s="27">
        <f>+Scenarios!M8</f>
        <v>0</v>
      </c>
      <c r="D8" s="27">
        <f>+Scenarios!N8</f>
        <v>0</v>
      </c>
      <c r="E8" s="22">
        <f t="shared" si="8"/>
        <v>0</v>
      </c>
      <c r="F8" s="76">
        <f>BMPs!E8</f>
        <v>0</v>
      </c>
      <c r="G8" s="242" t="s">
        <v>504</v>
      </c>
      <c r="H8" s="76">
        <f>IFERROR(VLOOKUP(A8,BMPs!$C$2:$J$64,HLOOKUP(G8,BMPs!$F$72:$I$73,2,FALSE),FALSE),0)</f>
        <v>0.25</v>
      </c>
      <c r="I8" s="97"/>
      <c r="J8" s="97"/>
      <c r="K8" s="99">
        <f>$C$50*(D8*'Watershed Data'!$D$23+(C8-D8)*VLOOKUP(G8,'Watershed Data'!$A$19:$E$22,5,FALSE))*3630</f>
        <v>0</v>
      </c>
      <c r="L8" s="37">
        <f t="shared" si="0"/>
        <v>0</v>
      </c>
      <c r="M8" s="30">
        <f>BMPs!$M$8*BMPs!$M$12</f>
        <v>1.08</v>
      </c>
      <c r="N8" s="108">
        <f t="shared" si="6"/>
        <v>0.75</v>
      </c>
      <c r="O8" s="39">
        <f t="shared" si="1"/>
        <v>0.25</v>
      </c>
      <c r="P8" s="99">
        <f t="shared" si="2"/>
        <v>0</v>
      </c>
      <c r="Q8" s="116">
        <f t="shared" si="3"/>
        <v>0</v>
      </c>
      <c r="R8" s="99">
        <f t="shared" si="4"/>
        <v>0</v>
      </c>
      <c r="T8" s="76">
        <f>IFERROR(VLOOKUP(J8,BMPs!$C$3:$F$69,3,FALSE),0)</f>
        <v>0</v>
      </c>
      <c r="U8" s="76">
        <f>IFERROR(VLOOKUP(J8,BMPs!$C$3:$F$69,5,FALSE),0)</f>
        <v>0</v>
      </c>
      <c r="V8" s="117">
        <f t="shared" si="7"/>
        <v>0</v>
      </c>
      <c r="W8" s="37">
        <f>IFERROR((D8*'Watershed Data'!$D$21+E8*'Watershed Data'!$E$21)/('LandUse-LandCover'!$E$30*'Watershed Data'!$D$23+'LandUse-LandCover'!$F$30*'Watershed Data'!$E$23),0)*BMPs!$M$6*BMPs!$M$8*BMPs!$M$12</f>
        <v>0</v>
      </c>
      <c r="X8" s="30">
        <f t="shared" si="5"/>
        <v>0</v>
      </c>
    </row>
    <row r="9" spans="1:25" x14ac:dyDescent="0.25">
      <c r="A9" t="str">
        <f>+BMPs!C9</f>
        <v>NSCA</v>
      </c>
      <c r="B9" t="str">
        <f>+BMPs!D9</f>
        <v>Sheetflow to Conservation Areas</v>
      </c>
      <c r="C9" s="27">
        <f>+Scenarios!M9</f>
        <v>0</v>
      </c>
      <c r="D9" s="27">
        <f>+Scenarios!N9</f>
        <v>0</v>
      </c>
      <c r="E9" s="22">
        <f t="shared" si="8"/>
        <v>0</v>
      </c>
      <c r="F9" s="76">
        <f>BMPs!E9</f>
        <v>0</v>
      </c>
      <c r="G9" s="242" t="s">
        <v>504</v>
      </c>
      <c r="H9" s="76">
        <f>IFERROR(VLOOKUP(A9,BMPs!$C$2:$J$64,HLOOKUP(G9,BMPs!$F$72:$I$73,2,FALSE),FALSE),0)</f>
        <v>0.5</v>
      </c>
      <c r="I9" s="97"/>
      <c r="J9" s="97"/>
      <c r="K9" s="99">
        <f>$C$50*(D9*'Watershed Data'!$D$23+(C9-D9)*VLOOKUP(G9,'Watershed Data'!$A$19:$E$22,5,FALSE))*3630</f>
        <v>0</v>
      </c>
      <c r="L9" s="37">
        <f t="shared" si="0"/>
        <v>0</v>
      </c>
      <c r="M9" s="30">
        <f>BMPs!$M$8*BMPs!$M$12</f>
        <v>1.08</v>
      </c>
      <c r="N9" s="108">
        <f t="shared" si="6"/>
        <v>0.5</v>
      </c>
      <c r="O9" s="39">
        <f t="shared" si="1"/>
        <v>0.5</v>
      </c>
      <c r="P9" s="99">
        <f t="shared" si="2"/>
        <v>0</v>
      </c>
      <c r="Q9" s="116">
        <f t="shared" si="3"/>
        <v>0</v>
      </c>
      <c r="R9" s="99">
        <f t="shared" si="4"/>
        <v>0</v>
      </c>
      <c r="T9" s="76">
        <f>IFERROR(VLOOKUP(J9,BMPs!$C$3:$F$69,3,FALSE),0)</f>
        <v>0</v>
      </c>
      <c r="U9" s="76">
        <f>IFERROR(VLOOKUP(J9,BMPs!$C$3:$F$69,5,FALSE),0)</f>
        <v>0</v>
      </c>
      <c r="V9" s="117">
        <f t="shared" si="7"/>
        <v>0</v>
      </c>
      <c r="W9" s="37">
        <f>IFERROR((D9*'Watershed Data'!$D$21+E9*'Watershed Data'!$E$21)/('LandUse-LandCover'!$E$30*'Watershed Data'!$D$23+'LandUse-LandCover'!$F$30*'Watershed Data'!$E$23),0)*BMPs!$M$6*BMPs!$M$8*BMPs!$M$12</f>
        <v>0</v>
      </c>
      <c r="X9" s="30">
        <f t="shared" si="5"/>
        <v>0</v>
      </c>
    </row>
    <row r="10" spans="1:25" x14ac:dyDescent="0.25">
      <c r="A10" t="str">
        <f>+BMPs!C10</f>
        <v>MRWH</v>
      </c>
      <c r="B10" t="str">
        <f>+BMPs!D10</f>
        <v>Rainwater Harvesting</v>
      </c>
      <c r="C10" s="27">
        <f>+Scenarios!M10</f>
        <v>0</v>
      </c>
      <c r="D10" s="27">
        <f>+Scenarios!N10</f>
        <v>0</v>
      </c>
      <c r="E10" s="22">
        <f t="shared" si="8"/>
        <v>0</v>
      </c>
      <c r="F10" s="76">
        <f>BMPs!E10</f>
        <v>0</v>
      </c>
      <c r="G10" s="242" t="s">
        <v>504</v>
      </c>
      <c r="H10" s="76">
        <f>IFERROR(VLOOKUP(A10,BMPs!$C$2:$J$64,HLOOKUP(G10,BMPs!$F$72:$I$73,2,FALSE),FALSE),0)</f>
        <v>0.4</v>
      </c>
      <c r="I10" s="97"/>
      <c r="J10" s="97"/>
      <c r="K10" s="99">
        <f>$C$50*(D10*'Watershed Data'!$D$23+(C10-D10)*VLOOKUP(G10,'Watershed Data'!$A$19:$E$22,5,FALSE))*3630</f>
        <v>0</v>
      </c>
      <c r="L10" s="37">
        <f t="shared" si="0"/>
        <v>0</v>
      </c>
      <c r="M10" s="30">
        <f>BMPs!$M$8*BMPs!$M$12</f>
        <v>1.08</v>
      </c>
      <c r="N10" s="108">
        <f t="shared" si="6"/>
        <v>0.6</v>
      </c>
      <c r="O10" s="39">
        <f t="shared" si="1"/>
        <v>0.4</v>
      </c>
      <c r="P10" s="99">
        <f t="shared" si="2"/>
        <v>0</v>
      </c>
      <c r="Q10" s="116">
        <f t="shared" si="3"/>
        <v>0</v>
      </c>
      <c r="R10" s="99">
        <f t="shared" si="4"/>
        <v>0</v>
      </c>
      <c r="T10" s="76">
        <f>IFERROR(VLOOKUP(J10,BMPs!$C$3:$F$69,3,FALSE),0)</f>
        <v>0</v>
      </c>
      <c r="U10" s="76">
        <f>IFERROR(VLOOKUP(J10,BMPs!$C$3:$F$69,5,FALSE),0)</f>
        <v>0</v>
      </c>
      <c r="V10" s="117">
        <f t="shared" si="7"/>
        <v>0</v>
      </c>
      <c r="W10" s="37">
        <f>IFERROR((D10*'Watershed Data'!$D$21+E10*'Watershed Data'!$E$21)/('LandUse-LandCover'!$E$30*'Watershed Data'!$D$23+'LandUse-LandCover'!$F$30*'Watershed Data'!$E$23),0)*BMPs!$M$6*BMPs!$M$8*BMPs!$M$12</f>
        <v>0</v>
      </c>
      <c r="X10" s="30">
        <f t="shared" si="5"/>
        <v>0</v>
      </c>
    </row>
    <row r="11" spans="1:25" x14ac:dyDescent="0.25">
      <c r="A11" t="str">
        <f>+BMPs!C11</f>
        <v>MSGW</v>
      </c>
      <c r="B11" t="str">
        <f>+BMPs!D11</f>
        <v>Submerged Gravel Wetland</v>
      </c>
      <c r="C11" s="27">
        <f>+Scenarios!M11</f>
        <v>0</v>
      </c>
      <c r="D11" s="27">
        <f>+Scenarios!N11</f>
        <v>0</v>
      </c>
      <c r="E11" s="22">
        <f t="shared" si="8"/>
        <v>0</v>
      </c>
      <c r="F11" s="76">
        <f>BMPs!E11</f>
        <v>0</v>
      </c>
      <c r="G11" s="242" t="s">
        <v>504</v>
      </c>
      <c r="H11" s="76">
        <f>IFERROR(VLOOKUP(A11,BMPs!$C$2:$J$64,HLOOKUP(G11,BMPs!$F$72:$I$73,2,FALSE),FALSE),0)</f>
        <v>0</v>
      </c>
      <c r="I11" s="97"/>
      <c r="J11" s="97"/>
      <c r="K11" s="99">
        <f>$C$50*(D11*'Watershed Data'!$D$23+(C11-D11)*VLOOKUP(G11,'Watershed Data'!$A$19:$E$22,5,FALSE))*3630</f>
        <v>0</v>
      </c>
      <c r="L11" s="37">
        <f t="shared" si="0"/>
        <v>0</v>
      </c>
      <c r="M11" s="30">
        <f>BMPs!$M$8*BMPs!$M$12</f>
        <v>1.08</v>
      </c>
      <c r="N11" s="108">
        <f t="shared" si="6"/>
        <v>1</v>
      </c>
      <c r="O11" s="39">
        <f t="shared" si="1"/>
        <v>0</v>
      </c>
      <c r="P11" s="99">
        <f t="shared" si="2"/>
        <v>0</v>
      </c>
      <c r="Q11" s="116">
        <f t="shared" si="3"/>
        <v>0</v>
      </c>
      <c r="R11" s="99">
        <f t="shared" si="4"/>
        <v>0</v>
      </c>
      <c r="T11" s="76">
        <f>IFERROR(VLOOKUP(J11,BMPs!$C$3:$F$69,3,FALSE),0)</f>
        <v>0</v>
      </c>
      <c r="U11" s="76">
        <f>IFERROR(VLOOKUP(J11,BMPs!$C$3:$F$69,5,FALSE),0)</f>
        <v>0</v>
      </c>
      <c r="V11" s="117">
        <f t="shared" si="7"/>
        <v>0</v>
      </c>
      <c r="W11" s="37">
        <f>IFERROR((D11*'Watershed Data'!$D$21+E11*'Watershed Data'!$E$21)/('LandUse-LandCover'!$E$30*'Watershed Data'!$D$23+'LandUse-LandCover'!$F$30*'Watershed Data'!$E$23),0)*BMPs!$M$6*BMPs!$M$8*BMPs!$M$12</f>
        <v>0</v>
      </c>
      <c r="X11" s="30">
        <f t="shared" si="5"/>
        <v>0</v>
      </c>
    </row>
    <row r="12" spans="1:25" x14ac:dyDescent="0.25">
      <c r="A12" t="str">
        <f>+BMPs!C12</f>
        <v>MILS</v>
      </c>
      <c r="B12" t="str">
        <f>+BMPs!D12</f>
        <v>Landscape Infiltration</v>
      </c>
      <c r="C12" s="27">
        <f>+Scenarios!M12</f>
        <v>0</v>
      </c>
      <c r="D12" s="27">
        <f>+Scenarios!N12</f>
        <v>0</v>
      </c>
      <c r="E12" s="22">
        <f t="shared" si="8"/>
        <v>0</v>
      </c>
      <c r="F12" s="76">
        <f>BMPs!E12</f>
        <v>0.85</v>
      </c>
      <c r="G12" s="242" t="s">
        <v>504</v>
      </c>
      <c r="H12" s="76">
        <f>IFERROR(VLOOKUP(A12,BMPs!$C$2:$J$64,HLOOKUP(G12,BMPs!$F$72:$I$73,2,FALSE),FALSE),0)</f>
        <v>0.5</v>
      </c>
      <c r="I12" s="97"/>
      <c r="J12" s="97"/>
      <c r="K12" s="99">
        <f>$C$50*(D12*'Watershed Data'!$D$23+(C12-D12)*VLOOKUP(G12,'Watershed Data'!$A$19:$E$22,5,FALSE))*3630</f>
        <v>0</v>
      </c>
      <c r="L12" s="37">
        <f t="shared" si="0"/>
        <v>0</v>
      </c>
      <c r="M12" s="30">
        <f>BMPs!$M$8*BMPs!$M$12</f>
        <v>1.08</v>
      </c>
      <c r="N12" s="108">
        <f t="shared" si="6"/>
        <v>0.5</v>
      </c>
      <c r="O12" s="39">
        <f t="shared" si="1"/>
        <v>0.92500000000000004</v>
      </c>
      <c r="P12" s="99">
        <f t="shared" si="2"/>
        <v>0</v>
      </c>
      <c r="Q12" s="116">
        <f t="shared" si="3"/>
        <v>0</v>
      </c>
      <c r="R12" s="99">
        <f t="shared" si="4"/>
        <v>0</v>
      </c>
      <c r="T12" s="76">
        <f>IFERROR(VLOOKUP(J12,BMPs!$C$3:$F$69,3,FALSE),0)</f>
        <v>0</v>
      </c>
      <c r="U12" s="76">
        <f>IFERROR(VLOOKUP(J12,BMPs!$C$3:$F$69,5,FALSE),0)</f>
        <v>0</v>
      </c>
      <c r="V12" s="117">
        <f t="shared" si="7"/>
        <v>0</v>
      </c>
      <c r="W12" s="37">
        <f>IFERROR((D12*'Watershed Data'!$D$21+E12*'Watershed Data'!$E$21)/('LandUse-LandCover'!$E$30*'Watershed Data'!$D$23+'LandUse-LandCover'!$F$30*'Watershed Data'!$E$23),0)*BMPs!$M$6*BMPs!$M$8*BMPs!$M$12</f>
        <v>0</v>
      </c>
      <c r="X12" s="30">
        <f t="shared" si="5"/>
        <v>0</v>
      </c>
    </row>
    <row r="13" spans="1:25" x14ac:dyDescent="0.25">
      <c r="A13" t="str">
        <f>+BMPs!C13</f>
        <v>MIBR</v>
      </c>
      <c r="B13" t="str">
        <f>+BMPs!D13</f>
        <v>Infiltration Berm</v>
      </c>
      <c r="C13" s="27">
        <f>+Scenarios!M13</f>
        <v>0</v>
      </c>
      <c r="D13" s="27">
        <f>+Scenarios!N13</f>
        <v>0</v>
      </c>
      <c r="E13" s="22">
        <f t="shared" si="8"/>
        <v>0</v>
      </c>
      <c r="F13" s="76">
        <f>BMPs!E13</f>
        <v>0.85</v>
      </c>
      <c r="G13" s="242" t="s">
        <v>504</v>
      </c>
      <c r="H13" s="76">
        <f>IFERROR(VLOOKUP(A13,BMPs!$C$2:$J$64,HLOOKUP(G13,BMPs!$F$72:$I$73,2,FALSE),FALSE),0)</f>
        <v>0.5</v>
      </c>
      <c r="I13" s="97"/>
      <c r="J13" s="97"/>
      <c r="K13" s="99">
        <f>$C$50*(D13*'Watershed Data'!$D$23+(C13-D13)*VLOOKUP(G13,'Watershed Data'!$A$19:$E$22,5,FALSE))*3630</f>
        <v>0</v>
      </c>
      <c r="L13" s="37">
        <f t="shared" si="0"/>
        <v>0</v>
      </c>
      <c r="M13" s="30">
        <f>BMPs!$M$8*BMPs!$M$12</f>
        <v>1.08</v>
      </c>
      <c r="N13" s="108">
        <f t="shared" si="6"/>
        <v>0.5</v>
      </c>
      <c r="O13" s="39">
        <f t="shared" si="1"/>
        <v>0.92500000000000004</v>
      </c>
      <c r="P13" s="99">
        <f t="shared" si="2"/>
        <v>0</v>
      </c>
      <c r="Q13" s="116">
        <f t="shared" si="3"/>
        <v>0</v>
      </c>
      <c r="R13" s="99">
        <f t="shared" si="4"/>
        <v>0</v>
      </c>
      <c r="T13" s="76">
        <f>IFERROR(VLOOKUP(J13,BMPs!$C$3:$F$69,3,FALSE),0)</f>
        <v>0</v>
      </c>
      <c r="U13" s="76">
        <f>IFERROR(VLOOKUP(J13,BMPs!$C$3:$F$69,5,FALSE),0)</f>
        <v>0</v>
      </c>
      <c r="V13" s="117">
        <f t="shared" si="7"/>
        <v>0</v>
      </c>
      <c r="W13" s="37">
        <f>IFERROR((D13*'Watershed Data'!$D$21+E13*'Watershed Data'!$E$21)/('LandUse-LandCover'!$E$30*'Watershed Data'!$D$23+'LandUse-LandCover'!$F$30*'Watershed Data'!$E$23),0)*BMPs!$M$6*BMPs!$M$8*BMPs!$M$12</f>
        <v>0</v>
      </c>
      <c r="X13" s="30">
        <f t="shared" si="5"/>
        <v>0</v>
      </c>
    </row>
    <row r="14" spans="1:25" x14ac:dyDescent="0.25">
      <c r="A14" t="str">
        <f>+BMPs!C14</f>
        <v>MIDW</v>
      </c>
      <c r="B14" t="str">
        <f>+BMPs!D14</f>
        <v>Dry Well</v>
      </c>
      <c r="C14" s="27">
        <f>+Scenarios!M14</f>
        <v>0</v>
      </c>
      <c r="D14" s="27">
        <f>+Scenarios!N14</f>
        <v>0</v>
      </c>
      <c r="E14" s="22">
        <f t="shared" si="8"/>
        <v>0</v>
      </c>
      <c r="F14" s="76">
        <f>BMPs!E14</f>
        <v>0.85</v>
      </c>
      <c r="G14" s="242" t="s">
        <v>504</v>
      </c>
      <c r="H14" s="76">
        <f>IFERROR(VLOOKUP(A14,BMPs!$C$2:$J$64,HLOOKUP(G14,BMPs!$F$72:$I$73,2,FALSE),FALSE),0)</f>
        <v>0.5</v>
      </c>
      <c r="I14" s="97"/>
      <c r="J14" s="97"/>
      <c r="K14" s="99">
        <f>$C$50*(D14*'Watershed Data'!$D$23+(C14-D14)*VLOOKUP(G14,'Watershed Data'!$A$19:$E$22,5,FALSE))*3630</f>
        <v>0</v>
      </c>
      <c r="L14" s="37">
        <f t="shared" si="0"/>
        <v>0</v>
      </c>
      <c r="M14" s="30">
        <f>BMPs!$M$8*BMPs!$M$12</f>
        <v>1.08</v>
      </c>
      <c r="N14" s="108">
        <f t="shared" si="6"/>
        <v>0.5</v>
      </c>
      <c r="O14" s="39">
        <f t="shared" si="1"/>
        <v>0.92500000000000004</v>
      </c>
      <c r="P14" s="99">
        <f t="shared" si="2"/>
        <v>0</v>
      </c>
      <c r="Q14" s="116">
        <f t="shared" si="3"/>
        <v>0</v>
      </c>
      <c r="R14" s="99">
        <f t="shared" si="4"/>
        <v>0</v>
      </c>
      <c r="T14" s="76">
        <f>IFERROR(VLOOKUP(J14,BMPs!$C$3:$F$69,3,FALSE),0)</f>
        <v>0</v>
      </c>
      <c r="U14" s="76">
        <f>IFERROR(VLOOKUP(J14,BMPs!$C$3:$F$69,5,FALSE),0)</f>
        <v>0</v>
      </c>
      <c r="V14" s="117">
        <f t="shared" si="7"/>
        <v>0</v>
      </c>
      <c r="W14" s="37">
        <f>IFERROR((D14*'Watershed Data'!$D$21+E14*'Watershed Data'!$E$21)/('LandUse-LandCover'!$E$30*'Watershed Data'!$D$23+'LandUse-LandCover'!$F$30*'Watershed Data'!$E$23),0)*BMPs!$M$6*BMPs!$M$8*BMPs!$M$12</f>
        <v>0</v>
      </c>
      <c r="X14" s="30">
        <f t="shared" si="5"/>
        <v>0</v>
      </c>
    </row>
    <row r="15" spans="1:25" x14ac:dyDescent="0.25">
      <c r="A15" t="str">
        <f>+BMPs!C15</f>
        <v>MMBR</v>
      </c>
      <c r="B15" t="str">
        <f>+BMPs!D15</f>
        <v>Micro-Bioretention</v>
      </c>
      <c r="C15" s="27">
        <f>+Scenarios!M15</f>
        <v>0</v>
      </c>
      <c r="D15" s="27">
        <f>+Scenarios!N15</f>
        <v>0</v>
      </c>
      <c r="E15" s="22">
        <f t="shared" si="8"/>
        <v>0</v>
      </c>
      <c r="F15" s="76">
        <f>BMPs!E15</f>
        <v>0.5</v>
      </c>
      <c r="G15" s="242" t="s">
        <v>504</v>
      </c>
      <c r="H15" s="76">
        <f>IFERROR(VLOOKUP(A15,BMPs!$C$2:$J$64,HLOOKUP(G15,BMPs!$F$72:$I$73,2,FALSE),FALSE),0)</f>
        <v>0.4</v>
      </c>
      <c r="I15" s="97"/>
      <c r="J15" s="97"/>
      <c r="K15" s="99">
        <f>$C$50*(D15*'Watershed Data'!$D$23+(C15-D15)*VLOOKUP(G15,'Watershed Data'!$A$19:$E$22,5,FALSE))*3630</f>
        <v>0</v>
      </c>
      <c r="L15" s="37">
        <f t="shared" si="0"/>
        <v>0</v>
      </c>
      <c r="M15" s="30">
        <f>BMPs!$M$8*BMPs!$M$12</f>
        <v>1.08</v>
      </c>
      <c r="N15" s="108">
        <f t="shared" si="6"/>
        <v>0.6</v>
      </c>
      <c r="O15" s="39">
        <f t="shared" si="1"/>
        <v>0.7</v>
      </c>
      <c r="P15" s="99">
        <f t="shared" si="2"/>
        <v>0</v>
      </c>
      <c r="Q15" s="116">
        <f t="shared" si="3"/>
        <v>0</v>
      </c>
      <c r="R15" s="99">
        <f t="shared" si="4"/>
        <v>0</v>
      </c>
      <c r="T15" s="76">
        <f>IFERROR(VLOOKUP(J15,BMPs!$C$3:$F$69,3,FALSE),0)</f>
        <v>0</v>
      </c>
      <c r="U15" s="76">
        <f>IFERROR(VLOOKUP(J15,BMPs!$C$3:$F$69,5,FALSE),0)</f>
        <v>0</v>
      </c>
      <c r="V15" s="117">
        <f t="shared" si="7"/>
        <v>0</v>
      </c>
      <c r="W15" s="37">
        <f>IFERROR((D15*'Watershed Data'!$D$21+E15*'Watershed Data'!$E$21)/('LandUse-LandCover'!$E$30*'Watershed Data'!$D$23+'LandUse-LandCover'!$F$30*'Watershed Data'!$E$23),0)*BMPs!$M$6*BMPs!$M$8*BMPs!$M$12</f>
        <v>0</v>
      </c>
      <c r="X15" s="30">
        <f t="shared" si="5"/>
        <v>0</v>
      </c>
    </row>
    <row r="16" spans="1:25" x14ac:dyDescent="0.25">
      <c r="A16" t="str">
        <f>+BMPs!C16</f>
        <v>MRNG</v>
      </c>
      <c r="B16" t="str">
        <f>+BMPs!D16</f>
        <v>Rain Gardens</v>
      </c>
      <c r="C16" s="27">
        <f>+Scenarios!M16</f>
        <v>0</v>
      </c>
      <c r="D16" s="27">
        <f>+Scenarios!N16</f>
        <v>0</v>
      </c>
      <c r="E16" s="22">
        <f t="shared" si="8"/>
        <v>0</v>
      </c>
      <c r="F16" s="76">
        <f>BMPs!E16</f>
        <v>0.5</v>
      </c>
      <c r="G16" s="242" t="s">
        <v>504</v>
      </c>
      <c r="H16" s="76">
        <f>IFERROR(VLOOKUP(A16,BMPs!$C$2:$J$64,HLOOKUP(G16,BMPs!$F$72:$I$73,2,FALSE),FALSE),0)</f>
        <v>0.4</v>
      </c>
      <c r="I16" s="97"/>
      <c r="J16" s="97"/>
      <c r="K16" s="99">
        <f>$C$50*(D16*'Watershed Data'!$D$23+(C16-D16)*VLOOKUP(G16,'Watershed Data'!$A$19:$E$22,5,FALSE))*3630</f>
        <v>0</v>
      </c>
      <c r="L16" s="37">
        <f t="shared" si="0"/>
        <v>0</v>
      </c>
      <c r="M16" s="30">
        <f>BMPs!$M$8*BMPs!$M$12</f>
        <v>1.08</v>
      </c>
      <c r="N16" s="108">
        <f t="shared" si="6"/>
        <v>0.6</v>
      </c>
      <c r="O16" s="39">
        <f t="shared" si="1"/>
        <v>0.7</v>
      </c>
      <c r="P16" s="99">
        <f t="shared" si="2"/>
        <v>0</v>
      </c>
      <c r="Q16" s="116">
        <f t="shared" si="3"/>
        <v>0</v>
      </c>
      <c r="R16" s="99">
        <f t="shared" si="4"/>
        <v>0</v>
      </c>
      <c r="T16" s="76">
        <f>IFERROR(VLOOKUP(J16,BMPs!$C$3:$F$69,3,FALSE),0)</f>
        <v>0</v>
      </c>
      <c r="U16" s="76">
        <f>IFERROR(VLOOKUP(J16,BMPs!$C$3:$F$69,5,FALSE),0)</f>
        <v>0</v>
      </c>
      <c r="V16" s="117">
        <f t="shared" si="7"/>
        <v>0</v>
      </c>
      <c r="W16" s="37">
        <f>IFERROR((D16*'Watershed Data'!$D$21+E16*'Watershed Data'!$E$21)/('LandUse-LandCover'!$E$30*'Watershed Data'!$D$23+'LandUse-LandCover'!$F$30*'Watershed Data'!$E$23),0)*BMPs!$M$6*BMPs!$M$8*BMPs!$M$12</f>
        <v>0</v>
      </c>
      <c r="X16" s="30">
        <f t="shared" si="5"/>
        <v>0</v>
      </c>
    </row>
    <row r="17" spans="1:25" x14ac:dyDescent="0.25">
      <c r="A17" t="str">
        <f>+BMPs!C17</f>
        <v>MSWG</v>
      </c>
      <c r="B17" t="str">
        <f>+BMPs!D17</f>
        <v>Grass Swale</v>
      </c>
      <c r="C17" s="27">
        <f>+Scenarios!M17</f>
        <v>1.27</v>
      </c>
      <c r="D17" s="27">
        <f>+Scenarios!N17</f>
        <v>0.3</v>
      </c>
      <c r="E17" s="22">
        <f t="shared" si="8"/>
        <v>0.97</v>
      </c>
      <c r="F17" s="112">
        <v>0</v>
      </c>
      <c r="G17" s="242" t="s">
        <v>504</v>
      </c>
      <c r="H17" s="76">
        <f>IFERROR(VLOOKUP(A17,BMPs!$C$2:$J$64,HLOOKUP(G17,BMPs!$F$72:$I$73,2,FALSE),FALSE),0)</f>
        <v>0.1</v>
      </c>
      <c r="I17" s="97"/>
      <c r="J17" s="97"/>
      <c r="K17" s="99">
        <f>$C$50*(D17*'Watershed Data'!$D$23+(C17-D17)*VLOOKUP(G17,'Watershed Data'!$A$19:$E$22,5,FALSE))*3630</f>
        <v>1809.3433054959248</v>
      </c>
      <c r="L17" s="37">
        <f t="shared" si="0"/>
        <v>5.9750408640184952E-5</v>
      </c>
      <c r="M17" s="30">
        <f>BMPs!$M$8*BMPs!$M$12</f>
        <v>1.08</v>
      </c>
      <c r="N17" s="108">
        <f t="shared" si="6"/>
        <v>0.9</v>
      </c>
      <c r="O17" s="39">
        <f t="shared" si="1"/>
        <v>0.1</v>
      </c>
      <c r="P17" s="99">
        <f t="shared" si="2"/>
        <v>15.182286872068666</v>
      </c>
      <c r="Q17" s="116">
        <f t="shared" si="3"/>
        <v>0</v>
      </c>
      <c r="R17" s="99">
        <f t="shared" si="4"/>
        <v>15.182286872068666</v>
      </c>
      <c r="T17" s="76">
        <f>IFERROR(VLOOKUP(J17,BMPs!$C$3:$F$69,3,FALSE),0)</f>
        <v>0</v>
      </c>
      <c r="U17" s="76">
        <f>IFERROR(VLOOKUP(J17,BMPs!$C$3:$F$69,5,FALSE),0)</f>
        <v>0</v>
      </c>
      <c r="V17" s="117">
        <f t="shared" si="7"/>
        <v>0</v>
      </c>
      <c r="W17" s="37">
        <f>IFERROR((D17*'Watershed Data'!$D$21+E17*'Watershed Data'!$E$21)/('LandUse-LandCover'!$E$30*'Watershed Data'!$D$23+'LandUse-LandCover'!$F$30*'Watershed Data'!$E$23),0)*BMPs!$M$6*BMPs!$M$8*BMPs!$M$12</f>
        <v>5.8072540502817602E-5</v>
      </c>
      <c r="X17" s="30">
        <f t="shared" si="5"/>
        <v>0</v>
      </c>
    </row>
    <row r="18" spans="1:25" x14ac:dyDescent="0.25">
      <c r="A18" t="str">
        <f>+BMPs!C18</f>
        <v>MSWW</v>
      </c>
      <c r="B18" t="str">
        <f>+BMPs!D18</f>
        <v>Wet Swale</v>
      </c>
      <c r="C18" s="27">
        <f>+Scenarios!M18</f>
        <v>0</v>
      </c>
      <c r="D18" s="27">
        <f>+Scenarios!N18</f>
        <v>0</v>
      </c>
      <c r="E18" s="22">
        <f t="shared" si="8"/>
        <v>0</v>
      </c>
      <c r="F18" s="76">
        <f>BMPs!E18</f>
        <v>0</v>
      </c>
      <c r="G18" s="242" t="s">
        <v>504</v>
      </c>
      <c r="H18" s="76">
        <f>IFERROR(VLOOKUP(A18,BMPs!$C$2:$J$64,HLOOKUP(G18,BMPs!$F$72:$I$73,2,FALSE),FALSE),0)</f>
        <v>0</v>
      </c>
      <c r="I18" s="97"/>
      <c r="J18" s="97"/>
      <c r="K18" s="99">
        <f>$C$50*(D18*'Watershed Data'!$D$23+(C18-D18)*VLOOKUP(G18,'Watershed Data'!$A$19:$E$22,5,FALSE))*3630</f>
        <v>0</v>
      </c>
      <c r="L18" s="37">
        <f t="shared" si="0"/>
        <v>0</v>
      </c>
      <c r="M18" s="30">
        <f>BMPs!$M$8*BMPs!$M$12</f>
        <v>1.08</v>
      </c>
      <c r="N18" s="108">
        <f t="shared" si="6"/>
        <v>1</v>
      </c>
      <c r="O18" s="39">
        <f t="shared" si="1"/>
        <v>0</v>
      </c>
      <c r="P18" s="99">
        <f t="shared" si="2"/>
        <v>0</v>
      </c>
      <c r="Q18" s="116">
        <f t="shared" si="3"/>
        <v>0</v>
      </c>
      <c r="R18" s="99">
        <f t="shared" si="4"/>
        <v>0</v>
      </c>
      <c r="T18" s="76">
        <f>IFERROR(VLOOKUP(J18,BMPs!$C$3:$F$69,3,FALSE),0)</f>
        <v>0</v>
      </c>
      <c r="U18" s="76">
        <f>IFERROR(VLOOKUP(J18,BMPs!$C$3:$F$69,5,FALSE),0)</f>
        <v>0</v>
      </c>
      <c r="V18" s="117">
        <f t="shared" si="7"/>
        <v>0</v>
      </c>
      <c r="W18" s="37">
        <f>IFERROR((D18*'Watershed Data'!$D$21+E18*'Watershed Data'!$E$21)/('LandUse-LandCover'!$E$30*'Watershed Data'!$D$23+'LandUse-LandCover'!$F$30*'Watershed Data'!$E$23),0)*BMPs!$M$6*BMPs!$M$8*BMPs!$M$12</f>
        <v>0</v>
      </c>
      <c r="X18" s="30">
        <f t="shared" si="5"/>
        <v>0</v>
      </c>
    </row>
    <row r="19" spans="1:25" x14ac:dyDescent="0.25">
      <c r="A19" t="str">
        <f>+BMPs!C19</f>
        <v>MSWB</v>
      </c>
      <c r="B19" t="str">
        <f>+BMPs!D19</f>
        <v>Bio-Swale</v>
      </c>
      <c r="C19" s="27">
        <f>+Scenarios!M19</f>
        <v>0</v>
      </c>
      <c r="D19" s="27">
        <f>+Scenarios!N19</f>
        <v>0</v>
      </c>
      <c r="E19" s="22">
        <f t="shared" si="8"/>
        <v>0</v>
      </c>
      <c r="F19" s="76">
        <f>BMPs!E19</f>
        <v>0</v>
      </c>
      <c r="G19" s="242" t="s">
        <v>504</v>
      </c>
      <c r="H19" s="76">
        <f>IFERROR(VLOOKUP(A19,BMPs!$C$2:$J$64,HLOOKUP(G19,BMPs!$F$72:$I$73,2,FALSE),FALSE),0)</f>
        <v>0.4</v>
      </c>
      <c r="I19" s="97"/>
      <c r="J19" s="97"/>
      <c r="K19" s="99">
        <f>$C$50*(D19*'Watershed Data'!$D$23+(C19-D19)*VLOOKUP(G19,'Watershed Data'!$A$19:$E$22,5,FALSE))*3630</f>
        <v>0</v>
      </c>
      <c r="L19" s="37">
        <f t="shared" si="0"/>
        <v>0</v>
      </c>
      <c r="M19" s="30">
        <f>BMPs!$M$8*BMPs!$M$12</f>
        <v>1.08</v>
      </c>
      <c r="N19" s="108">
        <f t="shared" si="6"/>
        <v>0.6</v>
      </c>
      <c r="O19" s="39">
        <f t="shared" si="1"/>
        <v>0.4</v>
      </c>
      <c r="P19" s="99">
        <f t="shared" si="2"/>
        <v>0</v>
      </c>
      <c r="Q19" s="116">
        <f t="shared" si="3"/>
        <v>0</v>
      </c>
      <c r="R19" s="99">
        <f t="shared" si="4"/>
        <v>0</v>
      </c>
      <c r="T19" s="76">
        <f>IFERROR(VLOOKUP(J19,BMPs!$C$3:$F$69,3,FALSE),0)</f>
        <v>0</v>
      </c>
      <c r="U19" s="76">
        <f>IFERROR(VLOOKUP(J19,BMPs!$C$3:$F$69,5,FALSE),0)</f>
        <v>0</v>
      </c>
      <c r="V19" s="117">
        <f t="shared" si="7"/>
        <v>0</v>
      </c>
      <c r="W19" s="37">
        <f>IFERROR((D19*'Watershed Data'!$D$21+E19*'Watershed Data'!$E$21)/('LandUse-LandCover'!$E$30*'Watershed Data'!$D$23+'LandUse-LandCover'!$F$30*'Watershed Data'!$E$23),0)*BMPs!$M$6*BMPs!$M$8*BMPs!$M$12</f>
        <v>0</v>
      </c>
      <c r="X19" s="30">
        <f t="shared" si="5"/>
        <v>0</v>
      </c>
    </row>
    <row r="20" spans="1:25" x14ac:dyDescent="0.25">
      <c r="A20" t="str">
        <f>+BMPs!C20</f>
        <v>MENF</v>
      </c>
      <c r="B20" t="str">
        <f>+BMPs!D20</f>
        <v>Enhanced Filters</v>
      </c>
      <c r="C20" s="27">
        <f>+Scenarios!M20</f>
        <v>0</v>
      </c>
      <c r="D20" s="27">
        <f>+Scenarios!N20</f>
        <v>0</v>
      </c>
      <c r="E20" s="22">
        <f t="shared" si="8"/>
        <v>0</v>
      </c>
      <c r="F20" s="76">
        <f>BMPs!E20</f>
        <v>0</v>
      </c>
      <c r="G20" s="242" t="s">
        <v>504</v>
      </c>
      <c r="H20" s="76">
        <f>IFERROR(VLOOKUP(A20,BMPs!$C$2:$J$64,HLOOKUP(G20,BMPs!$F$72:$I$73,2,FALSE),FALSE),0)</f>
        <v>0</v>
      </c>
      <c r="I20" s="97"/>
      <c r="J20" s="97"/>
      <c r="K20" s="99">
        <f>$C$50*(D20*'Watershed Data'!$D$23+(C20-D20)*VLOOKUP(G20,'Watershed Data'!$A$19:$E$22,5,FALSE))*3630</f>
        <v>0</v>
      </c>
      <c r="L20" s="37">
        <f t="shared" si="0"/>
        <v>0</v>
      </c>
      <c r="M20" s="30">
        <f>BMPs!$M$8*BMPs!$M$12</f>
        <v>1.08</v>
      </c>
      <c r="N20" s="108">
        <f t="shared" si="6"/>
        <v>1</v>
      </c>
      <c r="O20" s="39">
        <f t="shared" si="1"/>
        <v>0</v>
      </c>
      <c r="P20" s="99">
        <f t="shared" si="2"/>
        <v>0</v>
      </c>
      <c r="Q20" s="116">
        <f t="shared" si="3"/>
        <v>0</v>
      </c>
      <c r="R20" s="99">
        <f t="shared" si="4"/>
        <v>0</v>
      </c>
      <c r="T20" s="76">
        <f>IFERROR(VLOOKUP(J20,BMPs!$C$3:$F$69,3,FALSE),0)</f>
        <v>0</v>
      </c>
      <c r="U20" s="76">
        <f>IFERROR(VLOOKUP(J20,BMPs!$C$3:$F$69,5,FALSE),0)</f>
        <v>0</v>
      </c>
      <c r="V20" s="117">
        <f t="shared" si="7"/>
        <v>0</v>
      </c>
      <c r="W20" s="37">
        <f>IFERROR((D20*'Watershed Data'!$D$21+E20*'Watershed Data'!$E$21)/('LandUse-LandCover'!$E$30*'Watershed Data'!$D$23+'LandUse-LandCover'!$F$30*'Watershed Data'!$E$23),0)*BMPs!$M$6*BMPs!$M$8*BMPs!$M$12</f>
        <v>0</v>
      </c>
      <c r="X20" s="30">
        <f t="shared" si="5"/>
        <v>0</v>
      </c>
    </row>
    <row r="21" spans="1:25" x14ac:dyDescent="0.25">
      <c r="A21" t="str">
        <f>+BMPs!C21</f>
        <v>FBIO</v>
      </c>
      <c r="B21" t="str">
        <f>+BMPs!D21</f>
        <v>Bioretention</v>
      </c>
      <c r="C21" s="27">
        <f>+Scenarios!M21</f>
        <v>2.33</v>
      </c>
      <c r="D21" s="27">
        <f>+Scenarios!N21</f>
        <v>1.38</v>
      </c>
      <c r="E21" s="22">
        <f t="shared" si="8"/>
        <v>0.95000000000000018</v>
      </c>
      <c r="F21" s="76">
        <f>BMPs!E21</f>
        <v>0.5</v>
      </c>
      <c r="G21" s="242" t="s">
        <v>504</v>
      </c>
      <c r="H21" s="76">
        <f>IFERROR(VLOOKUP(A21,BMPs!$C$2:$J$64,HLOOKUP(G21,BMPs!$F$72:$I$73,2,FALSE),FALSE),0)</f>
        <v>0.4</v>
      </c>
      <c r="I21" s="97"/>
      <c r="J21" s="97"/>
      <c r="K21" s="99">
        <f>$C$50*(D21*'Watershed Data'!$D$23+(C21-D21)*VLOOKUP(G21,'Watershed Data'!$A$19:$E$22,5,FALSE))*3630</f>
        <v>5518.296005281255</v>
      </c>
      <c r="L21" s="37">
        <f t="shared" si="0"/>
        <v>1.8223210615228257E-4</v>
      </c>
      <c r="M21" s="30">
        <f>BMPs!$M$8*BMPs!$M$12</f>
        <v>1.08</v>
      </c>
      <c r="N21" s="108">
        <f t="shared" si="6"/>
        <v>0.6</v>
      </c>
      <c r="O21" s="39">
        <f t="shared" si="1"/>
        <v>0.7</v>
      </c>
      <c r="P21" s="99">
        <f t="shared" si="2"/>
        <v>324.13001402155112</v>
      </c>
      <c r="Q21" s="116">
        <f>+X21</f>
        <v>0</v>
      </c>
      <c r="R21" s="99">
        <f t="shared" si="4"/>
        <v>324.13001402155112</v>
      </c>
      <c r="T21" s="76">
        <f>IFERROR(VLOOKUP(J21,BMPs!$C$3:$F$69,3,FALSE),0)</f>
        <v>0</v>
      </c>
      <c r="U21" s="76">
        <f>IFERROR(VLOOKUP(J21,BMPs!$C$3:$F$69,5,FALSE),0)</f>
        <v>0</v>
      </c>
      <c r="V21" s="117">
        <f t="shared" si="7"/>
        <v>0</v>
      </c>
      <c r="W21" s="37">
        <f>IFERROR((D21*'Watershed Data'!$D$21+E21*'Watershed Data'!$E$21)/('LandUse-LandCover'!$E$30*'Watershed Data'!$D$23+'LandUse-LandCover'!$F$30*'Watershed Data'!$E$23),0)*BMPs!$M$6*BMPs!$M$8*BMPs!$M$12</f>
        <v>1.7710726638098468E-4</v>
      </c>
      <c r="X21" s="30">
        <f t="shared" si="5"/>
        <v>0</v>
      </c>
      <c r="Y21" s="111" t="s">
        <v>277</v>
      </c>
    </row>
    <row r="22" spans="1:25" x14ac:dyDescent="0.25">
      <c r="A22" t="str">
        <f>+BMPs!C22</f>
        <v>FSND</v>
      </c>
      <c r="B22" t="str">
        <f>+BMPs!D22</f>
        <v>Surface sand filter</v>
      </c>
      <c r="C22" s="27">
        <f>+Scenarios!M22</f>
        <v>0</v>
      </c>
      <c r="D22" s="27">
        <f>+Scenarios!N22</f>
        <v>0</v>
      </c>
      <c r="E22" s="22">
        <f t="shared" si="8"/>
        <v>0</v>
      </c>
      <c r="F22" s="76">
        <f>BMPs!E22</f>
        <v>0.8</v>
      </c>
      <c r="G22" s="242" t="s">
        <v>504</v>
      </c>
      <c r="H22" s="76">
        <f>IFERROR(VLOOKUP(A22,BMPs!$C$2:$J$64,HLOOKUP(G22,BMPs!$F$72:$I$73,2,FALSE),FALSE),0)</f>
        <v>0</v>
      </c>
      <c r="I22" s="97"/>
      <c r="J22" s="97"/>
      <c r="K22" s="99">
        <f>$C$50*(D22*'Watershed Data'!$D$23+(C22-D22)*VLOOKUP(G22,'Watershed Data'!$A$19:$E$22,5,FALSE))*3630</f>
        <v>0</v>
      </c>
      <c r="L22" s="37">
        <f t="shared" si="0"/>
        <v>0</v>
      </c>
      <c r="M22" s="30">
        <f>BMPs!$M$8*BMPs!$M$12</f>
        <v>1.08</v>
      </c>
      <c r="N22" s="108">
        <f t="shared" si="6"/>
        <v>1</v>
      </c>
      <c r="O22" s="39">
        <f t="shared" si="1"/>
        <v>0.8</v>
      </c>
      <c r="P22" s="99">
        <f t="shared" si="2"/>
        <v>0</v>
      </c>
      <c r="Q22" s="116">
        <f t="shared" ref="Q22:Q44" si="9">+X22</f>
        <v>0</v>
      </c>
      <c r="R22" s="99">
        <f t="shared" si="4"/>
        <v>0</v>
      </c>
      <c r="T22" s="76">
        <f>IFERROR(VLOOKUP(J22,BMPs!$C$3:$F$69,3,FALSE),0)</f>
        <v>0</v>
      </c>
      <c r="U22" s="76">
        <f>IFERROR(VLOOKUP(J22,BMPs!$C$3:$F$69,5,FALSE),0)</f>
        <v>0</v>
      </c>
      <c r="V22" s="117">
        <f t="shared" si="7"/>
        <v>0</v>
      </c>
      <c r="W22" s="37">
        <f>IFERROR((D22*'Watershed Data'!$D$21+E22*'Watershed Data'!$E$21)/('LandUse-LandCover'!$E$30*'Watershed Data'!$D$23+'LandUse-LandCover'!$F$30*'Watershed Data'!$E$23),0)*BMPs!$M$6*BMPs!$M$8*BMPs!$M$12</f>
        <v>0</v>
      </c>
      <c r="X22" s="30">
        <f t="shared" si="5"/>
        <v>0</v>
      </c>
    </row>
    <row r="23" spans="1:25" x14ac:dyDescent="0.25">
      <c r="A23" t="str">
        <f>+BMPs!C23</f>
        <v>FUND</v>
      </c>
      <c r="B23" t="str">
        <f>+BMPs!D23</f>
        <v>Underground sand filter</v>
      </c>
      <c r="C23" s="27">
        <f>+Scenarios!M23</f>
        <v>0</v>
      </c>
      <c r="D23" s="27">
        <f>+Scenarios!N23</f>
        <v>0</v>
      </c>
      <c r="E23" s="22">
        <f t="shared" si="8"/>
        <v>0</v>
      </c>
      <c r="F23" s="76">
        <f>BMPs!E23</f>
        <v>0.8</v>
      </c>
      <c r="G23" s="242" t="s">
        <v>504</v>
      </c>
      <c r="H23" s="76">
        <f>IFERROR(VLOOKUP(A23,BMPs!$C$2:$J$64,HLOOKUP(G23,BMPs!$F$72:$I$73,2,FALSE),FALSE),0)</f>
        <v>0</v>
      </c>
      <c r="I23" s="97"/>
      <c r="J23" s="97"/>
      <c r="K23" s="99">
        <f>$C$50*(D23*'Watershed Data'!$D$23+(C23-D23)*VLOOKUP(G23,'Watershed Data'!$A$19:$E$22,5,FALSE))*3630</f>
        <v>0</v>
      </c>
      <c r="L23" s="37">
        <f t="shared" si="0"/>
        <v>0</v>
      </c>
      <c r="M23" s="30">
        <f>BMPs!$M$8*BMPs!$M$12</f>
        <v>1.08</v>
      </c>
      <c r="N23" s="108">
        <f t="shared" si="6"/>
        <v>1</v>
      </c>
      <c r="O23" s="39">
        <f t="shared" si="1"/>
        <v>0.8</v>
      </c>
      <c r="P23" s="99">
        <f t="shared" si="2"/>
        <v>0</v>
      </c>
      <c r="Q23" s="116">
        <f t="shared" si="9"/>
        <v>0</v>
      </c>
      <c r="R23" s="99">
        <f t="shared" si="4"/>
        <v>0</v>
      </c>
      <c r="T23" s="76">
        <f>IFERROR(VLOOKUP(J23,BMPs!$C$3:$F$69,3,FALSE),0)</f>
        <v>0</v>
      </c>
      <c r="U23" s="76">
        <f>IFERROR(VLOOKUP(J23,BMPs!$C$3:$F$69,5,FALSE),0)</f>
        <v>0</v>
      </c>
      <c r="V23" s="117">
        <f t="shared" si="7"/>
        <v>0</v>
      </c>
      <c r="W23" s="37">
        <f>IFERROR((D23*'Watershed Data'!$D$21+E23*'Watershed Data'!$E$21)/('LandUse-LandCover'!$E$30*'Watershed Data'!$D$23+'LandUse-LandCover'!$F$30*'Watershed Data'!$E$23),0)*BMPs!$M$6*BMPs!$M$8*BMPs!$M$12</f>
        <v>0</v>
      </c>
      <c r="X23" s="30">
        <f t="shared" si="5"/>
        <v>0</v>
      </c>
    </row>
    <row r="24" spans="1:25" x14ac:dyDescent="0.25">
      <c r="A24" t="str">
        <f>+BMPs!C24</f>
        <v>FPER</v>
      </c>
      <c r="B24" t="str">
        <f>+BMPs!D24</f>
        <v>Perimeter (sand) filter</v>
      </c>
      <c r="C24" s="27">
        <f>+Scenarios!M24</f>
        <v>0</v>
      </c>
      <c r="D24" s="27">
        <f>+Scenarios!N24</f>
        <v>0</v>
      </c>
      <c r="E24" s="22">
        <f t="shared" si="8"/>
        <v>0</v>
      </c>
      <c r="F24" s="76">
        <f>BMPs!E24</f>
        <v>0.8</v>
      </c>
      <c r="G24" s="242" t="s">
        <v>504</v>
      </c>
      <c r="H24" s="76">
        <f>IFERROR(VLOOKUP(A24,BMPs!$C$2:$J$64,HLOOKUP(G24,BMPs!$F$72:$I$73,2,FALSE),FALSE),0)</f>
        <v>0</v>
      </c>
      <c r="I24" s="97"/>
      <c r="J24" s="97"/>
      <c r="K24" s="99">
        <f>$C$50*(D24*'Watershed Data'!$D$23+(C24-D24)*VLOOKUP(G24,'Watershed Data'!$A$19:$E$22,5,FALSE))*3630</f>
        <v>0</v>
      </c>
      <c r="L24" s="37">
        <f t="shared" si="0"/>
        <v>0</v>
      </c>
      <c r="M24" s="30">
        <f>BMPs!$M$8*BMPs!$M$12</f>
        <v>1.08</v>
      </c>
      <c r="N24" s="108">
        <f t="shared" si="6"/>
        <v>1</v>
      </c>
      <c r="O24" s="39">
        <f t="shared" si="1"/>
        <v>0.8</v>
      </c>
      <c r="P24" s="99">
        <f t="shared" si="2"/>
        <v>0</v>
      </c>
      <c r="Q24" s="116">
        <f t="shared" si="9"/>
        <v>0</v>
      </c>
      <c r="R24" s="99">
        <f t="shared" si="4"/>
        <v>0</v>
      </c>
      <c r="T24" s="76">
        <f>IFERROR(VLOOKUP(J24,BMPs!$C$3:$F$69,3,FALSE),0)</f>
        <v>0</v>
      </c>
      <c r="U24" s="76">
        <f>IFERROR(VLOOKUP(J24,BMPs!$C$3:$F$69,5,FALSE),0)</f>
        <v>0</v>
      </c>
      <c r="V24" s="117">
        <f t="shared" si="7"/>
        <v>0</v>
      </c>
      <c r="W24" s="37">
        <f>IFERROR((D24*'Watershed Data'!$D$21+E24*'Watershed Data'!$E$21)/('LandUse-LandCover'!$E$30*'Watershed Data'!$D$23+'LandUse-LandCover'!$F$30*'Watershed Data'!$E$23),0)*BMPs!$M$6*BMPs!$M$8*BMPs!$M$12</f>
        <v>0</v>
      </c>
      <c r="X24" s="30">
        <f t="shared" si="5"/>
        <v>0</v>
      </c>
    </row>
    <row r="25" spans="1:25" x14ac:dyDescent="0.25">
      <c r="A25" t="str">
        <f>+BMPs!C25</f>
        <v>FORG</v>
      </c>
      <c r="B25" t="str">
        <f>+BMPs!D25</f>
        <v>Organic filter</v>
      </c>
      <c r="C25" s="27">
        <f>+Scenarios!M25</f>
        <v>0</v>
      </c>
      <c r="D25" s="27">
        <f>+Scenarios!N25</f>
        <v>0</v>
      </c>
      <c r="E25" s="22">
        <f t="shared" si="8"/>
        <v>0</v>
      </c>
      <c r="F25" s="76">
        <f>BMPs!E25</f>
        <v>0.8</v>
      </c>
      <c r="G25" s="242" t="s">
        <v>504</v>
      </c>
      <c r="H25" s="76">
        <f>IFERROR(VLOOKUP(A25,BMPs!$C$2:$J$64,HLOOKUP(G25,BMPs!$F$72:$I$73,2,FALSE),FALSE),0)</f>
        <v>0</v>
      </c>
      <c r="I25" s="97"/>
      <c r="J25" s="97"/>
      <c r="K25" s="99">
        <f>$C$50*(D25*'Watershed Data'!$D$23+(C25-D25)*VLOOKUP(G25,'Watershed Data'!$A$19:$E$22,5,FALSE))*3630</f>
        <v>0</v>
      </c>
      <c r="L25" s="37">
        <f t="shared" si="0"/>
        <v>0</v>
      </c>
      <c r="M25" s="30">
        <f>BMPs!$M$8*BMPs!$M$12</f>
        <v>1.08</v>
      </c>
      <c r="N25" s="108">
        <f t="shared" si="6"/>
        <v>1</v>
      </c>
      <c r="O25" s="39">
        <f t="shared" si="1"/>
        <v>0.8</v>
      </c>
      <c r="P25" s="99">
        <f t="shared" si="2"/>
        <v>0</v>
      </c>
      <c r="Q25" s="116">
        <f t="shared" si="9"/>
        <v>0</v>
      </c>
      <c r="R25" s="99">
        <f t="shared" si="4"/>
        <v>0</v>
      </c>
      <c r="T25" s="76">
        <f>IFERROR(VLOOKUP(J25,BMPs!$C$3:$F$69,3,FALSE),0)</f>
        <v>0</v>
      </c>
      <c r="U25" s="76">
        <f>IFERROR(VLOOKUP(J25,BMPs!$C$3:$F$69,5,FALSE),0)</f>
        <v>0</v>
      </c>
      <c r="V25" s="117">
        <f t="shared" si="7"/>
        <v>0</v>
      </c>
      <c r="W25" s="37">
        <f>IFERROR((D25*'Watershed Data'!$D$21+E25*'Watershed Data'!$E$21)/('LandUse-LandCover'!$E$30*'Watershed Data'!$D$23+'LandUse-LandCover'!$F$30*'Watershed Data'!$E$23),0)*BMPs!$M$6*BMPs!$M$8*BMPs!$M$12</f>
        <v>0</v>
      </c>
      <c r="X25" s="30">
        <f t="shared" si="5"/>
        <v>0</v>
      </c>
    </row>
    <row r="26" spans="1:25" x14ac:dyDescent="0.25">
      <c r="A26" t="str">
        <f>+BMPs!C26</f>
        <v>--</v>
      </c>
      <c r="B26" t="str">
        <f>+BMPs!D26</f>
        <v>Other filtering</v>
      </c>
      <c r="C26" s="27">
        <f>+Scenarios!M26</f>
        <v>0</v>
      </c>
      <c r="D26" s="27">
        <f>+Scenarios!N26</f>
        <v>0</v>
      </c>
      <c r="E26" s="22">
        <f t="shared" si="8"/>
        <v>0</v>
      </c>
      <c r="F26" s="76">
        <f>BMPs!E26</f>
        <v>0</v>
      </c>
      <c r="G26" s="242" t="s">
        <v>504</v>
      </c>
      <c r="H26" s="76">
        <f>IFERROR(VLOOKUP(A26,BMPs!$C$2:$J$64,HLOOKUP(G26,BMPs!$F$72:$I$73,2,FALSE),FALSE),0)</f>
        <v>0</v>
      </c>
      <c r="I26" s="97"/>
      <c r="J26" s="97"/>
      <c r="K26" s="99">
        <f>$C$50*(D26*'Watershed Data'!$D$23+(C26-D26)*VLOOKUP(G26,'Watershed Data'!$A$19:$E$22,5,FALSE))*3630</f>
        <v>0</v>
      </c>
      <c r="L26" s="37">
        <f t="shared" si="0"/>
        <v>0</v>
      </c>
      <c r="M26" s="30">
        <f>BMPs!$M$8*BMPs!$M$12</f>
        <v>1.08</v>
      </c>
      <c r="N26" s="108">
        <f t="shared" si="6"/>
        <v>1</v>
      </c>
      <c r="O26" s="39">
        <f t="shared" si="1"/>
        <v>0</v>
      </c>
      <c r="P26" s="99">
        <f t="shared" si="2"/>
        <v>0</v>
      </c>
      <c r="Q26" s="116">
        <f t="shared" si="9"/>
        <v>0</v>
      </c>
      <c r="R26" s="99">
        <f t="shared" si="4"/>
        <v>0</v>
      </c>
      <c r="T26" s="76">
        <f>IFERROR(VLOOKUP(J26,BMPs!$C$3:$F$69,3,FALSE),0)</f>
        <v>0</v>
      </c>
      <c r="U26" s="76">
        <f>IFERROR(VLOOKUP(J26,BMPs!$C$3:$F$69,5,FALSE),0)</f>
        <v>0</v>
      </c>
      <c r="V26" s="117">
        <f t="shared" si="7"/>
        <v>0</v>
      </c>
      <c r="W26" s="37">
        <f>IFERROR((D26*'Watershed Data'!$D$21+E26*'Watershed Data'!$E$21)/('LandUse-LandCover'!$E$30*'Watershed Data'!$D$23+'LandUse-LandCover'!$F$30*'Watershed Data'!$E$23),0)*BMPs!$M$6*BMPs!$M$8*BMPs!$M$12</f>
        <v>0</v>
      </c>
      <c r="X26" s="30">
        <f t="shared" si="5"/>
        <v>0</v>
      </c>
    </row>
    <row r="27" spans="1:25" x14ac:dyDescent="0.25">
      <c r="A27" t="str">
        <f>+BMPs!C27</f>
        <v>ODSW</v>
      </c>
      <c r="B27" t="str">
        <f>+BMPs!D27</f>
        <v>Dry swale</v>
      </c>
      <c r="C27" s="27">
        <f>+Scenarios!M27</f>
        <v>0</v>
      </c>
      <c r="D27" s="27">
        <f>+Scenarios!N27</f>
        <v>0</v>
      </c>
      <c r="E27" s="22">
        <f t="shared" si="8"/>
        <v>0</v>
      </c>
      <c r="F27" s="76">
        <f>BMPs!E27</f>
        <v>0</v>
      </c>
      <c r="G27" s="242" t="s">
        <v>504</v>
      </c>
      <c r="H27" s="76">
        <f>IFERROR(VLOOKUP(A27,BMPs!$C$2:$J$64,HLOOKUP(G27,BMPs!$F$72:$I$73,2,FALSE),FALSE),0)</f>
        <v>0.4</v>
      </c>
      <c r="I27" s="97"/>
      <c r="J27" s="97"/>
      <c r="K27" s="99">
        <f>$C$50*(D27*'Watershed Data'!$D$23+(C27-D27)*VLOOKUP(G27,'Watershed Data'!$A$19:$E$22,5,FALSE))*3630</f>
        <v>0</v>
      </c>
      <c r="L27" s="37">
        <f t="shared" si="0"/>
        <v>0</v>
      </c>
      <c r="M27" s="30">
        <f>BMPs!$M$8*BMPs!$M$12</f>
        <v>1.08</v>
      </c>
      <c r="N27" s="108">
        <f t="shared" si="6"/>
        <v>0.6</v>
      </c>
      <c r="O27" s="39">
        <f t="shared" si="1"/>
        <v>0.4</v>
      </c>
      <c r="P27" s="99">
        <f t="shared" si="2"/>
        <v>0</v>
      </c>
      <c r="Q27" s="116">
        <f t="shared" si="9"/>
        <v>0</v>
      </c>
      <c r="R27" s="99">
        <f t="shared" si="4"/>
        <v>0</v>
      </c>
      <c r="T27" s="76">
        <f>IFERROR(VLOOKUP(J27,BMPs!$C$3:$F$69,3,FALSE),0)</f>
        <v>0</v>
      </c>
      <c r="U27" s="76">
        <f>IFERROR(VLOOKUP(J27,BMPs!$C$3:$F$69,5,FALSE),0)</f>
        <v>0</v>
      </c>
      <c r="V27" s="117">
        <f t="shared" si="7"/>
        <v>0</v>
      </c>
      <c r="W27" s="37">
        <f>IFERROR((D27*'Watershed Data'!$D$21+E27*'Watershed Data'!$E$21)/('LandUse-LandCover'!$E$30*'Watershed Data'!$D$23+'LandUse-LandCover'!$F$30*'Watershed Data'!$E$23),0)*BMPs!$M$6*BMPs!$M$8*BMPs!$M$12</f>
        <v>0</v>
      </c>
      <c r="X27" s="30">
        <f t="shared" si="5"/>
        <v>0</v>
      </c>
    </row>
    <row r="28" spans="1:25" x14ac:dyDescent="0.25">
      <c r="A28" t="str">
        <f>+BMPs!C28</f>
        <v>OWSW</v>
      </c>
      <c r="B28" t="str">
        <f>+BMPs!D28</f>
        <v>Wet swale</v>
      </c>
      <c r="C28" s="27">
        <f>+Scenarios!M28</f>
        <v>0</v>
      </c>
      <c r="D28" s="27">
        <f>+Scenarios!N28</f>
        <v>0</v>
      </c>
      <c r="E28" s="22">
        <f t="shared" si="8"/>
        <v>0</v>
      </c>
      <c r="F28" s="76">
        <f>BMPs!E28</f>
        <v>0</v>
      </c>
      <c r="G28" s="242" t="s">
        <v>504</v>
      </c>
      <c r="H28" s="76">
        <f>IFERROR(VLOOKUP(A28,BMPs!$C$2:$J$64,HLOOKUP(G28,BMPs!$F$72:$I$73,2,FALSE),FALSE),0)</f>
        <v>0</v>
      </c>
      <c r="I28" s="97"/>
      <c r="J28" s="97"/>
      <c r="K28" s="99">
        <f>$C$50*(D28*'Watershed Data'!$D$23+(C28-D28)*VLOOKUP(G28,'Watershed Data'!$A$19:$E$22,5,FALSE))*3630</f>
        <v>0</v>
      </c>
      <c r="L28" s="37">
        <f t="shared" si="0"/>
        <v>0</v>
      </c>
      <c r="M28" s="30">
        <f>BMPs!$M$8*BMPs!$M$12</f>
        <v>1.08</v>
      </c>
      <c r="N28" s="108">
        <f t="shared" si="6"/>
        <v>1</v>
      </c>
      <c r="O28" s="39">
        <f t="shared" si="1"/>
        <v>0</v>
      </c>
      <c r="P28" s="99">
        <f t="shared" si="2"/>
        <v>0</v>
      </c>
      <c r="Q28" s="116">
        <f t="shared" si="9"/>
        <v>0</v>
      </c>
      <c r="R28" s="99">
        <f t="shared" si="4"/>
        <v>0</v>
      </c>
      <c r="T28" s="76">
        <f>IFERROR(VLOOKUP(J28,BMPs!$C$3:$F$69,3,FALSE),0)</f>
        <v>0</v>
      </c>
      <c r="U28" s="76">
        <f>IFERROR(VLOOKUP(J28,BMPs!$C$3:$F$69,5,FALSE),0)</f>
        <v>0</v>
      </c>
      <c r="V28" s="117">
        <f t="shared" si="7"/>
        <v>0</v>
      </c>
      <c r="W28" s="37">
        <f>IFERROR((D28*'Watershed Data'!$D$21+E28*'Watershed Data'!$E$21)/('LandUse-LandCover'!$E$30*'Watershed Data'!$D$23+'LandUse-LandCover'!$F$30*'Watershed Data'!$E$23),0)*BMPs!$M$6*BMPs!$M$8*BMPs!$M$12</f>
        <v>0</v>
      </c>
      <c r="X28" s="30">
        <f t="shared" si="5"/>
        <v>0</v>
      </c>
    </row>
    <row r="29" spans="1:25" x14ac:dyDescent="0.25">
      <c r="A29" t="str">
        <f>+BMPs!C29</f>
        <v>PWED</v>
      </c>
      <c r="B29" t="str">
        <f>+BMPs!D29</f>
        <v>Wet extended detention pond</v>
      </c>
      <c r="C29" s="27">
        <f>+Scenarios!M29</f>
        <v>248.89</v>
      </c>
      <c r="D29" s="27">
        <f>+Scenarios!N29</f>
        <v>91.66</v>
      </c>
      <c r="E29" s="22">
        <f t="shared" si="8"/>
        <v>157.22999999999999</v>
      </c>
      <c r="F29" s="76">
        <f>BMPs!E29</f>
        <v>0.7</v>
      </c>
      <c r="G29" s="242" t="s">
        <v>504</v>
      </c>
      <c r="H29" s="76">
        <f>IFERROR(VLOOKUP(A29,BMPs!$C$2:$J$64,HLOOKUP(G29,BMPs!$F$72:$I$73,2,FALSE),FALSE),0)</f>
        <v>0</v>
      </c>
      <c r="I29" s="97"/>
      <c r="J29" s="97"/>
      <c r="K29" s="99">
        <f>$C$50*(D29*'Watershed Data'!$D$23+(C29-D29)*VLOOKUP(G29,'Watershed Data'!$A$19:$E$22,5,FALSE))*3630</f>
        <v>441699.61687252158</v>
      </c>
      <c r="L29" s="37">
        <f t="shared" si="0"/>
        <v>1.458635988216319E-2</v>
      </c>
      <c r="M29" s="30">
        <f>BMPs!$M$8*BMPs!$M$12</f>
        <v>1.08</v>
      </c>
      <c r="N29" s="108">
        <f t="shared" si="6"/>
        <v>1</v>
      </c>
      <c r="O29" s="39">
        <f t="shared" si="1"/>
        <v>0.7</v>
      </c>
      <c r="P29" s="99">
        <f t="shared" si="2"/>
        <v>25944.259400580533</v>
      </c>
      <c r="Q29" s="116">
        <f t="shared" si="9"/>
        <v>0</v>
      </c>
      <c r="R29" s="99">
        <f t="shared" si="4"/>
        <v>25944.259400580533</v>
      </c>
      <c r="T29" s="76">
        <f>IFERROR(VLOOKUP(J29,BMPs!$C$3:$F$69,3,FALSE),0)</f>
        <v>0</v>
      </c>
      <c r="U29" s="76">
        <f>IFERROR(VLOOKUP(J29,BMPs!$C$3:$F$69,5,FALSE),0)</f>
        <v>0</v>
      </c>
      <c r="V29" s="117">
        <f t="shared" si="7"/>
        <v>0</v>
      </c>
      <c r="W29" s="37">
        <f>IFERROR((D29*'Watershed Data'!$D$21+E29*'Watershed Data'!$E$21)/('LandUse-LandCover'!$E$30*'Watershed Data'!$D$23+'LandUse-LandCover'!$F$30*'Watershed Data'!$E$23),0)*BMPs!$M$6*BMPs!$M$8*BMPs!$M$12</f>
        <v>1.417645792311519E-2</v>
      </c>
      <c r="X29" s="30">
        <f t="shared" si="5"/>
        <v>0</v>
      </c>
    </row>
    <row r="30" spans="1:25" x14ac:dyDescent="0.25">
      <c r="A30" t="str">
        <f>+BMPs!C30</f>
        <v>PWET</v>
      </c>
      <c r="B30" t="str">
        <f>+BMPs!D30</f>
        <v>Wet pond</v>
      </c>
      <c r="C30" s="27">
        <f>+Scenarios!M30</f>
        <v>0</v>
      </c>
      <c r="D30" s="27">
        <f>+Scenarios!N30</f>
        <v>0</v>
      </c>
      <c r="E30" s="22">
        <f t="shared" si="8"/>
        <v>0</v>
      </c>
      <c r="F30" s="76">
        <f>BMPs!E30</f>
        <v>0.7</v>
      </c>
      <c r="G30" s="242" t="s">
        <v>504</v>
      </c>
      <c r="H30" s="76">
        <f>IFERROR(VLOOKUP(A30,BMPs!$C$2:$J$64,HLOOKUP(G30,BMPs!$F$72:$I$73,2,FALSE),FALSE),0)</f>
        <v>0</v>
      </c>
      <c r="I30" s="97"/>
      <c r="J30" s="97"/>
      <c r="K30" s="99">
        <f>$C$50*(D30*'Watershed Data'!$D$23+(C30-D30)*VLOOKUP(G30,'Watershed Data'!$A$19:$E$22,5,FALSE))*3630</f>
        <v>0</v>
      </c>
      <c r="L30" s="37">
        <f t="shared" si="0"/>
        <v>0</v>
      </c>
      <c r="M30" s="30">
        <f>BMPs!$M$8*BMPs!$M$12</f>
        <v>1.08</v>
      </c>
      <c r="N30" s="108">
        <f t="shared" si="6"/>
        <v>1</v>
      </c>
      <c r="O30" s="39">
        <f t="shared" si="1"/>
        <v>0.7</v>
      </c>
      <c r="P30" s="99">
        <f t="shared" si="2"/>
        <v>0</v>
      </c>
      <c r="Q30" s="116">
        <f t="shared" si="9"/>
        <v>0</v>
      </c>
      <c r="R30" s="99">
        <f t="shared" si="4"/>
        <v>0</v>
      </c>
      <c r="T30" s="76">
        <f>IFERROR(VLOOKUP(J30,BMPs!$C$3:$F$69,3,FALSE),0)</f>
        <v>0</v>
      </c>
      <c r="U30" s="76">
        <f>IFERROR(VLOOKUP(J30,BMPs!$C$3:$F$69,5,FALSE),0)</f>
        <v>0</v>
      </c>
      <c r="V30" s="117">
        <f t="shared" si="7"/>
        <v>0</v>
      </c>
      <c r="W30" s="37">
        <f>IFERROR((D30*'Watershed Data'!$D$21+E30*'Watershed Data'!$E$21)/('LandUse-LandCover'!$E$30*'Watershed Data'!$D$23+'LandUse-LandCover'!$F$30*'Watershed Data'!$E$23),0)*BMPs!$M$6*BMPs!$M$8*BMPs!$M$12</f>
        <v>0</v>
      </c>
      <c r="X30" s="30">
        <f t="shared" si="5"/>
        <v>0</v>
      </c>
    </row>
    <row r="31" spans="1:25" x14ac:dyDescent="0.25">
      <c r="A31" t="str">
        <f>+BMPs!C31</f>
        <v>PMPS</v>
      </c>
      <c r="B31" t="str">
        <f>+BMPs!D31</f>
        <v>Multiple Pond Systems</v>
      </c>
      <c r="C31" s="27">
        <f>+Scenarios!M31</f>
        <v>0</v>
      </c>
      <c r="D31" s="27">
        <f>+Scenarios!N31</f>
        <v>0</v>
      </c>
      <c r="E31" s="22">
        <f t="shared" si="8"/>
        <v>0</v>
      </c>
      <c r="F31" s="76">
        <f>BMPs!E31</f>
        <v>0.7</v>
      </c>
      <c r="G31" s="242" t="s">
        <v>504</v>
      </c>
      <c r="H31" s="76">
        <f>IFERROR(VLOOKUP(A31,BMPs!$C$2:$J$64,HLOOKUP(G31,BMPs!$F$72:$I$73,2,FALSE),FALSE),0)</f>
        <v>0</v>
      </c>
      <c r="I31" s="97"/>
      <c r="J31" s="97"/>
      <c r="K31" s="99">
        <f>$C$50*(D31*'Watershed Data'!$D$23+(C31-D31)*VLOOKUP(G31,'Watershed Data'!$A$19:$E$22,5,FALSE))*3630</f>
        <v>0</v>
      </c>
      <c r="L31" s="37">
        <f t="shared" si="0"/>
        <v>0</v>
      </c>
      <c r="M31" s="30">
        <f>BMPs!$M$8*BMPs!$M$12</f>
        <v>1.08</v>
      </c>
      <c r="N31" s="108">
        <f t="shared" si="6"/>
        <v>1</v>
      </c>
      <c r="O31" s="39">
        <f t="shared" si="1"/>
        <v>0.7</v>
      </c>
      <c r="P31" s="99">
        <f t="shared" si="2"/>
        <v>0</v>
      </c>
      <c r="Q31" s="116">
        <f t="shared" si="9"/>
        <v>0</v>
      </c>
      <c r="R31" s="99">
        <f t="shared" si="4"/>
        <v>0</v>
      </c>
      <c r="T31" s="76">
        <f>IFERROR(VLOOKUP(J31,BMPs!$C$3:$F$69,3,FALSE),0)</f>
        <v>0</v>
      </c>
      <c r="U31" s="76">
        <f>IFERROR(VLOOKUP(J31,BMPs!$C$3:$F$69,5,FALSE),0)</f>
        <v>0</v>
      </c>
      <c r="V31" s="117">
        <f t="shared" si="7"/>
        <v>0</v>
      </c>
      <c r="W31" s="37">
        <f>IFERROR((D31*'Watershed Data'!$D$21+E31*'Watershed Data'!$E$21)/('LandUse-LandCover'!$E$30*'Watershed Data'!$D$23+'LandUse-LandCover'!$F$30*'Watershed Data'!$E$23),0)*BMPs!$M$6*BMPs!$M$8*BMPs!$M$12</f>
        <v>0</v>
      </c>
      <c r="X31" s="30">
        <f t="shared" si="5"/>
        <v>0</v>
      </c>
    </row>
    <row r="32" spans="1:25" x14ac:dyDescent="0.25">
      <c r="A32" t="str">
        <f>+BMPs!C32</f>
        <v>PPKT</v>
      </c>
      <c r="B32" t="str">
        <f>+BMPs!D32</f>
        <v>Pocket pond</v>
      </c>
      <c r="C32" s="27">
        <f>+Scenarios!M32</f>
        <v>0</v>
      </c>
      <c r="D32" s="27">
        <f>+Scenarios!N32</f>
        <v>0</v>
      </c>
      <c r="E32" s="22">
        <f t="shared" si="8"/>
        <v>0</v>
      </c>
      <c r="F32" s="76">
        <f>BMPs!E32</f>
        <v>0.7</v>
      </c>
      <c r="G32" s="242" t="s">
        <v>504</v>
      </c>
      <c r="H32" s="76">
        <f>IFERROR(VLOOKUP(A32,BMPs!$C$2:$J$64,HLOOKUP(G32,BMPs!$F$72:$I$73,2,FALSE),FALSE),0)</f>
        <v>0</v>
      </c>
      <c r="I32" s="97"/>
      <c r="J32" s="97"/>
      <c r="K32" s="99">
        <f>$C$50*(D32*'Watershed Data'!$D$23+(C32-D32)*VLOOKUP(G32,'Watershed Data'!$A$19:$E$22,5,FALSE))*3630</f>
        <v>0</v>
      </c>
      <c r="L32" s="37">
        <f t="shared" si="0"/>
        <v>0</v>
      </c>
      <c r="M32" s="30">
        <f>BMPs!$M$8*BMPs!$M$12</f>
        <v>1.08</v>
      </c>
      <c r="N32" s="108">
        <f t="shared" si="6"/>
        <v>1</v>
      </c>
      <c r="O32" s="39">
        <f t="shared" si="1"/>
        <v>0.7</v>
      </c>
      <c r="P32" s="99">
        <f t="shared" si="2"/>
        <v>0</v>
      </c>
      <c r="Q32" s="116">
        <f t="shared" si="9"/>
        <v>0</v>
      </c>
      <c r="R32" s="99">
        <f t="shared" si="4"/>
        <v>0</v>
      </c>
      <c r="T32" s="76">
        <f>IFERROR(VLOOKUP(J32,BMPs!$C$3:$F$69,3,FALSE),0)</f>
        <v>0</v>
      </c>
      <c r="U32" s="76">
        <f>IFERROR(VLOOKUP(J32,BMPs!$C$3:$F$69,5,FALSE),0)</f>
        <v>0</v>
      </c>
      <c r="V32" s="117">
        <f t="shared" si="7"/>
        <v>0</v>
      </c>
      <c r="W32" s="37">
        <f>IFERROR((D32*'Watershed Data'!$D$21+E32*'Watershed Data'!$E$21)/('LandUse-LandCover'!$E$30*'Watershed Data'!$D$23+'LandUse-LandCover'!$F$30*'Watershed Data'!$E$23),0)*BMPs!$M$6*BMPs!$M$8*BMPs!$M$12</f>
        <v>0</v>
      </c>
      <c r="X32" s="30">
        <f t="shared" si="5"/>
        <v>0</v>
      </c>
    </row>
    <row r="33" spans="1:24" x14ac:dyDescent="0.25">
      <c r="A33" t="str">
        <f>+BMPs!C33</f>
        <v>PMED</v>
      </c>
      <c r="B33" t="str">
        <f>+BMPs!D33</f>
        <v>Micropool extended detention pond</v>
      </c>
      <c r="C33" s="27">
        <f>+Scenarios!M33</f>
        <v>0</v>
      </c>
      <c r="D33" s="27">
        <f>+Scenarios!N33</f>
        <v>0</v>
      </c>
      <c r="E33" s="22">
        <f t="shared" si="8"/>
        <v>0</v>
      </c>
      <c r="F33" s="76">
        <f>BMPs!E33</f>
        <v>0.7</v>
      </c>
      <c r="G33" s="242" t="s">
        <v>504</v>
      </c>
      <c r="H33" s="76">
        <f>IFERROR(VLOOKUP(A33,BMPs!$C$2:$J$64,HLOOKUP(G33,BMPs!$F$72:$I$73,2,FALSE),FALSE),0)</f>
        <v>0</v>
      </c>
      <c r="I33" s="97"/>
      <c r="J33" s="97"/>
      <c r="K33" s="99">
        <f>$C$50*(D33*'Watershed Data'!$D$23+(C33-D33)*VLOOKUP(G33,'Watershed Data'!$A$19:$E$22,5,FALSE))*3630</f>
        <v>0</v>
      </c>
      <c r="L33" s="37">
        <f t="shared" si="0"/>
        <v>0</v>
      </c>
      <c r="M33" s="30">
        <f>BMPs!$M$8*BMPs!$M$12</f>
        <v>1.08</v>
      </c>
      <c r="N33" s="108">
        <f t="shared" si="6"/>
        <v>1</v>
      </c>
      <c r="O33" s="39">
        <f t="shared" si="1"/>
        <v>0.7</v>
      </c>
      <c r="P33" s="99">
        <f t="shared" si="2"/>
        <v>0</v>
      </c>
      <c r="Q33" s="116">
        <f t="shared" si="9"/>
        <v>0</v>
      </c>
      <c r="R33" s="99">
        <f t="shared" si="4"/>
        <v>0</v>
      </c>
      <c r="T33" s="76">
        <f>IFERROR(VLOOKUP(J33,BMPs!$C$3:$F$69,3,FALSE),0)</f>
        <v>0</v>
      </c>
      <c r="U33" s="76">
        <f>IFERROR(VLOOKUP(J33,BMPs!$C$3:$F$69,5,FALSE),0)</f>
        <v>0</v>
      </c>
      <c r="V33" s="117">
        <f t="shared" si="7"/>
        <v>0</v>
      </c>
      <c r="W33" s="37">
        <f>IFERROR((D33*'Watershed Data'!$D$21+E33*'Watershed Data'!$E$21)/('LandUse-LandCover'!$E$30*'Watershed Data'!$D$23+'LandUse-LandCover'!$F$30*'Watershed Data'!$E$23),0)*BMPs!$M$6*BMPs!$M$8*BMPs!$M$12</f>
        <v>0</v>
      </c>
      <c r="X33" s="30">
        <f t="shared" si="5"/>
        <v>0</v>
      </c>
    </row>
    <row r="34" spans="1:24" x14ac:dyDescent="0.25">
      <c r="A34" t="str">
        <f>+BMPs!C34</f>
        <v>WSHW</v>
      </c>
      <c r="B34" t="str">
        <f>+BMPs!D34</f>
        <v>Shallow marsh</v>
      </c>
      <c r="C34" s="27">
        <f>+Scenarios!M34</f>
        <v>0</v>
      </c>
      <c r="D34" s="27">
        <f>+Scenarios!N34</f>
        <v>0</v>
      </c>
      <c r="E34" s="22">
        <f t="shared" si="8"/>
        <v>0</v>
      </c>
      <c r="F34" s="76">
        <f>BMPs!E34</f>
        <v>0.8</v>
      </c>
      <c r="G34" s="242" t="s">
        <v>504</v>
      </c>
      <c r="H34" s="76">
        <f>IFERROR(VLOOKUP(A34,BMPs!$C$2:$J$64,HLOOKUP(G34,BMPs!$F$72:$I$73,2,FALSE),FALSE),0)</f>
        <v>0</v>
      </c>
      <c r="I34" s="97"/>
      <c r="J34" s="97"/>
      <c r="K34" s="99">
        <f>$C$50*(D34*'Watershed Data'!$D$23+(C34-D34)*VLOOKUP(G34,'Watershed Data'!$A$19:$E$22,5,FALSE))*3630</f>
        <v>0</v>
      </c>
      <c r="L34" s="37">
        <f t="shared" si="0"/>
        <v>0</v>
      </c>
      <c r="M34" s="30">
        <f>BMPs!$M$8*BMPs!$M$12</f>
        <v>1.08</v>
      </c>
      <c r="N34" s="108">
        <f t="shared" si="6"/>
        <v>1</v>
      </c>
      <c r="O34" s="39">
        <f t="shared" si="1"/>
        <v>0.8</v>
      </c>
      <c r="P34" s="99">
        <f t="shared" si="2"/>
        <v>0</v>
      </c>
      <c r="Q34" s="116">
        <f t="shared" si="9"/>
        <v>0</v>
      </c>
      <c r="R34" s="99">
        <f t="shared" si="4"/>
        <v>0</v>
      </c>
      <c r="T34" s="76">
        <f>IFERROR(VLOOKUP(J34,BMPs!$C$3:$F$69,3,FALSE),0)</f>
        <v>0</v>
      </c>
      <c r="U34" s="76">
        <f>IFERROR(VLOOKUP(J34,BMPs!$C$3:$F$69,5,FALSE),0)</f>
        <v>0</v>
      </c>
      <c r="V34" s="117">
        <f t="shared" si="7"/>
        <v>0</v>
      </c>
      <c r="W34" s="37">
        <f>IFERROR((D34*'Watershed Data'!$D$21+E34*'Watershed Data'!$E$21)/('LandUse-LandCover'!$E$30*'Watershed Data'!$D$23+'LandUse-LandCover'!$F$30*'Watershed Data'!$E$23),0)*BMPs!$M$6*BMPs!$M$8*BMPs!$M$12</f>
        <v>0</v>
      </c>
      <c r="X34" s="30">
        <f t="shared" si="5"/>
        <v>0</v>
      </c>
    </row>
    <row r="35" spans="1:24" x14ac:dyDescent="0.25">
      <c r="A35" t="str">
        <f>+BMPs!C35</f>
        <v>WEDW</v>
      </c>
      <c r="B35" t="str">
        <f>+BMPs!D35</f>
        <v>ED shallow wetland</v>
      </c>
      <c r="C35" s="27">
        <f>+Scenarios!M35</f>
        <v>0</v>
      </c>
      <c r="D35" s="27">
        <f>+Scenarios!N35</f>
        <v>0</v>
      </c>
      <c r="E35" s="22">
        <f t="shared" si="8"/>
        <v>0</v>
      </c>
      <c r="F35" s="76">
        <f>BMPs!E35</f>
        <v>0.8</v>
      </c>
      <c r="G35" s="242" t="s">
        <v>504</v>
      </c>
      <c r="H35" s="76">
        <f>IFERROR(VLOOKUP(A35,BMPs!$C$2:$J$64,HLOOKUP(G35,BMPs!$F$72:$I$73,2,FALSE),FALSE),0)</f>
        <v>0</v>
      </c>
      <c r="I35" s="97"/>
      <c r="J35" s="97"/>
      <c r="K35" s="99">
        <f>$C$50*(D35*'Watershed Data'!$D$23+(C35-D35)*VLOOKUP(G35,'Watershed Data'!$A$19:$E$22,5,FALSE))*3630</f>
        <v>0</v>
      </c>
      <c r="L35" s="37">
        <f t="shared" si="0"/>
        <v>0</v>
      </c>
      <c r="M35" s="30">
        <f>BMPs!$M$8*BMPs!$M$12</f>
        <v>1.08</v>
      </c>
      <c r="N35" s="108">
        <f t="shared" si="6"/>
        <v>1</v>
      </c>
      <c r="O35" s="39">
        <f t="shared" si="1"/>
        <v>0.8</v>
      </c>
      <c r="P35" s="99">
        <f t="shared" si="2"/>
        <v>0</v>
      </c>
      <c r="Q35" s="116">
        <f t="shared" si="9"/>
        <v>0</v>
      </c>
      <c r="R35" s="99">
        <f t="shared" si="4"/>
        <v>0</v>
      </c>
      <c r="T35" s="76">
        <f>IFERROR(VLOOKUP(J35,BMPs!$C$3:$F$69,3,FALSE),0)</f>
        <v>0</v>
      </c>
      <c r="U35" s="76">
        <f>IFERROR(VLOOKUP(J35,BMPs!$C$3:$F$69,5,FALSE),0)</f>
        <v>0</v>
      </c>
      <c r="V35" s="117">
        <f t="shared" si="7"/>
        <v>0</v>
      </c>
      <c r="W35" s="37">
        <f>IFERROR((D35*'Watershed Data'!$D$21+E35*'Watershed Data'!$E$21)/('LandUse-LandCover'!$E$30*'Watershed Data'!$D$23+'LandUse-LandCover'!$F$30*'Watershed Data'!$E$23),0)*BMPs!$M$6*BMPs!$M$8*BMPs!$M$12</f>
        <v>0</v>
      </c>
      <c r="X35" s="30">
        <f t="shared" si="5"/>
        <v>0</v>
      </c>
    </row>
    <row r="36" spans="1:24" x14ac:dyDescent="0.25">
      <c r="A36" t="str">
        <f>+BMPs!C36</f>
        <v>WPWS</v>
      </c>
      <c r="B36" t="str">
        <f>+BMPs!D36</f>
        <v>Pond/wetland system</v>
      </c>
      <c r="C36" s="27">
        <f>+Scenarios!M36</f>
        <v>0</v>
      </c>
      <c r="D36" s="27">
        <f>+Scenarios!N36</f>
        <v>0</v>
      </c>
      <c r="E36" s="22">
        <f t="shared" si="8"/>
        <v>0</v>
      </c>
      <c r="F36" s="76">
        <f>BMPs!E36</f>
        <v>0.8</v>
      </c>
      <c r="G36" s="242" t="s">
        <v>504</v>
      </c>
      <c r="H36" s="76">
        <f>IFERROR(VLOOKUP(A36,BMPs!$C$2:$J$64,HLOOKUP(G36,BMPs!$F$72:$I$73,2,FALSE),FALSE),0)</f>
        <v>0</v>
      </c>
      <c r="I36" s="97"/>
      <c r="J36" s="97"/>
      <c r="K36" s="99">
        <f>$C$50*(D36*'Watershed Data'!$D$23+(C36-D36)*VLOOKUP(G36,'Watershed Data'!$A$19:$E$22,5,FALSE))*3630</f>
        <v>0</v>
      </c>
      <c r="L36" s="37">
        <f t="shared" si="0"/>
        <v>0</v>
      </c>
      <c r="M36" s="30">
        <f>BMPs!$M$8*BMPs!$M$12</f>
        <v>1.08</v>
      </c>
      <c r="N36" s="108">
        <f t="shared" si="6"/>
        <v>1</v>
      </c>
      <c r="O36" s="39">
        <f t="shared" si="1"/>
        <v>0.8</v>
      </c>
      <c r="P36" s="99">
        <f t="shared" si="2"/>
        <v>0</v>
      </c>
      <c r="Q36" s="116">
        <f t="shared" si="9"/>
        <v>0</v>
      </c>
      <c r="R36" s="99">
        <f t="shared" si="4"/>
        <v>0</v>
      </c>
      <c r="T36" s="76">
        <f>IFERROR(VLOOKUP(J36,BMPs!$C$3:$F$69,3,FALSE),0)</f>
        <v>0</v>
      </c>
      <c r="U36" s="76">
        <f>IFERROR(VLOOKUP(J36,BMPs!$C$3:$F$69,5,FALSE),0)</f>
        <v>0</v>
      </c>
      <c r="V36" s="117">
        <f t="shared" si="7"/>
        <v>0</v>
      </c>
      <c r="W36" s="37">
        <f>IFERROR((D36*'Watershed Data'!$D$21+E36*'Watershed Data'!$E$21)/('LandUse-LandCover'!$E$30*'Watershed Data'!$D$23+'LandUse-LandCover'!$F$30*'Watershed Data'!$E$23),0)*BMPs!$M$6*BMPs!$M$8*BMPs!$M$12</f>
        <v>0</v>
      </c>
      <c r="X36" s="30">
        <f t="shared" si="5"/>
        <v>0</v>
      </c>
    </row>
    <row r="37" spans="1:24" x14ac:dyDescent="0.25">
      <c r="A37" t="str">
        <f>+BMPs!C37</f>
        <v>WPKT</v>
      </c>
      <c r="B37" t="str">
        <f>+BMPs!D37</f>
        <v>Pocket wetland</v>
      </c>
      <c r="C37" s="27">
        <f>+Scenarios!M37</f>
        <v>0</v>
      </c>
      <c r="D37" s="27">
        <f>+Scenarios!N37</f>
        <v>0</v>
      </c>
      <c r="E37" s="22">
        <f t="shared" si="8"/>
        <v>0</v>
      </c>
      <c r="F37" s="76">
        <f>BMPs!E37</f>
        <v>0.8</v>
      </c>
      <c r="G37" s="242" t="s">
        <v>504</v>
      </c>
      <c r="H37" s="76">
        <f>IFERROR(VLOOKUP(A37,BMPs!$C$2:$J$64,HLOOKUP(G37,BMPs!$F$72:$I$73,2,FALSE),FALSE),0)</f>
        <v>0</v>
      </c>
      <c r="I37" s="97"/>
      <c r="J37" s="97"/>
      <c r="K37" s="99">
        <f>$C$50*(D37*'Watershed Data'!$D$23+(C37-D37)*VLOOKUP(G37,'Watershed Data'!$A$19:$E$22,5,FALSE))*3630</f>
        <v>0</v>
      </c>
      <c r="L37" s="37">
        <f t="shared" si="0"/>
        <v>0</v>
      </c>
      <c r="M37" s="30">
        <f>BMPs!$M$8*BMPs!$M$12</f>
        <v>1.08</v>
      </c>
      <c r="N37" s="108">
        <f t="shared" si="6"/>
        <v>1</v>
      </c>
      <c r="O37" s="39">
        <f t="shared" si="1"/>
        <v>0.8</v>
      </c>
      <c r="P37" s="99">
        <f t="shared" si="2"/>
        <v>0</v>
      </c>
      <c r="Q37" s="116">
        <f t="shared" si="9"/>
        <v>0</v>
      </c>
      <c r="R37" s="99">
        <f t="shared" si="4"/>
        <v>0</v>
      </c>
      <c r="T37" s="76">
        <f>IFERROR(VLOOKUP(J37,BMPs!$C$3:$F$69,3,FALSE),0)</f>
        <v>0</v>
      </c>
      <c r="U37" s="76">
        <f>IFERROR(VLOOKUP(J37,BMPs!$C$3:$F$69,5,FALSE),0)</f>
        <v>0</v>
      </c>
      <c r="V37" s="117">
        <f t="shared" si="7"/>
        <v>0</v>
      </c>
      <c r="W37" s="37">
        <f>IFERROR((D37*'Watershed Data'!$D$21+E37*'Watershed Data'!$E$21)/('LandUse-LandCover'!$E$30*'Watershed Data'!$D$23+'LandUse-LandCover'!$F$30*'Watershed Data'!$E$23),0)*BMPs!$M$6*BMPs!$M$8*BMPs!$M$12</f>
        <v>0</v>
      </c>
      <c r="X37" s="30">
        <f t="shared" si="5"/>
        <v>0</v>
      </c>
    </row>
    <row r="38" spans="1:24" x14ac:dyDescent="0.25">
      <c r="A38" t="str">
        <f>+BMPs!C38</f>
        <v>IBAS</v>
      </c>
      <c r="B38" t="str">
        <f>+BMPs!D38</f>
        <v>Infiltration basin</v>
      </c>
      <c r="C38" s="27">
        <f>+Scenarios!M38</f>
        <v>0</v>
      </c>
      <c r="D38" s="27">
        <f>+Scenarios!N38</f>
        <v>0</v>
      </c>
      <c r="E38" s="22">
        <f t="shared" si="8"/>
        <v>0</v>
      </c>
      <c r="F38" s="76">
        <f>BMPs!E38</f>
        <v>0.85</v>
      </c>
      <c r="G38" s="242" t="s">
        <v>504</v>
      </c>
      <c r="H38" s="76">
        <f>IFERROR(VLOOKUP(A38,BMPs!$C$2:$J$64,HLOOKUP(G38,BMPs!$F$72:$I$73,2,FALSE),FALSE),0)</f>
        <v>0.5</v>
      </c>
      <c r="I38" s="97"/>
      <c r="J38" s="97"/>
      <c r="K38" s="99">
        <f>$C$50*(D38*'Watershed Data'!$D$23+(C38-D38)*VLOOKUP(G38,'Watershed Data'!$A$19:$E$22,5,FALSE))*3630</f>
        <v>0</v>
      </c>
      <c r="L38" s="37">
        <f t="shared" si="0"/>
        <v>0</v>
      </c>
      <c r="M38" s="30">
        <f>BMPs!$M$8*BMPs!$M$12</f>
        <v>1.08</v>
      </c>
      <c r="N38" s="108">
        <f t="shared" si="6"/>
        <v>0.5</v>
      </c>
      <c r="O38" s="39">
        <f t="shared" si="1"/>
        <v>0.92500000000000004</v>
      </c>
      <c r="P38" s="99">
        <f t="shared" si="2"/>
        <v>0</v>
      </c>
      <c r="Q38" s="116">
        <f t="shared" si="9"/>
        <v>0</v>
      </c>
      <c r="R38" s="99">
        <f t="shared" si="4"/>
        <v>0</v>
      </c>
      <c r="T38" s="76">
        <f>IFERROR(VLOOKUP(J38,BMPs!$C$3:$F$69,3,FALSE),0)</f>
        <v>0</v>
      </c>
      <c r="U38" s="76">
        <f>IFERROR(VLOOKUP(J38,BMPs!$C$3:$F$69,5,FALSE),0)</f>
        <v>0</v>
      </c>
      <c r="V38" s="117">
        <f t="shared" si="7"/>
        <v>0</v>
      </c>
      <c r="W38" s="37">
        <f>IFERROR((D38*'Watershed Data'!$D$21+E38*'Watershed Data'!$E$21)/('LandUse-LandCover'!$E$30*'Watershed Data'!$D$23+'LandUse-LandCover'!$F$30*'Watershed Data'!$E$23),0)*BMPs!$M$6*BMPs!$M$8*BMPs!$M$12</f>
        <v>0</v>
      </c>
      <c r="X38" s="30">
        <f t="shared" si="5"/>
        <v>0</v>
      </c>
    </row>
    <row r="39" spans="1:24" x14ac:dyDescent="0.25">
      <c r="A39" t="str">
        <f>+BMPs!C39</f>
        <v>ITRN</v>
      </c>
      <c r="B39" t="str">
        <f>+BMPs!D39</f>
        <v>Infiltration trench</v>
      </c>
      <c r="C39" s="27">
        <f>+Scenarios!M39</f>
        <v>0</v>
      </c>
      <c r="D39" s="27">
        <f>+Scenarios!N39</f>
        <v>0</v>
      </c>
      <c r="E39" s="22">
        <f t="shared" si="8"/>
        <v>0</v>
      </c>
      <c r="F39" s="76">
        <f>BMPs!E39</f>
        <v>0.85</v>
      </c>
      <c r="G39" s="242" t="s">
        <v>504</v>
      </c>
      <c r="H39" s="76">
        <f>IFERROR(VLOOKUP(A39,BMPs!$C$2:$J$64,HLOOKUP(G39,BMPs!$F$72:$I$73,2,FALSE),FALSE),0)</f>
        <v>0.5</v>
      </c>
      <c r="I39" s="97"/>
      <c r="J39" s="97"/>
      <c r="K39" s="99">
        <f>$C$50*(D39*'Watershed Data'!$D$23+(C39-D39)*VLOOKUP(G39,'Watershed Data'!$A$19:$E$22,5,FALSE))*3630</f>
        <v>0</v>
      </c>
      <c r="L39" s="37">
        <f t="shared" si="0"/>
        <v>0</v>
      </c>
      <c r="M39" s="30">
        <f>BMPs!$M$8*BMPs!$M$12</f>
        <v>1.08</v>
      </c>
      <c r="N39" s="108">
        <f t="shared" si="6"/>
        <v>0.5</v>
      </c>
      <c r="O39" s="39">
        <f t="shared" si="1"/>
        <v>0.92500000000000004</v>
      </c>
      <c r="P39" s="99">
        <f t="shared" si="2"/>
        <v>0</v>
      </c>
      <c r="Q39" s="116">
        <f t="shared" si="9"/>
        <v>0</v>
      </c>
      <c r="R39" s="99">
        <f t="shared" si="4"/>
        <v>0</v>
      </c>
      <c r="T39" s="76">
        <f>IFERROR(VLOOKUP(J39,BMPs!$C$3:$F$69,3,FALSE),0)</f>
        <v>0</v>
      </c>
      <c r="U39" s="76">
        <f>IFERROR(VLOOKUP(J39,BMPs!$C$3:$F$69,5,FALSE),0)</f>
        <v>0</v>
      </c>
      <c r="V39" s="117">
        <f t="shared" si="7"/>
        <v>0</v>
      </c>
      <c r="W39" s="37">
        <f>IFERROR((D39*'Watershed Data'!$D$21+E39*'Watershed Data'!$E$21)/('LandUse-LandCover'!$E$30*'Watershed Data'!$D$23+'LandUse-LandCover'!$F$30*'Watershed Data'!$E$23),0)*BMPs!$M$6*BMPs!$M$8*BMPs!$M$12</f>
        <v>0</v>
      </c>
      <c r="X39" s="30">
        <f t="shared" si="5"/>
        <v>0</v>
      </c>
    </row>
    <row r="40" spans="1:24" x14ac:dyDescent="0.25">
      <c r="A40" t="str">
        <f>+BMPs!C40</f>
        <v>XDPD</v>
      </c>
      <c r="B40" t="str">
        <f>+BMPs!D40</f>
        <v>Dry pond</v>
      </c>
      <c r="C40" s="27">
        <f>+Scenarios!M40</f>
        <v>0</v>
      </c>
      <c r="D40" s="27">
        <f>+Scenarios!N40</f>
        <v>0</v>
      </c>
      <c r="E40" s="22">
        <f t="shared" si="8"/>
        <v>0</v>
      </c>
      <c r="F40" s="76">
        <f>BMPs!E40</f>
        <v>0</v>
      </c>
      <c r="G40" s="242" t="s">
        <v>504</v>
      </c>
      <c r="H40" s="76">
        <f>IFERROR(VLOOKUP(A40,BMPs!$C$2:$J$64,HLOOKUP(G40,BMPs!$F$72:$I$73,2,FALSE),FALSE),0)</f>
        <v>0</v>
      </c>
      <c r="I40" s="97"/>
      <c r="J40" s="97"/>
      <c r="K40" s="99">
        <f>$C$50*(D40*'Watershed Data'!$D$23+(C40-D40)*VLOOKUP(G40,'Watershed Data'!$A$19:$E$22,5,FALSE))*3630</f>
        <v>0</v>
      </c>
      <c r="L40" s="37">
        <f t="shared" si="0"/>
        <v>0</v>
      </c>
      <c r="M40" s="30">
        <f>BMPs!$M$8*BMPs!$M$12</f>
        <v>1.08</v>
      </c>
      <c r="N40" s="108">
        <f t="shared" si="6"/>
        <v>1</v>
      </c>
      <c r="O40" s="39">
        <f t="shared" si="1"/>
        <v>0</v>
      </c>
      <c r="P40" s="99">
        <f t="shared" si="2"/>
        <v>0</v>
      </c>
      <c r="Q40" s="116">
        <f t="shared" si="9"/>
        <v>0</v>
      </c>
      <c r="R40" s="99">
        <f t="shared" si="4"/>
        <v>0</v>
      </c>
      <c r="T40" s="76">
        <f>IFERROR(VLOOKUP(J40,BMPs!$C$3:$F$69,3,FALSE),0)</f>
        <v>0</v>
      </c>
      <c r="U40" s="76">
        <f>IFERROR(VLOOKUP(J40,BMPs!$C$3:$F$69,5,FALSE),0)</f>
        <v>0</v>
      </c>
      <c r="V40" s="117">
        <f t="shared" si="7"/>
        <v>0</v>
      </c>
      <c r="W40" s="37">
        <f>IFERROR((D40*'Watershed Data'!$D$21+E40*'Watershed Data'!$E$21)/('LandUse-LandCover'!$E$30*'Watershed Data'!$D$23+'LandUse-LandCover'!$F$30*'Watershed Data'!$E$23),0)*BMPs!$M$6*BMPs!$M$8*BMPs!$M$12</f>
        <v>0</v>
      </c>
      <c r="X40" s="30">
        <f t="shared" si="5"/>
        <v>0</v>
      </c>
    </row>
    <row r="41" spans="1:24" x14ac:dyDescent="0.25">
      <c r="A41" t="str">
        <f>+BMPs!C41</f>
        <v>XDED</v>
      </c>
      <c r="B41" t="str">
        <f>+BMPs!D41</f>
        <v>Dry extended detention pond</v>
      </c>
      <c r="C41" s="27">
        <f>+Scenarios!M41</f>
        <v>0</v>
      </c>
      <c r="D41" s="27">
        <f>+Scenarios!N41</f>
        <v>0</v>
      </c>
      <c r="E41" s="22">
        <f t="shared" si="8"/>
        <v>0</v>
      </c>
      <c r="F41" s="76">
        <f>BMPs!E41</f>
        <v>0</v>
      </c>
      <c r="G41" s="242" t="s">
        <v>504</v>
      </c>
      <c r="H41" s="76">
        <f>IFERROR(VLOOKUP(A41,BMPs!$C$2:$J$64,HLOOKUP(G41,BMPs!$F$72:$I$73,2,FALSE),FALSE),0)</f>
        <v>0</v>
      </c>
      <c r="I41" s="97"/>
      <c r="J41" s="97"/>
      <c r="K41" s="99">
        <f>$C$50*(D41*'Watershed Data'!$D$23+(C41-D41)*VLOOKUP(G41,'Watershed Data'!$A$19:$E$22,5,FALSE))*3630</f>
        <v>0</v>
      </c>
      <c r="L41" s="37">
        <f t="shared" si="0"/>
        <v>0</v>
      </c>
      <c r="M41" s="30">
        <f>BMPs!$M$8*BMPs!$M$12</f>
        <v>1.08</v>
      </c>
      <c r="N41" s="108">
        <f t="shared" si="6"/>
        <v>1</v>
      </c>
      <c r="O41" s="39">
        <f t="shared" si="1"/>
        <v>0</v>
      </c>
      <c r="P41" s="99">
        <f t="shared" si="2"/>
        <v>0</v>
      </c>
      <c r="Q41" s="116">
        <f t="shared" si="9"/>
        <v>0</v>
      </c>
      <c r="R41" s="99">
        <f t="shared" si="4"/>
        <v>0</v>
      </c>
      <c r="T41" s="76">
        <f>IFERROR(VLOOKUP(J41,BMPs!$C$3:$F$69,3,FALSE),0)</f>
        <v>0</v>
      </c>
      <c r="U41" s="76">
        <f>IFERROR(VLOOKUP(J41,BMPs!$C$3:$F$69,5,FALSE),0)</f>
        <v>0</v>
      </c>
      <c r="V41" s="117">
        <f t="shared" si="7"/>
        <v>0</v>
      </c>
      <c r="W41" s="37">
        <f>IFERROR((D41*'Watershed Data'!$D$21+E41*'Watershed Data'!$E$21)/('LandUse-LandCover'!$E$30*'Watershed Data'!$D$23+'LandUse-LandCover'!$F$30*'Watershed Data'!$E$23),0)*BMPs!$M$6*BMPs!$M$8*BMPs!$M$12</f>
        <v>0</v>
      </c>
      <c r="X41" s="30">
        <f t="shared" si="5"/>
        <v>0</v>
      </c>
    </row>
    <row r="42" spans="1:24" x14ac:dyDescent="0.25">
      <c r="A42" t="str">
        <f>+BMPs!C42</f>
        <v>XFLD</v>
      </c>
      <c r="B42" t="str">
        <f>+BMPs!D42</f>
        <v>Flood Mgmt Area</v>
      </c>
      <c r="C42" s="27">
        <f>+Scenarios!M42</f>
        <v>0</v>
      </c>
      <c r="D42" s="27">
        <f>+Scenarios!N42</f>
        <v>0</v>
      </c>
      <c r="E42" s="22">
        <f t="shared" si="8"/>
        <v>0</v>
      </c>
      <c r="F42" s="76">
        <f>BMPs!E42</f>
        <v>0</v>
      </c>
      <c r="G42" s="242" t="s">
        <v>504</v>
      </c>
      <c r="H42" s="76">
        <f>IFERROR(VLOOKUP(A42,BMPs!$C$2:$J$64,HLOOKUP(G42,BMPs!$F$72:$I$73,2,FALSE),FALSE),0)</f>
        <v>0</v>
      </c>
      <c r="I42" s="97"/>
      <c r="J42" s="97"/>
      <c r="K42" s="99">
        <f>$C$50*(D42*'Watershed Data'!$D$23+(C42-D42)*VLOOKUP(G42,'Watershed Data'!$A$19:$E$22,5,FALSE))*3630</f>
        <v>0</v>
      </c>
      <c r="L42" s="37">
        <f t="shared" si="0"/>
        <v>0</v>
      </c>
      <c r="M42" s="30">
        <f>BMPs!$M$8*BMPs!$M$12</f>
        <v>1.08</v>
      </c>
      <c r="N42" s="108">
        <f t="shared" si="6"/>
        <v>1</v>
      </c>
      <c r="O42" s="39">
        <f t="shared" si="1"/>
        <v>0</v>
      </c>
      <c r="P42" s="99">
        <f t="shared" si="2"/>
        <v>0</v>
      </c>
      <c r="Q42" s="116">
        <f t="shared" si="9"/>
        <v>0</v>
      </c>
      <c r="R42" s="99">
        <f t="shared" si="4"/>
        <v>0</v>
      </c>
      <c r="T42" s="76">
        <f>IFERROR(VLOOKUP(J42,BMPs!$C$3:$F$69,3,FALSE),0)</f>
        <v>0</v>
      </c>
      <c r="U42" s="76">
        <f>IFERROR(VLOOKUP(J42,BMPs!$C$3:$F$69,5,FALSE),0)</f>
        <v>0</v>
      </c>
      <c r="V42" s="117">
        <f t="shared" si="7"/>
        <v>0</v>
      </c>
      <c r="W42" s="37">
        <f>IFERROR((D42*'Watershed Data'!$D$21+E42*'Watershed Data'!$E$21)/('LandUse-LandCover'!$E$30*'Watershed Data'!$D$23+'LandUse-LandCover'!$F$30*'Watershed Data'!$E$23),0)*BMPs!$M$6*BMPs!$M$8*BMPs!$M$12</f>
        <v>0</v>
      </c>
      <c r="X42" s="30">
        <f t="shared" si="5"/>
        <v>0</v>
      </c>
    </row>
    <row r="43" spans="1:24" x14ac:dyDescent="0.25">
      <c r="A43" t="str">
        <f>+BMPs!C43</f>
        <v>XOGS</v>
      </c>
      <c r="B43" t="str">
        <f>+BMPs!D43</f>
        <v>Oil grit separator</v>
      </c>
      <c r="C43" s="27">
        <f>+Scenarios!M43</f>
        <v>0</v>
      </c>
      <c r="D43" s="27">
        <f>+Scenarios!N43</f>
        <v>0</v>
      </c>
      <c r="E43" s="22">
        <f t="shared" si="8"/>
        <v>0</v>
      </c>
      <c r="F43" s="76">
        <f>BMPs!E43</f>
        <v>0</v>
      </c>
      <c r="G43" s="242" t="s">
        <v>504</v>
      </c>
      <c r="H43" s="76">
        <f>IFERROR(VLOOKUP(A43,BMPs!$C$2:$J$64,HLOOKUP(G43,BMPs!$F$72:$I$73,2,FALSE),FALSE),0)</f>
        <v>0</v>
      </c>
      <c r="I43" s="97"/>
      <c r="J43" s="97"/>
      <c r="K43" s="99">
        <f>$C$50*(D43*'Watershed Data'!$D$23+(C43-D43)*VLOOKUP(G43,'Watershed Data'!$A$19:$E$22,5,FALSE))*3630</f>
        <v>0</v>
      </c>
      <c r="L43" s="37">
        <f t="shared" si="0"/>
        <v>0</v>
      </c>
      <c r="M43" s="30">
        <f>BMPs!$M$8*BMPs!$M$12</f>
        <v>1.08</v>
      </c>
      <c r="N43" s="108">
        <f t="shared" si="6"/>
        <v>1</v>
      </c>
      <c r="O43" s="39">
        <f t="shared" si="1"/>
        <v>0</v>
      </c>
      <c r="P43" s="99">
        <f t="shared" si="2"/>
        <v>0</v>
      </c>
      <c r="Q43" s="116">
        <f t="shared" si="9"/>
        <v>0</v>
      </c>
      <c r="R43" s="99">
        <f t="shared" si="4"/>
        <v>0</v>
      </c>
      <c r="T43" s="76">
        <f>IFERROR(VLOOKUP(J43,BMPs!$C$3:$F$69,3,FALSE),0)</f>
        <v>0</v>
      </c>
      <c r="U43" s="76">
        <f>IFERROR(VLOOKUP(J43,BMPs!$C$3:$F$69,5,FALSE),0)</f>
        <v>0</v>
      </c>
      <c r="V43" s="117">
        <f t="shared" si="7"/>
        <v>0</v>
      </c>
      <c r="W43" s="37">
        <f>IFERROR((D43*'Watershed Data'!$D$21+E43*'Watershed Data'!$E$21)/('LandUse-LandCover'!$E$30*'Watershed Data'!$D$23+'LandUse-LandCover'!$F$30*'Watershed Data'!$E$23),0)*BMPs!$M$6*BMPs!$M$8*BMPs!$M$12</f>
        <v>0</v>
      </c>
      <c r="X43" s="30">
        <f t="shared" si="5"/>
        <v>0</v>
      </c>
    </row>
    <row r="44" spans="1:24" x14ac:dyDescent="0.25">
      <c r="A44" t="str">
        <f>+BMPs!C44</f>
        <v>XOTH</v>
      </c>
      <c r="B44" t="str">
        <f>+BMPs!D44</f>
        <v>Other</v>
      </c>
      <c r="C44" s="27">
        <f>+Scenarios!M44</f>
        <v>0</v>
      </c>
      <c r="D44" s="27">
        <f>+Scenarios!N44</f>
        <v>0</v>
      </c>
      <c r="E44" s="22">
        <f t="shared" si="8"/>
        <v>0</v>
      </c>
      <c r="F44" s="76">
        <f>BMPs!E44</f>
        <v>0</v>
      </c>
      <c r="G44" s="242" t="s">
        <v>504</v>
      </c>
      <c r="H44" s="76">
        <f>IFERROR(VLOOKUP(A44,BMPs!$C$2:$J$64,HLOOKUP(G44,BMPs!$F$72:$I$73,2,FALSE),FALSE),0)</f>
        <v>0.5</v>
      </c>
      <c r="I44" s="97"/>
      <c r="J44" s="97"/>
      <c r="K44" s="99">
        <f>$C$50*(D44*'Watershed Data'!$D$23+(C44-D44)*VLOOKUP(G44,'Watershed Data'!$A$19:$E$22,5,FALSE))*3630</f>
        <v>0</v>
      </c>
      <c r="L44" s="37">
        <f t="shared" si="0"/>
        <v>0</v>
      </c>
      <c r="M44" s="30">
        <f>BMPs!$M$8*BMPs!$M$12</f>
        <v>1.08</v>
      </c>
      <c r="N44" s="108">
        <f t="shared" si="6"/>
        <v>0.5</v>
      </c>
      <c r="O44" s="39">
        <f t="shared" si="1"/>
        <v>0.5</v>
      </c>
      <c r="P44" s="99">
        <f t="shared" si="2"/>
        <v>0</v>
      </c>
      <c r="Q44" s="116">
        <f t="shared" si="9"/>
        <v>0</v>
      </c>
      <c r="R44" s="99">
        <f t="shared" si="4"/>
        <v>0</v>
      </c>
      <c r="T44" s="76">
        <f>IFERROR(VLOOKUP(J44,BMPs!$C$3:$F$69,3,FALSE),0)</f>
        <v>0</v>
      </c>
      <c r="U44" s="76">
        <f>IFERROR(VLOOKUP(J44,BMPs!$C$3:$F$69,5,FALSE),0)</f>
        <v>0</v>
      </c>
      <c r="V44" s="117">
        <f t="shared" si="7"/>
        <v>0</v>
      </c>
      <c r="W44" s="37">
        <f>IFERROR((D44*'Watershed Data'!$D$21+E44*'Watershed Data'!$E$21)/('LandUse-LandCover'!$E$30*'Watershed Data'!$D$23+'LandUse-LandCover'!$F$30*'Watershed Data'!$E$23),0)*BMPs!$M$6*BMPs!$M$8*BMPs!$M$12</f>
        <v>0</v>
      </c>
      <c r="X44" s="30">
        <f t="shared" si="5"/>
        <v>0</v>
      </c>
    </row>
    <row r="45" spans="1:24" x14ac:dyDescent="0.25">
      <c r="B45" s="63" t="s">
        <v>203</v>
      </c>
      <c r="C45" s="22">
        <f>SUM(C3:C44)</f>
        <v>252.48999999999998</v>
      </c>
      <c r="D45" s="22">
        <f>SUM(D3:D44)</f>
        <v>93.34</v>
      </c>
      <c r="E45" s="22">
        <f t="shared" si="8"/>
        <v>159.14999999999998</v>
      </c>
      <c r="F45" s="76"/>
      <c r="G45" s="195"/>
      <c r="H45" s="76"/>
      <c r="I45" s="7"/>
      <c r="J45" s="7"/>
      <c r="K45" s="104"/>
      <c r="L45" s="16"/>
      <c r="N45" s="2"/>
      <c r="O45" s="114" t="s">
        <v>270</v>
      </c>
      <c r="P45" s="114"/>
      <c r="Q45" s="22"/>
      <c r="R45" s="115">
        <f>SUM(R3:R44)</f>
        <v>26283.571701474153</v>
      </c>
      <c r="T45" s="118"/>
      <c r="U45" s="118"/>
      <c r="V45" s="119"/>
      <c r="W45" s="120"/>
      <c r="X45" s="115">
        <f>SUM(X3:X44)</f>
        <v>0</v>
      </c>
    </row>
    <row r="46" spans="1:24" s="2" customFormat="1" x14ac:dyDescent="0.25">
      <c r="B46" s="78"/>
      <c r="F46" s="118"/>
      <c r="G46" s="118"/>
      <c r="H46" s="118"/>
      <c r="I46" s="238"/>
      <c r="J46" s="238"/>
      <c r="K46" s="250"/>
      <c r="L46" s="120"/>
      <c r="O46" s="69"/>
      <c r="P46" s="69"/>
      <c r="R46" s="372"/>
      <c r="T46" s="118"/>
      <c r="U46" s="118"/>
      <c r="V46" s="119"/>
      <c r="W46" s="120"/>
      <c r="X46" s="372"/>
    </row>
    <row r="47" spans="1:24" x14ac:dyDescent="0.25">
      <c r="B47" s="373" t="s">
        <v>298</v>
      </c>
      <c r="C47" s="116">
        <f>+Scenarios!M48</f>
        <v>0</v>
      </c>
      <c r="D47" s="116"/>
      <c r="E47" s="30">
        <f>IFERROR(C47-D47,"")</f>
        <v>0</v>
      </c>
      <c r="F47" s="76">
        <f>BMPs!E47</f>
        <v>0.42</v>
      </c>
      <c r="G47" s="242" t="s">
        <v>504</v>
      </c>
      <c r="H47" s="76">
        <f>+BMPs!F47</f>
        <v>0.75</v>
      </c>
      <c r="I47" s="97"/>
      <c r="J47" s="97"/>
      <c r="K47" s="99"/>
      <c r="L47" s="122">
        <f>+C47/'LandUse-LandCover'!E30</f>
        <v>0</v>
      </c>
      <c r="M47" s="30">
        <v>0.4</v>
      </c>
      <c r="N47" s="108">
        <f>1-H47</f>
        <v>0.25</v>
      </c>
      <c r="O47" s="39">
        <f>H47+(N47*F47)</f>
        <v>0.85499999999999998</v>
      </c>
      <c r="P47" s="99">
        <f>($C$52-(G68+G84+D91))*L47*M47*O47</f>
        <v>0</v>
      </c>
      <c r="Q47" s="116">
        <f>+X47</f>
        <v>0</v>
      </c>
      <c r="R47" s="99">
        <f>($C$52 -(G68+G84+D91))*L47*M47*O47-X47</f>
        <v>0</v>
      </c>
      <c r="S47" s="250"/>
      <c r="T47" s="118"/>
      <c r="U47" s="118"/>
      <c r="V47" s="119"/>
      <c r="W47" s="120"/>
      <c r="X47" s="321"/>
    </row>
    <row r="48" spans="1:24" x14ac:dyDescent="0.25">
      <c r="I48" s="7"/>
      <c r="J48" s="7"/>
      <c r="K48" s="104"/>
      <c r="L48" s="16"/>
      <c r="N48" s="2"/>
      <c r="O48" s="2"/>
      <c r="P48" s="2"/>
    </row>
    <row r="49" spans="1:16" x14ac:dyDescent="0.25">
      <c r="G49" s="2"/>
      <c r="H49" s="2"/>
      <c r="I49" s="238"/>
      <c r="J49" s="238"/>
      <c r="K49" s="250"/>
      <c r="L49" s="120"/>
      <c r="M49" s="2"/>
      <c r="N49" s="2"/>
      <c r="O49" s="2"/>
      <c r="P49" s="2"/>
    </row>
    <row r="50" spans="1:16" x14ac:dyDescent="0.25">
      <c r="B50" t="s">
        <v>257</v>
      </c>
      <c r="C50" s="98">
        <v>1</v>
      </c>
      <c r="D50" t="s">
        <v>262</v>
      </c>
      <c r="I50" s="7"/>
      <c r="J50" s="7"/>
      <c r="K50" s="104"/>
      <c r="L50" s="16"/>
      <c r="N50" s="2"/>
      <c r="O50" s="2"/>
      <c r="P50" s="2"/>
    </row>
    <row r="51" spans="1:16" x14ac:dyDescent="0.25">
      <c r="B51" t="s">
        <v>258</v>
      </c>
      <c r="C51" s="109">
        <f>C50*('LandUse-LandCover'!E30*'Watershed Data'!D23+('LandUse-LandCover'!F30)*'Watershed Data'!E23)*3630</f>
        <v>30281689.224783923</v>
      </c>
      <c r="D51" t="s">
        <v>263</v>
      </c>
      <c r="E51" s="111" t="s">
        <v>268</v>
      </c>
      <c r="F51" s="111"/>
      <c r="G51" s="111"/>
      <c r="H51" s="111"/>
      <c r="I51" s="7"/>
      <c r="J51" s="7"/>
      <c r="K51" s="104"/>
      <c r="L51" s="16"/>
      <c r="N51" s="2"/>
      <c r="O51" s="2"/>
      <c r="P51" s="2"/>
    </row>
    <row r="52" spans="1:16" x14ac:dyDescent="0.25">
      <c r="B52" t="s">
        <v>265</v>
      </c>
      <c r="C52" s="106">
        <f>Loads!I29</f>
        <v>2352732.5334874382</v>
      </c>
      <c r="I52" s="7"/>
      <c r="J52" s="7"/>
      <c r="K52" s="104"/>
      <c r="L52" s="16"/>
      <c r="N52" s="2"/>
      <c r="O52" s="2"/>
      <c r="P52" s="2"/>
    </row>
    <row r="53" spans="1:16" x14ac:dyDescent="0.25">
      <c r="C53" s="64"/>
      <c r="I53" s="7"/>
      <c r="J53" s="7"/>
      <c r="K53" s="104"/>
      <c r="L53" s="16"/>
      <c r="N53" s="2"/>
      <c r="O53" s="2"/>
      <c r="P53" s="2"/>
    </row>
    <row r="54" spans="1:16" s="360" customFormat="1" ht="45" x14ac:dyDescent="0.25">
      <c r="A54" s="369" t="s">
        <v>187</v>
      </c>
      <c r="B54" s="355"/>
      <c r="C54" s="356"/>
      <c r="D54" s="357" t="s">
        <v>528</v>
      </c>
      <c r="E54" s="343" t="s">
        <v>519</v>
      </c>
      <c r="F54" s="358"/>
      <c r="G54" s="356" t="s">
        <v>249</v>
      </c>
      <c r="H54" s="359"/>
      <c r="K54" s="361"/>
      <c r="M54" s="362"/>
    </row>
    <row r="55" spans="1:16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0"/>
      <c r="D55" s="143">
        <f>+Scenarios!M52</f>
        <v>0</v>
      </c>
      <c r="E55" s="320">
        <f>+BMPs!I51</f>
        <v>51.303181256300434</v>
      </c>
      <c r="F55" s="118"/>
      <c r="G55" s="316">
        <f t="shared" ref="G55:G67" si="10">+E55*D55</f>
        <v>0</v>
      </c>
      <c r="H55" s="90"/>
      <c r="K55" s="238"/>
      <c r="M55" s="298"/>
    </row>
    <row r="56" spans="1:16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0"/>
      <c r="D56" s="143">
        <f>+Scenarios!N53</f>
        <v>0</v>
      </c>
      <c r="E56" s="320">
        <f>+BMPs!I52</f>
        <v>286.34052096597577</v>
      </c>
      <c r="F56" s="118"/>
      <c r="G56" s="316">
        <f t="shared" si="10"/>
        <v>0</v>
      </c>
      <c r="H56" s="90"/>
      <c r="K56" s="238"/>
      <c r="M56" s="298"/>
    </row>
    <row r="57" spans="1:16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0"/>
      <c r="D57" s="143">
        <f>+Scenarios!N54</f>
        <v>0</v>
      </c>
      <c r="E57" s="320">
        <f>+BMPs!I53</f>
        <v>286.34052096597577</v>
      </c>
      <c r="F57" s="118"/>
      <c r="G57" s="316">
        <f t="shared" si="10"/>
        <v>0</v>
      </c>
      <c r="H57" s="90"/>
      <c r="K57" s="238"/>
      <c r="M57" s="298"/>
    </row>
    <row r="58" spans="1:16" s="2" customFormat="1" x14ac:dyDescent="0.25">
      <c r="A58" s="2" t="str">
        <f>BMPs!C54</f>
        <v>MSS</v>
      </c>
      <c r="B58" s="2" t="str">
        <f>BMPs!D54</f>
        <v>Mechanical Street Sweeping</v>
      </c>
      <c r="C58" s="250"/>
      <c r="D58" s="143">
        <f>+Scenarios!N55</f>
        <v>0</v>
      </c>
      <c r="E58" s="320">
        <f>+BMPs!I54</f>
        <v>0</v>
      </c>
      <c r="F58" s="118"/>
      <c r="G58" s="316">
        <f t="shared" si="10"/>
        <v>0</v>
      </c>
      <c r="H58" s="90"/>
      <c r="K58" s="238"/>
      <c r="M58" s="298"/>
    </row>
    <row r="59" spans="1:16" s="2" customFormat="1" x14ac:dyDescent="0.25">
      <c r="A59" s="2" t="str">
        <f>BMPs!C55</f>
        <v>VSS</v>
      </c>
      <c r="B59" s="2" t="str">
        <f>BMPs!D55</f>
        <v>Regen / Vacuum Street Sweeping</v>
      </c>
      <c r="C59" s="250"/>
      <c r="D59" s="143">
        <f>+Scenarios!N56</f>
        <v>0</v>
      </c>
      <c r="E59" s="320">
        <f>+BMPs!I55</f>
        <v>0</v>
      </c>
      <c r="F59" s="118"/>
      <c r="G59" s="316">
        <f t="shared" si="10"/>
        <v>0</v>
      </c>
      <c r="H59" s="90"/>
      <c r="K59" s="238"/>
      <c r="M59" s="298"/>
    </row>
    <row r="60" spans="1:16" s="2" customFormat="1" x14ac:dyDescent="0.25">
      <c r="E60" s="321"/>
      <c r="F60" s="298"/>
      <c r="G60" s="316">
        <f t="shared" si="10"/>
        <v>0</v>
      </c>
      <c r="H60" s="90"/>
      <c r="K60" s="238"/>
      <c r="M60" s="298"/>
    </row>
    <row r="61" spans="1:16" s="5" customFormat="1" x14ac:dyDescent="0.25">
      <c r="A61" s="2" t="str">
        <f>BMPs!C57</f>
        <v>STRE</v>
      </c>
      <c r="B61" s="2" t="str">
        <f>BMPs!D57</f>
        <v>Stream Restoration</v>
      </c>
      <c r="C61" s="250"/>
      <c r="D61" s="143">
        <f>+Scenarios!N58</f>
        <v>2689</v>
      </c>
      <c r="E61" s="228">
        <f>BMPs!E58</f>
        <v>0</v>
      </c>
      <c r="F61" s="118"/>
      <c r="G61" s="316">
        <f t="shared" si="10"/>
        <v>0</v>
      </c>
      <c r="K61" s="299"/>
      <c r="M61" s="301"/>
    </row>
    <row r="62" spans="1:16" s="5" customFormat="1" x14ac:dyDescent="0.25">
      <c r="A62" s="2" t="str">
        <f>BMPs!C58</f>
        <v>OUT</v>
      </c>
      <c r="B62" s="2" t="str">
        <f>BMPs!D58</f>
        <v>Outfall Stabilization</v>
      </c>
      <c r="C62" s="250"/>
      <c r="D62" s="143">
        <f>+Scenarios!N59</f>
        <v>0</v>
      </c>
      <c r="E62" s="228">
        <f>BMPs!E59</f>
        <v>0</v>
      </c>
      <c r="F62" s="118"/>
      <c r="G62" s="316">
        <f t="shared" si="10"/>
        <v>0</v>
      </c>
      <c r="H62" s="299"/>
      <c r="I62" s="299"/>
      <c r="J62" s="263"/>
      <c r="K62" s="300"/>
    </row>
    <row r="63" spans="1:16" s="5" customFormat="1" x14ac:dyDescent="0.25">
      <c r="A63" s="2" t="str">
        <f>BMPs!C59</f>
        <v>SHST</v>
      </c>
      <c r="B63" s="2" t="str">
        <f>BMPs!D59</f>
        <v>Shoreline Stabilization</v>
      </c>
      <c r="C63" s="250"/>
      <c r="D63" s="143">
        <f>+Scenarios!N60</f>
        <v>0</v>
      </c>
      <c r="E63" s="228">
        <f>BMPs!E60</f>
        <v>0</v>
      </c>
      <c r="F63" s="118"/>
      <c r="G63" s="316">
        <f t="shared" si="10"/>
        <v>0</v>
      </c>
      <c r="H63" s="299"/>
      <c r="I63" s="299"/>
      <c r="J63" s="263"/>
      <c r="K63" s="300"/>
    </row>
    <row r="64" spans="1:16" s="5" customFormat="1" x14ac:dyDescent="0.25">
      <c r="A64" s="2" t="str">
        <f>BMPs!C60</f>
        <v>SDV</v>
      </c>
      <c r="B64" s="2" t="str">
        <f>BMPs!D60</f>
        <v>Storm Drain Vacuuming</v>
      </c>
      <c r="C64" s="250"/>
      <c r="D64" s="143">
        <f>+Scenarios!N61</f>
        <v>0</v>
      </c>
      <c r="E64" s="228">
        <f>BMPs!E61</f>
        <v>0</v>
      </c>
      <c r="F64" s="118"/>
      <c r="G64" s="316">
        <f t="shared" si="10"/>
        <v>0</v>
      </c>
      <c r="H64" s="299"/>
      <c r="I64" s="299"/>
      <c r="J64" s="263"/>
      <c r="K64" s="300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0"/>
      <c r="D65" s="143">
        <f>+Scenarios!N62</f>
        <v>0</v>
      </c>
      <c r="E65" s="228">
        <f>BMPs!E63</f>
        <v>0</v>
      </c>
      <c r="F65" s="118"/>
      <c r="G65" s="316">
        <f t="shared" si="10"/>
        <v>0</v>
      </c>
      <c r="H65" s="299"/>
      <c r="I65" s="299"/>
      <c r="J65" s="263"/>
      <c r="K65" s="300"/>
    </row>
    <row r="66" spans="1:11" s="5" customFormat="1" x14ac:dyDescent="0.25">
      <c r="A66" s="2"/>
      <c r="B66" s="2"/>
      <c r="C66" s="283"/>
      <c r="E66" s="322"/>
      <c r="H66" s="299"/>
      <c r="I66" s="299"/>
      <c r="J66" s="263"/>
      <c r="K66" s="300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0"/>
      <c r="D67" s="143">
        <f>+Scenarios!N64</f>
        <v>0</v>
      </c>
      <c r="E67" s="320">
        <f>BMPs!E46</f>
        <v>0</v>
      </c>
      <c r="F67" s="118"/>
      <c r="G67" s="319">
        <f t="shared" si="10"/>
        <v>0</v>
      </c>
      <c r="H67" s="299"/>
      <c r="I67" s="299"/>
      <c r="J67" s="263"/>
      <c r="K67" s="300"/>
    </row>
    <row r="68" spans="1:11" s="5" customFormat="1" x14ac:dyDescent="0.25">
      <c r="A68" s="2"/>
      <c r="B68" s="2"/>
      <c r="C68" s="283"/>
      <c r="G68" s="318">
        <f>SUM(G55:G65)</f>
        <v>0</v>
      </c>
      <c r="H68" s="299"/>
      <c r="I68" s="299"/>
      <c r="J68" s="263"/>
      <c r="K68" s="300"/>
    </row>
    <row r="69" spans="1:11" s="5" customFormat="1" x14ac:dyDescent="0.25">
      <c r="A69" s="2"/>
      <c r="B69" s="2"/>
      <c r="C69" s="283"/>
      <c r="G69" s="301"/>
      <c r="H69" s="299"/>
      <c r="I69" s="299"/>
      <c r="J69" s="263"/>
      <c r="K69" s="300"/>
    </row>
    <row r="70" spans="1:11" s="5" customFormat="1" x14ac:dyDescent="0.25">
      <c r="A70" s="2"/>
      <c r="B70" s="2"/>
      <c r="C70" s="283"/>
      <c r="G70" s="301"/>
      <c r="H70" s="299"/>
      <c r="I70" s="299"/>
      <c r="J70" s="263"/>
      <c r="K70" s="300"/>
    </row>
    <row r="71" spans="1:11" s="5" customFormat="1" x14ac:dyDescent="0.25">
      <c r="A71" s="339" t="str">
        <f>+Scenarios!A67</f>
        <v>Urban Downsizing to Forest</v>
      </c>
      <c r="B71" s="340"/>
      <c r="C71" s="377"/>
      <c r="D71" s="340"/>
      <c r="E71" s="340"/>
      <c r="F71" s="340"/>
      <c r="G71" s="340"/>
      <c r="H71" s="299"/>
      <c r="I71" s="299"/>
      <c r="J71" s="263"/>
      <c r="K71" s="300"/>
    </row>
    <row r="72" spans="1:11" s="354" customFormat="1" ht="45" x14ac:dyDescent="0.25">
      <c r="A72" s="286"/>
      <c r="B72" s="348" t="str">
        <f>+Scenarios!B68</f>
        <v>Land Use</v>
      </c>
      <c r="C72" s="349"/>
      <c r="D72" s="348" t="s">
        <v>527</v>
      </c>
      <c r="E72" s="317" t="s">
        <v>519</v>
      </c>
      <c r="F72" s="286"/>
      <c r="G72" s="350" t="s">
        <v>249</v>
      </c>
      <c r="H72" s="351"/>
      <c r="I72" s="351"/>
      <c r="J72" s="352"/>
      <c r="K72" s="353"/>
    </row>
    <row r="73" spans="1:11" s="5" customFormat="1" x14ac:dyDescent="0.25">
      <c r="A73" s="2"/>
      <c r="B73" s="2" t="str">
        <f>+Scenarios!B69</f>
        <v>Low Density Residential</v>
      </c>
      <c r="C73" s="283"/>
      <c r="D73" s="143">
        <f>+Scenarios!N69</f>
        <v>0</v>
      </c>
      <c r="E73" s="287">
        <f>+Loads!H2-Loads!$H$19</f>
        <v>68.660700212609868</v>
      </c>
      <c r="G73" s="316">
        <f t="shared" ref="G73:G83" si="11">+E73*D73</f>
        <v>0</v>
      </c>
      <c r="H73" s="299"/>
      <c r="I73" s="299"/>
      <c r="J73" s="263"/>
      <c r="K73" s="300"/>
    </row>
    <row r="74" spans="1:11" s="5" customFormat="1" x14ac:dyDescent="0.25">
      <c r="A74" s="2"/>
      <c r="B74" s="2" t="str">
        <f>+Scenarios!B70</f>
        <v>Medium Density Residential</v>
      </c>
      <c r="C74" s="283"/>
      <c r="D74" s="143">
        <f>+Scenarios!N70</f>
        <v>0</v>
      </c>
      <c r="E74" s="287">
        <f>+Loads!H3-Loads!$H$19</f>
        <v>100.88847921307709</v>
      </c>
      <c r="G74" s="316">
        <f t="shared" si="11"/>
        <v>0</v>
      </c>
      <c r="H74" s="299"/>
      <c r="I74" s="299"/>
      <c r="J74" s="263"/>
      <c r="K74" s="300"/>
    </row>
    <row r="75" spans="1:11" s="5" customFormat="1" x14ac:dyDescent="0.25">
      <c r="A75" s="2"/>
      <c r="B75" s="2" t="str">
        <f>+Scenarios!B71</f>
        <v>High Density Residential</v>
      </c>
      <c r="C75" s="283"/>
      <c r="D75" s="143">
        <f>+Scenarios!N71</f>
        <v>0</v>
      </c>
      <c r="E75" s="287">
        <f>+Loads!H4-Loads!$H$19</f>
        <v>149.49916747959102</v>
      </c>
      <c r="G75" s="316">
        <f t="shared" si="11"/>
        <v>0</v>
      </c>
      <c r="H75" s="299"/>
      <c r="I75" s="299"/>
      <c r="J75" s="263"/>
      <c r="K75" s="300"/>
    </row>
    <row r="76" spans="1:11" s="5" customFormat="1" x14ac:dyDescent="0.25">
      <c r="A76" s="2"/>
      <c r="B76" s="2" t="str">
        <f>+Scenarios!B72</f>
        <v>Commercial</v>
      </c>
      <c r="C76" s="283"/>
      <c r="D76" s="143">
        <f>+Scenarios!N72</f>
        <v>0</v>
      </c>
      <c r="E76" s="287">
        <f>+Loads!H5-Loads!$H$19</f>
        <v>64.020081100042603</v>
      </c>
      <c r="G76" s="316">
        <f t="shared" si="11"/>
        <v>0</v>
      </c>
      <c r="H76" s="299"/>
      <c r="I76" s="299"/>
      <c r="J76" s="263"/>
      <c r="K76" s="300"/>
    </row>
    <row r="77" spans="1:11" s="5" customFormat="1" x14ac:dyDescent="0.25">
      <c r="A77" s="2"/>
      <c r="B77" s="2" t="str">
        <f>+Scenarios!B73</f>
        <v>Industrial</v>
      </c>
      <c r="C77" s="283"/>
      <c r="D77" s="143">
        <f>+Scenarios!N73</f>
        <v>0</v>
      </c>
      <c r="E77" s="287">
        <f>+Loads!H6-Loads!$H$19</f>
        <v>25.594860292218563</v>
      </c>
      <c r="G77" s="316">
        <f t="shared" si="11"/>
        <v>0</v>
      </c>
      <c r="H77" s="299"/>
      <c r="I77" s="299"/>
      <c r="J77" s="263"/>
      <c r="K77" s="300"/>
    </row>
    <row r="78" spans="1:11" s="5" customFormat="1" x14ac:dyDescent="0.25">
      <c r="A78" s="2"/>
      <c r="B78" s="2" t="str">
        <f>+Scenarios!B74</f>
        <v>Institutional</v>
      </c>
      <c r="C78" s="283"/>
      <c r="D78" s="143">
        <f>+Scenarios!N74</f>
        <v>0</v>
      </c>
      <c r="E78" s="287">
        <f>+Loads!H7-Loads!$H$19</f>
        <v>45.401712210021337</v>
      </c>
      <c r="G78" s="316">
        <f t="shared" si="11"/>
        <v>0</v>
      </c>
      <c r="H78" s="299"/>
      <c r="I78" s="299"/>
      <c r="J78" s="263"/>
      <c r="K78" s="300"/>
    </row>
    <row r="79" spans="1:11" s="5" customFormat="1" x14ac:dyDescent="0.25">
      <c r="A79" s="2"/>
      <c r="B79" s="2" t="str">
        <f>+Scenarios!B75</f>
        <v>Extractive</v>
      </c>
      <c r="C79" s="283"/>
      <c r="D79" s="143">
        <f>+Scenarios!N75</f>
        <v>0</v>
      </c>
      <c r="E79" s="287"/>
      <c r="G79" s="316">
        <f t="shared" si="11"/>
        <v>0</v>
      </c>
      <c r="H79" s="299"/>
      <c r="I79" s="299"/>
      <c r="J79" s="263"/>
      <c r="K79" s="300"/>
    </row>
    <row r="80" spans="1:11" s="5" customFormat="1" x14ac:dyDescent="0.25">
      <c r="A80" s="2"/>
      <c r="B80" s="2" t="str">
        <f>+Scenarios!B76</f>
        <v>Open Urban Land</v>
      </c>
      <c r="C80" s="283"/>
      <c r="D80" s="461">
        <f>+Scenarios!N76</f>
        <v>284.8</v>
      </c>
      <c r="E80" s="287">
        <f>+Loads!H9-Loads!$H$19</f>
        <v>45.717937806050294</v>
      </c>
      <c r="G80" s="316">
        <f t="shared" si="11"/>
        <v>13020.468687163124</v>
      </c>
      <c r="H80" s="299"/>
      <c r="I80" s="299"/>
      <c r="J80" s="263"/>
      <c r="K80" s="300"/>
    </row>
    <row r="81" spans="1:16" s="5" customFormat="1" x14ac:dyDescent="0.25">
      <c r="A81" s="2"/>
      <c r="B81" s="2" t="str">
        <f>+Scenarios!B77</f>
        <v>Transportation</v>
      </c>
      <c r="C81" s="283"/>
      <c r="D81" s="143">
        <f>+Scenarios!N77</f>
        <v>0</v>
      </c>
      <c r="E81" s="287"/>
      <c r="G81" s="316">
        <f t="shared" si="11"/>
        <v>0</v>
      </c>
      <c r="H81" s="299"/>
      <c r="I81" s="299"/>
      <c r="J81" s="263"/>
      <c r="K81" s="300"/>
    </row>
    <row r="82" spans="1:16" s="5" customFormat="1" x14ac:dyDescent="0.25">
      <c r="A82" s="2"/>
      <c r="B82" s="2" t="str">
        <f>+Scenarios!B78</f>
        <v>Large Lot Subdivision (Ag)</v>
      </c>
      <c r="C82" s="283"/>
      <c r="D82" s="143">
        <f>+Scenarios!N78</f>
        <v>0</v>
      </c>
      <c r="E82" s="287">
        <f>+Loads!H11-Loads!$H$19</f>
        <v>40.684731019820568</v>
      </c>
      <c r="G82" s="316">
        <f t="shared" si="11"/>
        <v>0</v>
      </c>
      <c r="H82" s="299"/>
      <c r="I82" s="299"/>
      <c r="J82" s="263"/>
      <c r="K82" s="300"/>
    </row>
    <row r="83" spans="1:16" s="5" customFormat="1" x14ac:dyDescent="0.25">
      <c r="A83" s="2"/>
      <c r="B83" s="2" t="str">
        <f>+Scenarios!B79</f>
        <v>Large Lot Subdivision (Forest)</v>
      </c>
      <c r="C83" s="283"/>
      <c r="D83" s="143">
        <f>+Scenarios!N79</f>
        <v>0</v>
      </c>
      <c r="E83" s="287">
        <f>+Loads!H12-Loads!$H$19</f>
        <v>45.993956138060504</v>
      </c>
      <c r="G83" s="319">
        <f t="shared" si="11"/>
        <v>0</v>
      </c>
      <c r="H83" s="299"/>
      <c r="I83" s="299"/>
      <c r="J83" s="263"/>
      <c r="K83" s="300"/>
    </row>
    <row r="84" spans="1:16" s="5" customFormat="1" x14ac:dyDescent="0.25">
      <c r="B84" s="2"/>
      <c r="C84" s="283"/>
      <c r="G84" s="318">
        <f>SUM(G73:G83)</f>
        <v>13020.468687163124</v>
      </c>
      <c r="H84" s="299"/>
      <c r="I84" s="299"/>
      <c r="J84" s="263"/>
      <c r="K84" s="300"/>
    </row>
    <row r="85" spans="1:16" ht="15.75" x14ac:dyDescent="0.25">
      <c r="A85" s="158" t="s">
        <v>312</v>
      </c>
      <c r="D85" s="156"/>
      <c r="I85" s="7"/>
      <c r="J85" s="7"/>
      <c r="K85" s="104"/>
      <c r="L85" s="16"/>
      <c r="N85" s="2"/>
      <c r="O85" s="2"/>
      <c r="P85" s="2"/>
    </row>
    <row r="86" spans="1:16" s="6" customFormat="1" x14ac:dyDescent="0.25">
      <c r="A86"/>
      <c r="B86"/>
      <c r="I86" s="190"/>
      <c r="J86" s="190"/>
      <c r="K86" s="191"/>
      <c r="L86" s="192"/>
      <c r="N86" s="5"/>
      <c r="O86" s="5"/>
      <c r="P86" s="5"/>
    </row>
    <row r="87" spans="1:16" s="6" customFormat="1" x14ac:dyDescent="0.25">
      <c r="A87" s="159" t="s">
        <v>297</v>
      </c>
      <c r="B87" s="159"/>
      <c r="C87" s="160"/>
      <c r="D87" s="160"/>
      <c r="I87" s="190"/>
      <c r="J87" s="190"/>
      <c r="K87" s="191"/>
      <c r="L87" s="192"/>
      <c r="N87" s="5"/>
      <c r="O87" s="5"/>
      <c r="P87" s="5"/>
    </row>
    <row r="88" spans="1:16" s="6" customFormat="1" x14ac:dyDescent="0.25">
      <c r="A88"/>
      <c r="B88" t="s">
        <v>567</v>
      </c>
      <c r="C88"/>
      <c r="D88" s="33">
        <f>+SewageData!B34</f>
        <v>114557.44000000002</v>
      </c>
      <c r="I88" s="190"/>
      <c r="J88" s="190"/>
      <c r="K88" s="191"/>
      <c r="L88" s="192"/>
      <c r="N88" s="5"/>
      <c r="O88" s="5"/>
      <c r="P88" s="5"/>
    </row>
    <row r="89" spans="1:16" x14ac:dyDescent="0.25">
      <c r="B89" t="s">
        <v>234</v>
      </c>
      <c r="D89" s="20">
        <v>0.6</v>
      </c>
      <c r="E89" s="156"/>
      <c r="K89" s="104"/>
      <c r="L89" s="16"/>
      <c r="N89" s="2"/>
      <c r="O89" s="2"/>
      <c r="P89" s="2"/>
    </row>
    <row r="90" spans="1:16" x14ac:dyDescent="0.25">
      <c r="B90" t="s">
        <v>235</v>
      </c>
      <c r="D90" s="27">
        <f>Scenarios!N83</f>
        <v>0</v>
      </c>
      <c r="E90" s="156"/>
      <c r="K90" s="104"/>
      <c r="L90" s="16"/>
      <c r="N90" s="2"/>
      <c r="O90" s="2"/>
      <c r="P90" s="2"/>
    </row>
    <row r="91" spans="1:16" x14ac:dyDescent="0.25">
      <c r="B91" t="s">
        <v>249</v>
      </c>
      <c r="D91" s="33">
        <f>+D88*D89*D90</f>
        <v>0</v>
      </c>
      <c r="E91" s="156"/>
      <c r="K91" s="104"/>
      <c r="L91" s="16"/>
      <c r="N91" s="2"/>
      <c r="O91" s="2"/>
      <c r="P91" s="2"/>
    </row>
    <row r="92" spans="1:16" s="6" customFormat="1" ht="15.75" thickBot="1" x14ac:dyDescent="0.3">
      <c r="A92" s="193"/>
      <c r="B92" s="194"/>
      <c r="C92" s="194"/>
      <c r="D92" s="194"/>
      <c r="I92" s="190"/>
      <c r="J92" s="190"/>
      <c r="K92" s="191"/>
      <c r="L92" s="192"/>
      <c r="N92" s="5"/>
      <c r="O92" s="5"/>
      <c r="P92" s="5"/>
    </row>
    <row r="93" spans="1:16" ht="15.75" thickTop="1" x14ac:dyDescent="0.25">
      <c r="A93" s="159" t="s">
        <v>303</v>
      </c>
      <c r="B93" s="160"/>
      <c r="C93" s="160"/>
      <c r="D93" s="160"/>
      <c r="E93" s="156"/>
      <c r="K93" s="104"/>
      <c r="L93" s="16"/>
      <c r="N93" s="2"/>
      <c r="O93" s="2"/>
      <c r="P93" s="2"/>
    </row>
    <row r="94" spans="1:16" x14ac:dyDescent="0.25">
      <c r="A94" s="40"/>
      <c r="B94" s="5" t="s">
        <v>580</v>
      </c>
      <c r="C94" s="6"/>
      <c r="D94" s="430">
        <f>SewageData!B41</f>
        <v>1476468</v>
      </c>
      <c r="E94" s="156"/>
      <c r="K94" s="104"/>
      <c r="L94" s="16"/>
      <c r="N94" s="2"/>
      <c r="O94" s="2"/>
      <c r="P94" s="2"/>
    </row>
    <row r="95" spans="1:16" x14ac:dyDescent="0.25">
      <c r="B95" s="6" t="s">
        <v>468</v>
      </c>
      <c r="C95" s="156"/>
      <c r="D95" s="429">
        <f>Scenarios!N89</f>
        <v>0.75</v>
      </c>
      <c r="E95" s="156" t="s">
        <v>467</v>
      </c>
      <c r="K95" s="104"/>
      <c r="L95" s="16"/>
      <c r="N95" s="2"/>
      <c r="O95" s="2"/>
      <c r="P95" s="2"/>
    </row>
    <row r="96" spans="1:16" x14ac:dyDescent="0.25">
      <c r="B96" t="s">
        <v>317</v>
      </c>
      <c r="C96" s="156"/>
      <c r="D96" s="429">
        <f>Scenarios!N90</f>
        <v>0.35</v>
      </c>
      <c r="E96" s="156"/>
      <c r="F96" s="170" t="s">
        <v>469</v>
      </c>
      <c r="G96" s="170"/>
      <c r="K96" s="104"/>
      <c r="L96" s="16"/>
      <c r="N96" s="2"/>
      <c r="O96" s="2"/>
      <c r="P96" s="2"/>
    </row>
    <row r="97" spans="1:16" x14ac:dyDescent="0.25">
      <c r="B97" t="s">
        <v>471</v>
      </c>
      <c r="C97" s="156"/>
      <c r="D97" s="33">
        <f>SewageData!B41-(IF(Scenarios!N89+Scenarios!N90&gt;0, (SewageData!B41*Scenarios!N89*Scenarios!N90),0))</f>
        <v>1088895.1499999999</v>
      </c>
      <c r="E97" s="156"/>
      <c r="F97" s="2"/>
      <c r="G97" s="2"/>
      <c r="K97" s="104"/>
      <c r="L97" s="16"/>
      <c r="N97" s="2"/>
      <c r="O97" s="2"/>
      <c r="P97" s="2"/>
    </row>
    <row r="98" spans="1:16" x14ac:dyDescent="0.25">
      <c r="B98" t="s">
        <v>249</v>
      </c>
      <c r="C98" s="167"/>
      <c r="D98" s="426">
        <f>D94-D97</f>
        <v>387572.85000000009</v>
      </c>
      <c r="E98" s="156"/>
      <c r="F98" s="2"/>
      <c r="G98" s="2"/>
      <c r="K98" s="104"/>
      <c r="L98" s="16"/>
      <c r="N98" s="2"/>
      <c r="O98" s="2"/>
      <c r="P98" s="2"/>
    </row>
    <row r="99" spans="1:16" x14ac:dyDescent="0.25">
      <c r="A99" s="159" t="s">
        <v>313</v>
      </c>
      <c r="B99" s="160"/>
      <c r="C99" s="160"/>
      <c r="D99" s="160"/>
      <c r="E99" s="156"/>
      <c r="K99" s="104"/>
      <c r="L99" s="16"/>
      <c r="N99" s="2"/>
      <c r="O99" s="2"/>
      <c r="P99" s="2"/>
    </row>
    <row r="100" spans="1:16" x14ac:dyDescent="0.25">
      <c r="A100" s="40"/>
      <c r="B100" s="5" t="s">
        <v>488</v>
      </c>
      <c r="C100" s="6"/>
      <c r="D100" s="430">
        <f>SewageData!B8*(1-Scenarios!M144/MAX(SewageData!B9,0.001))</f>
        <v>291544596</v>
      </c>
      <c r="E100" s="156"/>
      <c r="K100" s="104"/>
      <c r="L100" s="16"/>
      <c r="N100" s="2"/>
      <c r="O100" s="2"/>
      <c r="P100" s="2"/>
    </row>
    <row r="101" spans="1:16" x14ac:dyDescent="0.25">
      <c r="A101" s="40"/>
      <c r="B101" s="5" t="s">
        <v>489</v>
      </c>
      <c r="C101" s="6"/>
      <c r="D101" s="211">
        <f>(SewageData!B9*SewageData!B14-Scenarios!M144*Scenarios!M145)*(1-IF(Scenarios!M130="yes",Scenarios!M131*Scenarios!M132,0))*(1-IF(Scenarios!M134="yes",Scenarios!M135*Scenarios!M136,0))*(1-IF(Scenarios!M138="yes",Scenarios!M139*Scenarios!M140,0))/MAX((SewageData!B9-Scenarios!M144),0.001)</f>
        <v>0.19999999999999998</v>
      </c>
      <c r="E101" s="156"/>
      <c r="K101" s="104"/>
      <c r="L101" s="16"/>
      <c r="N101" s="2"/>
      <c r="O101" s="2"/>
      <c r="P101" s="2"/>
    </row>
    <row r="102" spans="1:16" x14ac:dyDescent="0.25">
      <c r="A102" s="40"/>
      <c r="B102" t="s">
        <v>331</v>
      </c>
      <c r="C102" s="6"/>
      <c r="D102" s="211">
        <f>(SewageData!B9*SewageData!B12-Scenarios!M144*Scenarios!M146)/MAX(SewageData!B9-Scenarios!M146,0.001)</f>
        <v>4.8311339745023482E-2</v>
      </c>
      <c r="E102" s="172" t="s">
        <v>490</v>
      </c>
      <c r="K102" s="104"/>
      <c r="L102" s="16"/>
      <c r="N102" s="2"/>
      <c r="O102" s="2"/>
      <c r="P102" s="2"/>
    </row>
    <row r="103" spans="1:16" x14ac:dyDescent="0.25">
      <c r="B103" t="s">
        <v>471</v>
      </c>
      <c r="D103" s="412">
        <f>(D100*D101*(SewageData!B16*(1-D102)*SewageData!B17+SewageData!B15*D102*SewageData!B18))</f>
        <v>421699.59792708559</v>
      </c>
      <c r="E103" s="156" t="s">
        <v>483</v>
      </c>
      <c r="I103" s="16"/>
      <c r="K103" s="104"/>
      <c r="L103" s="16"/>
      <c r="N103" s="2"/>
      <c r="O103" s="2"/>
      <c r="P103" s="2"/>
    </row>
    <row r="104" spans="1:16" x14ac:dyDescent="0.25">
      <c r="B104" t="s">
        <v>249</v>
      </c>
      <c r="D104" s="412">
        <f>SewageData!B19-Identified!D103</f>
        <v>-16.254727085586637</v>
      </c>
      <c r="E104" s="156"/>
      <c r="I104" s="16"/>
      <c r="K104" s="104"/>
      <c r="L104" s="16"/>
      <c r="N104" s="2"/>
      <c r="O104" s="2"/>
      <c r="P104" s="2"/>
    </row>
    <row r="105" spans="1:16" x14ac:dyDescent="0.25">
      <c r="A105" s="159" t="s">
        <v>306</v>
      </c>
      <c r="B105" s="159"/>
      <c r="C105" s="160"/>
      <c r="D105" s="160"/>
      <c r="E105" s="156"/>
      <c r="K105" s="104"/>
      <c r="L105" s="16"/>
      <c r="N105" s="2"/>
      <c r="O105" s="2"/>
      <c r="P105" s="2"/>
    </row>
    <row r="106" spans="1:16" x14ac:dyDescent="0.25">
      <c r="A106" s="159"/>
      <c r="B106" s="421" t="s">
        <v>578</v>
      </c>
      <c r="C106" s="160"/>
      <c r="D106" s="208">
        <f>SewageData!B76</f>
        <v>672243.05700000003</v>
      </c>
      <c r="E106" s="156"/>
      <c r="K106" s="104"/>
      <c r="L106" s="16"/>
      <c r="N106" s="2"/>
      <c r="O106" s="2"/>
      <c r="P106" s="2"/>
    </row>
    <row r="107" spans="1:16" x14ac:dyDescent="0.25">
      <c r="A107" s="186"/>
      <c r="B107" s="160" t="s">
        <v>464</v>
      </c>
      <c r="C107" s="160"/>
      <c r="D107" s="197"/>
      <c r="E107" s="156"/>
      <c r="F107" s="5"/>
      <c r="G107" s="5"/>
      <c r="K107" s="104"/>
      <c r="L107" s="16"/>
      <c r="N107" s="2"/>
      <c r="O107" s="2"/>
      <c r="P107" s="2"/>
    </row>
    <row r="108" spans="1:16" x14ac:dyDescent="0.25">
      <c r="A108" s="160"/>
      <c r="B108" s="160" t="s">
        <v>318</v>
      </c>
      <c r="C108" s="167"/>
      <c r="D108" s="196"/>
      <c r="E108" s="156"/>
      <c r="F108" s="170" t="s">
        <v>470</v>
      </c>
      <c r="G108" s="170"/>
      <c r="K108" s="104"/>
      <c r="L108" s="16"/>
      <c r="N108" s="2"/>
      <c r="O108" s="2"/>
      <c r="P108" s="2"/>
    </row>
    <row r="109" spans="1:16" x14ac:dyDescent="0.25">
      <c r="A109" s="160"/>
      <c r="B109" s="160" t="s">
        <v>471</v>
      </c>
      <c r="C109" s="167"/>
      <c r="D109" s="426">
        <f>SewageData!B76-IF((Scenarios!N93*Scenarios!N92)&gt;0,(SewageData!B76*Scenarios!N93*Scenarios!N92),0)</f>
        <v>336121.52850000001</v>
      </c>
      <c r="E109" s="156" t="s">
        <v>466</v>
      </c>
      <c r="F109" s="170" t="s">
        <v>465</v>
      </c>
      <c r="G109" s="170"/>
      <c r="K109" s="104"/>
      <c r="L109" s="16"/>
      <c r="N109" s="2"/>
      <c r="O109" s="2"/>
      <c r="P109" s="2"/>
    </row>
    <row r="110" spans="1:16" x14ac:dyDescent="0.25">
      <c r="A110" s="160"/>
      <c r="B110" t="s">
        <v>249</v>
      </c>
      <c r="C110" s="167"/>
      <c r="D110" s="426">
        <f>D106-D109</f>
        <v>336121.52850000001</v>
      </c>
      <c r="E110" s="156"/>
      <c r="F110" s="170"/>
      <c r="G110" s="170"/>
      <c r="K110" s="104"/>
      <c r="L110" s="16"/>
      <c r="N110" s="2"/>
      <c r="O110" s="2"/>
      <c r="P110" s="2"/>
    </row>
    <row r="111" spans="1:16" x14ac:dyDescent="0.25">
      <c r="A111" s="159" t="s">
        <v>307</v>
      </c>
      <c r="B111" s="159"/>
      <c r="C111" s="160"/>
      <c r="D111" s="160"/>
      <c r="E111" s="156"/>
      <c r="K111" s="104"/>
      <c r="L111" s="16"/>
      <c r="N111" s="2"/>
      <c r="O111" s="2"/>
      <c r="P111" s="2"/>
    </row>
    <row r="112" spans="1:16" ht="15.75" thickBot="1" x14ac:dyDescent="0.3">
      <c r="A112" s="5"/>
      <c r="B112" s="160" t="s">
        <v>449</v>
      </c>
      <c r="C112" s="167"/>
      <c r="D112" s="279">
        <f>Scenarios!P125</f>
        <v>0</v>
      </c>
      <c r="E112" s="156"/>
      <c r="K112" s="104"/>
      <c r="L112" s="16"/>
      <c r="N112" s="2"/>
      <c r="O112" s="2"/>
      <c r="P112" s="2"/>
    </row>
    <row r="113" spans="1:15" s="6" customFormat="1" ht="16.5" thickTop="1" thickBot="1" x14ac:dyDescent="0.3">
      <c r="A113" s="442"/>
      <c r="B113" s="440" t="s">
        <v>581</v>
      </c>
      <c r="C113" s="406"/>
      <c r="D113" s="441">
        <f>+D92+D98+D104+D110+D112</f>
        <v>723678.12377291452</v>
      </c>
      <c r="E113" s="210"/>
      <c r="H113" s="190"/>
      <c r="I113" s="190"/>
      <c r="J113" s="191"/>
      <c r="K113" s="192"/>
      <c r="M113" s="5"/>
      <c r="N113" s="5"/>
      <c r="O113" s="5"/>
    </row>
    <row r="114" spans="1:15" ht="15.75" thickTop="1" x14ac:dyDescent="0.25">
      <c r="A114" s="5"/>
      <c r="B114" s="5"/>
      <c r="C114" s="5"/>
      <c r="D114" s="5"/>
    </row>
    <row r="115" spans="1:15" x14ac:dyDescent="0.25">
      <c r="A115" s="5"/>
      <c r="B115" s="5"/>
      <c r="C115" s="5"/>
      <c r="D115" s="5"/>
    </row>
    <row r="116" spans="1:15" x14ac:dyDescent="0.25">
      <c r="A116" s="5"/>
      <c r="B116" s="5"/>
      <c r="C116" s="5"/>
      <c r="D116" s="5"/>
    </row>
  </sheetData>
  <mergeCells count="2">
    <mergeCell ref="K1:R1"/>
    <mergeCell ref="T1:X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Y116"/>
  <sheetViews>
    <sheetView topLeftCell="A25" workbookViewId="0">
      <selection activeCell="H3" sqref="H3"/>
    </sheetView>
  </sheetViews>
  <sheetFormatPr defaultRowHeight="15" x14ac:dyDescent="0.25"/>
  <cols>
    <col min="1" max="1" width="7.42578125" bestFit="1" customWidth="1"/>
    <col min="2" max="2" width="35.140625" bestFit="1" customWidth="1"/>
    <col min="3" max="3" width="10.140625" bestFit="1" customWidth="1"/>
    <col min="4" max="4" width="13.28515625" bestFit="1" customWidth="1"/>
    <col min="5" max="5" width="10.7109375" customWidth="1"/>
    <col min="7" max="7" width="11.42578125" customWidth="1"/>
    <col min="11" max="18" width="10.28515625" customWidth="1"/>
  </cols>
  <sheetData>
    <row r="1" spans="1:25" x14ac:dyDescent="0.25">
      <c r="I1" s="7"/>
      <c r="J1" s="7"/>
      <c r="K1" s="517" t="s">
        <v>276</v>
      </c>
      <c r="L1" s="517"/>
      <c r="M1" s="517"/>
      <c r="N1" s="517"/>
      <c r="O1" s="517"/>
      <c r="P1" s="517"/>
      <c r="Q1" s="517"/>
      <c r="R1" s="517"/>
      <c r="S1" s="9"/>
      <c r="T1" s="518" t="s">
        <v>255</v>
      </c>
      <c r="U1" s="518"/>
      <c r="V1" s="518"/>
      <c r="W1" s="518"/>
      <c r="X1" s="518"/>
    </row>
    <row r="2" spans="1:25" ht="45" x14ac:dyDescent="0.25">
      <c r="A2" s="93" t="str">
        <f>+BMPs!C2</f>
        <v>Code</v>
      </c>
      <c r="B2" s="93" t="str">
        <f>+BMPs!D2</f>
        <v>Description</v>
      </c>
      <c r="C2" s="94" t="s">
        <v>190</v>
      </c>
      <c r="D2" s="94" t="s">
        <v>191</v>
      </c>
      <c r="E2" s="94" t="s">
        <v>239</v>
      </c>
      <c r="F2" s="95" t="str">
        <f>+BMPs!E2</f>
        <v>Removal Rate</v>
      </c>
      <c r="G2" s="241" t="s">
        <v>503</v>
      </c>
      <c r="H2" s="96" t="str">
        <f>+BMPs!F2</f>
        <v>Runoff Redux</v>
      </c>
      <c r="I2" s="94" t="s">
        <v>254</v>
      </c>
      <c r="J2" s="94" t="s">
        <v>255</v>
      </c>
      <c r="K2" s="105" t="s">
        <v>256</v>
      </c>
      <c r="L2" s="110" t="s">
        <v>267</v>
      </c>
      <c r="M2" s="94" t="s">
        <v>269</v>
      </c>
      <c r="N2" s="107" t="s">
        <v>246</v>
      </c>
      <c r="O2" s="107" t="s">
        <v>247</v>
      </c>
      <c r="P2" s="107" t="s">
        <v>274</v>
      </c>
      <c r="Q2" s="94" t="s">
        <v>264</v>
      </c>
      <c r="R2" s="94" t="s">
        <v>271</v>
      </c>
      <c r="S2" s="13"/>
      <c r="T2" s="94" t="s">
        <v>192</v>
      </c>
      <c r="U2" s="94" t="s">
        <v>244</v>
      </c>
      <c r="V2" s="94" t="s">
        <v>247</v>
      </c>
      <c r="W2" s="94" t="s">
        <v>219</v>
      </c>
      <c r="X2" s="94" t="s">
        <v>274</v>
      </c>
      <c r="Y2" s="13"/>
    </row>
    <row r="3" spans="1:25" x14ac:dyDescent="0.25">
      <c r="A3" t="str">
        <f>+BMPs!C3</f>
        <v>AGRE</v>
      </c>
      <c r="B3" t="str">
        <f>+BMPs!D3</f>
        <v>Green Roof - Extensive</v>
      </c>
      <c r="C3" s="27">
        <f>+Scenarios!O3</f>
        <v>0</v>
      </c>
      <c r="D3" s="27">
        <f>+Scenarios!P3</f>
        <v>0</v>
      </c>
      <c r="E3" s="22"/>
      <c r="F3" s="76">
        <f>BMPs!E3</f>
        <v>0</v>
      </c>
      <c r="G3" s="242" t="s">
        <v>504</v>
      </c>
      <c r="H3" s="76">
        <f>IFERROR(VLOOKUP(A3,BMPs!$C$2:$J$64,HLOOKUP(G3,BMPs!$F$72:$I$73,2,FALSE),FALSE),0)</f>
        <v>0.6</v>
      </c>
      <c r="I3" s="97"/>
      <c r="J3" s="97"/>
      <c r="K3" s="99">
        <f>$C$50*(D3*'Watershed Data'!$D$23+(C3-D3)*VLOOKUP(G3,'Watershed Data'!$A$19:$E$22,5,FALSE))*3630</f>
        <v>0</v>
      </c>
      <c r="L3" s="37">
        <f t="shared" ref="L3:L44" si="0">K3/$C$51</f>
        <v>0</v>
      </c>
      <c r="M3" s="30">
        <f>BMPs!$M$8*BMPs!$M$12</f>
        <v>1.08</v>
      </c>
      <c r="N3" s="108">
        <f>1-H3</f>
        <v>0.4</v>
      </c>
      <c r="O3" s="39">
        <f t="shared" ref="O3:O44" si="1">H3+(N3*F3)</f>
        <v>0.6</v>
      </c>
      <c r="P3" s="99">
        <f t="shared" ref="P3:P44" si="2">$C$52*L3*M3*O3</f>
        <v>0</v>
      </c>
      <c r="Q3" s="116">
        <f t="shared" ref="Q3:Q20" si="3">+X3</f>
        <v>0</v>
      </c>
      <c r="R3" s="99">
        <f t="shared" ref="R3:R44" si="4">$C$52*L3*M3*O3-Q3</f>
        <v>0</v>
      </c>
      <c r="T3" s="76">
        <f>IFERROR(VLOOKUP(J3,BMPs!$C$3:$F$69,3,FALSE),0)</f>
        <v>0</v>
      </c>
      <c r="U3" s="76">
        <f>IFERROR(VLOOKUP(J3,BMPs!$C$3:$F$69,5,FALSE),0)</f>
        <v>0</v>
      </c>
      <c r="V3" s="117">
        <f>U3+(1-U3)*T3</f>
        <v>0</v>
      </c>
      <c r="W3" s="37">
        <f>IFERROR((D3*'Watershed Data'!$D$21+E3*'Watershed Data'!$E$21)/('LandUse-LandCover'!$E$30*'Watershed Data'!$D$23+'LandUse-LandCover'!$F$30*'Watershed Data'!$E$23),0)*BMPs!$M$6*BMPs!$M$8*BMPs!$M$12</f>
        <v>0</v>
      </c>
      <c r="X3" s="30">
        <f t="shared" ref="X3:X44" si="5">$C$52*W3*V3</f>
        <v>0</v>
      </c>
    </row>
    <row r="4" spans="1:25" x14ac:dyDescent="0.25">
      <c r="A4" t="str">
        <f>+BMPs!C4</f>
        <v>AGRI</v>
      </c>
      <c r="B4" t="str">
        <f>+BMPs!D4</f>
        <v>Green Roof - Intensive</v>
      </c>
      <c r="C4" s="27">
        <f>+Scenarios!O4</f>
        <v>0</v>
      </c>
      <c r="D4" s="27">
        <f>+Scenarios!P4</f>
        <v>0</v>
      </c>
      <c r="E4" s="22"/>
      <c r="F4" s="76">
        <f>BMPs!E4</f>
        <v>0</v>
      </c>
      <c r="G4" s="242" t="s">
        <v>504</v>
      </c>
      <c r="H4" s="76">
        <f>IFERROR(VLOOKUP(A4,BMPs!$C$2:$J$64,HLOOKUP(G4,BMPs!$F$72:$I$73,2,FALSE),FALSE),0)</f>
        <v>0.6</v>
      </c>
      <c r="I4" s="97"/>
      <c r="J4" s="97"/>
      <c r="K4" s="99">
        <f>$C$50*(D4*'Watershed Data'!$D$23+(C4-D4)*VLOOKUP(G4,'Watershed Data'!$A$19:$E$22,5,FALSE))*3630</f>
        <v>0</v>
      </c>
      <c r="L4" s="37">
        <f t="shared" si="0"/>
        <v>0</v>
      </c>
      <c r="M4" s="30">
        <f>BMPs!$M$8*BMPs!$M$12</f>
        <v>1.08</v>
      </c>
      <c r="N4" s="108">
        <f t="shared" ref="N4:N44" si="6">1-H4</f>
        <v>0.4</v>
      </c>
      <c r="O4" s="39">
        <f t="shared" si="1"/>
        <v>0.6</v>
      </c>
      <c r="P4" s="99">
        <f t="shared" si="2"/>
        <v>0</v>
      </c>
      <c r="Q4" s="116">
        <f t="shared" si="3"/>
        <v>0</v>
      </c>
      <c r="R4" s="99">
        <f t="shared" si="4"/>
        <v>0</v>
      </c>
      <c r="T4" s="76">
        <f>IFERROR(VLOOKUP(J4,BMPs!$C$3:$F$69,3,FALSE),0)</f>
        <v>0</v>
      </c>
      <c r="U4" s="76">
        <f>IFERROR(VLOOKUP(J4,BMPs!$C$3:$F$69,5,FALSE),0)</f>
        <v>0</v>
      </c>
      <c r="V4" s="117">
        <f t="shared" ref="V4:V44" si="7">U4+(1-U4)*T4</f>
        <v>0</v>
      </c>
      <c r="W4" s="37">
        <f>IFERROR((D4*'Watershed Data'!$D$21+E4*'Watershed Data'!$E$21)/('LandUse-LandCover'!$E$30*'Watershed Data'!$D$23+'LandUse-LandCover'!$F$30*'Watershed Data'!$E$23),0)*BMPs!$M$6*BMPs!$M$8*BMPs!$M$12</f>
        <v>0</v>
      </c>
      <c r="X4" s="30">
        <f t="shared" si="5"/>
        <v>0</v>
      </c>
    </row>
    <row r="5" spans="1:25" x14ac:dyDescent="0.25">
      <c r="A5" t="str">
        <f>+BMPs!C5</f>
        <v>APRP</v>
      </c>
      <c r="B5" t="str">
        <f>+BMPs!D5</f>
        <v>Permeable Pavement</v>
      </c>
      <c r="C5" s="27">
        <f>+Scenarios!O5</f>
        <v>0</v>
      </c>
      <c r="D5" s="27">
        <f>+Scenarios!P5</f>
        <v>0</v>
      </c>
      <c r="E5" s="22">
        <f t="shared" ref="E5:E45" si="8">IFERROR(C5-D5,"")</f>
        <v>0</v>
      </c>
      <c r="F5" s="76">
        <f>BMPs!E5</f>
        <v>0</v>
      </c>
      <c r="G5" s="242" t="s">
        <v>504</v>
      </c>
      <c r="H5" s="76">
        <f>IFERROR(VLOOKUP(A5,BMPs!$C$2:$J$64,HLOOKUP(G5,BMPs!$F$72:$I$73,2,FALSE),FALSE),0)</f>
        <v>0.45</v>
      </c>
      <c r="I5" s="97"/>
      <c r="J5" s="97"/>
      <c r="K5" s="99">
        <f>$C$50*(D5*'Watershed Data'!$D$23+(C5-D5)*VLOOKUP(G5,'Watershed Data'!$A$19:$E$22,5,FALSE))*3630</f>
        <v>0</v>
      </c>
      <c r="L5" s="37">
        <f t="shared" si="0"/>
        <v>0</v>
      </c>
      <c r="M5" s="30">
        <f>BMPs!$M$8*BMPs!$M$12</f>
        <v>1.08</v>
      </c>
      <c r="N5" s="108">
        <f t="shared" si="6"/>
        <v>0.55000000000000004</v>
      </c>
      <c r="O5" s="39">
        <f t="shared" si="1"/>
        <v>0.45</v>
      </c>
      <c r="P5" s="99">
        <f t="shared" si="2"/>
        <v>0</v>
      </c>
      <c r="Q5" s="116">
        <f t="shared" si="3"/>
        <v>0</v>
      </c>
      <c r="R5" s="99">
        <f t="shared" si="4"/>
        <v>0</v>
      </c>
      <c r="T5" s="76">
        <f>IFERROR(VLOOKUP(J5,BMPs!$C$3:$F$69,3,FALSE),0)</f>
        <v>0</v>
      </c>
      <c r="U5" s="76">
        <f>IFERROR(VLOOKUP(J5,BMPs!$C$3:$F$69,5,FALSE),0)</f>
        <v>0</v>
      </c>
      <c r="V5" s="117">
        <f t="shared" si="7"/>
        <v>0</v>
      </c>
      <c r="W5" s="37">
        <f>IFERROR((D5*'Watershed Data'!$D$21+E5*'Watershed Data'!$E$21)/('LandUse-LandCover'!$E$30*'Watershed Data'!$D$23+'LandUse-LandCover'!$F$30*'Watershed Data'!$E$23),0)*BMPs!$M$6*BMPs!$M$8*BMPs!$M$12</f>
        <v>0</v>
      </c>
      <c r="X5" s="30">
        <f t="shared" si="5"/>
        <v>0</v>
      </c>
    </row>
    <row r="6" spans="1:25" x14ac:dyDescent="0.25">
      <c r="A6" t="str">
        <f>+BMPs!C6</f>
        <v>ARTF</v>
      </c>
      <c r="B6" t="str">
        <f>+BMPs!D6</f>
        <v>Reinforced Turf</v>
      </c>
      <c r="C6" s="27">
        <f>+Scenarios!O6</f>
        <v>0</v>
      </c>
      <c r="D6" s="27">
        <f>+Scenarios!P6</f>
        <v>0</v>
      </c>
      <c r="E6" s="22">
        <f t="shared" si="8"/>
        <v>0</v>
      </c>
      <c r="F6" s="76">
        <f>BMPs!E6</f>
        <v>0</v>
      </c>
      <c r="G6" s="242" t="s">
        <v>504</v>
      </c>
      <c r="H6" s="76">
        <f>IFERROR(VLOOKUP(A6,BMPs!$C$2:$J$64,HLOOKUP(G6,BMPs!$F$72:$I$73,2,FALSE),FALSE),0)</f>
        <v>0.45</v>
      </c>
      <c r="I6" s="97"/>
      <c r="J6" s="97"/>
      <c r="K6" s="99">
        <f>$C$50*(D6*'Watershed Data'!$D$23+(C6-D6)*VLOOKUP(G6,'Watershed Data'!$A$19:$E$22,5,FALSE))*3630</f>
        <v>0</v>
      </c>
      <c r="L6" s="37">
        <f t="shared" si="0"/>
        <v>0</v>
      </c>
      <c r="M6" s="30">
        <f>BMPs!$M$8*BMPs!$M$12</f>
        <v>1.08</v>
      </c>
      <c r="N6" s="108">
        <f t="shared" si="6"/>
        <v>0.55000000000000004</v>
      </c>
      <c r="O6" s="39">
        <f t="shared" si="1"/>
        <v>0.45</v>
      </c>
      <c r="P6" s="99">
        <f t="shared" si="2"/>
        <v>0</v>
      </c>
      <c r="Q6" s="116">
        <f t="shared" si="3"/>
        <v>0</v>
      </c>
      <c r="R6" s="99">
        <f t="shared" si="4"/>
        <v>0</v>
      </c>
      <c r="T6" s="76">
        <f>IFERROR(VLOOKUP(J6,BMPs!$C$3:$F$69,3,FALSE),0)</f>
        <v>0</v>
      </c>
      <c r="U6" s="76">
        <f>IFERROR(VLOOKUP(J6,BMPs!$C$3:$F$69,5,FALSE),0)</f>
        <v>0</v>
      </c>
      <c r="V6" s="117">
        <f t="shared" si="7"/>
        <v>0</v>
      </c>
      <c r="W6" s="37">
        <f>IFERROR((D6*'Watershed Data'!$D$21+E6*'Watershed Data'!$E$21)/('LandUse-LandCover'!$E$30*'Watershed Data'!$D$23+'LandUse-LandCover'!$F$30*'Watershed Data'!$E$23),0)*BMPs!$M$6*BMPs!$M$8*BMPs!$M$12</f>
        <v>0</v>
      </c>
      <c r="X6" s="30">
        <f t="shared" si="5"/>
        <v>0</v>
      </c>
    </row>
    <row r="7" spans="1:25" x14ac:dyDescent="0.25">
      <c r="A7" t="str">
        <f>+BMPs!C7</f>
        <v>NDRR</v>
      </c>
      <c r="B7" t="str">
        <f>+BMPs!D7</f>
        <v>Disconnection of Rooftop Runoff</v>
      </c>
      <c r="C7" s="27">
        <f>+Scenarios!O7</f>
        <v>0</v>
      </c>
      <c r="D7" s="27">
        <f>+Scenarios!P7</f>
        <v>0</v>
      </c>
      <c r="E7" s="22">
        <f t="shared" si="8"/>
        <v>0</v>
      </c>
      <c r="F7" s="76">
        <f>BMPs!E7</f>
        <v>0</v>
      </c>
      <c r="G7" s="242" t="s">
        <v>504</v>
      </c>
      <c r="H7" s="76">
        <f>IFERROR(VLOOKUP(A7,BMPs!$C$2:$J$64,HLOOKUP(G7,BMPs!$F$72:$I$73,2,FALSE),FALSE),0)</f>
        <v>0.25</v>
      </c>
      <c r="I7" s="97"/>
      <c r="J7" s="97"/>
      <c r="K7" s="99">
        <f>$C$50*(D7*'Watershed Data'!$D$23+(C7-D7)*VLOOKUP(G7,'Watershed Data'!$A$19:$E$22,5,FALSE))*3630</f>
        <v>0</v>
      </c>
      <c r="L7" s="37">
        <f t="shared" si="0"/>
        <v>0</v>
      </c>
      <c r="M7" s="30">
        <f>BMPs!$M$8*BMPs!$M$12</f>
        <v>1.08</v>
      </c>
      <c r="N7" s="108">
        <f t="shared" si="6"/>
        <v>0.75</v>
      </c>
      <c r="O7" s="39">
        <f t="shared" si="1"/>
        <v>0.25</v>
      </c>
      <c r="P7" s="99">
        <f t="shared" si="2"/>
        <v>0</v>
      </c>
      <c r="Q7" s="116">
        <f t="shared" si="3"/>
        <v>0</v>
      </c>
      <c r="R7" s="99">
        <f t="shared" si="4"/>
        <v>0</v>
      </c>
      <c r="T7" s="76">
        <f>IFERROR(VLOOKUP(J7,BMPs!$C$3:$F$69,3,FALSE),0)</f>
        <v>0</v>
      </c>
      <c r="U7" s="76">
        <f>IFERROR(VLOOKUP(J7,BMPs!$C$3:$F$69,5,FALSE),0)</f>
        <v>0</v>
      </c>
      <c r="V7" s="117">
        <f t="shared" si="7"/>
        <v>0</v>
      </c>
      <c r="W7" s="37">
        <f>IFERROR((D7*'Watershed Data'!$D$21+E7*'Watershed Data'!$E$21)/('LandUse-LandCover'!$E$30*'Watershed Data'!$D$23+'LandUse-LandCover'!$F$30*'Watershed Data'!$E$23),0)*BMPs!$M$6*BMPs!$M$8*BMPs!$M$12</f>
        <v>0</v>
      </c>
      <c r="X7" s="30">
        <f t="shared" si="5"/>
        <v>0</v>
      </c>
    </row>
    <row r="8" spans="1:25" x14ac:dyDescent="0.25">
      <c r="A8" t="str">
        <f>+BMPs!C8</f>
        <v>NDNR</v>
      </c>
      <c r="B8" t="str">
        <f>+BMPs!D8</f>
        <v>Disconnection of Non-Rooftop Runoff</v>
      </c>
      <c r="C8" s="27">
        <f>+Scenarios!O8</f>
        <v>0</v>
      </c>
      <c r="D8" s="27">
        <f>+Scenarios!P8</f>
        <v>0</v>
      </c>
      <c r="E8" s="22">
        <f t="shared" si="8"/>
        <v>0</v>
      </c>
      <c r="F8" s="76">
        <f>BMPs!E8</f>
        <v>0</v>
      </c>
      <c r="G8" s="242" t="s">
        <v>504</v>
      </c>
      <c r="H8" s="76">
        <f>IFERROR(VLOOKUP(A8,BMPs!$C$2:$J$64,HLOOKUP(G8,BMPs!$F$72:$I$73,2,FALSE),FALSE),0)</f>
        <v>0.25</v>
      </c>
      <c r="I8" s="97"/>
      <c r="J8" s="97"/>
      <c r="K8" s="99">
        <f>$C$50*(D8*'Watershed Data'!$D$23+(C8-D8)*VLOOKUP(G8,'Watershed Data'!$A$19:$E$22,5,FALSE))*3630</f>
        <v>0</v>
      </c>
      <c r="L8" s="37">
        <f t="shared" si="0"/>
        <v>0</v>
      </c>
      <c r="M8" s="30">
        <f>BMPs!$M$8*BMPs!$M$12</f>
        <v>1.08</v>
      </c>
      <c r="N8" s="108">
        <f t="shared" si="6"/>
        <v>0.75</v>
      </c>
      <c r="O8" s="39">
        <f t="shared" si="1"/>
        <v>0.25</v>
      </c>
      <c r="P8" s="99">
        <f t="shared" si="2"/>
        <v>0</v>
      </c>
      <c r="Q8" s="116">
        <f t="shared" si="3"/>
        <v>0</v>
      </c>
      <c r="R8" s="99">
        <f t="shared" si="4"/>
        <v>0</v>
      </c>
      <c r="T8" s="76">
        <f>IFERROR(VLOOKUP(J8,BMPs!$C$3:$F$69,3,FALSE),0)</f>
        <v>0</v>
      </c>
      <c r="U8" s="76">
        <f>IFERROR(VLOOKUP(J8,BMPs!$C$3:$F$69,5,FALSE),0)</f>
        <v>0</v>
      </c>
      <c r="V8" s="117">
        <f t="shared" si="7"/>
        <v>0</v>
      </c>
      <c r="W8" s="37">
        <f>IFERROR((D8*'Watershed Data'!$D$21+E8*'Watershed Data'!$E$21)/('LandUse-LandCover'!$E$30*'Watershed Data'!$D$23+'LandUse-LandCover'!$F$30*'Watershed Data'!$E$23),0)*BMPs!$M$6*BMPs!$M$8*BMPs!$M$12</f>
        <v>0</v>
      </c>
      <c r="X8" s="30">
        <f t="shared" si="5"/>
        <v>0</v>
      </c>
    </row>
    <row r="9" spans="1:25" x14ac:dyDescent="0.25">
      <c r="A9" t="str">
        <f>+BMPs!C9</f>
        <v>NSCA</v>
      </c>
      <c r="B9" t="str">
        <f>+BMPs!D9</f>
        <v>Sheetflow to Conservation Areas</v>
      </c>
      <c r="C9" s="27">
        <f>+Scenarios!O9</f>
        <v>0</v>
      </c>
      <c r="D9" s="27">
        <f>+Scenarios!P9</f>
        <v>0</v>
      </c>
      <c r="E9" s="22">
        <f t="shared" si="8"/>
        <v>0</v>
      </c>
      <c r="F9" s="76">
        <f>BMPs!E9</f>
        <v>0</v>
      </c>
      <c r="G9" s="242" t="s">
        <v>504</v>
      </c>
      <c r="H9" s="76">
        <f>IFERROR(VLOOKUP(A9,BMPs!$C$2:$J$64,HLOOKUP(G9,BMPs!$F$72:$I$73,2,FALSE),FALSE),0)</f>
        <v>0.5</v>
      </c>
      <c r="I9" s="97"/>
      <c r="J9" s="97"/>
      <c r="K9" s="99">
        <f>$C$50*(D9*'Watershed Data'!$D$23+(C9-D9)*VLOOKUP(G9,'Watershed Data'!$A$19:$E$22,5,FALSE))*3630</f>
        <v>0</v>
      </c>
      <c r="L9" s="37">
        <f t="shared" si="0"/>
        <v>0</v>
      </c>
      <c r="M9" s="30">
        <f>BMPs!$M$8*BMPs!$M$12</f>
        <v>1.08</v>
      </c>
      <c r="N9" s="108">
        <f t="shared" si="6"/>
        <v>0.5</v>
      </c>
      <c r="O9" s="39">
        <f t="shared" si="1"/>
        <v>0.5</v>
      </c>
      <c r="P9" s="99">
        <f t="shared" si="2"/>
        <v>0</v>
      </c>
      <c r="Q9" s="116">
        <f t="shared" si="3"/>
        <v>0</v>
      </c>
      <c r="R9" s="99">
        <f t="shared" si="4"/>
        <v>0</v>
      </c>
      <c r="T9" s="76">
        <f>IFERROR(VLOOKUP(J9,BMPs!$C$3:$F$69,3,FALSE),0)</f>
        <v>0</v>
      </c>
      <c r="U9" s="76">
        <f>IFERROR(VLOOKUP(J9,BMPs!$C$3:$F$69,5,FALSE),0)</f>
        <v>0</v>
      </c>
      <c r="V9" s="117">
        <f t="shared" si="7"/>
        <v>0</v>
      </c>
      <c r="W9" s="37">
        <f>IFERROR((D9*'Watershed Data'!$D$21+E9*'Watershed Data'!$E$21)/('LandUse-LandCover'!$E$30*'Watershed Data'!$D$23+'LandUse-LandCover'!$F$30*'Watershed Data'!$E$23),0)*BMPs!$M$6*BMPs!$M$8*BMPs!$M$12</f>
        <v>0</v>
      </c>
      <c r="X9" s="30">
        <f t="shared" si="5"/>
        <v>0</v>
      </c>
    </row>
    <row r="10" spans="1:25" x14ac:dyDescent="0.25">
      <c r="A10" t="str">
        <f>+BMPs!C10</f>
        <v>MRWH</v>
      </c>
      <c r="B10" t="str">
        <f>+BMPs!D10</f>
        <v>Rainwater Harvesting</v>
      </c>
      <c r="C10" s="27">
        <f>+Scenarios!O10</f>
        <v>0</v>
      </c>
      <c r="D10" s="27">
        <f>+Scenarios!P10</f>
        <v>0</v>
      </c>
      <c r="E10" s="22">
        <f t="shared" si="8"/>
        <v>0</v>
      </c>
      <c r="F10" s="76">
        <f>BMPs!E10</f>
        <v>0</v>
      </c>
      <c r="G10" s="242" t="s">
        <v>504</v>
      </c>
      <c r="H10" s="76">
        <f>IFERROR(VLOOKUP(A10,BMPs!$C$2:$J$64,HLOOKUP(G10,BMPs!$F$72:$I$73,2,FALSE),FALSE),0)</f>
        <v>0.4</v>
      </c>
      <c r="I10" s="97"/>
      <c r="J10" s="97"/>
      <c r="K10" s="99">
        <f>$C$50*(D10*'Watershed Data'!$D$23+(C10-D10)*VLOOKUP(G10,'Watershed Data'!$A$19:$E$22,5,FALSE))*3630</f>
        <v>0</v>
      </c>
      <c r="L10" s="37">
        <f t="shared" si="0"/>
        <v>0</v>
      </c>
      <c r="M10" s="30">
        <f>BMPs!$M$8*BMPs!$M$12</f>
        <v>1.08</v>
      </c>
      <c r="N10" s="108">
        <f t="shared" si="6"/>
        <v>0.6</v>
      </c>
      <c r="O10" s="39">
        <f t="shared" si="1"/>
        <v>0.4</v>
      </c>
      <c r="P10" s="99">
        <f t="shared" si="2"/>
        <v>0</v>
      </c>
      <c r="Q10" s="116">
        <f t="shared" si="3"/>
        <v>0</v>
      </c>
      <c r="R10" s="99">
        <f t="shared" si="4"/>
        <v>0</v>
      </c>
      <c r="T10" s="76">
        <f>IFERROR(VLOOKUP(J10,BMPs!$C$3:$F$69,3,FALSE),0)</f>
        <v>0</v>
      </c>
      <c r="U10" s="76">
        <f>IFERROR(VLOOKUP(J10,BMPs!$C$3:$F$69,5,FALSE),0)</f>
        <v>0</v>
      </c>
      <c r="V10" s="117">
        <f t="shared" si="7"/>
        <v>0</v>
      </c>
      <c r="W10" s="37">
        <f>IFERROR((D10*'Watershed Data'!$D$21+E10*'Watershed Data'!$E$21)/('LandUse-LandCover'!$E$30*'Watershed Data'!$D$23+'LandUse-LandCover'!$F$30*'Watershed Data'!$E$23),0)*BMPs!$M$6*BMPs!$M$8*BMPs!$M$12</f>
        <v>0</v>
      </c>
      <c r="X10" s="30">
        <f t="shared" si="5"/>
        <v>0</v>
      </c>
    </row>
    <row r="11" spans="1:25" x14ac:dyDescent="0.25">
      <c r="A11" t="str">
        <f>+BMPs!C11</f>
        <v>MSGW</v>
      </c>
      <c r="B11" t="str">
        <f>+BMPs!D11</f>
        <v>Submerged Gravel Wetland</v>
      </c>
      <c r="C11" s="27">
        <f>+Scenarios!O11</f>
        <v>0</v>
      </c>
      <c r="D11" s="27">
        <f>+Scenarios!P11</f>
        <v>0</v>
      </c>
      <c r="E11" s="22">
        <f t="shared" si="8"/>
        <v>0</v>
      </c>
      <c r="F11" s="76">
        <f>BMPs!E11</f>
        <v>0</v>
      </c>
      <c r="G11" s="242" t="s">
        <v>504</v>
      </c>
      <c r="H11" s="76">
        <f>IFERROR(VLOOKUP(A11,BMPs!$C$2:$J$64,HLOOKUP(G11,BMPs!$F$72:$I$73,2,FALSE),FALSE),0)</f>
        <v>0</v>
      </c>
      <c r="I11" s="97"/>
      <c r="J11" s="97"/>
      <c r="K11" s="99">
        <f>$C$50*(D11*'Watershed Data'!$D$23+(C11-D11)*VLOOKUP(G11,'Watershed Data'!$A$19:$E$22,5,FALSE))*3630</f>
        <v>0</v>
      </c>
      <c r="L11" s="37">
        <f t="shared" si="0"/>
        <v>0</v>
      </c>
      <c r="M11" s="30">
        <f>BMPs!$M$8*BMPs!$M$12</f>
        <v>1.08</v>
      </c>
      <c r="N11" s="108">
        <f t="shared" si="6"/>
        <v>1</v>
      </c>
      <c r="O11" s="39">
        <f t="shared" si="1"/>
        <v>0</v>
      </c>
      <c r="P11" s="99">
        <f t="shared" si="2"/>
        <v>0</v>
      </c>
      <c r="Q11" s="116">
        <f t="shared" si="3"/>
        <v>0</v>
      </c>
      <c r="R11" s="99">
        <f t="shared" si="4"/>
        <v>0</v>
      </c>
      <c r="T11" s="76">
        <f>IFERROR(VLOOKUP(J11,BMPs!$C$3:$F$69,3,FALSE),0)</f>
        <v>0</v>
      </c>
      <c r="U11" s="76">
        <f>IFERROR(VLOOKUP(J11,BMPs!$C$3:$F$69,5,FALSE),0)</f>
        <v>0</v>
      </c>
      <c r="V11" s="117">
        <f t="shared" si="7"/>
        <v>0</v>
      </c>
      <c r="W11" s="37">
        <f>IFERROR((D11*'Watershed Data'!$D$21+E11*'Watershed Data'!$E$21)/('LandUse-LandCover'!$E$30*'Watershed Data'!$D$23+'LandUse-LandCover'!$F$30*'Watershed Data'!$E$23),0)*BMPs!$M$6*BMPs!$M$8*BMPs!$M$12</f>
        <v>0</v>
      </c>
      <c r="X11" s="30">
        <f t="shared" si="5"/>
        <v>0</v>
      </c>
    </row>
    <row r="12" spans="1:25" x14ac:dyDescent="0.25">
      <c r="A12" t="str">
        <f>+BMPs!C12</f>
        <v>MILS</v>
      </c>
      <c r="B12" t="str">
        <f>+BMPs!D12</f>
        <v>Landscape Infiltration</v>
      </c>
      <c r="C12" s="27">
        <f>+Scenarios!O12</f>
        <v>0</v>
      </c>
      <c r="D12" s="27">
        <f>+Scenarios!P12</f>
        <v>0</v>
      </c>
      <c r="E12" s="22">
        <f t="shared" si="8"/>
        <v>0</v>
      </c>
      <c r="F12" s="76">
        <f>BMPs!E12</f>
        <v>0.85</v>
      </c>
      <c r="G12" s="242" t="s">
        <v>504</v>
      </c>
      <c r="H12" s="76">
        <f>IFERROR(VLOOKUP(A12,BMPs!$C$2:$J$64,HLOOKUP(G12,BMPs!$F$72:$I$73,2,FALSE),FALSE),0)</f>
        <v>0.5</v>
      </c>
      <c r="I12" s="97"/>
      <c r="J12" s="97"/>
      <c r="K12" s="99">
        <f>$C$50*(D12*'Watershed Data'!$D$23+(C12-D12)*VLOOKUP(G12,'Watershed Data'!$A$19:$E$22,5,FALSE))*3630</f>
        <v>0</v>
      </c>
      <c r="L12" s="37">
        <f t="shared" si="0"/>
        <v>0</v>
      </c>
      <c r="M12" s="30">
        <f>BMPs!$M$8*BMPs!$M$12</f>
        <v>1.08</v>
      </c>
      <c r="N12" s="108">
        <f t="shared" si="6"/>
        <v>0.5</v>
      </c>
      <c r="O12" s="39">
        <f t="shared" si="1"/>
        <v>0.92500000000000004</v>
      </c>
      <c r="P12" s="99">
        <f t="shared" si="2"/>
        <v>0</v>
      </c>
      <c r="Q12" s="116">
        <f t="shared" si="3"/>
        <v>0</v>
      </c>
      <c r="R12" s="99">
        <f t="shared" si="4"/>
        <v>0</v>
      </c>
      <c r="T12" s="76">
        <f>IFERROR(VLOOKUP(J12,BMPs!$C$3:$F$69,3,FALSE),0)</f>
        <v>0</v>
      </c>
      <c r="U12" s="76">
        <f>IFERROR(VLOOKUP(J12,BMPs!$C$3:$F$69,5,FALSE),0)</f>
        <v>0</v>
      </c>
      <c r="V12" s="117">
        <f t="shared" si="7"/>
        <v>0</v>
      </c>
      <c r="W12" s="37">
        <f>IFERROR((D12*'Watershed Data'!$D$21+E12*'Watershed Data'!$E$21)/('LandUse-LandCover'!$E$30*'Watershed Data'!$D$23+'LandUse-LandCover'!$F$30*'Watershed Data'!$E$23),0)*BMPs!$M$6*BMPs!$M$8*BMPs!$M$12</f>
        <v>0</v>
      </c>
      <c r="X12" s="30">
        <f t="shared" si="5"/>
        <v>0</v>
      </c>
    </row>
    <row r="13" spans="1:25" x14ac:dyDescent="0.25">
      <c r="A13" t="str">
        <f>+BMPs!C13</f>
        <v>MIBR</v>
      </c>
      <c r="B13" t="str">
        <f>+BMPs!D13</f>
        <v>Infiltration Berm</v>
      </c>
      <c r="C13" s="27">
        <f>+Scenarios!O13</f>
        <v>0</v>
      </c>
      <c r="D13" s="27">
        <f>+Scenarios!P13</f>
        <v>0</v>
      </c>
      <c r="E13" s="22">
        <f t="shared" si="8"/>
        <v>0</v>
      </c>
      <c r="F13" s="76">
        <f>BMPs!E13</f>
        <v>0.85</v>
      </c>
      <c r="G13" s="242" t="s">
        <v>504</v>
      </c>
      <c r="H13" s="76">
        <f>IFERROR(VLOOKUP(A13,BMPs!$C$2:$J$64,HLOOKUP(G13,BMPs!$F$72:$I$73,2,FALSE),FALSE),0)</f>
        <v>0.5</v>
      </c>
      <c r="I13" s="97"/>
      <c r="J13" s="97"/>
      <c r="K13" s="99">
        <f>$C$50*(D13*'Watershed Data'!$D$23+(C13-D13)*VLOOKUP(G13,'Watershed Data'!$A$19:$E$22,5,FALSE))*3630</f>
        <v>0</v>
      </c>
      <c r="L13" s="37">
        <f t="shared" si="0"/>
        <v>0</v>
      </c>
      <c r="M13" s="30">
        <f>BMPs!$M$8*BMPs!$M$12</f>
        <v>1.08</v>
      </c>
      <c r="N13" s="108">
        <f t="shared" si="6"/>
        <v>0.5</v>
      </c>
      <c r="O13" s="39">
        <f t="shared" si="1"/>
        <v>0.92500000000000004</v>
      </c>
      <c r="P13" s="99">
        <f t="shared" si="2"/>
        <v>0</v>
      </c>
      <c r="Q13" s="116">
        <f t="shared" si="3"/>
        <v>0</v>
      </c>
      <c r="R13" s="99">
        <f t="shared" si="4"/>
        <v>0</v>
      </c>
      <c r="T13" s="76">
        <f>IFERROR(VLOOKUP(J13,BMPs!$C$3:$F$69,3,FALSE),0)</f>
        <v>0</v>
      </c>
      <c r="U13" s="76">
        <f>IFERROR(VLOOKUP(J13,BMPs!$C$3:$F$69,5,FALSE),0)</f>
        <v>0</v>
      </c>
      <c r="V13" s="117">
        <f t="shared" si="7"/>
        <v>0</v>
      </c>
      <c r="W13" s="37">
        <f>IFERROR((D13*'Watershed Data'!$D$21+E13*'Watershed Data'!$E$21)/('LandUse-LandCover'!$E$30*'Watershed Data'!$D$23+'LandUse-LandCover'!$F$30*'Watershed Data'!$E$23),0)*BMPs!$M$6*BMPs!$M$8*BMPs!$M$12</f>
        <v>0</v>
      </c>
      <c r="X13" s="30">
        <f t="shared" si="5"/>
        <v>0</v>
      </c>
    </row>
    <row r="14" spans="1:25" x14ac:dyDescent="0.25">
      <c r="A14" t="str">
        <f>+BMPs!C14</f>
        <v>MIDW</v>
      </c>
      <c r="B14" t="str">
        <f>+BMPs!D14</f>
        <v>Dry Well</v>
      </c>
      <c r="C14" s="27">
        <f>+Scenarios!O14</f>
        <v>0</v>
      </c>
      <c r="D14" s="27">
        <f>+Scenarios!P14</f>
        <v>0</v>
      </c>
      <c r="E14" s="22">
        <f t="shared" si="8"/>
        <v>0</v>
      </c>
      <c r="F14" s="76">
        <f>BMPs!E14</f>
        <v>0.85</v>
      </c>
      <c r="G14" s="242" t="s">
        <v>504</v>
      </c>
      <c r="H14" s="76">
        <f>IFERROR(VLOOKUP(A14,BMPs!$C$2:$J$64,HLOOKUP(G14,BMPs!$F$72:$I$73,2,FALSE),FALSE),0)</f>
        <v>0.5</v>
      </c>
      <c r="I14" s="97"/>
      <c r="J14" s="97"/>
      <c r="K14" s="99">
        <f>$C$50*(D14*'Watershed Data'!$D$23+(C14-D14)*VLOOKUP(G14,'Watershed Data'!$A$19:$E$22,5,FALSE))*3630</f>
        <v>0</v>
      </c>
      <c r="L14" s="37">
        <f t="shared" si="0"/>
        <v>0</v>
      </c>
      <c r="M14" s="30">
        <f>BMPs!$M$8*BMPs!$M$12</f>
        <v>1.08</v>
      </c>
      <c r="N14" s="108">
        <f t="shared" si="6"/>
        <v>0.5</v>
      </c>
      <c r="O14" s="39">
        <f t="shared" si="1"/>
        <v>0.92500000000000004</v>
      </c>
      <c r="P14" s="99">
        <f t="shared" si="2"/>
        <v>0</v>
      </c>
      <c r="Q14" s="116">
        <f t="shared" si="3"/>
        <v>0</v>
      </c>
      <c r="R14" s="99">
        <f t="shared" si="4"/>
        <v>0</v>
      </c>
      <c r="T14" s="76">
        <f>IFERROR(VLOOKUP(J14,BMPs!$C$3:$F$69,3,FALSE),0)</f>
        <v>0</v>
      </c>
      <c r="U14" s="76">
        <f>IFERROR(VLOOKUP(J14,BMPs!$C$3:$F$69,5,FALSE),0)</f>
        <v>0</v>
      </c>
      <c r="V14" s="117">
        <f t="shared" si="7"/>
        <v>0</v>
      </c>
      <c r="W14" s="37">
        <f>IFERROR((D14*'Watershed Data'!$D$21+E14*'Watershed Data'!$E$21)/('LandUse-LandCover'!$E$30*'Watershed Data'!$D$23+'LandUse-LandCover'!$F$30*'Watershed Data'!$E$23),0)*BMPs!$M$6*BMPs!$M$8*BMPs!$M$12</f>
        <v>0</v>
      </c>
      <c r="X14" s="30">
        <f t="shared" si="5"/>
        <v>0</v>
      </c>
    </row>
    <row r="15" spans="1:25" x14ac:dyDescent="0.25">
      <c r="A15" t="str">
        <f>+BMPs!C15</f>
        <v>MMBR</v>
      </c>
      <c r="B15" t="str">
        <f>+BMPs!D15</f>
        <v>Micro-Bioretention</v>
      </c>
      <c r="C15" s="27">
        <f>+Scenarios!O15</f>
        <v>0</v>
      </c>
      <c r="D15" s="27">
        <f>+Scenarios!P15</f>
        <v>0</v>
      </c>
      <c r="E15" s="22">
        <f t="shared" si="8"/>
        <v>0</v>
      </c>
      <c r="F15" s="76">
        <f>BMPs!E15</f>
        <v>0.5</v>
      </c>
      <c r="G15" s="242" t="s">
        <v>504</v>
      </c>
      <c r="H15" s="76">
        <f>IFERROR(VLOOKUP(A15,BMPs!$C$2:$J$64,HLOOKUP(G15,BMPs!$F$72:$I$73,2,FALSE),FALSE),0)</f>
        <v>0.4</v>
      </c>
      <c r="I15" s="97"/>
      <c r="J15" s="97"/>
      <c r="K15" s="99">
        <f>$C$50*(D15*'Watershed Data'!$D$23+(C15-D15)*VLOOKUP(G15,'Watershed Data'!$A$19:$E$22,5,FALSE))*3630</f>
        <v>0</v>
      </c>
      <c r="L15" s="37">
        <f t="shared" si="0"/>
        <v>0</v>
      </c>
      <c r="M15" s="30">
        <f>BMPs!$M$8*BMPs!$M$12</f>
        <v>1.08</v>
      </c>
      <c r="N15" s="108">
        <f t="shared" si="6"/>
        <v>0.6</v>
      </c>
      <c r="O15" s="39">
        <f t="shared" si="1"/>
        <v>0.7</v>
      </c>
      <c r="P15" s="99">
        <f t="shared" si="2"/>
        <v>0</v>
      </c>
      <c r="Q15" s="116">
        <f t="shared" si="3"/>
        <v>0</v>
      </c>
      <c r="R15" s="99">
        <f t="shared" si="4"/>
        <v>0</v>
      </c>
      <c r="T15" s="76">
        <f>IFERROR(VLOOKUP(J15,BMPs!$C$3:$F$69,3,FALSE),0)</f>
        <v>0</v>
      </c>
      <c r="U15" s="76">
        <f>IFERROR(VLOOKUP(J15,BMPs!$C$3:$F$69,5,FALSE),0)</f>
        <v>0</v>
      </c>
      <c r="V15" s="117">
        <f t="shared" si="7"/>
        <v>0</v>
      </c>
      <c r="W15" s="37">
        <f>IFERROR((D15*'Watershed Data'!$D$21+E15*'Watershed Data'!$E$21)/('LandUse-LandCover'!$E$30*'Watershed Data'!$D$23+'LandUse-LandCover'!$F$30*'Watershed Data'!$E$23),0)*BMPs!$M$6*BMPs!$M$8*BMPs!$M$12</f>
        <v>0</v>
      </c>
      <c r="X15" s="30">
        <f t="shared" si="5"/>
        <v>0</v>
      </c>
    </row>
    <row r="16" spans="1:25" x14ac:dyDescent="0.25">
      <c r="A16" t="str">
        <f>+BMPs!C16</f>
        <v>MRNG</v>
      </c>
      <c r="B16" t="str">
        <f>+BMPs!D16</f>
        <v>Rain Gardens</v>
      </c>
      <c r="C16" s="27">
        <f>+Scenarios!O16</f>
        <v>0</v>
      </c>
      <c r="D16" s="27">
        <f>+Scenarios!P16</f>
        <v>0</v>
      </c>
      <c r="E16" s="22">
        <f t="shared" si="8"/>
        <v>0</v>
      </c>
      <c r="F16" s="76">
        <f>BMPs!E16</f>
        <v>0.5</v>
      </c>
      <c r="G16" s="242" t="s">
        <v>504</v>
      </c>
      <c r="H16" s="76">
        <f>IFERROR(VLOOKUP(A16,BMPs!$C$2:$J$64,HLOOKUP(G16,BMPs!$F$72:$I$73,2,FALSE),FALSE),0)</f>
        <v>0.4</v>
      </c>
      <c r="I16" s="97"/>
      <c r="J16" s="97"/>
      <c r="K16" s="99">
        <f>$C$50*(D16*'Watershed Data'!$D$23+(C16-D16)*VLOOKUP(G16,'Watershed Data'!$A$19:$E$22,5,FALSE))*3630</f>
        <v>0</v>
      </c>
      <c r="L16" s="37">
        <f t="shared" si="0"/>
        <v>0</v>
      </c>
      <c r="M16" s="30">
        <f>BMPs!$M$8*BMPs!$M$12</f>
        <v>1.08</v>
      </c>
      <c r="N16" s="108">
        <f t="shared" si="6"/>
        <v>0.6</v>
      </c>
      <c r="O16" s="39">
        <f t="shared" si="1"/>
        <v>0.7</v>
      </c>
      <c r="P16" s="99">
        <f t="shared" si="2"/>
        <v>0</v>
      </c>
      <c r="Q16" s="116">
        <f t="shared" si="3"/>
        <v>0</v>
      </c>
      <c r="R16" s="99">
        <f t="shared" si="4"/>
        <v>0</v>
      </c>
      <c r="T16" s="76">
        <f>IFERROR(VLOOKUP(J16,BMPs!$C$3:$F$69,3,FALSE),0)</f>
        <v>0</v>
      </c>
      <c r="U16" s="76">
        <f>IFERROR(VLOOKUP(J16,BMPs!$C$3:$F$69,5,FALSE),0)</f>
        <v>0</v>
      </c>
      <c r="V16" s="117">
        <f t="shared" si="7"/>
        <v>0</v>
      </c>
      <c r="W16" s="37">
        <f>IFERROR((D16*'Watershed Data'!$D$21+E16*'Watershed Data'!$E$21)/('LandUse-LandCover'!$E$30*'Watershed Data'!$D$23+'LandUse-LandCover'!$F$30*'Watershed Data'!$E$23),0)*BMPs!$M$6*BMPs!$M$8*BMPs!$M$12</f>
        <v>0</v>
      </c>
      <c r="X16" s="30">
        <f t="shared" si="5"/>
        <v>0</v>
      </c>
    </row>
    <row r="17" spans="1:25" x14ac:dyDescent="0.25">
      <c r="A17" t="str">
        <f>+BMPs!C17</f>
        <v>MSWG</v>
      </c>
      <c r="B17" t="str">
        <f>+BMPs!D17</f>
        <v>Grass Swale</v>
      </c>
      <c r="C17" s="27">
        <f>+Scenarios!O17</f>
        <v>0</v>
      </c>
      <c r="D17" s="27">
        <f>+Scenarios!P17</f>
        <v>0</v>
      </c>
      <c r="E17" s="22">
        <f t="shared" si="8"/>
        <v>0</v>
      </c>
      <c r="F17" s="112">
        <v>0</v>
      </c>
      <c r="G17" s="242" t="s">
        <v>504</v>
      </c>
      <c r="H17" s="76">
        <f>IFERROR(VLOOKUP(A17,BMPs!$C$2:$J$64,HLOOKUP(G17,BMPs!$F$72:$I$73,2,FALSE),FALSE),0)</f>
        <v>0.1</v>
      </c>
      <c r="I17" s="97"/>
      <c r="J17" s="97"/>
      <c r="K17" s="99">
        <f>$C$50*(D17*'Watershed Data'!$D$23+(C17-D17)*VLOOKUP(G17,'Watershed Data'!$A$19:$E$22,5,FALSE))*3630</f>
        <v>0</v>
      </c>
      <c r="L17" s="37">
        <f t="shared" si="0"/>
        <v>0</v>
      </c>
      <c r="M17" s="30">
        <f>BMPs!$M$8*BMPs!$M$12</f>
        <v>1.08</v>
      </c>
      <c r="N17" s="108">
        <f t="shared" si="6"/>
        <v>0.9</v>
      </c>
      <c r="O17" s="39">
        <f t="shared" si="1"/>
        <v>0.1</v>
      </c>
      <c r="P17" s="99">
        <f t="shared" si="2"/>
        <v>0</v>
      </c>
      <c r="Q17" s="116">
        <f t="shared" si="3"/>
        <v>0</v>
      </c>
      <c r="R17" s="99">
        <f t="shared" si="4"/>
        <v>0</v>
      </c>
      <c r="T17" s="76">
        <f>IFERROR(VLOOKUP(J17,BMPs!$C$3:$F$69,3,FALSE),0)</f>
        <v>0</v>
      </c>
      <c r="U17" s="76">
        <f>IFERROR(VLOOKUP(J17,BMPs!$C$3:$F$69,5,FALSE),0)</f>
        <v>0</v>
      </c>
      <c r="V17" s="117">
        <f t="shared" si="7"/>
        <v>0</v>
      </c>
      <c r="W17" s="37">
        <f>IFERROR((D17*'Watershed Data'!$D$21+E17*'Watershed Data'!$E$21)/('LandUse-LandCover'!$E$30*'Watershed Data'!$D$23+'LandUse-LandCover'!$F$30*'Watershed Data'!$E$23),0)*BMPs!$M$6*BMPs!$M$8*BMPs!$M$12</f>
        <v>0</v>
      </c>
      <c r="X17" s="30">
        <f t="shared" si="5"/>
        <v>0</v>
      </c>
    </row>
    <row r="18" spans="1:25" x14ac:dyDescent="0.25">
      <c r="A18" t="str">
        <f>+BMPs!C18</f>
        <v>MSWW</v>
      </c>
      <c r="B18" t="str">
        <f>+BMPs!D18</f>
        <v>Wet Swale</v>
      </c>
      <c r="C18" s="27">
        <f>+Scenarios!O18</f>
        <v>0</v>
      </c>
      <c r="D18" s="27">
        <f>+Scenarios!P18</f>
        <v>0</v>
      </c>
      <c r="E18" s="22">
        <f t="shared" si="8"/>
        <v>0</v>
      </c>
      <c r="F18" s="76">
        <f>BMPs!E18</f>
        <v>0</v>
      </c>
      <c r="G18" s="242" t="s">
        <v>504</v>
      </c>
      <c r="H18" s="76">
        <f>IFERROR(VLOOKUP(A18,BMPs!$C$2:$J$64,HLOOKUP(G18,BMPs!$F$72:$I$73,2,FALSE),FALSE),0)</f>
        <v>0</v>
      </c>
      <c r="I18" s="97"/>
      <c r="J18" s="97"/>
      <c r="K18" s="99">
        <f>$C$50*(D18*'Watershed Data'!$D$23+(C18-D18)*VLOOKUP(G18,'Watershed Data'!$A$19:$E$22,5,FALSE))*3630</f>
        <v>0</v>
      </c>
      <c r="L18" s="37">
        <f t="shared" si="0"/>
        <v>0</v>
      </c>
      <c r="M18" s="30">
        <f>BMPs!$M$8*BMPs!$M$12</f>
        <v>1.08</v>
      </c>
      <c r="N18" s="108">
        <f t="shared" si="6"/>
        <v>1</v>
      </c>
      <c r="O18" s="39">
        <f t="shared" si="1"/>
        <v>0</v>
      </c>
      <c r="P18" s="99">
        <f t="shared" si="2"/>
        <v>0</v>
      </c>
      <c r="Q18" s="116">
        <f t="shared" si="3"/>
        <v>0</v>
      </c>
      <c r="R18" s="99">
        <f t="shared" si="4"/>
        <v>0</v>
      </c>
      <c r="T18" s="76">
        <f>IFERROR(VLOOKUP(J18,BMPs!$C$3:$F$69,3,FALSE),0)</f>
        <v>0</v>
      </c>
      <c r="U18" s="76">
        <f>IFERROR(VLOOKUP(J18,BMPs!$C$3:$F$69,5,FALSE),0)</f>
        <v>0</v>
      </c>
      <c r="V18" s="117">
        <f t="shared" si="7"/>
        <v>0</v>
      </c>
      <c r="W18" s="37">
        <f>IFERROR((D18*'Watershed Data'!$D$21+E18*'Watershed Data'!$E$21)/('LandUse-LandCover'!$E$30*'Watershed Data'!$D$23+'LandUse-LandCover'!$F$30*'Watershed Data'!$E$23),0)*BMPs!$M$6*BMPs!$M$8*BMPs!$M$12</f>
        <v>0</v>
      </c>
      <c r="X18" s="30">
        <f t="shared" si="5"/>
        <v>0</v>
      </c>
    </row>
    <row r="19" spans="1:25" x14ac:dyDescent="0.25">
      <c r="A19" t="str">
        <f>+BMPs!C19</f>
        <v>MSWB</v>
      </c>
      <c r="B19" t="str">
        <f>+BMPs!D19</f>
        <v>Bio-Swale</v>
      </c>
      <c r="C19" s="460">
        <f>+Scenarios!O19</f>
        <v>0</v>
      </c>
      <c r="D19" s="460">
        <f>+Scenarios!P19</f>
        <v>0</v>
      </c>
      <c r="E19" s="22">
        <f t="shared" si="8"/>
        <v>0</v>
      </c>
      <c r="F19" s="76">
        <f>BMPs!E19</f>
        <v>0</v>
      </c>
      <c r="G19" s="242" t="s">
        <v>504</v>
      </c>
      <c r="H19" s="76">
        <f>IFERROR(VLOOKUP(A19,BMPs!$C$2:$J$64,HLOOKUP(G19,BMPs!$F$72:$I$73,2,FALSE),FALSE),0)</f>
        <v>0.4</v>
      </c>
      <c r="I19" s="97"/>
      <c r="J19" s="97"/>
      <c r="K19" s="99">
        <f>$C$50*(D19*'Watershed Data'!$D$23+(C19-D19)*VLOOKUP(G19,'Watershed Data'!$A$19:$E$22,5,FALSE))*3630</f>
        <v>0</v>
      </c>
      <c r="L19" s="37">
        <f t="shared" si="0"/>
        <v>0</v>
      </c>
      <c r="M19" s="30">
        <f>BMPs!$M$8*BMPs!$M$12</f>
        <v>1.08</v>
      </c>
      <c r="N19" s="108">
        <f t="shared" si="6"/>
        <v>0.6</v>
      </c>
      <c r="O19" s="39">
        <f t="shared" si="1"/>
        <v>0.4</v>
      </c>
      <c r="P19" s="99">
        <f t="shared" si="2"/>
        <v>0</v>
      </c>
      <c r="Q19" s="116">
        <f t="shared" si="3"/>
        <v>0</v>
      </c>
      <c r="R19" s="99">
        <f t="shared" si="4"/>
        <v>0</v>
      </c>
      <c r="T19" s="76">
        <f>IFERROR(VLOOKUP(J19,BMPs!$C$3:$F$69,3,FALSE),0)</f>
        <v>0</v>
      </c>
      <c r="U19" s="76">
        <f>IFERROR(VLOOKUP(J19,BMPs!$C$3:$F$69,5,FALSE),0)</f>
        <v>0</v>
      </c>
      <c r="V19" s="117">
        <f t="shared" si="7"/>
        <v>0</v>
      </c>
      <c r="W19" s="37">
        <f>IFERROR((D19*'Watershed Data'!$D$21+E19*'Watershed Data'!$E$21)/('LandUse-LandCover'!$E$30*'Watershed Data'!$D$23+'LandUse-LandCover'!$F$30*'Watershed Data'!$E$23),0)*BMPs!$M$6*BMPs!$M$8*BMPs!$M$12</f>
        <v>0</v>
      </c>
      <c r="X19" s="30">
        <f t="shared" si="5"/>
        <v>0</v>
      </c>
    </row>
    <row r="20" spans="1:25" x14ac:dyDescent="0.25">
      <c r="A20" t="str">
        <f>+BMPs!C20</f>
        <v>MENF</v>
      </c>
      <c r="B20" t="str">
        <f>+BMPs!D20</f>
        <v>Enhanced Filters</v>
      </c>
      <c r="C20" s="27">
        <f>+Scenarios!O20</f>
        <v>0</v>
      </c>
      <c r="D20" s="27">
        <f>+Scenarios!P20</f>
        <v>0</v>
      </c>
      <c r="E20" s="22">
        <f t="shared" si="8"/>
        <v>0</v>
      </c>
      <c r="F20" s="76">
        <f>BMPs!E20</f>
        <v>0</v>
      </c>
      <c r="G20" s="242" t="s">
        <v>504</v>
      </c>
      <c r="H20" s="76">
        <f>IFERROR(VLOOKUP(A20,BMPs!$C$2:$J$64,HLOOKUP(G20,BMPs!$F$72:$I$73,2,FALSE),FALSE),0)</f>
        <v>0</v>
      </c>
      <c r="I20" s="97"/>
      <c r="J20" s="97"/>
      <c r="K20" s="99">
        <f>$C$50*(D20*'Watershed Data'!$D$23+(C20-D20)*VLOOKUP(G20,'Watershed Data'!$A$19:$E$22,5,FALSE))*3630</f>
        <v>0</v>
      </c>
      <c r="L20" s="37">
        <f t="shared" si="0"/>
        <v>0</v>
      </c>
      <c r="M20" s="30">
        <f>BMPs!$M$8*BMPs!$M$12</f>
        <v>1.08</v>
      </c>
      <c r="N20" s="108">
        <f t="shared" si="6"/>
        <v>1</v>
      </c>
      <c r="O20" s="39">
        <f t="shared" si="1"/>
        <v>0</v>
      </c>
      <c r="P20" s="99">
        <f t="shared" si="2"/>
        <v>0</v>
      </c>
      <c r="Q20" s="116">
        <f t="shared" si="3"/>
        <v>0</v>
      </c>
      <c r="R20" s="99">
        <f t="shared" si="4"/>
        <v>0</v>
      </c>
      <c r="T20" s="76">
        <f>IFERROR(VLOOKUP(J20,BMPs!$C$3:$F$69,3,FALSE),0)</f>
        <v>0</v>
      </c>
      <c r="U20" s="76">
        <f>IFERROR(VLOOKUP(J20,BMPs!$C$3:$F$69,5,FALSE),0)</f>
        <v>0</v>
      </c>
      <c r="V20" s="117">
        <f t="shared" si="7"/>
        <v>0</v>
      </c>
      <c r="W20" s="37">
        <f>IFERROR((D20*'Watershed Data'!$D$21+E20*'Watershed Data'!$E$21)/('LandUse-LandCover'!$E$30*'Watershed Data'!$D$23+'LandUse-LandCover'!$F$30*'Watershed Data'!$E$23),0)*BMPs!$M$6*BMPs!$M$8*BMPs!$M$12</f>
        <v>0</v>
      </c>
      <c r="X20" s="30">
        <f t="shared" si="5"/>
        <v>0</v>
      </c>
    </row>
    <row r="21" spans="1:25" x14ac:dyDescent="0.25">
      <c r="A21" t="str">
        <f>+BMPs!C21</f>
        <v>FBIO</v>
      </c>
      <c r="B21" t="str">
        <f>+BMPs!D21</f>
        <v>Bioretention</v>
      </c>
      <c r="C21" s="27">
        <f>+Scenarios!O21</f>
        <v>270</v>
      </c>
      <c r="D21" s="27">
        <f>+Scenarios!P21</f>
        <v>90</v>
      </c>
      <c r="E21" s="22">
        <f t="shared" si="8"/>
        <v>180</v>
      </c>
      <c r="F21" s="76">
        <f>BMPs!E21</f>
        <v>0.5</v>
      </c>
      <c r="G21" s="242" t="s">
        <v>504</v>
      </c>
      <c r="H21" s="76">
        <f>IFERROR(VLOOKUP(A21,BMPs!$C$2:$J$64,HLOOKUP(G21,BMPs!$F$72:$I$73,2,FALSE),FALSE),0)</f>
        <v>0.4</v>
      </c>
      <c r="I21" s="97"/>
      <c r="J21" s="97"/>
      <c r="K21" s="99">
        <f>$C$50*(D21*'Watershed Data'!$D$23+(C21-D21)*VLOOKUP(G21,'Watershed Data'!$A$19:$E$22,5,FALSE))*3630</f>
        <v>454158.39164877747</v>
      </c>
      <c r="L21" s="37">
        <f t="shared" si="0"/>
        <v>1.49977892011742E-2</v>
      </c>
      <c r="M21" s="30">
        <f>BMPs!$M$8*BMPs!$M$12</f>
        <v>1.08</v>
      </c>
      <c r="N21" s="108">
        <f t="shared" si="6"/>
        <v>0.6</v>
      </c>
      <c r="O21" s="39">
        <f t="shared" si="1"/>
        <v>0.7</v>
      </c>
      <c r="P21" s="99">
        <f t="shared" si="2"/>
        <v>26676.054657495773</v>
      </c>
      <c r="Q21" s="116">
        <f>+X21</f>
        <v>0</v>
      </c>
      <c r="R21" s="99">
        <f t="shared" si="4"/>
        <v>26676.054657495773</v>
      </c>
      <c r="T21" s="76">
        <f>IFERROR(VLOOKUP(J21,BMPs!$C$3:$F$69,3,FALSE),0)</f>
        <v>0</v>
      </c>
      <c r="U21" s="76">
        <f>IFERROR(VLOOKUP(J21,BMPs!$C$3:$F$69,5,FALSE),0)</f>
        <v>0</v>
      </c>
      <c r="V21" s="117">
        <f t="shared" si="7"/>
        <v>0</v>
      </c>
      <c r="W21" s="37">
        <f>IFERROR((D21*'Watershed Data'!$D$21+E21*'Watershed Data'!$E$21)/('LandUse-LandCover'!$E$30*'Watershed Data'!$D$23+'LandUse-LandCover'!$F$30*'Watershed Data'!$E$23),0)*BMPs!$M$6*BMPs!$M$8*BMPs!$M$12</f>
        <v>1.4576394094908674E-2</v>
      </c>
      <c r="X21" s="30">
        <f t="shared" si="5"/>
        <v>0</v>
      </c>
      <c r="Y21" s="111" t="s">
        <v>277</v>
      </c>
    </row>
    <row r="22" spans="1:25" x14ac:dyDescent="0.25">
      <c r="A22" t="str">
        <f>+BMPs!C22</f>
        <v>FSND</v>
      </c>
      <c r="B22" t="str">
        <f>+BMPs!D22</f>
        <v>Surface sand filter</v>
      </c>
      <c r="C22" s="27">
        <f>+Scenarios!O22</f>
        <v>0</v>
      </c>
      <c r="D22" s="27">
        <f>+Scenarios!P22</f>
        <v>0</v>
      </c>
      <c r="E22" s="22">
        <f t="shared" si="8"/>
        <v>0</v>
      </c>
      <c r="F22" s="76">
        <f>BMPs!E22</f>
        <v>0.8</v>
      </c>
      <c r="G22" s="242" t="s">
        <v>504</v>
      </c>
      <c r="H22" s="76">
        <f>IFERROR(VLOOKUP(A22,BMPs!$C$2:$J$64,HLOOKUP(G22,BMPs!$F$72:$I$73,2,FALSE),FALSE),0)</f>
        <v>0</v>
      </c>
      <c r="I22" s="97"/>
      <c r="J22" s="97"/>
      <c r="K22" s="99">
        <f>$C$50*(D22*'Watershed Data'!$D$23+(C22-D22)*VLOOKUP(G22,'Watershed Data'!$A$19:$E$22,5,FALSE))*3630</f>
        <v>0</v>
      </c>
      <c r="L22" s="37">
        <f t="shared" si="0"/>
        <v>0</v>
      </c>
      <c r="M22" s="30">
        <f>BMPs!$M$8*BMPs!$M$12</f>
        <v>1.08</v>
      </c>
      <c r="N22" s="108">
        <f t="shared" si="6"/>
        <v>1</v>
      </c>
      <c r="O22" s="39">
        <f t="shared" si="1"/>
        <v>0.8</v>
      </c>
      <c r="P22" s="99">
        <f t="shared" si="2"/>
        <v>0</v>
      </c>
      <c r="Q22" s="116">
        <f t="shared" ref="Q22:Q44" si="9">+X22</f>
        <v>0</v>
      </c>
      <c r="R22" s="99">
        <f t="shared" si="4"/>
        <v>0</v>
      </c>
      <c r="T22" s="76">
        <f>IFERROR(VLOOKUP(J22,BMPs!$C$3:$F$69,3,FALSE),0)</f>
        <v>0</v>
      </c>
      <c r="U22" s="76">
        <f>IFERROR(VLOOKUP(J22,BMPs!$C$3:$F$69,5,FALSE),0)</f>
        <v>0</v>
      </c>
      <c r="V22" s="117">
        <f t="shared" si="7"/>
        <v>0</v>
      </c>
      <c r="W22" s="37">
        <f>IFERROR((D22*'Watershed Data'!$D$21+E22*'Watershed Data'!$E$21)/('LandUse-LandCover'!$E$30*'Watershed Data'!$D$23+'LandUse-LandCover'!$F$30*'Watershed Data'!$E$23),0)*BMPs!$M$6*BMPs!$M$8*BMPs!$M$12</f>
        <v>0</v>
      </c>
      <c r="X22" s="30">
        <f t="shared" si="5"/>
        <v>0</v>
      </c>
    </row>
    <row r="23" spans="1:25" x14ac:dyDescent="0.25">
      <c r="A23" t="str">
        <f>+BMPs!C23</f>
        <v>FUND</v>
      </c>
      <c r="B23" t="str">
        <f>+BMPs!D23</f>
        <v>Underground sand filter</v>
      </c>
      <c r="C23" s="27">
        <f>+Scenarios!O23</f>
        <v>0</v>
      </c>
      <c r="D23" s="27">
        <f>+Scenarios!P23</f>
        <v>0</v>
      </c>
      <c r="E23" s="22">
        <f t="shared" si="8"/>
        <v>0</v>
      </c>
      <c r="F23" s="76">
        <f>BMPs!E23</f>
        <v>0.8</v>
      </c>
      <c r="G23" s="242" t="s">
        <v>504</v>
      </c>
      <c r="H23" s="76">
        <f>IFERROR(VLOOKUP(A23,BMPs!$C$2:$J$64,HLOOKUP(G23,BMPs!$F$72:$I$73,2,FALSE),FALSE),0)</f>
        <v>0</v>
      </c>
      <c r="I23" s="97"/>
      <c r="J23" s="97"/>
      <c r="K23" s="99">
        <f>$C$50*(D23*'Watershed Data'!$D$23+(C23-D23)*VLOOKUP(G23,'Watershed Data'!$A$19:$E$22,5,FALSE))*3630</f>
        <v>0</v>
      </c>
      <c r="L23" s="37">
        <f t="shared" si="0"/>
        <v>0</v>
      </c>
      <c r="M23" s="30">
        <f>BMPs!$M$8*BMPs!$M$12</f>
        <v>1.08</v>
      </c>
      <c r="N23" s="108">
        <f t="shared" si="6"/>
        <v>1</v>
      </c>
      <c r="O23" s="39">
        <f t="shared" si="1"/>
        <v>0.8</v>
      </c>
      <c r="P23" s="99">
        <f t="shared" si="2"/>
        <v>0</v>
      </c>
      <c r="Q23" s="116">
        <f t="shared" si="9"/>
        <v>0</v>
      </c>
      <c r="R23" s="99">
        <f t="shared" si="4"/>
        <v>0</v>
      </c>
      <c r="T23" s="76">
        <f>IFERROR(VLOOKUP(J23,BMPs!$C$3:$F$69,3,FALSE),0)</f>
        <v>0</v>
      </c>
      <c r="U23" s="76">
        <f>IFERROR(VLOOKUP(J23,BMPs!$C$3:$F$69,5,FALSE),0)</f>
        <v>0</v>
      </c>
      <c r="V23" s="117">
        <f t="shared" si="7"/>
        <v>0</v>
      </c>
      <c r="W23" s="37">
        <f>IFERROR((D23*'Watershed Data'!$D$21+E23*'Watershed Data'!$E$21)/('LandUse-LandCover'!$E$30*'Watershed Data'!$D$23+'LandUse-LandCover'!$F$30*'Watershed Data'!$E$23),0)*BMPs!$M$6*BMPs!$M$8*BMPs!$M$12</f>
        <v>0</v>
      </c>
      <c r="X23" s="30">
        <f t="shared" si="5"/>
        <v>0</v>
      </c>
    </row>
    <row r="24" spans="1:25" x14ac:dyDescent="0.25">
      <c r="A24" t="str">
        <f>+BMPs!C24</f>
        <v>FPER</v>
      </c>
      <c r="B24" t="str">
        <f>+BMPs!D24</f>
        <v>Perimeter (sand) filter</v>
      </c>
      <c r="C24" s="27">
        <f>+Scenarios!O24</f>
        <v>0</v>
      </c>
      <c r="D24" s="27">
        <f>+Scenarios!P24</f>
        <v>0</v>
      </c>
      <c r="E24" s="22">
        <f t="shared" si="8"/>
        <v>0</v>
      </c>
      <c r="F24" s="76">
        <f>BMPs!E24</f>
        <v>0.8</v>
      </c>
      <c r="G24" s="242" t="s">
        <v>504</v>
      </c>
      <c r="H24" s="76">
        <f>IFERROR(VLOOKUP(A24,BMPs!$C$2:$J$64,HLOOKUP(G24,BMPs!$F$72:$I$73,2,FALSE),FALSE),0)</f>
        <v>0</v>
      </c>
      <c r="I24" s="97"/>
      <c r="J24" s="97"/>
      <c r="K24" s="99">
        <f>$C$50*(D24*'Watershed Data'!$D$23+(C24-D24)*VLOOKUP(G24,'Watershed Data'!$A$19:$E$22,5,FALSE))*3630</f>
        <v>0</v>
      </c>
      <c r="L24" s="37">
        <f t="shared" si="0"/>
        <v>0</v>
      </c>
      <c r="M24" s="30">
        <f>BMPs!$M$8*BMPs!$M$12</f>
        <v>1.08</v>
      </c>
      <c r="N24" s="108">
        <f t="shared" si="6"/>
        <v>1</v>
      </c>
      <c r="O24" s="39">
        <f t="shared" si="1"/>
        <v>0.8</v>
      </c>
      <c r="P24" s="99">
        <f t="shared" si="2"/>
        <v>0</v>
      </c>
      <c r="Q24" s="116">
        <f t="shared" si="9"/>
        <v>0</v>
      </c>
      <c r="R24" s="99">
        <f t="shared" si="4"/>
        <v>0</v>
      </c>
      <c r="T24" s="76">
        <f>IFERROR(VLOOKUP(J24,BMPs!$C$3:$F$69,3,FALSE),0)</f>
        <v>0</v>
      </c>
      <c r="U24" s="76">
        <f>IFERROR(VLOOKUP(J24,BMPs!$C$3:$F$69,5,FALSE),0)</f>
        <v>0</v>
      </c>
      <c r="V24" s="117">
        <f t="shared" si="7"/>
        <v>0</v>
      </c>
      <c r="W24" s="37">
        <f>IFERROR((D24*'Watershed Data'!$D$21+E24*'Watershed Data'!$E$21)/('LandUse-LandCover'!$E$30*'Watershed Data'!$D$23+'LandUse-LandCover'!$F$30*'Watershed Data'!$E$23),0)*BMPs!$M$6*BMPs!$M$8*BMPs!$M$12</f>
        <v>0</v>
      </c>
      <c r="X24" s="30">
        <f t="shared" si="5"/>
        <v>0</v>
      </c>
    </row>
    <row r="25" spans="1:25" x14ac:dyDescent="0.25">
      <c r="A25" t="str">
        <f>+BMPs!C25</f>
        <v>FORG</v>
      </c>
      <c r="B25" t="str">
        <f>+BMPs!D25</f>
        <v>Organic filter</v>
      </c>
      <c r="C25" s="27">
        <f>+Scenarios!O25</f>
        <v>0</v>
      </c>
      <c r="D25" s="27">
        <f>+Scenarios!P25</f>
        <v>0</v>
      </c>
      <c r="E25" s="22">
        <f t="shared" si="8"/>
        <v>0</v>
      </c>
      <c r="F25" s="76">
        <f>BMPs!E25</f>
        <v>0.8</v>
      </c>
      <c r="G25" s="242" t="s">
        <v>504</v>
      </c>
      <c r="H25" s="76">
        <f>IFERROR(VLOOKUP(A25,BMPs!$C$2:$J$64,HLOOKUP(G25,BMPs!$F$72:$I$73,2,FALSE),FALSE),0)</f>
        <v>0</v>
      </c>
      <c r="I25" s="97"/>
      <c r="J25" s="97"/>
      <c r="K25" s="99">
        <f>$C$50*(D25*'Watershed Data'!$D$23+(C25-D25)*VLOOKUP(G25,'Watershed Data'!$A$19:$E$22,5,FALSE))*3630</f>
        <v>0</v>
      </c>
      <c r="L25" s="37">
        <f t="shared" si="0"/>
        <v>0</v>
      </c>
      <c r="M25" s="30">
        <f>BMPs!$M$8*BMPs!$M$12</f>
        <v>1.08</v>
      </c>
      <c r="N25" s="108">
        <f t="shared" si="6"/>
        <v>1</v>
      </c>
      <c r="O25" s="39">
        <f t="shared" si="1"/>
        <v>0.8</v>
      </c>
      <c r="P25" s="99">
        <f t="shared" si="2"/>
        <v>0</v>
      </c>
      <c r="Q25" s="116">
        <f t="shared" si="9"/>
        <v>0</v>
      </c>
      <c r="R25" s="99">
        <f t="shared" si="4"/>
        <v>0</v>
      </c>
      <c r="T25" s="76">
        <f>IFERROR(VLOOKUP(J25,BMPs!$C$3:$F$69,3,FALSE),0)</f>
        <v>0</v>
      </c>
      <c r="U25" s="76">
        <f>IFERROR(VLOOKUP(J25,BMPs!$C$3:$F$69,5,FALSE),0)</f>
        <v>0</v>
      </c>
      <c r="V25" s="117">
        <f t="shared" si="7"/>
        <v>0</v>
      </c>
      <c r="W25" s="37">
        <f>IFERROR((D25*'Watershed Data'!$D$21+E25*'Watershed Data'!$E$21)/('LandUse-LandCover'!$E$30*'Watershed Data'!$D$23+'LandUse-LandCover'!$F$30*'Watershed Data'!$E$23),0)*BMPs!$M$6*BMPs!$M$8*BMPs!$M$12</f>
        <v>0</v>
      </c>
      <c r="X25" s="30">
        <f t="shared" si="5"/>
        <v>0</v>
      </c>
    </row>
    <row r="26" spans="1:25" x14ac:dyDescent="0.25">
      <c r="A26" t="str">
        <f>+BMPs!C26</f>
        <v>--</v>
      </c>
      <c r="B26" t="str">
        <f>+BMPs!D26</f>
        <v>Other filtering</v>
      </c>
      <c r="C26" s="27">
        <f>+Scenarios!O26</f>
        <v>0</v>
      </c>
      <c r="D26" s="27">
        <f>+Scenarios!P26</f>
        <v>0</v>
      </c>
      <c r="E26" s="22">
        <f t="shared" si="8"/>
        <v>0</v>
      </c>
      <c r="F26" s="76">
        <f>BMPs!E26</f>
        <v>0</v>
      </c>
      <c r="G26" s="242" t="s">
        <v>504</v>
      </c>
      <c r="H26" s="76">
        <f>IFERROR(VLOOKUP(A26,BMPs!$C$2:$J$64,HLOOKUP(G26,BMPs!$F$72:$I$73,2,FALSE),FALSE),0)</f>
        <v>0</v>
      </c>
      <c r="I26" s="97"/>
      <c r="J26" s="97"/>
      <c r="K26" s="99">
        <f>$C$50*(D26*'Watershed Data'!$D$23+(C26-D26)*VLOOKUP(G26,'Watershed Data'!$A$19:$E$22,5,FALSE))*3630</f>
        <v>0</v>
      </c>
      <c r="L26" s="37">
        <f t="shared" si="0"/>
        <v>0</v>
      </c>
      <c r="M26" s="30">
        <f>BMPs!$M$8*BMPs!$M$12</f>
        <v>1.08</v>
      </c>
      <c r="N26" s="108">
        <f t="shared" si="6"/>
        <v>1</v>
      </c>
      <c r="O26" s="39">
        <f t="shared" si="1"/>
        <v>0</v>
      </c>
      <c r="P26" s="99">
        <f t="shared" si="2"/>
        <v>0</v>
      </c>
      <c r="Q26" s="116">
        <f t="shared" si="9"/>
        <v>0</v>
      </c>
      <c r="R26" s="99">
        <f t="shared" si="4"/>
        <v>0</v>
      </c>
      <c r="T26" s="76">
        <f>IFERROR(VLOOKUP(J26,BMPs!$C$3:$F$69,3,FALSE),0)</f>
        <v>0</v>
      </c>
      <c r="U26" s="76">
        <f>IFERROR(VLOOKUP(J26,BMPs!$C$3:$F$69,5,FALSE),0)</f>
        <v>0</v>
      </c>
      <c r="V26" s="117">
        <f t="shared" si="7"/>
        <v>0</v>
      </c>
      <c r="W26" s="37">
        <f>IFERROR((D26*'Watershed Data'!$D$21+E26*'Watershed Data'!$E$21)/('LandUse-LandCover'!$E$30*'Watershed Data'!$D$23+'LandUse-LandCover'!$F$30*'Watershed Data'!$E$23),0)*BMPs!$M$6*BMPs!$M$8*BMPs!$M$12</f>
        <v>0</v>
      </c>
      <c r="X26" s="30">
        <f t="shared" si="5"/>
        <v>0</v>
      </c>
    </row>
    <row r="27" spans="1:25" x14ac:dyDescent="0.25">
      <c r="A27" t="str">
        <f>+BMPs!C27</f>
        <v>ODSW</v>
      </c>
      <c r="B27" t="str">
        <f>+BMPs!D27</f>
        <v>Dry swale</v>
      </c>
      <c r="C27" s="460">
        <f>+Scenarios!O27</f>
        <v>60</v>
      </c>
      <c r="D27" s="460">
        <f>+Scenarios!P27</f>
        <v>20</v>
      </c>
      <c r="E27" s="22">
        <f t="shared" si="8"/>
        <v>40</v>
      </c>
      <c r="F27" s="76">
        <f>BMPs!E27</f>
        <v>0</v>
      </c>
      <c r="G27" s="242" t="s">
        <v>504</v>
      </c>
      <c r="H27" s="76">
        <f>IFERROR(VLOOKUP(A27,BMPs!$C$2:$J$64,HLOOKUP(G27,BMPs!$F$72:$I$73,2,FALSE),FALSE),0)</f>
        <v>0.4</v>
      </c>
      <c r="I27" s="97"/>
      <c r="J27" s="97"/>
      <c r="K27" s="99">
        <f>$C$50*(D27*'Watershed Data'!$D$23+(C27-D27)*VLOOKUP(G27,'Watershed Data'!$A$19:$E$22,5,FALSE))*3630</f>
        <v>100924.08703306166</v>
      </c>
      <c r="L27" s="37">
        <f t="shared" si="0"/>
        <v>3.3328420447053778E-3</v>
      </c>
      <c r="M27" s="30">
        <f>BMPs!$M$8*BMPs!$M$12</f>
        <v>1.08</v>
      </c>
      <c r="N27" s="108">
        <f t="shared" si="6"/>
        <v>0.6</v>
      </c>
      <c r="O27" s="39">
        <f t="shared" si="1"/>
        <v>0.4</v>
      </c>
      <c r="P27" s="99">
        <f t="shared" si="2"/>
        <v>3387.4355120629552</v>
      </c>
      <c r="Q27" s="116">
        <f t="shared" si="9"/>
        <v>0</v>
      </c>
      <c r="R27" s="99">
        <f t="shared" si="4"/>
        <v>3387.4355120629552</v>
      </c>
      <c r="T27" s="76">
        <f>IFERROR(VLOOKUP(J27,BMPs!$C$3:$F$69,3,FALSE),0)</f>
        <v>0</v>
      </c>
      <c r="U27" s="76">
        <f>IFERROR(VLOOKUP(J27,BMPs!$C$3:$F$69,5,FALSE),0)</f>
        <v>0</v>
      </c>
      <c r="V27" s="117">
        <f t="shared" si="7"/>
        <v>0</v>
      </c>
      <c r="W27" s="37">
        <f>IFERROR((D27*'Watershed Data'!$D$21+E27*'Watershed Data'!$E$21)/('LandUse-LandCover'!$E$30*'Watershed Data'!$D$23+'LandUse-LandCover'!$F$30*'Watershed Data'!$E$23),0)*BMPs!$M$6*BMPs!$M$8*BMPs!$M$12</f>
        <v>3.2391986877574829E-3</v>
      </c>
      <c r="X27" s="30">
        <f t="shared" si="5"/>
        <v>0</v>
      </c>
    </row>
    <row r="28" spans="1:25" x14ac:dyDescent="0.25">
      <c r="A28" t="str">
        <f>+BMPs!C28</f>
        <v>OWSW</v>
      </c>
      <c r="B28" t="str">
        <f>+BMPs!D28</f>
        <v>Wet swale</v>
      </c>
      <c r="C28" s="27">
        <f>+Scenarios!O28</f>
        <v>0</v>
      </c>
      <c r="D28" s="27">
        <f>+Scenarios!P28</f>
        <v>0</v>
      </c>
      <c r="E28" s="22">
        <f t="shared" si="8"/>
        <v>0</v>
      </c>
      <c r="F28" s="76">
        <f>BMPs!E28</f>
        <v>0</v>
      </c>
      <c r="G28" s="242" t="s">
        <v>504</v>
      </c>
      <c r="H28" s="76">
        <f>IFERROR(VLOOKUP(A28,BMPs!$C$2:$J$64,HLOOKUP(G28,BMPs!$F$72:$I$73,2,FALSE),FALSE),0)</f>
        <v>0</v>
      </c>
      <c r="I28" s="97"/>
      <c r="J28" s="97"/>
      <c r="K28" s="99">
        <f>$C$50*(D28*'Watershed Data'!$D$23+(C28-D28)*VLOOKUP(G28,'Watershed Data'!$A$19:$E$22,5,FALSE))*3630</f>
        <v>0</v>
      </c>
      <c r="L28" s="37">
        <f t="shared" si="0"/>
        <v>0</v>
      </c>
      <c r="M28" s="30">
        <f>BMPs!$M$8*BMPs!$M$12</f>
        <v>1.08</v>
      </c>
      <c r="N28" s="108">
        <f t="shared" si="6"/>
        <v>1</v>
      </c>
      <c r="O28" s="39">
        <f t="shared" si="1"/>
        <v>0</v>
      </c>
      <c r="P28" s="99">
        <f t="shared" si="2"/>
        <v>0</v>
      </c>
      <c r="Q28" s="116">
        <f t="shared" si="9"/>
        <v>0</v>
      </c>
      <c r="R28" s="99">
        <f t="shared" si="4"/>
        <v>0</v>
      </c>
      <c r="T28" s="76">
        <f>IFERROR(VLOOKUP(J28,BMPs!$C$3:$F$69,3,FALSE),0)</f>
        <v>0</v>
      </c>
      <c r="U28" s="76">
        <f>IFERROR(VLOOKUP(J28,BMPs!$C$3:$F$69,5,FALSE),0)</f>
        <v>0</v>
      </c>
      <c r="V28" s="117">
        <f t="shared" si="7"/>
        <v>0</v>
      </c>
      <c r="W28" s="37">
        <f>IFERROR((D28*'Watershed Data'!$D$21+E28*'Watershed Data'!$E$21)/('LandUse-LandCover'!$E$30*'Watershed Data'!$D$23+'LandUse-LandCover'!$F$30*'Watershed Data'!$E$23),0)*BMPs!$M$6*BMPs!$M$8*BMPs!$M$12</f>
        <v>0</v>
      </c>
      <c r="X28" s="30">
        <f t="shared" si="5"/>
        <v>0</v>
      </c>
    </row>
    <row r="29" spans="1:25" x14ac:dyDescent="0.25">
      <c r="A29" t="str">
        <f>+BMPs!C29</f>
        <v>PWED</v>
      </c>
      <c r="B29" t="str">
        <f>+BMPs!D29</f>
        <v>Wet extended detention pond</v>
      </c>
      <c r="C29" s="27">
        <f>+Scenarios!O29</f>
        <v>0</v>
      </c>
      <c r="D29" s="27">
        <f>+Scenarios!P29</f>
        <v>0</v>
      </c>
      <c r="E29" s="22">
        <f t="shared" si="8"/>
        <v>0</v>
      </c>
      <c r="F29" s="76">
        <f>BMPs!E29</f>
        <v>0.7</v>
      </c>
      <c r="G29" s="242" t="s">
        <v>504</v>
      </c>
      <c r="H29" s="76">
        <f>IFERROR(VLOOKUP(A29,BMPs!$C$2:$J$64,HLOOKUP(G29,BMPs!$F$72:$I$73,2,FALSE),FALSE),0)</f>
        <v>0</v>
      </c>
      <c r="I29" s="97"/>
      <c r="J29" s="97"/>
      <c r="K29" s="99">
        <f>$C$50*(D29*'Watershed Data'!$D$23+(C29-D29)*VLOOKUP(G29,'Watershed Data'!$A$19:$E$22,5,FALSE))*3630</f>
        <v>0</v>
      </c>
      <c r="L29" s="37">
        <f t="shared" si="0"/>
        <v>0</v>
      </c>
      <c r="M29" s="30">
        <f>BMPs!$M$8*BMPs!$M$12</f>
        <v>1.08</v>
      </c>
      <c r="N29" s="108">
        <f t="shared" si="6"/>
        <v>1</v>
      </c>
      <c r="O29" s="39">
        <f t="shared" si="1"/>
        <v>0.7</v>
      </c>
      <c r="P29" s="99">
        <f t="shared" si="2"/>
        <v>0</v>
      </c>
      <c r="Q29" s="116">
        <f t="shared" si="9"/>
        <v>0</v>
      </c>
      <c r="R29" s="99">
        <f t="shared" si="4"/>
        <v>0</v>
      </c>
      <c r="T29" s="76">
        <f>IFERROR(VLOOKUP(J29,BMPs!$C$3:$F$69,3,FALSE),0)</f>
        <v>0</v>
      </c>
      <c r="U29" s="76">
        <f>IFERROR(VLOOKUP(J29,BMPs!$C$3:$F$69,5,FALSE),0)</f>
        <v>0</v>
      </c>
      <c r="V29" s="117">
        <f t="shared" si="7"/>
        <v>0</v>
      </c>
      <c r="W29" s="37">
        <f>IFERROR((D29*'Watershed Data'!$D$21+E29*'Watershed Data'!$E$21)/('LandUse-LandCover'!$E$30*'Watershed Data'!$D$23+'LandUse-LandCover'!$F$30*'Watershed Data'!$E$23),0)*BMPs!$M$6*BMPs!$M$8*BMPs!$M$12</f>
        <v>0</v>
      </c>
      <c r="X29" s="30">
        <f t="shared" si="5"/>
        <v>0</v>
      </c>
    </row>
    <row r="30" spans="1:25" x14ac:dyDescent="0.25">
      <c r="A30" t="str">
        <f>+BMPs!C30</f>
        <v>PWET</v>
      </c>
      <c r="B30" t="str">
        <f>+BMPs!D30</f>
        <v>Wet pond</v>
      </c>
      <c r="C30" s="27">
        <f>+Scenarios!O30</f>
        <v>1800</v>
      </c>
      <c r="D30" s="27">
        <f>+Scenarios!P30</f>
        <v>600</v>
      </c>
      <c r="E30" s="22">
        <f t="shared" si="8"/>
        <v>1200</v>
      </c>
      <c r="F30" s="76">
        <f>BMPs!E30</f>
        <v>0.7</v>
      </c>
      <c r="G30" s="242" t="s">
        <v>504</v>
      </c>
      <c r="H30" s="76">
        <f>IFERROR(VLOOKUP(A30,BMPs!$C$2:$J$64,HLOOKUP(G30,BMPs!$F$72:$I$73,2,FALSE),FALSE),0)</f>
        <v>0</v>
      </c>
      <c r="I30" s="97"/>
      <c r="J30" s="97"/>
      <c r="K30" s="33">
        <f>$C$50*(D30*'Watershed Data'!$D$23+(C30-D30)*VLOOKUP(G30,'Watershed Data'!$A$19:$E$22,5,FALSE))*3630</f>
        <v>3027722.61099185</v>
      </c>
      <c r="L30" s="37">
        <f t="shared" si="0"/>
        <v>9.9985261341161341E-2</v>
      </c>
      <c r="M30" s="30">
        <f>BMPs!$M$8*BMPs!$M$12</f>
        <v>1.08</v>
      </c>
      <c r="N30" s="108">
        <f t="shared" si="6"/>
        <v>1</v>
      </c>
      <c r="O30" s="39">
        <f t="shared" si="1"/>
        <v>0.7</v>
      </c>
      <c r="P30" s="33">
        <f t="shared" si="2"/>
        <v>177840.36438330519</v>
      </c>
      <c r="Q30" s="116">
        <f t="shared" si="9"/>
        <v>0</v>
      </c>
      <c r="R30" s="33">
        <f t="shared" si="4"/>
        <v>177840.36438330519</v>
      </c>
      <c r="T30" s="76">
        <f>IFERROR(VLOOKUP(J30,BMPs!$C$3:$F$69,3,FALSE),0)</f>
        <v>0</v>
      </c>
      <c r="U30" s="76">
        <f>IFERROR(VLOOKUP(J30,BMPs!$C$3:$F$69,5,FALSE),0)</f>
        <v>0</v>
      </c>
      <c r="V30" s="117">
        <f t="shared" si="7"/>
        <v>0</v>
      </c>
      <c r="W30" s="37">
        <f>IFERROR((D30*'Watershed Data'!$D$21+E30*'Watershed Data'!$E$21)/('LandUse-LandCover'!$E$30*'Watershed Data'!$D$23+'LandUse-LandCover'!$F$30*'Watershed Data'!$E$23),0)*BMPs!$M$6*BMPs!$M$8*BMPs!$M$12</f>
        <v>9.717596063272449E-2</v>
      </c>
      <c r="X30" s="30">
        <f t="shared" si="5"/>
        <v>0</v>
      </c>
    </row>
    <row r="31" spans="1:25" x14ac:dyDescent="0.25">
      <c r="A31" t="str">
        <f>+BMPs!C31</f>
        <v>PMPS</v>
      </c>
      <c r="B31" t="str">
        <f>+BMPs!D31</f>
        <v>Multiple Pond Systems</v>
      </c>
      <c r="C31" s="27">
        <f>+Scenarios!O31</f>
        <v>0</v>
      </c>
      <c r="D31" s="27">
        <f>+Scenarios!P31</f>
        <v>0</v>
      </c>
      <c r="E31" s="22">
        <f t="shared" si="8"/>
        <v>0</v>
      </c>
      <c r="F31" s="76">
        <f>BMPs!E31</f>
        <v>0.7</v>
      </c>
      <c r="G31" s="242" t="s">
        <v>504</v>
      </c>
      <c r="H31" s="76">
        <f>IFERROR(VLOOKUP(A31,BMPs!$C$2:$J$64,HLOOKUP(G31,BMPs!$F$72:$I$73,2,FALSE),FALSE),0)</f>
        <v>0</v>
      </c>
      <c r="I31" s="97"/>
      <c r="J31" s="97"/>
      <c r="K31" s="99">
        <f>$C$50*(D31*'Watershed Data'!$D$23+(C31-D31)*VLOOKUP(G31,'Watershed Data'!$A$19:$E$22,5,FALSE))*3630</f>
        <v>0</v>
      </c>
      <c r="L31" s="37">
        <f t="shared" si="0"/>
        <v>0</v>
      </c>
      <c r="M31" s="30">
        <f>BMPs!$M$8*BMPs!$M$12</f>
        <v>1.08</v>
      </c>
      <c r="N31" s="108">
        <f t="shared" si="6"/>
        <v>1</v>
      </c>
      <c r="O31" s="39">
        <f t="shared" si="1"/>
        <v>0.7</v>
      </c>
      <c r="P31" s="99">
        <f t="shared" si="2"/>
        <v>0</v>
      </c>
      <c r="Q31" s="116">
        <f t="shared" si="9"/>
        <v>0</v>
      </c>
      <c r="R31" s="99">
        <f t="shared" si="4"/>
        <v>0</v>
      </c>
      <c r="T31" s="76">
        <f>IFERROR(VLOOKUP(J31,BMPs!$C$3:$F$69,3,FALSE),0)</f>
        <v>0</v>
      </c>
      <c r="U31" s="76">
        <f>IFERROR(VLOOKUP(J31,BMPs!$C$3:$F$69,5,FALSE),0)</f>
        <v>0</v>
      </c>
      <c r="V31" s="117">
        <f t="shared" si="7"/>
        <v>0</v>
      </c>
      <c r="W31" s="37">
        <f>IFERROR((D31*'Watershed Data'!$D$21+E31*'Watershed Data'!$E$21)/('LandUse-LandCover'!$E$30*'Watershed Data'!$D$23+'LandUse-LandCover'!$F$30*'Watershed Data'!$E$23),0)*BMPs!$M$6*BMPs!$M$8*BMPs!$M$12</f>
        <v>0</v>
      </c>
      <c r="X31" s="30">
        <f t="shared" si="5"/>
        <v>0</v>
      </c>
    </row>
    <row r="32" spans="1:25" x14ac:dyDescent="0.25">
      <c r="A32" t="str">
        <f>+BMPs!C32</f>
        <v>PPKT</v>
      </c>
      <c r="B32" t="str">
        <f>+BMPs!D32</f>
        <v>Pocket pond</v>
      </c>
      <c r="C32" s="27">
        <f>+Scenarios!O32</f>
        <v>0</v>
      </c>
      <c r="D32" s="27">
        <f>+Scenarios!P32</f>
        <v>0</v>
      </c>
      <c r="E32" s="22">
        <f t="shared" si="8"/>
        <v>0</v>
      </c>
      <c r="F32" s="76">
        <f>BMPs!E32</f>
        <v>0.7</v>
      </c>
      <c r="G32" s="242" t="s">
        <v>504</v>
      </c>
      <c r="H32" s="76">
        <f>IFERROR(VLOOKUP(A32,BMPs!$C$2:$J$64,HLOOKUP(G32,BMPs!$F$72:$I$73,2,FALSE),FALSE),0)</f>
        <v>0</v>
      </c>
      <c r="I32" s="97"/>
      <c r="J32" s="97"/>
      <c r="K32" s="99">
        <f>$C$50*(D32*'Watershed Data'!$D$23+(C32-D32)*VLOOKUP(G32,'Watershed Data'!$A$19:$E$22,5,FALSE))*3630</f>
        <v>0</v>
      </c>
      <c r="L32" s="37">
        <f t="shared" si="0"/>
        <v>0</v>
      </c>
      <c r="M32" s="30">
        <f>BMPs!$M$8*BMPs!$M$12</f>
        <v>1.08</v>
      </c>
      <c r="N32" s="108">
        <f t="shared" si="6"/>
        <v>1</v>
      </c>
      <c r="O32" s="39">
        <f t="shared" si="1"/>
        <v>0.7</v>
      </c>
      <c r="P32" s="99">
        <f t="shared" si="2"/>
        <v>0</v>
      </c>
      <c r="Q32" s="116">
        <f t="shared" si="9"/>
        <v>0</v>
      </c>
      <c r="R32" s="99">
        <f t="shared" si="4"/>
        <v>0</v>
      </c>
      <c r="T32" s="76">
        <f>IFERROR(VLOOKUP(J32,BMPs!$C$3:$F$69,3,FALSE),0)</f>
        <v>0</v>
      </c>
      <c r="U32" s="76">
        <f>IFERROR(VLOOKUP(J32,BMPs!$C$3:$F$69,5,FALSE),0)</f>
        <v>0</v>
      </c>
      <c r="V32" s="117">
        <f t="shared" si="7"/>
        <v>0</v>
      </c>
      <c r="W32" s="37">
        <f>IFERROR((D32*'Watershed Data'!$D$21+E32*'Watershed Data'!$E$21)/('LandUse-LandCover'!$E$30*'Watershed Data'!$D$23+'LandUse-LandCover'!$F$30*'Watershed Data'!$E$23),0)*BMPs!$M$6*BMPs!$M$8*BMPs!$M$12</f>
        <v>0</v>
      </c>
      <c r="X32" s="30">
        <f t="shared" si="5"/>
        <v>0</v>
      </c>
    </row>
    <row r="33" spans="1:24" x14ac:dyDescent="0.25">
      <c r="A33" t="str">
        <f>+BMPs!C33</f>
        <v>PMED</v>
      </c>
      <c r="B33" t="str">
        <f>+BMPs!D33</f>
        <v>Micropool extended detention pond</v>
      </c>
      <c r="C33" s="27">
        <f>+Scenarios!O33</f>
        <v>0</v>
      </c>
      <c r="D33" s="27">
        <f>+Scenarios!P33</f>
        <v>0</v>
      </c>
      <c r="E33" s="22">
        <f t="shared" si="8"/>
        <v>0</v>
      </c>
      <c r="F33" s="76">
        <f>BMPs!E33</f>
        <v>0.7</v>
      </c>
      <c r="G33" s="242" t="s">
        <v>504</v>
      </c>
      <c r="H33" s="76">
        <f>IFERROR(VLOOKUP(A33,BMPs!$C$2:$J$64,HLOOKUP(G33,BMPs!$F$72:$I$73,2,FALSE),FALSE),0)</f>
        <v>0</v>
      </c>
      <c r="I33" s="97"/>
      <c r="J33" s="97"/>
      <c r="K33" s="99">
        <f>$C$50*(D33*'Watershed Data'!$D$23+(C33-D33)*VLOOKUP(G33,'Watershed Data'!$A$19:$E$22,5,FALSE))*3630</f>
        <v>0</v>
      </c>
      <c r="L33" s="37">
        <f t="shared" si="0"/>
        <v>0</v>
      </c>
      <c r="M33" s="30">
        <f>BMPs!$M$8*BMPs!$M$12</f>
        <v>1.08</v>
      </c>
      <c r="N33" s="108">
        <f t="shared" si="6"/>
        <v>1</v>
      </c>
      <c r="O33" s="39">
        <f t="shared" si="1"/>
        <v>0.7</v>
      </c>
      <c r="P33" s="99">
        <f t="shared" si="2"/>
        <v>0</v>
      </c>
      <c r="Q33" s="116">
        <f t="shared" si="9"/>
        <v>0</v>
      </c>
      <c r="R33" s="99">
        <f t="shared" si="4"/>
        <v>0</v>
      </c>
      <c r="T33" s="76">
        <f>IFERROR(VLOOKUP(J33,BMPs!$C$3:$F$69,3,FALSE),0)</f>
        <v>0</v>
      </c>
      <c r="U33" s="76">
        <f>IFERROR(VLOOKUP(J33,BMPs!$C$3:$F$69,5,FALSE),0)</f>
        <v>0</v>
      </c>
      <c r="V33" s="117">
        <f t="shared" si="7"/>
        <v>0</v>
      </c>
      <c r="W33" s="37">
        <f>IFERROR((D33*'Watershed Data'!$D$21+E33*'Watershed Data'!$E$21)/('LandUse-LandCover'!$E$30*'Watershed Data'!$D$23+'LandUse-LandCover'!$F$30*'Watershed Data'!$E$23),0)*BMPs!$M$6*BMPs!$M$8*BMPs!$M$12</f>
        <v>0</v>
      </c>
      <c r="X33" s="30">
        <f t="shared" si="5"/>
        <v>0</v>
      </c>
    </row>
    <row r="34" spans="1:24" x14ac:dyDescent="0.25">
      <c r="A34" t="str">
        <f>+BMPs!C34</f>
        <v>WSHW</v>
      </c>
      <c r="B34" t="str">
        <f>+BMPs!D34</f>
        <v>Shallow marsh</v>
      </c>
      <c r="C34" s="27">
        <f>+Scenarios!O34</f>
        <v>0</v>
      </c>
      <c r="D34" s="27">
        <f>+Scenarios!P34</f>
        <v>0</v>
      </c>
      <c r="E34" s="22">
        <f t="shared" si="8"/>
        <v>0</v>
      </c>
      <c r="F34" s="76">
        <f>BMPs!E34</f>
        <v>0.8</v>
      </c>
      <c r="G34" s="242" t="s">
        <v>504</v>
      </c>
      <c r="H34" s="76">
        <f>IFERROR(VLOOKUP(A34,BMPs!$C$2:$J$64,HLOOKUP(G34,BMPs!$F$72:$I$73,2,FALSE),FALSE),0)</f>
        <v>0</v>
      </c>
      <c r="I34" s="97"/>
      <c r="J34" s="97"/>
      <c r="K34" s="99">
        <f>$C$50*(D34*'Watershed Data'!$D$23+(C34-D34)*VLOOKUP(G34,'Watershed Data'!$A$19:$E$22,5,FALSE))*3630</f>
        <v>0</v>
      </c>
      <c r="L34" s="37">
        <f t="shared" si="0"/>
        <v>0</v>
      </c>
      <c r="M34" s="30">
        <f>BMPs!$M$8*BMPs!$M$12</f>
        <v>1.08</v>
      </c>
      <c r="N34" s="108">
        <f t="shared" si="6"/>
        <v>1</v>
      </c>
      <c r="O34" s="39">
        <f t="shared" si="1"/>
        <v>0.8</v>
      </c>
      <c r="P34" s="99">
        <f t="shared" si="2"/>
        <v>0</v>
      </c>
      <c r="Q34" s="116">
        <f t="shared" si="9"/>
        <v>0</v>
      </c>
      <c r="R34" s="99">
        <f t="shared" si="4"/>
        <v>0</v>
      </c>
      <c r="T34" s="76">
        <f>IFERROR(VLOOKUP(J34,BMPs!$C$3:$F$69,3,FALSE),0)</f>
        <v>0</v>
      </c>
      <c r="U34" s="76">
        <f>IFERROR(VLOOKUP(J34,BMPs!$C$3:$F$69,5,FALSE),0)</f>
        <v>0</v>
      </c>
      <c r="V34" s="117">
        <f t="shared" si="7"/>
        <v>0</v>
      </c>
      <c r="W34" s="37">
        <f>IFERROR((D34*'Watershed Data'!$D$21+E34*'Watershed Data'!$E$21)/('LandUse-LandCover'!$E$30*'Watershed Data'!$D$23+'LandUse-LandCover'!$F$30*'Watershed Data'!$E$23),0)*BMPs!$M$6*BMPs!$M$8*BMPs!$M$12</f>
        <v>0</v>
      </c>
      <c r="X34" s="30">
        <f t="shared" si="5"/>
        <v>0</v>
      </c>
    </row>
    <row r="35" spans="1:24" x14ac:dyDescent="0.25">
      <c r="A35" t="str">
        <f>+BMPs!C35</f>
        <v>WEDW</v>
      </c>
      <c r="B35" t="str">
        <f>+BMPs!D35</f>
        <v>ED shallow wetland</v>
      </c>
      <c r="C35" s="27">
        <f>+Scenarios!O35</f>
        <v>0</v>
      </c>
      <c r="D35" s="27">
        <f>+Scenarios!P35</f>
        <v>0</v>
      </c>
      <c r="E35" s="22">
        <f t="shared" si="8"/>
        <v>0</v>
      </c>
      <c r="F35" s="76">
        <f>BMPs!E35</f>
        <v>0.8</v>
      </c>
      <c r="G35" s="242" t="s">
        <v>504</v>
      </c>
      <c r="H35" s="76">
        <f>IFERROR(VLOOKUP(A35,BMPs!$C$2:$J$64,HLOOKUP(G35,BMPs!$F$72:$I$73,2,FALSE),FALSE),0)</f>
        <v>0</v>
      </c>
      <c r="I35" s="97"/>
      <c r="J35" s="97"/>
      <c r="K35" s="99">
        <f>$C$50*(D35*'Watershed Data'!$D$23+(C35-D35)*VLOOKUP(G35,'Watershed Data'!$A$19:$E$22,5,FALSE))*3630</f>
        <v>0</v>
      </c>
      <c r="L35" s="37">
        <f t="shared" si="0"/>
        <v>0</v>
      </c>
      <c r="M35" s="30">
        <f>BMPs!$M$8*BMPs!$M$12</f>
        <v>1.08</v>
      </c>
      <c r="N35" s="108">
        <f t="shared" si="6"/>
        <v>1</v>
      </c>
      <c r="O35" s="39">
        <f t="shared" si="1"/>
        <v>0.8</v>
      </c>
      <c r="P35" s="99">
        <f t="shared" si="2"/>
        <v>0</v>
      </c>
      <c r="Q35" s="116">
        <f t="shared" si="9"/>
        <v>0</v>
      </c>
      <c r="R35" s="99">
        <f t="shared" si="4"/>
        <v>0</v>
      </c>
      <c r="T35" s="76">
        <f>IFERROR(VLOOKUP(J35,BMPs!$C$3:$F$69,3,FALSE),0)</f>
        <v>0</v>
      </c>
      <c r="U35" s="76">
        <f>IFERROR(VLOOKUP(J35,BMPs!$C$3:$F$69,5,FALSE),0)</f>
        <v>0</v>
      </c>
      <c r="V35" s="117">
        <f t="shared" si="7"/>
        <v>0</v>
      </c>
      <c r="W35" s="37">
        <f>IFERROR((D35*'Watershed Data'!$D$21+E35*'Watershed Data'!$E$21)/('LandUse-LandCover'!$E$30*'Watershed Data'!$D$23+'LandUse-LandCover'!$F$30*'Watershed Data'!$E$23),0)*BMPs!$M$6*BMPs!$M$8*BMPs!$M$12</f>
        <v>0</v>
      </c>
      <c r="X35" s="30">
        <f t="shared" si="5"/>
        <v>0</v>
      </c>
    </row>
    <row r="36" spans="1:24" x14ac:dyDescent="0.25">
      <c r="A36" t="str">
        <f>+BMPs!C36</f>
        <v>WPWS</v>
      </c>
      <c r="B36" t="str">
        <f>+BMPs!D36</f>
        <v>Pond/wetland system</v>
      </c>
      <c r="C36" s="27">
        <f>+Scenarios!O36</f>
        <v>0</v>
      </c>
      <c r="D36" s="27">
        <f>+Scenarios!P36</f>
        <v>0</v>
      </c>
      <c r="E36" s="22">
        <f t="shared" si="8"/>
        <v>0</v>
      </c>
      <c r="F36" s="76">
        <f>BMPs!E36</f>
        <v>0.8</v>
      </c>
      <c r="G36" s="242" t="s">
        <v>504</v>
      </c>
      <c r="H36" s="76">
        <f>IFERROR(VLOOKUP(A36,BMPs!$C$2:$J$64,HLOOKUP(G36,BMPs!$F$72:$I$73,2,FALSE),FALSE),0)</f>
        <v>0</v>
      </c>
      <c r="I36" s="97"/>
      <c r="J36" s="97"/>
      <c r="K36" s="99">
        <f>$C$50*(D36*'Watershed Data'!$D$23+(C36-D36)*VLOOKUP(G36,'Watershed Data'!$A$19:$E$22,5,FALSE))*3630</f>
        <v>0</v>
      </c>
      <c r="L36" s="37">
        <f t="shared" si="0"/>
        <v>0</v>
      </c>
      <c r="M36" s="30">
        <f>BMPs!$M$8*BMPs!$M$12</f>
        <v>1.08</v>
      </c>
      <c r="N36" s="108">
        <f t="shared" si="6"/>
        <v>1</v>
      </c>
      <c r="O36" s="39">
        <f t="shared" si="1"/>
        <v>0.8</v>
      </c>
      <c r="P36" s="99">
        <f t="shared" si="2"/>
        <v>0</v>
      </c>
      <c r="Q36" s="116">
        <f t="shared" si="9"/>
        <v>0</v>
      </c>
      <c r="R36" s="99">
        <f t="shared" si="4"/>
        <v>0</v>
      </c>
      <c r="T36" s="76">
        <f>IFERROR(VLOOKUP(J36,BMPs!$C$3:$F$69,3,FALSE),0)</f>
        <v>0</v>
      </c>
      <c r="U36" s="76">
        <f>IFERROR(VLOOKUP(J36,BMPs!$C$3:$F$69,5,FALSE),0)</f>
        <v>0</v>
      </c>
      <c r="V36" s="117">
        <f t="shared" si="7"/>
        <v>0</v>
      </c>
      <c r="W36" s="37">
        <f>IFERROR((D36*'Watershed Data'!$D$21+E36*'Watershed Data'!$E$21)/('LandUse-LandCover'!$E$30*'Watershed Data'!$D$23+'LandUse-LandCover'!$F$30*'Watershed Data'!$E$23),0)*BMPs!$M$6*BMPs!$M$8*BMPs!$M$12</f>
        <v>0</v>
      </c>
      <c r="X36" s="30">
        <f t="shared" si="5"/>
        <v>0</v>
      </c>
    </row>
    <row r="37" spans="1:24" x14ac:dyDescent="0.25">
      <c r="A37" t="str">
        <f>+BMPs!C37</f>
        <v>WPKT</v>
      </c>
      <c r="B37" t="str">
        <f>+BMPs!D37</f>
        <v>Pocket wetland</v>
      </c>
      <c r="C37" s="27">
        <f>+Scenarios!O37</f>
        <v>0</v>
      </c>
      <c r="D37" s="27">
        <f>+Scenarios!P37</f>
        <v>0</v>
      </c>
      <c r="E37" s="22">
        <f t="shared" si="8"/>
        <v>0</v>
      </c>
      <c r="F37" s="76">
        <f>BMPs!E37</f>
        <v>0.8</v>
      </c>
      <c r="G37" s="242" t="s">
        <v>504</v>
      </c>
      <c r="H37" s="76">
        <f>IFERROR(VLOOKUP(A37,BMPs!$C$2:$J$64,HLOOKUP(G37,BMPs!$F$72:$I$73,2,FALSE),FALSE),0)</f>
        <v>0</v>
      </c>
      <c r="I37" s="97"/>
      <c r="J37" s="97"/>
      <c r="K37" s="99">
        <f>$C$50*(D37*'Watershed Data'!$D$23+(C37-D37)*VLOOKUP(G37,'Watershed Data'!$A$19:$E$22,5,FALSE))*3630</f>
        <v>0</v>
      </c>
      <c r="L37" s="37">
        <f t="shared" si="0"/>
        <v>0</v>
      </c>
      <c r="M37" s="30">
        <f>BMPs!$M$8*BMPs!$M$12</f>
        <v>1.08</v>
      </c>
      <c r="N37" s="108">
        <f t="shared" si="6"/>
        <v>1</v>
      </c>
      <c r="O37" s="39">
        <f t="shared" si="1"/>
        <v>0.8</v>
      </c>
      <c r="P37" s="99">
        <f t="shared" si="2"/>
        <v>0</v>
      </c>
      <c r="Q37" s="116">
        <f t="shared" si="9"/>
        <v>0</v>
      </c>
      <c r="R37" s="99">
        <f t="shared" si="4"/>
        <v>0</v>
      </c>
      <c r="T37" s="76">
        <f>IFERROR(VLOOKUP(J37,BMPs!$C$3:$F$69,3,FALSE),0)</f>
        <v>0</v>
      </c>
      <c r="U37" s="76">
        <f>IFERROR(VLOOKUP(J37,BMPs!$C$3:$F$69,5,FALSE),0)</f>
        <v>0</v>
      </c>
      <c r="V37" s="117">
        <f t="shared" si="7"/>
        <v>0</v>
      </c>
      <c r="W37" s="37">
        <f>IFERROR((D37*'Watershed Data'!$D$21+E37*'Watershed Data'!$E$21)/('LandUse-LandCover'!$E$30*'Watershed Data'!$D$23+'LandUse-LandCover'!$F$30*'Watershed Data'!$E$23),0)*BMPs!$M$6*BMPs!$M$8*BMPs!$M$12</f>
        <v>0</v>
      </c>
      <c r="X37" s="30">
        <f t="shared" si="5"/>
        <v>0</v>
      </c>
    </row>
    <row r="38" spans="1:24" x14ac:dyDescent="0.25">
      <c r="A38" t="str">
        <f>+BMPs!C38</f>
        <v>IBAS</v>
      </c>
      <c r="B38" t="str">
        <f>+BMPs!D38</f>
        <v>Infiltration basin</v>
      </c>
      <c r="C38" s="27">
        <f>+Scenarios!O38</f>
        <v>0</v>
      </c>
      <c r="D38" s="27">
        <f>+Scenarios!P38</f>
        <v>0</v>
      </c>
      <c r="E38" s="22">
        <f t="shared" si="8"/>
        <v>0</v>
      </c>
      <c r="F38" s="76">
        <f>BMPs!E38</f>
        <v>0.85</v>
      </c>
      <c r="G38" s="242" t="s">
        <v>504</v>
      </c>
      <c r="H38" s="76">
        <f>IFERROR(VLOOKUP(A38,BMPs!$C$2:$J$64,HLOOKUP(G38,BMPs!$F$72:$I$73,2,FALSE),FALSE),0)</f>
        <v>0.5</v>
      </c>
      <c r="I38" s="97"/>
      <c r="J38" s="97"/>
      <c r="K38" s="99">
        <f>$C$50*(D38*'Watershed Data'!$D$23+(C38-D38)*VLOOKUP(G38,'Watershed Data'!$A$19:$E$22,5,FALSE))*3630</f>
        <v>0</v>
      </c>
      <c r="L38" s="37">
        <f t="shared" si="0"/>
        <v>0</v>
      </c>
      <c r="M38" s="30">
        <f>BMPs!$M$8*BMPs!$M$12</f>
        <v>1.08</v>
      </c>
      <c r="N38" s="108">
        <f t="shared" si="6"/>
        <v>0.5</v>
      </c>
      <c r="O38" s="39">
        <f t="shared" si="1"/>
        <v>0.92500000000000004</v>
      </c>
      <c r="P38" s="99">
        <f t="shared" si="2"/>
        <v>0</v>
      </c>
      <c r="Q38" s="116">
        <f t="shared" si="9"/>
        <v>0</v>
      </c>
      <c r="R38" s="99">
        <f t="shared" si="4"/>
        <v>0</v>
      </c>
      <c r="T38" s="76">
        <f>IFERROR(VLOOKUP(J38,BMPs!$C$3:$F$69,3,FALSE),0)</f>
        <v>0</v>
      </c>
      <c r="U38" s="76">
        <f>IFERROR(VLOOKUP(J38,BMPs!$C$3:$F$69,5,FALSE),0)</f>
        <v>0</v>
      </c>
      <c r="V38" s="117">
        <f t="shared" si="7"/>
        <v>0</v>
      </c>
      <c r="W38" s="37">
        <f>IFERROR((D38*'Watershed Data'!$D$21+E38*'Watershed Data'!$E$21)/('LandUse-LandCover'!$E$30*'Watershed Data'!$D$23+'LandUse-LandCover'!$F$30*'Watershed Data'!$E$23),0)*BMPs!$M$6*BMPs!$M$8*BMPs!$M$12</f>
        <v>0</v>
      </c>
      <c r="X38" s="30">
        <f t="shared" si="5"/>
        <v>0</v>
      </c>
    </row>
    <row r="39" spans="1:24" x14ac:dyDescent="0.25">
      <c r="A39" t="str">
        <f>+BMPs!C39</f>
        <v>ITRN</v>
      </c>
      <c r="B39" t="str">
        <f>+BMPs!D39</f>
        <v>Infiltration trench</v>
      </c>
      <c r="C39" s="27">
        <f>+Scenarios!O39</f>
        <v>0</v>
      </c>
      <c r="D39" s="27">
        <f>+Scenarios!P39</f>
        <v>0</v>
      </c>
      <c r="E39" s="22">
        <f t="shared" si="8"/>
        <v>0</v>
      </c>
      <c r="F39" s="76">
        <f>BMPs!E39</f>
        <v>0.85</v>
      </c>
      <c r="G39" s="242" t="s">
        <v>504</v>
      </c>
      <c r="H39" s="76">
        <f>IFERROR(VLOOKUP(A39,BMPs!$C$2:$J$64,HLOOKUP(G39,BMPs!$F$72:$I$73,2,FALSE),FALSE),0)</f>
        <v>0.5</v>
      </c>
      <c r="I39" s="97"/>
      <c r="J39" s="97"/>
      <c r="K39" s="99">
        <f>$C$50*(D39*'Watershed Data'!$D$23+(C39-D39)*VLOOKUP(G39,'Watershed Data'!$A$19:$E$22,5,FALSE))*3630</f>
        <v>0</v>
      </c>
      <c r="L39" s="37">
        <f t="shared" si="0"/>
        <v>0</v>
      </c>
      <c r="M39" s="30">
        <f>BMPs!$M$8*BMPs!$M$12</f>
        <v>1.08</v>
      </c>
      <c r="N39" s="108">
        <f t="shared" si="6"/>
        <v>0.5</v>
      </c>
      <c r="O39" s="39">
        <f t="shared" si="1"/>
        <v>0.92500000000000004</v>
      </c>
      <c r="P39" s="99">
        <f t="shared" si="2"/>
        <v>0</v>
      </c>
      <c r="Q39" s="116">
        <f t="shared" si="9"/>
        <v>0</v>
      </c>
      <c r="R39" s="99">
        <f t="shared" si="4"/>
        <v>0</v>
      </c>
      <c r="T39" s="76">
        <f>IFERROR(VLOOKUP(J39,BMPs!$C$3:$F$69,3,FALSE),0)</f>
        <v>0</v>
      </c>
      <c r="U39" s="76">
        <f>IFERROR(VLOOKUP(J39,BMPs!$C$3:$F$69,5,FALSE),0)</f>
        <v>0</v>
      </c>
      <c r="V39" s="117">
        <f t="shared" si="7"/>
        <v>0</v>
      </c>
      <c r="W39" s="37">
        <f>IFERROR((D39*'Watershed Data'!$D$21+E39*'Watershed Data'!$E$21)/('LandUse-LandCover'!$E$30*'Watershed Data'!$D$23+'LandUse-LandCover'!$F$30*'Watershed Data'!$E$23),0)*BMPs!$M$6*BMPs!$M$8*BMPs!$M$12</f>
        <v>0</v>
      </c>
      <c r="X39" s="30">
        <f t="shared" si="5"/>
        <v>0</v>
      </c>
    </row>
    <row r="40" spans="1:24" x14ac:dyDescent="0.25">
      <c r="A40" t="str">
        <f>+BMPs!C40</f>
        <v>XDPD</v>
      </c>
      <c r="B40" t="str">
        <f>+BMPs!D40</f>
        <v>Dry pond</v>
      </c>
      <c r="C40" s="27">
        <f>+Scenarios!O40</f>
        <v>0</v>
      </c>
      <c r="D40" s="27">
        <f>+Scenarios!P40</f>
        <v>0</v>
      </c>
      <c r="E40" s="22">
        <f t="shared" si="8"/>
        <v>0</v>
      </c>
      <c r="F40" s="76">
        <f>BMPs!E40</f>
        <v>0</v>
      </c>
      <c r="G40" s="242" t="s">
        <v>504</v>
      </c>
      <c r="H40" s="76">
        <f>IFERROR(VLOOKUP(A40,BMPs!$C$2:$J$64,HLOOKUP(G40,BMPs!$F$72:$I$73,2,FALSE),FALSE),0)</f>
        <v>0</v>
      </c>
      <c r="I40" s="97"/>
      <c r="J40" s="97"/>
      <c r="K40" s="99">
        <f>$C$50*(D40*'Watershed Data'!$D$23+(C40-D40)*VLOOKUP(G40,'Watershed Data'!$A$19:$E$22,5,FALSE))*3630</f>
        <v>0</v>
      </c>
      <c r="L40" s="37">
        <f t="shared" si="0"/>
        <v>0</v>
      </c>
      <c r="M40" s="30">
        <f>BMPs!$M$8*BMPs!$M$12</f>
        <v>1.08</v>
      </c>
      <c r="N40" s="108">
        <f t="shared" si="6"/>
        <v>1</v>
      </c>
      <c r="O40" s="39">
        <f t="shared" si="1"/>
        <v>0</v>
      </c>
      <c r="P40" s="99">
        <f t="shared" si="2"/>
        <v>0</v>
      </c>
      <c r="Q40" s="116">
        <f t="shared" si="9"/>
        <v>0</v>
      </c>
      <c r="R40" s="99">
        <f t="shared" si="4"/>
        <v>0</v>
      </c>
      <c r="T40" s="76">
        <f>IFERROR(VLOOKUP(J40,BMPs!$C$3:$F$69,3,FALSE),0)</f>
        <v>0</v>
      </c>
      <c r="U40" s="76">
        <f>IFERROR(VLOOKUP(J40,BMPs!$C$3:$F$69,5,FALSE),0)</f>
        <v>0</v>
      </c>
      <c r="V40" s="117">
        <f t="shared" si="7"/>
        <v>0</v>
      </c>
      <c r="W40" s="37">
        <f>IFERROR((D40*'Watershed Data'!$D$21+E40*'Watershed Data'!$E$21)/('LandUse-LandCover'!$E$30*'Watershed Data'!$D$23+'LandUse-LandCover'!$F$30*'Watershed Data'!$E$23),0)*BMPs!$M$6*BMPs!$M$8*BMPs!$M$12</f>
        <v>0</v>
      </c>
      <c r="X40" s="30">
        <f t="shared" si="5"/>
        <v>0</v>
      </c>
    </row>
    <row r="41" spans="1:24" x14ac:dyDescent="0.25">
      <c r="A41" t="str">
        <f>+BMPs!C41</f>
        <v>XDED</v>
      </c>
      <c r="B41" t="str">
        <f>+BMPs!D41</f>
        <v>Dry extended detention pond</v>
      </c>
      <c r="C41" s="27">
        <f>+Scenarios!O41</f>
        <v>0</v>
      </c>
      <c r="D41" s="27">
        <f>+Scenarios!P41</f>
        <v>0</v>
      </c>
      <c r="E41" s="22">
        <f t="shared" si="8"/>
        <v>0</v>
      </c>
      <c r="F41" s="76">
        <f>BMPs!E41</f>
        <v>0</v>
      </c>
      <c r="G41" s="242" t="s">
        <v>504</v>
      </c>
      <c r="H41" s="76">
        <f>IFERROR(VLOOKUP(A41,BMPs!$C$2:$J$64,HLOOKUP(G41,BMPs!$F$72:$I$73,2,FALSE),FALSE),0)</f>
        <v>0</v>
      </c>
      <c r="I41" s="97"/>
      <c r="J41" s="97"/>
      <c r="K41" s="99">
        <f>$C$50*(D41*'Watershed Data'!$D$23+(C41-D41)*VLOOKUP(G41,'Watershed Data'!$A$19:$E$22,5,FALSE))*3630</f>
        <v>0</v>
      </c>
      <c r="L41" s="37">
        <f t="shared" si="0"/>
        <v>0</v>
      </c>
      <c r="M41" s="30">
        <f>BMPs!$M$8*BMPs!$M$12</f>
        <v>1.08</v>
      </c>
      <c r="N41" s="108">
        <f t="shared" si="6"/>
        <v>1</v>
      </c>
      <c r="O41" s="39">
        <f t="shared" si="1"/>
        <v>0</v>
      </c>
      <c r="P41" s="99">
        <f t="shared" si="2"/>
        <v>0</v>
      </c>
      <c r="Q41" s="116">
        <f t="shared" si="9"/>
        <v>0</v>
      </c>
      <c r="R41" s="99">
        <f t="shared" si="4"/>
        <v>0</v>
      </c>
      <c r="T41" s="76">
        <f>IFERROR(VLOOKUP(J41,BMPs!$C$3:$F$69,3,FALSE),0)</f>
        <v>0</v>
      </c>
      <c r="U41" s="76">
        <f>IFERROR(VLOOKUP(J41,BMPs!$C$3:$F$69,5,FALSE),0)</f>
        <v>0</v>
      </c>
      <c r="V41" s="117">
        <f t="shared" si="7"/>
        <v>0</v>
      </c>
      <c r="W41" s="37">
        <f>IFERROR((D41*'Watershed Data'!$D$21+E41*'Watershed Data'!$E$21)/('LandUse-LandCover'!$E$30*'Watershed Data'!$D$23+'LandUse-LandCover'!$F$30*'Watershed Data'!$E$23),0)*BMPs!$M$6*BMPs!$M$8*BMPs!$M$12</f>
        <v>0</v>
      </c>
      <c r="X41" s="30">
        <f t="shared" si="5"/>
        <v>0</v>
      </c>
    </row>
    <row r="42" spans="1:24" x14ac:dyDescent="0.25">
      <c r="A42" t="str">
        <f>+BMPs!C42</f>
        <v>XFLD</v>
      </c>
      <c r="B42" t="str">
        <f>+BMPs!D42</f>
        <v>Flood Mgmt Area</v>
      </c>
      <c r="C42" s="27">
        <f>+Scenarios!O42</f>
        <v>0</v>
      </c>
      <c r="D42" s="27">
        <f>+Scenarios!P42</f>
        <v>0</v>
      </c>
      <c r="E42" s="22">
        <f t="shared" si="8"/>
        <v>0</v>
      </c>
      <c r="F42" s="76">
        <f>BMPs!E42</f>
        <v>0</v>
      </c>
      <c r="G42" s="242" t="s">
        <v>504</v>
      </c>
      <c r="H42" s="76">
        <f>IFERROR(VLOOKUP(A42,BMPs!$C$2:$J$64,HLOOKUP(G42,BMPs!$F$72:$I$73,2,FALSE),FALSE),0)</f>
        <v>0</v>
      </c>
      <c r="I42" s="97"/>
      <c r="J42" s="97"/>
      <c r="K42" s="99">
        <f>$C$50*(D42*'Watershed Data'!$D$23+(C42-D42)*VLOOKUP(G42,'Watershed Data'!$A$19:$E$22,5,FALSE))*3630</f>
        <v>0</v>
      </c>
      <c r="L42" s="37">
        <f t="shared" si="0"/>
        <v>0</v>
      </c>
      <c r="M42" s="30">
        <f>BMPs!$M$8*BMPs!$M$12</f>
        <v>1.08</v>
      </c>
      <c r="N42" s="108">
        <f t="shared" si="6"/>
        <v>1</v>
      </c>
      <c r="O42" s="39">
        <f t="shared" si="1"/>
        <v>0</v>
      </c>
      <c r="P42" s="99">
        <f t="shared" si="2"/>
        <v>0</v>
      </c>
      <c r="Q42" s="116">
        <f t="shared" si="9"/>
        <v>0</v>
      </c>
      <c r="R42" s="99">
        <f t="shared" si="4"/>
        <v>0</v>
      </c>
      <c r="T42" s="76">
        <f>IFERROR(VLOOKUP(J42,BMPs!$C$3:$F$69,3,FALSE),0)</f>
        <v>0</v>
      </c>
      <c r="U42" s="76">
        <f>IFERROR(VLOOKUP(J42,BMPs!$C$3:$F$69,5,FALSE),0)</f>
        <v>0</v>
      </c>
      <c r="V42" s="117">
        <f t="shared" si="7"/>
        <v>0</v>
      </c>
      <c r="W42" s="37">
        <f>IFERROR((D42*'Watershed Data'!$D$21+E42*'Watershed Data'!$E$21)/('LandUse-LandCover'!$E$30*'Watershed Data'!$D$23+'LandUse-LandCover'!$F$30*'Watershed Data'!$E$23),0)*BMPs!$M$6*BMPs!$M$8*BMPs!$M$12</f>
        <v>0</v>
      </c>
      <c r="X42" s="30">
        <f t="shared" si="5"/>
        <v>0</v>
      </c>
    </row>
    <row r="43" spans="1:24" x14ac:dyDescent="0.25">
      <c r="A43" t="str">
        <f>+BMPs!C43</f>
        <v>XOGS</v>
      </c>
      <c r="B43" t="str">
        <f>+BMPs!D43</f>
        <v>Oil grit separator</v>
      </c>
      <c r="C43" s="27">
        <f>+Scenarios!O43</f>
        <v>0</v>
      </c>
      <c r="D43" s="27">
        <f>+Scenarios!P43</f>
        <v>0</v>
      </c>
      <c r="E43" s="22">
        <f t="shared" si="8"/>
        <v>0</v>
      </c>
      <c r="F43" s="76">
        <f>BMPs!E43</f>
        <v>0</v>
      </c>
      <c r="G43" s="242" t="s">
        <v>504</v>
      </c>
      <c r="H43" s="76">
        <f>IFERROR(VLOOKUP(A43,BMPs!$C$2:$J$64,HLOOKUP(G43,BMPs!$F$72:$I$73,2,FALSE),FALSE),0)</f>
        <v>0</v>
      </c>
      <c r="I43" s="97"/>
      <c r="J43" s="97"/>
      <c r="K43" s="99">
        <f>$C$50*(D43*'Watershed Data'!$D$23+(C43-D43)*VLOOKUP(G43,'Watershed Data'!$A$19:$E$22,5,FALSE))*3630</f>
        <v>0</v>
      </c>
      <c r="L43" s="37">
        <f t="shared" si="0"/>
        <v>0</v>
      </c>
      <c r="M43" s="30">
        <f>BMPs!$M$8*BMPs!$M$12</f>
        <v>1.08</v>
      </c>
      <c r="N43" s="108">
        <f t="shared" si="6"/>
        <v>1</v>
      </c>
      <c r="O43" s="39">
        <f t="shared" si="1"/>
        <v>0</v>
      </c>
      <c r="P43" s="99">
        <f t="shared" si="2"/>
        <v>0</v>
      </c>
      <c r="Q43" s="116">
        <f t="shared" si="9"/>
        <v>0</v>
      </c>
      <c r="R43" s="99">
        <f t="shared" si="4"/>
        <v>0</v>
      </c>
      <c r="T43" s="76">
        <f>IFERROR(VLOOKUP(J43,BMPs!$C$3:$F$69,3,FALSE),0)</f>
        <v>0</v>
      </c>
      <c r="U43" s="76">
        <f>IFERROR(VLOOKUP(J43,BMPs!$C$3:$F$69,5,FALSE),0)</f>
        <v>0</v>
      </c>
      <c r="V43" s="117">
        <f t="shared" si="7"/>
        <v>0</v>
      </c>
      <c r="W43" s="37">
        <f>IFERROR((D43*'Watershed Data'!$D$21+E43*'Watershed Data'!$E$21)/('LandUse-LandCover'!$E$30*'Watershed Data'!$D$23+'LandUse-LandCover'!$F$30*'Watershed Data'!$E$23),0)*BMPs!$M$6*BMPs!$M$8*BMPs!$M$12</f>
        <v>0</v>
      </c>
      <c r="X43" s="30">
        <f t="shared" si="5"/>
        <v>0</v>
      </c>
    </row>
    <row r="44" spans="1:24" x14ac:dyDescent="0.25">
      <c r="A44" t="str">
        <f>+BMPs!C44</f>
        <v>XOTH</v>
      </c>
      <c r="B44" t="str">
        <f>+BMPs!D44</f>
        <v>Other</v>
      </c>
      <c r="C44" s="27">
        <f>+Scenarios!O44</f>
        <v>0</v>
      </c>
      <c r="D44" s="27">
        <f>+Scenarios!P44</f>
        <v>0</v>
      </c>
      <c r="E44" s="22">
        <f t="shared" si="8"/>
        <v>0</v>
      </c>
      <c r="F44" s="76">
        <f>BMPs!E44</f>
        <v>0</v>
      </c>
      <c r="G44" s="242" t="s">
        <v>504</v>
      </c>
      <c r="H44" s="76">
        <f>IFERROR(VLOOKUP(A44,BMPs!$C$2:$J$64,HLOOKUP(G44,BMPs!$F$72:$I$73,2,FALSE),FALSE),0)</f>
        <v>0.5</v>
      </c>
      <c r="I44" s="97"/>
      <c r="J44" s="97"/>
      <c r="K44" s="99">
        <f>$C$50*(D44*'Watershed Data'!$D$23+(C44-D44)*VLOOKUP(G44,'Watershed Data'!$A$19:$E$22,5,FALSE))*3630</f>
        <v>0</v>
      </c>
      <c r="L44" s="37">
        <f t="shared" si="0"/>
        <v>0</v>
      </c>
      <c r="M44" s="30">
        <f>BMPs!$M$8*BMPs!$M$12</f>
        <v>1.08</v>
      </c>
      <c r="N44" s="108">
        <f t="shared" si="6"/>
        <v>0.5</v>
      </c>
      <c r="O44" s="39">
        <f t="shared" si="1"/>
        <v>0.5</v>
      </c>
      <c r="P44" s="99">
        <f t="shared" si="2"/>
        <v>0</v>
      </c>
      <c r="Q44" s="116">
        <f t="shared" si="9"/>
        <v>0</v>
      </c>
      <c r="R44" s="99">
        <f t="shared" si="4"/>
        <v>0</v>
      </c>
      <c r="T44" s="76">
        <f>IFERROR(VLOOKUP(J44,BMPs!$C$3:$F$69,3,FALSE),0)</f>
        <v>0</v>
      </c>
      <c r="U44" s="76">
        <f>IFERROR(VLOOKUP(J44,BMPs!$C$3:$F$69,5,FALSE),0)</f>
        <v>0</v>
      </c>
      <c r="V44" s="117">
        <f t="shared" si="7"/>
        <v>0</v>
      </c>
      <c r="W44" s="37">
        <f>IFERROR((D44*'Watershed Data'!$D$21+E44*'Watershed Data'!$E$21)/('LandUse-LandCover'!$E$30*'Watershed Data'!$D$23+'LandUse-LandCover'!$F$30*'Watershed Data'!$E$23),0)*BMPs!$M$6*BMPs!$M$8*BMPs!$M$12</f>
        <v>0</v>
      </c>
      <c r="X44" s="30">
        <f t="shared" si="5"/>
        <v>0</v>
      </c>
    </row>
    <row r="45" spans="1:24" x14ac:dyDescent="0.25">
      <c r="B45" s="63" t="s">
        <v>203</v>
      </c>
      <c r="C45" s="22">
        <f>SUM(C3:C44)</f>
        <v>2130</v>
      </c>
      <c r="D45" s="22">
        <f>SUM(D3:D44)</f>
        <v>710</v>
      </c>
      <c r="E45" s="22">
        <f t="shared" si="8"/>
        <v>1420</v>
      </c>
      <c r="F45" s="76"/>
      <c r="G45" s="195"/>
      <c r="H45" s="76"/>
      <c r="I45" s="7"/>
      <c r="J45" s="7"/>
      <c r="K45" s="104"/>
      <c r="L45" s="16"/>
      <c r="N45" s="2"/>
      <c r="O45" s="114" t="s">
        <v>270</v>
      </c>
      <c r="P45" s="114"/>
      <c r="Q45" s="22"/>
      <c r="R45" s="115">
        <f>SUM(R3:R44)</f>
        <v>207903.85455286392</v>
      </c>
      <c r="T45" s="118"/>
      <c r="U45" s="118"/>
      <c r="V45" s="119"/>
      <c r="W45" s="120"/>
      <c r="X45" s="115">
        <f>SUM(X3:X44)</f>
        <v>0</v>
      </c>
    </row>
    <row r="46" spans="1:24" s="2" customFormat="1" x14ac:dyDescent="0.25">
      <c r="B46" s="78"/>
      <c r="F46" s="118"/>
      <c r="G46" s="118"/>
      <c r="H46" s="118"/>
      <c r="I46" s="238"/>
      <c r="J46" s="238"/>
      <c r="K46" s="250"/>
      <c r="L46" s="120"/>
      <c r="O46" s="69"/>
      <c r="P46" s="69"/>
      <c r="R46" s="372"/>
      <c r="T46" s="118"/>
      <c r="U46" s="118"/>
      <c r="V46" s="119"/>
      <c r="W46" s="120"/>
      <c r="X46" s="372"/>
    </row>
    <row r="47" spans="1:24" x14ac:dyDescent="0.25">
      <c r="B47" s="373" t="s">
        <v>298</v>
      </c>
      <c r="C47" s="116">
        <f>+Scenarios!O48</f>
        <v>157.88999999999999</v>
      </c>
      <c r="D47" s="116"/>
      <c r="E47" s="30">
        <f>IFERROR(C47-D47,"")</f>
        <v>157.88999999999999</v>
      </c>
      <c r="F47" s="76">
        <f>BMPs!E47</f>
        <v>0.42</v>
      </c>
      <c r="G47" s="242" t="s">
        <v>504</v>
      </c>
      <c r="H47" s="76">
        <f>+BMPs!F47</f>
        <v>0.75</v>
      </c>
      <c r="I47" s="97"/>
      <c r="J47" s="97"/>
      <c r="K47" s="99"/>
      <c r="L47" s="122">
        <f>+C47/'LandUse-LandCover'!E30</f>
        <v>3.3209346703302306E-2</v>
      </c>
      <c r="M47" s="30">
        <v>0.4</v>
      </c>
      <c r="N47" s="108">
        <f>1-H47</f>
        <v>0.25</v>
      </c>
      <c r="O47" s="39">
        <f>H47+(N47*F47)</f>
        <v>0.85499999999999998</v>
      </c>
      <c r="P47" s="99">
        <f>($C$52-(G68+G84+D91))*L47*M47*O47</f>
        <v>26629.387481282996</v>
      </c>
      <c r="Q47" s="116">
        <f>+X47</f>
        <v>0</v>
      </c>
      <c r="R47" s="99">
        <f>($C$52 -(G68+G84+D91))*L47*M47*O47-X47</f>
        <v>26629.387481282996</v>
      </c>
      <c r="S47" s="99"/>
      <c r="T47" s="118"/>
      <c r="U47" s="118"/>
      <c r="V47" s="119"/>
      <c r="W47" s="120"/>
      <c r="X47" s="321"/>
    </row>
    <row r="48" spans="1:24" x14ac:dyDescent="0.25">
      <c r="I48" s="7"/>
      <c r="J48" s="7"/>
      <c r="K48" s="104"/>
      <c r="L48" s="16"/>
      <c r="N48" s="2"/>
      <c r="O48" s="2"/>
      <c r="P48" s="2"/>
    </row>
    <row r="49" spans="1:16" x14ac:dyDescent="0.25">
      <c r="G49" s="2"/>
      <c r="H49" s="2"/>
      <c r="I49" s="238"/>
      <c r="J49" s="238"/>
      <c r="K49" s="250"/>
      <c r="L49" s="120"/>
      <c r="N49" s="2"/>
      <c r="O49" s="2"/>
      <c r="P49" s="2"/>
    </row>
    <row r="50" spans="1:16" x14ac:dyDescent="0.25">
      <c r="B50" t="s">
        <v>257</v>
      </c>
      <c r="C50" s="98">
        <v>1</v>
      </c>
      <c r="D50" t="s">
        <v>262</v>
      </c>
      <c r="I50" s="7"/>
      <c r="J50" s="7"/>
      <c r="K50" s="104"/>
      <c r="L50" s="16"/>
      <c r="N50" s="2"/>
      <c r="O50" s="2"/>
      <c r="P50" s="2"/>
    </row>
    <row r="51" spans="1:16" x14ac:dyDescent="0.25">
      <c r="B51" t="s">
        <v>258</v>
      </c>
      <c r="C51" s="109">
        <f>C50*('LandUse-LandCover'!E30*'Watershed Data'!D23+('LandUse-LandCover'!F30)*'Watershed Data'!E23)*3630</f>
        <v>30281689.224783923</v>
      </c>
      <c r="D51" t="s">
        <v>263</v>
      </c>
      <c r="E51" s="111" t="s">
        <v>268</v>
      </c>
      <c r="F51" s="111"/>
      <c r="G51" s="111"/>
      <c r="H51" s="111"/>
      <c r="I51" s="7"/>
      <c r="J51" s="7"/>
      <c r="K51" s="104"/>
      <c r="L51" s="16"/>
      <c r="N51" s="2"/>
      <c r="O51" s="2"/>
      <c r="P51" s="2"/>
    </row>
    <row r="52" spans="1:16" x14ac:dyDescent="0.25">
      <c r="B52" t="s">
        <v>265</v>
      </c>
      <c r="C52" s="106">
        <f>Loads!I29</f>
        <v>2352732.5334874382</v>
      </c>
      <c r="I52" s="7"/>
      <c r="J52" s="7"/>
      <c r="K52" s="104"/>
      <c r="L52" s="16"/>
      <c r="N52" s="2"/>
      <c r="O52" s="2"/>
      <c r="P52" s="2"/>
    </row>
    <row r="53" spans="1:16" x14ac:dyDescent="0.25">
      <c r="C53" s="64"/>
      <c r="I53" s="7"/>
      <c r="J53" s="7"/>
      <c r="K53" s="104"/>
      <c r="L53" s="16"/>
      <c r="N53" s="2"/>
      <c r="O53" s="2"/>
      <c r="P53" s="2"/>
    </row>
    <row r="54" spans="1:16" s="360" customFormat="1" ht="45" x14ac:dyDescent="0.25">
      <c r="A54" s="369" t="s">
        <v>187</v>
      </c>
      <c r="B54" s="355"/>
      <c r="C54" s="356"/>
      <c r="D54" s="357" t="s">
        <v>528</v>
      </c>
      <c r="E54" s="343" t="s">
        <v>519</v>
      </c>
      <c r="F54" s="358"/>
      <c r="G54" s="356" t="s">
        <v>249</v>
      </c>
      <c r="H54" s="359"/>
      <c r="K54" s="361"/>
      <c r="M54" s="362"/>
    </row>
    <row r="55" spans="1:16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0"/>
      <c r="D55" s="461">
        <f>+Scenarios!O52</f>
        <v>157.88999999999999</v>
      </c>
      <c r="E55" s="320">
        <f>+BMPs!I51</f>
        <v>51.303181256300434</v>
      </c>
      <c r="F55" s="118"/>
      <c r="G55" s="316">
        <f t="shared" ref="G55:G67" si="10">+E55*D55</f>
        <v>8100.2592885572749</v>
      </c>
      <c r="H55" s="90"/>
      <c r="K55" s="238"/>
      <c r="M55" s="298"/>
    </row>
    <row r="56" spans="1:16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0"/>
      <c r="D56" s="143">
        <f>+Scenarios!P53</f>
        <v>0</v>
      </c>
      <c r="E56" s="320">
        <f>+BMPs!I52</f>
        <v>286.34052096597577</v>
      </c>
      <c r="F56" s="118"/>
      <c r="G56" s="316">
        <f t="shared" si="10"/>
        <v>0</v>
      </c>
      <c r="H56" s="90"/>
      <c r="K56" s="238"/>
      <c r="M56" s="298"/>
    </row>
    <row r="57" spans="1:16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0"/>
      <c r="D57" s="143">
        <f>+Scenarios!P54</f>
        <v>0</v>
      </c>
      <c r="E57" s="320">
        <f>+BMPs!I53</f>
        <v>286.34052096597577</v>
      </c>
      <c r="F57" s="118"/>
      <c r="G57" s="316">
        <f t="shared" si="10"/>
        <v>0</v>
      </c>
      <c r="H57" s="90"/>
      <c r="K57" s="238"/>
      <c r="M57" s="298"/>
    </row>
    <row r="58" spans="1:16" s="2" customFormat="1" x14ac:dyDescent="0.25">
      <c r="A58" s="2" t="str">
        <f>BMPs!C54</f>
        <v>MSS</v>
      </c>
      <c r="B58" s="2" t="str">
        <f>BMPs!D54</f>
        <v>Mechanical Street Sweeping</v>
      </c>
      <c r="C58" s="250"/>
      <c r="D58" s="143">
        <f>+Scenarios!P55</f>
        <v>0</v>
      </c>
      <c r="E58" s="320">
        <f>+BMPs!I54</f>
        <v>0</v>
      </c>
      <c r="F58" s="118"/>
      <c r="G58" s="316">
        <f t="shared" si="10"/>
        <v>0</v>
      </c>
      <c r="H58" s="90"/>
      <c r="K58" s="238"/>
      <c r="M58" s="298"/>
    </row>
    <row r="59" spans="1:16" s="2" customFormat="1" x14ac:dyDescent="0.25">
      <c r="A59" s="2" t="str">
        <f>BMPs!C55</f>
        <v>VSS</v>
      </c>
      <c r="B59" s="2" t="str">
        <f>BMPs!D55</f>
        <v>Regen / Vacuum Street Sweeping</v>
      </c>
      <c r="C59" s="250"/>
      <c r="D59" s="143">
        <f>+Scenarios!P56</f>
        <v>0</v>
      </c>
      <c r="E59" s="320">
        <f>+BMPs!I55</f>
        <v>0</v>
      </c>
      <c r="F59" s="118"/>
      <c r="G59" s="316">
        <f t="shared" si="10"/>
        <v>0</v>
      </c>
      <c r="H59" s="90"/>
      <c r="K59" s="238"/>
      <c r="M59" s="298"/>
    </row>
    <row r="60" spans="1:16" s="2" customFormat="1" x14ac:dyDescent="0.25">
      <c r="E60" s="321"/>
      <c r="F60" s="298"/>
      <c r="G60" s="316">
        <f t="shared" si="10"/>
        <v>0</v>
      </c>
      <c r="H60" s="90"/>
      <c r="K60" s="238"/>
      <c r="M60" s="298"/>
    </row>
    <row r="61" spans="1:16" s="5" customFormat="1" x14ac:dyDescent="0.25">
      <c r="A61" s="2" t="str">
        <f>BMPs!C57</f>
        <v>STRE</v>
      </c>
      <c r="B61" s="2" t="str">
        <f>BMPs!D57</f>
        <v>Stream Restoration</v>
      </c>
      <c r="C61" s="250"/>
      <c r="D61" s="143">
        <f>+Scenarios!P58</f>
        <v>74400</v>
      </c>
      <c r="E61" s="228">
        <f>BMPs!E58</f>
        <v>0</v>
      </c>
      <c r="F61" s="118"/>
      <c r="G61" s="316">
        <f t="shared" si="10"/>
        <v>0</v>
      </c>
      <c r="K61" s="299"/>
      <c r="M61" s="301"/>
    </row>
    <row r="62" spans="1:16" s="5" customFormat="1" x14ac:dyDescent="0.25">
      <c r="A62" s="2" t="str">
        <f>BMPs!C58</f>
        <v>OUT</v>
      </c>
      <c r="B62" s="2" t="str">
        <f>BMPs!D58</f>
        <v>Outfall Stabilization</v>
      </c>
      <c r="C62" s="250"/>
      <c r="D62" s="143">
        <f>+Scenarios!P59</f>
        <v>0</v>
      </c>
      <c r="E62" s="228">
        <f>BMPs!E59</f>
        <v>0</v>
      </c>
      <c r="F62" s="118"/>
      <c r="G62" s="316">
        <f t="shared" si="10"/>
        <v>0</v>
      </c>
      <c r="H62" s="299"/>
      <c r="I62" s="299"/>
      <c r="J62" s="263"/>
      <c r="K62" s="300"/>
    </row>
    <row r="63" spans="1:16" s="5" customFormat="1" x14ac:dyDescent="0.25">
      <c r="A63" s="2" t="str">
        <f>BMPs!C59</f>
        <v>SHST</v>
      </c>
      <c r="B63" s="2" t="str">
        <f>BMPs!D59</f>
        <v>Shoreline Stabilization</v>
      </c>
      <c r="C63" s="250"/>
      <c r="D63" s="143">
        <f>+Scenarios!P60</f>
        <v>0</v>
      </c>
      <c r="E63" s="228">
        <f>BMPs!E60</f>
        <v>0</v>
      </c>
      <c r="F63" s="118"/>
      <c r="G63" s="316">
        <f t="shared" si="10"/>
        <v>0</v>
      </c>
      <c r="H63" s="299"/>
      <c r="I63" s="299"/>
      <c r="J63" s="263"/>
      <c r="K63" s="300"/>
    </row>
    <row r="64" spans="1:16" s="5" customFormat="1" x14ac:dyDescent="0.25">
      <c r="A64" s="2" t="str">
        <f>BMPs!C60</f>
        <v>SDV</v>
      </c>
      <c r="B64" s="2" t="str">
        <f>BMPs!D60</f>
        <v>Storm Drain Vacuuming</v>
      </c>
      <c r="C64" s="250"/>
      <c r="D64" s="143">
        <f>+Scenarios!P61</f>
        <v>0</v>
      </c>
      <c r="E64" s="228">
        <f>BMPs!E61</f>
        <v>0</v>
      </c>
      <c r="F64" s="118"/>
      <c r="G64" s="316">
        <f t="shared" si="10"/>
        <v>0</v>
      </c>
      <c r="H64" s="299"/>
      <c r="I64" s="299"/>
      <c r="J64" s="263"/>
      <c r="K64" s="300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0"/>
      <c r="D65" s="143">
        <f>+Scenarios!D62</f>
        <v>0</v>
      </c>
      <c r="E65" s="228">
        <f>BMPs!E63</f>
        <v>0</v>
      </c>
      <c r="F65" s="118"/>
      <c r="G65" s="316">
        <f t="shared" si="10"/>
        <v>0</v>
      </c>
      <c r="H65" s="299"/>
      <c r="I65" s="299"/>
      <c r="J65" s="263"/>
      <c r="K65" s="300"/>
    </row>
    <row r="66" spans="1:11" s="5" customFormat="1" x14ac:dyDescent="0.25">
      <c r="A66" s="2"/>
      <c r="B66" s="2"/>
      <c r="C66" s="283"/>
      <c r="E66" s="322"/>
      <c r="H66" s="299"/>
      <c r="I66" s="299"/>
      <c r="J66" s="263"/>
      <c r="K66" s="300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0"/>
      <c r="D67" s="143">
        <f>+Scenarios!P64</f>
        <v>0</v>
      </c>
      <c r="E67" s="320">
        <f>BMPs!E46</f>
        <v>0</v>
      </c>
      <c r="F67" s="118"/>
      <c r="G67" s="319">
        <f t="shared" si="10"/>
        <v>0</v>
      </c>
      <c r="H67" s="299"/>
      <c r="I67" s="299"/>
      <c r="J67" s="263"/>
      <c r="K67" s="300"/>
    </row>
    <row r="68" spans="1:11" s="5" customFormat="1" x14ac:dyDescent="0.25">
      <c r="A68" s="2"/>
      <c r="B68" s="2"/>
      <c r="C68" s="283"/>
      <c r="G68" s="318">
        <f>SUM(G55:G65)</f>
        <v>8100.2592885572749</v>
      </c>
      <c r="H68" s="299"/>
      <c r="I68" s="299"/>
      <c r="J68" s="263"/>
      <c r="K68" s="300"/>
    </row>
    <row r="69" spans="1:11" s="5" customFormat="1" x14ac:dyDescent="0.25">
      <c r="A69" s="2"/>
      <c r="B69" s="2"/>
      <c r="C69" s="283"/>
      <c r="G69" s="301"/>
      <c r="H69" s="299"/>
      <c r="I69" s="299"/>
      <c r="J69" s="263"/>
      <c r="K69" s="300"/>
    </row>
    <row r="70" spans="1:11" s="5" customFormat="1" x14ac:dyDescent="0.25">
      <c r="A70" s="2"/>
      <c r="B70" s="2"/>
      <c r="C70" s="283"/>
      <c r="G70" s="301"/>
      <c r="H70" s="299"/>
      <c r="I70" s="299"/>
      <c r="J70" s="263"/>
      <c r="K70" s="300"/>
    </row>
    <row r="71" spans="1:11" s="5" customFormat="1" x14ac:dyDescent="0.25">
      <c r="A71" s="339" t="str">
        <f>+Scenarios!A67</f>
        <v>Urban Downsizing to Forest</v>
      </c>
      <c r="B71" s="340"/>
      <c r="C71" s="377"/>
      <c r="D71" s="340"/>
      <c r="E71" s="340"/>
      <c r="F71" s="340"/>
      <c r="G71" s="340"/>
      <c r="H71" s="299"/>
      <c r="I71" s="299"/>
      <c r="J71" s="263"/>
      <c r="K71" s="300"/>
    </row>
    <row r="72" spans="1:11" s="354" customFormat="1" ht="45" x14ac:dyDescent="0.25">
      <c r="A72" s="286"/>
      <c r="B72" s="348" t="str">
        <f>+Scenarios!B68</f>
        <v>Land Use</v>
      </c>
      <c r="C72" s="349"/>
      <c r="D72" s="348" t="s">
        <v>527</v>
      </c>
      <c r="E72" s="317" t="s">
        <v>519</v>
      </c>
      <c r="F72" s="286"/>
      <c r="G72" s="350" t="s">
        <v>249</v>
      </c>
      <c r="H72" s="351"/>
      <c r="I72" s="351"/>
      <c r="J72" s="352"/>
      <c r="K72" s="353"/>
    </row>
    <row r="73" spans="1:11" s="5" customFormat="1" x14ac:dyDescent="0.25">
      <c r="A73" s="2"/>
      <c r="B73" s="2" t="str">
        <f>+Scenarios!B69</f>
        <v>Low Density Residential</v>
      </c>
      <c r="C73" s="283"/>
      <c r="D73" s="143">
        <f>+Scenarios!P69</f>
        <v>0</v>
      </c>
      <c r="E73" s="287">
        <f>+Loads!H2-Loads!$H$19</f>
        <v>68.660700212609868</v>
      </c>
      <c r="G73" s="316">
        <f t="shared" ref="G73:G83" si="11">+E73*D73</f>
        <v>0</v>
      </c>
      <c r="H73" s="299"/>
      <c r="I73" s="299"/>
      <c r="J73" s="263"/>
      <c r="K73" s="300"/>
    </row>
    <row r="74" spans="1:11" s="5" customFormat="1" x14ac:dyDescent="0.25">
      <c r="A74" s="2"/>
      <c r="B74" s="2" t="str">
        <f>+Scenarios!B70</f>
        <v>Medium Density Residential</v>
      </c>
      <c r="C74" s="283"/>
      <c r="D74" s="143">
        <f>+Scenarios!P70</f>
        <v>0</v>
      </c>
      <c r="E74" s="287">
        <f>+Loads!H3-Loads!$H$19</f>
        <v>100.88847921307709</v>
      </c>
      <c r="G74" s="316">
        <f t="shared" si="11"/>
        <v>0</v>
      </c>
      <c r="H74" s="299"/>
      <c r="I74" s="299"/>
      <c r="J74" s="263"/>
      <c r="K74" s="300"/>
    </row>
    <row r="75" spans="1:11" s="5" customFormat="1" x14ac:dyDescent="0.25">
      <c r="A75" s="2"/>
      <c r="B75" s="2" t="str">
        <f>+Scenarios!B71</f>
        <v>High Density Residential</v>
      </c>
      <c r="C75" s="283"/>
      <c r="D75" s="143">
        <f>+Scenarios!P71</f>
        <v>0</v>
      </c>
      <c r="E75" s="287">
        <f>+Loads!H4-Loads!$H$19</f>
        <v>149.49916747959102</v>
      </c>
      <c r="G75" s="316">
        <f t="shared" si="11"/>
        <v>0</v>
      </c>
      <c r="H75" s="299"/>
      <c r="I75" s="299"/>
      <c r="J75" s="263"/>
      <c r="K75" s="300"/>
    </row>
    <row r="76" spans="1:11" s="5" customFormat="1" x14ac:dyDescent="0.25">
      <c r="A76" s="2"/>
      <c r="B76" s="2" t="str">
        <f>+Scenarios!B72</f>
        <v>Commercial</v>
      </c>
      <c r="C76" s="283"/>
      <c r="D76" s="143">
        <f>+Scenarios!P72</f>
        <v>0</v>
      </c>
      <c r="E76" s="287">
        <f>+Loads!H5-Loads!$H$19</f>
        <v>64.020081100042603</v>
      </c>
      <c r="G76" s="316">
        <f t="shared" si="11"/>
        <v>0</v>
      </c>
      <c r="H76" s="299"/>
      <c r="I76" s="299"/>
      <c r="J76" s="263"/>
      <c r="K76" s="300"/>
    </row>
    <row r="77" spans="1:11" s="5" customFormat="1" x14ac:dyDescent="0.25">
      <c r="A77" s="2"/>
      <c r="B77" s="2" t="str">
        <f>+Scenarios!B73</f>
        <v>Industrial</v>
      </c>
      <c r="C77" s="283"/>
      <c r="D77" s="143">
        <f>+Scenarios!P73</f>
        <v>0</v>
      </c>
      <c r="E77" s="287">
        <f>+Loads!H6-Loads!$H$19</f>
        <v>25.594860292218563</v>
      </c>
      <c r="G77" s="316">
        <f t="shared" si="11"/>
        <v>0</v>
      </c>
      <c r="H77" s="299"/>
      <c r="I77" s="299"/>
      <c r="J77" s="263"/>
      <c r="K77" s="300"/>
    </row>
    <row r="78" spans="1:11" s="5" customFormat="1" x14ac:dyDescent="0.25">
      <c r="A78" s="2"/>
      <c r="B78" s="2" t="str">
        <f>+Scenarios!B74</f>
        <v>Institutional</v>
      </c>
      <c r="C78" s="283"/>
      <c r="D78" s="143">
        <f>+Scenarios!P74</f>
        <v>0</v>
      </c>
      <c r="E78" s="287">
        <f>+Loads!H7-Loads!$H$19</f>
        <v>45.401712210021337</v>
      </c>
      <c r="G78" s="316">
        <f t="shared" si="11"/>
        <v>0</v>
      </c>
      <c r="H78" s="299"/>
      <c r="I78" s="299"/>
      <c r="J78" s="263"/>
      <c r="K78" s="300"/>
    </row>
    <row r="79" spans="1:11" s="5" customFormat="1" x14ac:dyDescent="0.25">
      <c r="A79" s="2"/>
      <c r="B79" s="2" t="str">
        <f>+Scenarios!B75</f>
        <v>Extractive</v>
      </c>
      <c r="C79" s="283"/>
      <c r="D79" s="143">
        <f>+Scenarios!P75</f>
        <v>0</v>
      </c>
      <c r="E79" s="287"/>
      <c r="G79" s="316">
        <f t="shared" si="11"/>
        <v>0</v>
      </c>
      <c r="H79" s="299"/>
      <c r="I79" s="299"/>
      <c r="J79" s="263"/>
      <c r="K79" s="300"/>
    </row>
    <row r="80" spans="1:11" s="5" customFormat="1" x14ac:dyDescent="0.25">
      <c r="A80" s="2"/>
      <c r="B80" s="2" t="str">
        <f>+Scenarios!B76</f>
        <v>Open Urban Land</v>
      </c>
      <c r="C80" s="283"/>
      <c r="D80" s="143">
        <f>+Scenarios!P76</f>
        <v>0</v>
      </c>
      <c r="E80" s="287">
        <f>+Loads!H9-Loads!$H$19</f>
        <v>45.717937806050294</v>
      </c>
      <c r="G80" s="316">
        <f t="shared" si="11"/>
        <v>0</v>
      </c>
      <c r="H80" s="299"/>
      <c r="I80" s="299"/>
      <c r="J80" s="263"/>
      <c r="K80" s="300"/>
    </row>
    <row r="81" spans="1:16" s="5" customFormat="1" x14ac:dyDescent="0.25">
      <c r="A81" s="2"/>
      <c r="B81" s="2" t="str">
        <f>+Scenarios!B77</f>
        <v>Transportation</v>
      </c>
      <c r="C81" s="283"/>
      <c r="D81" s="143">
        <f>+Scenarios!P77</f>
        <v>0</v>
      </c>
      <c r="E81" s="287"/>
      <c r="G81" s="316">
        <f t="shared" si="11"/>
        <v>0</v>
      </c>
      <c r="H81" s="299"/>
      <c r="I81" s="299"/>
      <c r="J81" s="263"/>
      <c r="K81" s="300"/>
    </row>
    <row r="82" spans="1:16" s="5" customFormat="1" x14ac:dyDescent="0.25">
      <c r="A82" s="2"/>
      <c r="B82" s="2" t="str">
        <f>+Scenarios!B78</f>
        <v>Large Lot Subdivision (Ag)</v>
      </c>
      <c r="C82" s="283"/>
      <c r="D82" s="143">
        <f>+Scenarios!P78</f>
        <v>0</v>
      </c>
      <c r="E82" s="287">
        <f>+Loads!H11-Loads!$H$19</f>
        <v>40.684731019820568</v>
      </c>
      <c r="G82" s="316">
        <f t="shared" si="11"/>
        <v>0</v>
      </c>
      <c r="H82" s="299"/>
      <c r="I82" s="299"/>
      <c r="J82" s="263"/>
      <c r="K82" s="300"/>
    </row>
    <row r="83" spans="1:16" s="5" customFormat="1" x14ac:dyDescent="0.25">
      <c r="A83" s="2"/>
      <c r="B83" s="2" t="str">
        <f>+Scenarios!B79</f>
        <v>Large Lot Subdivision (Forest)</v>
      </c>
      <c r="C83" s="283"/>
      <c r="D83" s="143">
        <f>+Scenarios!P79</f>
        <v>0</v>
      </c>
      <c r="E83" s="287">
        <f>+Loads!H12-Loads!$H$19</f>
        <v>45.993956138060504</v>
      </c>
      <c r="G83" s="319">
        <f t="shared" si="11"/>
        <v>0</v>
      </c>
      <c r="H83" s="299"/>
      <c r="I83" s="299"/>
      <c r="J83" s="263"/>
      <c r="K83" s="300"/>
    </row>
    <row r="84" spans="1:16" s="5" customFormat="1" x14ac:dyDescent="0.25">
      <c r="B84" s="2"/>
      <c r="C84" s="283"/>
      <c r="G84" s="318">
        <f>SUM(G73:G83)</f>
        <v>0</v>
      </c>
      <c r="H84" s="299"/>
      <c r="I84" s="299"/>
      <c r="J84" s="263"/>
      <c r="K84" s="300"/>
    </row>
    <row r="85" spans="1:16" ht="15.75" x14ac:dyDescent="0.25">
      <c r="A85" s="158" t="s">
        <v>312</v>
      </c>
      <c r="D85" s="156"/>
      <c r="I85" s="7"/>
      <c r="J85" s="7"/>
      <c r="K85" s="104"/>
      <c r="L85" s="16"/>
      <c r="N85" s="2"/>
      <c r="O85" s="2"/>
      <c r="P85" s="2"/>
    </row>
    <row r="86" spans="1:16" s="6" customFormat="1" x14ac:dyDescent="0.25">
      <c r="A86"/>
      <c r="B86"/>
      <c r="I86" s="190"/>
      <c r="J86" s="190"/>
      <c r="K86" s="191"/>
      <c r="L86" s="192"/>
      <c r="N86" s="5"/>
      <c r="O86" s="5"/>
      <c r="P86" s="5"/>
    </row>
    <row r="87" spans="1:16" s="6" customFormat="1" x14ac:dyDescent="0.25">
      <c r="A87" s="159" t="s">
        <v>297</v>
      </c>
      <c r="B87" s="159"/>
      <c r="C87" s="160"/>
      <c r="D87" s="160"/>
      <c r="I87" s="190"/>
      <c r="J87" s="190"/>
      <c r="K87" s="191"/>
      <c r="L87" s="192"/>
      <c r="N87" s="5"/>
      <c r="O87" s="5"/>
      <c r="P87" s="5"/>
    </row>
    <row r="88" spans="1:16" s="6" customFormat="1" x14ac:dyDescent="0.25">
      <c r="A88"/>
      <c r="B88" t="s">
        <v>567</v>
      </c>
      <c r="C88"/>
      <c r="D88" s="33">
        <f>+SewageData!B34</f>
        <v>114557.44000000002</v>
      </c>
      <c r="I88" s="190"/>
      <c r="J88" s="190"/>
      <c r="K88" s="191"/>
      <c r="L88" s="192"/>
      <c r="N88" s="5"/>
      <c r="O88" s="5"/>
      <c r="P88" s="5"/>
    </row>
    <row r="89" spans="1:16" x14ac:dyDescent="0.25">
      <c r="B89" t="s">
        <v>234</v>
      </c>
      <c r="D89" s="20">
        <v>0.6</v>
      </c>
      <c r="E89" s="156"/>
      <c r="K89" s="104"/>
      <c r="L89" s="16"/>
      <c r="N89" s="2"/>
      <c r="O89" s="2"/>
      <c r="P89" s="2"/>
    </row>
    <row r="90" spans="1:16" x14ac:dyDescent="0.25">
      <c r="B90" t="s">
        <v>235</v>
      </c>
      <c r="D90" s="27">
        <f>Scenarios!P83</f>
        <v>0</v>
      </c>
      <c r="E90" s="156"/>
      <c r="K90" s="104"/>
      <c r="L90" s="16"/>
      <c r="N90" s="2"/>
      <c r="O90" s="2"/>
      <c r="P90" s="2"/>
    </row>
    <row r="91" spans="1:16" x14ac:dyDescent="0.25">
      <c r="B91" t="s">
        <v>249</v>
      </c>
      <c r="D91" s="33">
        <f>+D88*D89*D90</f>
        <v>0</v>
      </c>
      <c r="E91" s="156"/>
      <c r="K91" s="104"/>
      <c r="L91" s="16"/>
      <c r="N91" s="2"/>
      <c r="O91" s="2"/>
      <c r="P91" s="2"/>
    </row>
    <row r="92" spans="1:16" s="6" customFormat="1" ht="15.75" thickBot="1" x14ac:dyDescent="0.3">
      <c r="A92" s="193"/>
      <c r="B92" s="194"/>
      <c r="C92" s="194"/>
      <c r="D92" s="194"/>
      <c r="I92" s="190"/>
      <c r="J92" s="190"/>
      <c r="K92" s="191"/>
      <c r="L92" s="192"/>
      <c r="N92" s="5"/>
      <c r="O92" s="5"/>
      <c r="P92" s="5"/>
    </row>
    <row r="93" spans="1:16" ht="15.75" thickTop="1" x14ac:dyDescent="0.25">
      <c r="A93" s="159" t="s">
        <v>303</v>
      </c>
      <c r="B93" s="160"/>
      <c r="C93" s="160"/>
      <c r="D93" s="160"/>
      <c r="E93" s="156"/>
      <c r="K93" s="104"/>
      <c r="L93" s="16"/>
      <c r="N93" s="2"/>
      <c r="O93" s="2"/>
      <c r="P93" s="2"/>
    </row>
    <row r="94" spans="1:16" x14ac:dyDescent="0.25">
      <c r="A94" s="40"/>
      <c r="B94" s="5" t="s">
        <v>580</v>
      </c>
      <c r="C94" s="6"/>
      <c r="D94" s="430">
        <f>SewageData!B41</f>
        <v>1476468</v>
      </c>
      <c r="E94" s="156"/>
      <c r="K94" s="104"/>
      <c r="L94" s="16"/>
      <c r="N94" s="2"/>
      <c r="O94" s="2"/>
      <c r="P94" s="2"/>
    </row>
    <row r="95" spans="1:16" x14ac:dyDescent="0.25">
      <c r="B95" s="6" t="s">
        <v>468</v>
      </c>
      <c r="C95" s="156"/>
      <c r="D95" s="429">
        <f>Scenarios!P89</f>
        <v>0.75</v>
      </c>
      <c r="E95" s="156" t="s">
        <v>467</v>
      </c>
      <c r="K95" s="104"/>
      <c r="L95" s="16"/>
      <c r="N95" s="2"/>
      <c r="O95" s="2"/>
      <c r="P95" s="2"/>
    </row>
    <row r="96" spans="1:16" x14ac:dyDescent="0.25">
      <c r="B96" t="s">
        <v>317</v>
      </c>
      <c r="C96" s="156"/>
      <c r="D96" s="429">
        <f>Scenarios!P90</f>
        <v>0.4</v>
      </c>
      <c r="E96" s="156"/>
      <c r="F96" s="170" t="s">
        <v>469</v>
      </c>
      <c r="G96" s="170"/>
      <c r="K96" s="104"/>
      <c r="L96" s="16"/>
      <c r="N96" s="2"/>
      <c r="O96" s="2"/>
      <c r="P96" s="2"/>
    </row>
    <row r="97" spans="1:16" x14ac:dyDescent="0.25">
      <c r="B97" t="s">
        <v>471</v>
      </c>
      <c r="C97" s="156"/>
      <c r="D97" s="33">
        <f>SewageData!B41-(IF(Scenarios!P89+Scenarios!P90&gt;0, (SewageData!B41*Scenarios!P89*Scenarios!P90),0))</f>
        <v>1033527.6</v>
      </c>
      <c r="E97" s="156"/>
      <c r="F97" s="2"/>
      <c r="G97" s="2"/>
      <c r="K97" s="104"/>
      <c r="L97" s="16"/>
      <c r="N97" s="2"/>
      <c r="O97" s="2"/>
      <c r="P97" s="2"/>
    </row>
    <row r="98" spans="1:16" x14ac:dyDescent="0.25">
      <c r="B98" t="s">
        <v>249</v>
      </c>
      <c r="C98" s="167"/>
      <c r="D98" s="426">
        <f>D94-D97</f>
        <v>442940.4</v>
      </c>
      <c r="E98" s="156"/>
      <c r="F98" s="2"/>
      <c r="G98" s="2"/>
      <c r="K98" s="104"/>
      <c r="L98" s="16"/>
      <c r="N98" s="2"/>
      <c r="O98" s="2"/>
      <c r="P98" s="2"/>
    </row>
    <row r="99" spans="1:16" x14ac:dyDescent="0.25">
      <c r="A99" s="159" t="s">
        <v>313</v>
      </c>
      <c r="B99" s="160"/>
      <c r="C99" s="160"/>
      <c r="D99" s="160"/>
      <c r="E99" s="156"/>
      <c r="K99" s="104"/>
      <c r="L99" s="16"/>
      <c r="N99" s="2"/>
      <c r="O99" s="2"/>
      <c r="P99" s="2"/>
    </row>
    <row r="100" spans="1:16" x14ac:dyDescent="0.25">
      <c r="A100" s="40"/>
      <c r="B100" s="5" t="s">
        <v>488</v>
      </c>
      <c r="C100" s="6"/>
      <c r="D100" s="430">
        <f>SewageData!B8*(1-Scenarios!O144/MAX(SewageData!B9,0.001))</f>
        <v>291544596</v>
      </c>
      <c r="E100" s="156"/>
      <c r="K100" s="104"/>
      <c r="L100" s="16"/>
      <c r="N100" s="2"/>
      <c r="O100" s="2"/>
      <c r="P100" s="2"/>
    </row>
    <row r="101" spans="1:16" x14ac:dyDescent="0.25">
      <c r="A101" s="40"/>
      <c r="B101" s="5" t="s">
        <v>489</v>
      </c>
      <c r="C101" s="6"/>
      <c r="D101" s="211">
        <f>(SewageData!B9*SewageData!B14-Scenarios!O144*Scenarios!O145)*(1-IF(Scenarios!O130="yes",Scenarios!O131*Scenarios!O132,0))*(1-IF(Scenarios!O134="yes",Scenarios!O135*Scenarios!O136,0))*(1-IF(Scenarios!O138="yes",Scenarios!O139*Scenarios!O140,0))/MAX((SewageData!B9-Scenarios!O144),0.001)</f>
        <v>0.19999999999999998</v>
      </c>
      <c r="E101" s="156"/>
      <c r="K101" s="104"/>
      <c r="L101" s="16"/>
      <c r="N101" s="2"/>
      <c r="O101" s="2"/>
      <c r="P101" s="2"/>
    </row>
    <row r="102" spans="1:16" x14ac:dyDescent="0.25">
      <c r="A102" s="40"/>
      <c r="B102" t="s">
        <v>331</v>
      </c>
      <c r="C102" s="6"/>
      <c r="D102" s="211">
        <f>(SewageData!B9*SewageData!B12-Scenarios!O144*Scenarios!O146)/MAX(SewageData!B9-Scenarios!O146,0.001)</f>
        <v>4.8311339745023482E-2</v>
      </c>
      <c r="E102" s="172" t="s">
        <v>490</v>
      </c>
      <c r="K102" s="104"/>
      <c r="L102" s="16"/>
      <c r="N102" s="2"/>
      <c r="O102" s="2"/>
      <c r="P102" s="2"/>
    </row>
    <row r="103" spans="1:16" x14ac:dyDescent="0.25">
      <c r="B103" t="s">
        <v>471</v>
      </c>
      <c r="D103" s="412">
        <f>(D100*D101*(SewageData!B16*(1-D102)*SewageData!B17+SewageData!B15*D102*SewageData!B18))</f>
        <v>421699.59792708559</v>
      </c>
      <c r="E103" s="156" t="s">
        <v>483</v>
      </c>
      <c r="I103" s="16"/>
      <c r="K103" s="104"/>
      <c r="L103" s="16"/>
      <c r="N103" s="2"/>
      <c r="O103" s="2"/>
      <c r="P103" s="2"/>
    </row>
    <row r="104" spans="1:16" x14ac:dyDescent="0.25">
      <c r="B104" t="s">
        <v>249</v>
      </c>
      <c r="D104" s="412">
        <f>SewageData!B19-D103</f>
        <v>-16.254727085586637</v>
      </c>
      <c r="E104" s="156"/>
      <c r="I104" s="16"/>
      <c r="K104" s="104"/>
      <c r="L104" s="16"/>
      <c r="N104" s="2"/>
      <c r="O104" s="2"/>
      <c r="P104" s="2"/>
    </row>
    <row r="105" spans="1:16" x14ac:dyDescent="0.25">
      <c r="A105" s="159" t="s">
        <v>306</v>
      </c>
      <c r="B105" s="159"/>
      <c r="C105" s="160"/>
      <c r="D105" s="160"/>
      <c r="E105" s="156"/>
      <c r="K105" s="104"/>
      <c r="L105" s="16"/>
      <c r="N105" s="2"/>
      <c r="O105" s="2"/>
      <c r="P105" s="2"/>
    </row>
    <row r="106" spans="1:16" x14ac:dyDescent="0.25">
      <c r="A106" s="159"/>
      <c r="B106" s="421" t="s">
        <v>578</v>
      </c>
      <c r="C106" s="160"/>
      <c r="D106" s="208">
        <f>SewageData!B76</f>
        <v>672243.05700000003</v>
      </c>
      <c r="E106" s="156"/>
      <c r="K106" s="104"/>
      <c r="L106" s="16"/>
      <c r="N106" s="2"/>
      <c r="O106" s="2"/>
      <c r="P106" s="2"/>
    </row>
    <row r="107" spans="1:16" x14ac:dyDescent="0.25">
      <c r="A107" s="186"/>
      <c r="B107" s="160" t="s">
        <v>464</v>
      </c>
      <c r="C107" s="160"/>
      <c r="D107" s="197"/>
      <c r="E107" s="156"/>
      <c r="F107" s="5"/>
      <c r="G107" s="5"/>
      <c r="K107" s="104"/>
      <c r="L107" s="16"/>
      <c r="N107" s="2"/>
      <c r="O107" s="2"/>
      <c r="P107" s="2"/>
    </row>
    <row r="108" spans="1:16" x14ac:dyDescent="0.25">
      <c r="A108" s="160"/>
      <c r="B108" s="160" t="s">
        <v>318</v>
      </c>
      <c r="C108" s="167"/>
      <c r="D108" s="196"/>
      <c r="E108" s="156"/>
      <c r="F108" s="170" t="s">
        <v>470</v>
      </c>
      <c r="G108" s="170"/>
      <c r="K108" s="104"/>
      <c r="L108" s="16"/>
      <c r="N108" s="2"/>
      <c r="O108" s="2"/>
      <c r="P108" s="2"/>
    </row>
    <row r="109" spans="1:16" x14ac:dyDescent="0.25">
      <c r="A109" s="160"/>
      <c r="B109" s="160" t="s">
        <v>471</v>
      </c>
      <c r="C109" s="167"/>
      <c r="D109" s="426">
        <f>SewageData!B76-IF((Scenarios!P93*Scenarios!P92)&gt;0,(SewageData!B76*Scenarios!P93*Scenarios!P92),0)</f>
        <v>336121.52850000001</v>
      </c>
      <c r="E109" s="156" t="s">
        <v>466</v>
      </c>
      <c r="F109" s="170" t="s">
        <v>465</v>
      </c>
      <c r="G109" s="170"/>
      <c r="K109" s="104"/>
      <c r="L109" s="16"/>
      <c r="N109" s="2"/>
      <c r="O109" s="2"/>
      <c r="P109" s="2"/>
    </row>
    <row r="110" spans="1:16" x14ac:dyDescent="0.25">
      <c r="A110" s="160"/>
      <c r="B110" t="s">
        <v>249</v>
      </c>
      <c r="C110" s="167"/>
      <c r="D110" s="426">
        <f>D106-D109</f>
        <v>336121.52850000001</v>
      </c>
      <c r="E110" s="156"/>
      <c r="F110" s="170"/>
      <c r="G110" s="170"/>
      <c r="K110" s="104"/>
      <c r="L110" s="16"/>
      <c r="N110" s="2"/>
      <c r="O110" s="2"/>
      <c r="P110" s="2"/>
    </row>
    <row r="111" spans="1:16" x14ac:dyDescent="0.25">
      <c r="A111" s="159" t="s">
        <v>307</v>
      </c>
      <c r="B111" s="159"/>
      <c r="C111" s="160"/>
      <c r="D111" s="160"/>
      <c r="E111" s="156"/>
      <c r="K111" s="104"/>
      <c r="L111" s="16"/>
      <c r="N111" s="2"/>
      <c r="O111" s="2"/>
      <c r="P111" s="2"/>
    </row>
    <row r="112" spans="1:16" ht="15.75" thickBot="1" x14ac:dyDescent="0.3">
      <c r="A112" s="5"/>
      <c r="B112" s="160" t="s">
        <v>449</v>
      </c>
      <c r="C112" s="167"/>
      <c r="D112" s="279">
        <f>Scenarios!S125</f>
        <v>0</v>
      </c>
      <c r="E112" s="156"/>
      <c r="K112" s="104"/>
      <c r="L112" s="16"/>
      <c r="N112" s="2"/>
      <c r="O112" s="2"/>
      <c r="P112" s="2"/>
    </row>
    <row r="113" spans="1:15" s="6" customFormat="1" ht="16.5" thickTop="1" thickBot="1" x14ac:dyDescent="0.3">
      <c r="A113" s="442"/>
      <c r="B113" s="440" t="s">
        <v>581</v>
      </c>
      <c r="C113" s="406"/>
      <c r="D113" s="441">
        <f>+D92+D98+D104+D110+D112</f>
        <v>779045.67377291445</v>
      </c>
      <c r="E113" s="210"/>
      <c r="H113" s="190"/>
      <c r="I113" s="190"/>
      <c r="J113" s="191"/>
      <c r="K113" s="192"/>
      <c r="M113" s="5"/>
      <c r="N113" s="5"/>
      <c r="O113" s="5"/>
    </row>
    <row r="114" spans="1:15" ht="15.75" thickTop="1" x14ac:dyDescent="0.25">
      <c r="A114" s="5"/>
      <c r="B114" s="5"/>
      <c r="C114" s="5"/>
      <c r="D114" s="5"/>
    </row>
    <row r="115" spans="1:15" x14ac:dyDescent="0.25">
      <c r="A115" s="5"/>
      <c r="B115" s="5"/>
      <c r="C115" s="5"/>
      <c r="D115" s="5"/>
    </row>
    <row r="116" spans="1:15" x14ac:dyDescent="0.25">
      <c r="A116" s="5"/>
      <c r="B116" s="5"/>
      <c r="C116" s="5"/>
      <c r="D116" s="5"/>
    </row>
  </sheetData>
  <mergeCells count="2">
    <mergeCell ref="K1:R1"/>
    <mergeCell ref="T1:X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CCCCFF"/>
    <pageSetUpPr fitToPage="1"/>
  </sheetPr>
  <dimension ref="A1:M103"/>
  <sheetViews>
    <sheetView zoomScaleNormal="100" workbookViewId="0">
      <selection activeCell="C47" sqref="C47"/>
    </sheetView>
  </sheetViews>
  <sheetFormatPr defaultRowHeight="15" x14ac:dyDescent="0.25"/>
  <cols>
    <col min="1" max="1" width="39" customWidth="1"/>
    <col min="2" max="2" width="18.42578125" customWidth="1"/>
    <col min="3" max="3" width="18.140625" bestFit="1" customWidth="1"/>
    <col min="5" max="7" width="12.7109375" style="7" customWidth="1"/>
    <col min="8" max="8" width="10.42578125" bestFit="1" customWidth="1"/>
    <col min="11" max="13" width="10.85546875" style="7" customWidth="1"/>
  </cols>
  <sheetData>
    <row r="1" spans="1:9" x14ac:dyDescent="0.25">
      <c r="A1" s="50" t="s">
        <v>197</v>
      </c>
      <c r="B1" s="51"/>
      <c r="C1" s="51"/>
    </row>
    <row r="2" spans="1:9" x14ac:dyDescent="0.25">
      <c r="A2" s="52" t="s">
        <v>198</v>
      </c>
      <c r="B2" s="52" t="s">
        <v>286</v>
      </c>
      <c r="C2" s="52"/>
    </row>
    <row r="3" spans="1:9" x14ac:dyDescent="0.25">
      <c r="A3" s="53" t="s">
        <v>199</v>
      </c>
      <c r="B3" s="54">
        <v>40150</v>
      </c>
      <c r="C3" s="53"/>
    </row>
    <row r="4" spans="1:9" x14ac:dyDescent="0.25">
      <c r="A4" s="53" t="s">
        <v>200</v>
      </c>
      <c r="B4" s="497">
        <v>2004</v>
      </c>
      <c r="C4" s="53"/>
      <c r="D4" s="6"/>
      <c r="E4" s="190"/>
      <c r="F4" s="190"/>
      <c r="G4" s="190"/>
      <c r="H4" s="6"/>
      <c r="I4" s="6"/>
    </row>
    <row r="5" spans="1:9" x14ac:dyDescent="0.25">
      <c r="A5" s="55" t="s">
        <v>201</v>
      </c>
      <c r="B5" s="55">
        <v>2002</v>
      </c>
      <c r="C5" s="55"/>
      <c r="D5" s="6"/>
      <c r="E5" s="190"/>
      <c r="F5" s="190"/>
      <c r="G5" s="190"/>
      <c r="H5" s="6"/>
      <c r="I5" s="6"/>
    </row>
    <row r="6" spans="1:9" x14ac:dyDescent="0.25">
      <c r="A6" s="128" t="s">
        <v>202</v>
      </c>
      <c r="B6" s="129" t="s">
        <v>288</v>
      </c>
      <c r="C6" s="129" t="s">
        <v>289</v>
      </c>
      <c r="D6" s="366"/>
      <c r="E6" s="366"/>
      <c r="F6" s="366"/>
      <c r="G6" s="366"/>
      <c r="H6" s="366"/>
      <c r="I6" s="6"/>
    </row>
    <row r="7" spans="1:9" x14ac:dyDescent="0.25">
      <c r="A7" s="52" t="s">
        <v>204</v>
      </c>
      <c r="B7" s="130">
        <v>183893</v>
      </c>
      <c r="C7" s="130">
        <v>183893</v>
      </c>
      <c r="D7" s="367"/>
      <c r="E7" s="147"/>
      <c r="F7" s="147"/>
      <c r="G7" s="146"/>
      <c r="H7" s="236"/>
      <c r="I7" s="6"/>
    </row>
    <row r="8" spans="1:9" x14ac:dyDescent="0.25">
      <c r="A8" s="131" t="s">
        <v>205</v>
      </c>
      <c r="B8" s="450">
        <v>0.92500000000000004</v>
      </c>
      <c r="C8" s="450">
        <v>0.76060000000000005</v>
      </c>
      <c r="D8" s="368"/>
      <c r="E8" s="368"/>
      <c r="F8" s="368"/>
      <c r="G8" s="368"/>
      <c r="H8" s="368"/>
      <c r="I8" s="6"/>
    </row>
    <row r="9" spans="1:9" x14ac:dyDescent="0.25">
      <c r="A9" s="133" t="s">
        <v>537</v>
      </c>
      <c r="B9" s="135">
        <v>0.49</v>
      </c>
      <c r="C9" s="135">
        <v>0.49</v>
      </c>
      <c r="D9" s="135"/>
      <c r="E9" s="376"/>
      <c r="F9" s="376"/>
      <c r="G9" s="376"/>
      <c r="H9" s="135"/>
      <c r="I9" s="6"/>
    </row>
    <row r="10" spans="1:9" x14ac:dyDescent="0.25">
      <c r="A10" s="131" t="s">
        <v>538</v>
      </c>
      <c r="B10" s="132">
        <f>+B9*B8</f>
        <v>0.45324999999999999</v>
      </c>
      <c r="C10" s="132">
        <f>+C9*C8</f>
        <v>0.37269400000000003</v>
      </c>
      <c r="D10" s="135"/>
      <c r="E10" s="376"/>
      <c r="F10" s="376"/>
      <c r="G10" s="376"/>
      <c r="H10" s="135"/>
      <c r="I10" s="6"/>
    </row>
    <row r="11" spans="1:9" x14ac:dyDescent="0.25">
      <c r="A11" s="133" t="s">
        <v>551</v>
      </c>
      <c r="B11" s="134">
        <f>+C49</f>
        <v>4683099.4717621328</v>
      </c>
      <c r="C11" s="134">
        <f>+C49</f>
        <v>4683099.4717621328</v>
      </c>
      <c r="D11" s="135"/>
      <c r="E11" s="376"/>
      <c r="F11" s="376"/>
      <c r="G11" s="376"/>
      <c r="H11" s="135"/>
      <c r="I11" s="6"/>
    </row>
    <row r="12" spans="1:9" x14ac:dyDescent="0.25">
      <c r="A12" s="133" t="s">
        <v>539</v>
      </c>
      <c r="B12" s="134">
        <f>+(1-B10)*B11</f>
        <v>2560484.6361859464</v>
      </c>
      <c r="C12" s="134"/>
      <c r="D12" s="135"/>
      <c r="E12" s="376"/>
      <c r="F12" s="376"/>
      <c r="G12" s="376"/>
      <c r="H12" s="135"/>
      <c r="I12" s="6"/>
    </row>
    <row r="13" spans="1:9" x14ac:dyDescent="0.25">
      <c r="A13" s="133" t="s">
        <v>540</v>
      </c>
      <c r="B13" s="134"/>
      <c r="C13" s="134">
        <f>+(1-C10)*C11</f>
        <v>2937736.3972332161</v>
      </c>
      <c r="D13" s="135"/>
      <c r="E13" s="376"/>
      <c r="F13" s="376"/>
      <c r="G13" s="376"/>
      <c r="H13" s="135"/>
      <c r="I13" s="6"/>
    </row>
    <row r="14" spans="1:9" x14ac:dyDescent="0.25">
      <c r="A14" s="133" t="s">
        <v>541</v>
      </c>
      <c r="B14" s="134">
        <f>+B11-B12</f>
        <v>2122614.8355761864</v>
      </c>
      <c r="C14" s="134">
        <f>+C11-C13</f>
        <v>1745363.0745289167</v>
      </c>
      <c r="D14" s="135"/>
      <c r="E14" s="376"/>
      <c r="F14" s="376"/>
      <c r="G14" s="376"/>
      <c r="H14" s="135"/>
      <c r="I14" s="6"/>
    </row>
    <row r="15" spans="1:9" x14ac:dyDescent="0.25">
      <c r="A15" s="133" t="s">
        <v>542</v>
      </c>
      <c r="B15" s="134">
        <f>+C63</f>
        <v>2082823.3460940742</v>
      </c>
      <c r="C15" s="134">
        <f>+C63</f>
        <v>2082823.3460940742</v>
      </c>
      <c r="D15" s="135"/>
      <c r="E15" s="376"/>
      <c r="F15" s="376"/>
      <c r="G15" s="376"/>
      <c r="H15" s="135"/>
    </row>
    <row r="16" spans="1:9" x14ac:dyDescent="0.25">
      <c r="A16" s="58" t="s">
        <v>287</v>
      </c>
      <c r="B16" s="135">
        <f>+B15/B11</f>
        <v>0.44475317226400063</v>
      </c>
      <c r="C16" s="135">
        <f>+C15/C11</f>
        <v>0.44475317226400063</v>
      </c>
      <c r="H16" s="136"/>
      <c r="I16" s="156"/>
    </row>
    <row r="17" spans="1:8" x14ac:dyDescent="0.25">
      <c r="A17" s="53" t="s">
        <v>290</v>
      </c>
      <c r="B17" s="135">
        <f>+B15/B14</f>
        <v>0.98125355160286964</v>
      </c>
      <c r="C17" s="135">
        <f>+C15/C14</f>
        <v>1.1933467462958902</v>
      </c>
      <c r="H17" s="137"/>
    </row>
    <row r="18" spans="1:8" x14ac:dyDescent="0.25">
      <c r="H18" s="236"/>
    </row>
    <row r="19" spans="1:8" x14ac:dyDescent="0.25">
      <c r="H19" s="235"/>
    </row>
    <row r="20" spans="1:8" x14ac:dyDescent="0.25">
      <c r="A20" s="50" t="s">
        <v>206</v>
      </c>
      <c r="B20" s="50"/>
      <c r="C20" s="50"/>
    </row>
    <row r="21" spans="1:8" x14ac:dyDescent="0.25">
      <c r="A21" s="53"/>
      <c r="B21" s="59"/>
      <c r="C21" s="53"/>
    </row>
    <row r="22" spans="1:8" x14ac:dyDescent="0.25">
      <c r="A22" s="60" t="s">
        <v>208</v>
      </c>
      <c r="B22" s="60"/>
      <c r="C22" s="60"/>
    </row>
    <row r="23" spans="1:8" x14ac:dyDescent="0.25">
      <c r="A23" s="53" t="s">
        <v>209</v>
      </c>
      <c r="C23" s="130">
        <f>+Loads!I29</f>
        <v>2352732.5334874382</v>
      </c>
    </row>
    <row r="24" spans="1:8" x14ac:dyDescent="0.25">
      <c r="A24" s="53" t="s">
        <v>19</v>
      </c>
      <c r="C24" s="56">
        <f>+Loads!I30</f>
        <v>0</v>
      </c>
    </row>
    <row r="25" spans="1:8" x14ac:dyDescent="0.25">
      <c r="A25" s="53" t="s">
        <v>210</v>
      </c>
      <c r="C25" s="56">
        <f>+Loads!I31</f>
        <v>47268</v>
      </c>
    </row>
    <row r="26" spans="1:8" x14ac:dyDescent="0.25">
      <c r="A26" s="53" t="s">
        <v>211</v>
      </c>
      <c r="C26" s="56">
        <f>+Loads!I32</f>
        <v>0</v>
      </c>
    </row>
    <row r="27" spans="1:8" x14ac:dyDescent="0.25">
      <c r="A27" s="53" t="s">
        <v>56</v>
      </c>
      <c r="C27" s="236">
        <f>+Loads!I33</f>
        <v>0</v>
      </c>
    </row>
    <row r="28" spans="1:8" x14ac:dyDescent="0.25">
      <c r="B28" s="59" t="s">
        <v>207</v>
      </c>
      <c r="C28" s="147">
        <f>SUM(C23:C27)</f>
        <v>2400000.5334874382</v>
      </c>
    </row>
    <row r="29" spans="1:8" x14ac:dyDescent="0.25">
      <c r="B29" s="59"/>
      <c r="C29" s="61"/>
    </row>
    <row r="30" spans="1:8" x14ac:dyDescent="0.25">
      <c r="A30" s="60" t="s">
        <v>295</v>
      </c>
      <c r="B30" s="62"/>
      <c r="C30" s="62"/>
    </row>
    <row r="31" spans="1:8" x14ac:dyDescent="0.25">
      <c r="A31" s="52" t="str">
        <f>+Loads!A37</f>
        <v>SSO</v>
      </c>
      <c r="B31" s="130"/>
      <c r="C31" s="130">
        <f>+Loads!I37</f>
        <v>1476468</v>
      </c>
    </row>
    <row r="32" spans="1:8" x14ac:dyDescent="0.25">
      <c r="A32" s="52" t="str">
        <f>Loads!A38</f>
        <v>Channel Erosion</v>
      </c>
      <c r="B32" s="56"/>
      <c r="C32" s="130">
        <f>+Loads!I38</f>
        <v>0</v>
      </c>
    </row>
    <row r="33" spans="1:6" x14ac:dyDescent="0.25">
      <c r="A33" s="52" t="str">
        <f>+Loads!A39</f>
        <v>OSDS</v>
      </c>
      <c r="B33" s="56"/>
      <c r="C33" s="130">
        <f>+Loads!I39</f>
        <v>421683.3432</v>
      </c>
    </row>
    <row r="34" spans="1:6" x14ac:dyDescent="0.25">
      <c r="A34" s="52" t="str">
        <f>+Loads!A40</f>
        <v>Illicit Connections</v>
      </c>
      <c r="B34" s="56"/>
      <c r="C34" s="130">
        <f>+Loads!I40</f>
        <v>672243.05700000003</v>
      </c>
    </row>
    <row r="35" spans="1:6" x14ac:dyDescent="0.25">
      <c r="A35" s="52" t="str">
        <f>+Loads!A41</f>
        <v>Point Sources</v>
      </c>
      <c r="B35" s="56"/>
      <c r="C35" s="130">
        <f>+Loads!I41</f>
        <v>0</v>
      </c>
    </row>
    <row r="36" spans="1:6" x14ac:dyDescent="0.25">
      <c r="A36" s="53"/>
      <c r="B36" s="56"/>
      <c r="C36" s="56"/>
    </row>
    <row r="37" spans="1:6" ht="15.75" thickBot="1" x14ac:dyDescent="0.3">
      <c r="A37" s="59" t="s">
        <v>207</v>
      </c>
      <c r="B37" s="145"/>
      <c r="C37" s="145">
        <f>SUM(C31:C36)</f>
        <v>2570394.4002</v>
      </c>
    </row>
    <row r="38" spans="1:6" ht="15.75" thickTop="1" x14ac:dyDescent="0.25">
      <c r="A38" s="59" t="s">
        <v>296</v>
      </c>
      <c r="B38" s="56"/>
      <c r="C38" s="56">
        <f>+C37+C28</f>
        <v>4970394.9336874383</v>
      </c>
      <c r="F38" s="382"/>
    </row>
    <row r="39" spans="1:6" x14ac:dyDescent="0.25">
      <c r="B39" s="59"/>
      <c r="C39" s="61"/>
    </row>
    <row r="40" spans="1:6" x14ac:dyDescent="0.25">
      <c r="A40" s="229" t="s">
        <v>543</v>
      </c>
      <c r="B40" s="230"/>
      <c r="C40" s="230" t="s">
        <v>494</v>
      </c>
    </row>
    <row r="41" spans="1:6" x14ac:dyDescent="0.25">
      <c r="A41" s="231" t="s">
        <v>544</v>
      </c>
      <c r="B41" s="232"/>
      <c r="C41" s="232">
        <f>+Baseline!G52</f>
        <v>287295.43424365547</v>
      </c>
    </row>
    <row r="42" spans="1:6" x14ac:dyDescent="0.25">
      <c r="A42" t="s">
        <v>298</v>
      </c>
      <c r="C42" s="64">
        <v>0</v>
      </c>
      <c r="D42" t="s">
        <v>549</v>
      </c>
    </row>
    <row r="43" spans="1:6" x14ac:dyDescent="0.25">
      <c r="A43" s="231" t="s">
        <v>545</v>
      </c>
      <c r="B43" s="232"/>
      <c r="C43" s="232">
        <f>+Baseline!G68</f>
        <v>0</v>
      </c>
    </row>
    <row r="44" spans="1:6" x14ac:dyDescent="0.25">
      <c r="A44" t="s">
        <v>546</v>
      </c>
      <c r="C44" s="64">
        <f>+Baseline!M52</f>
        <v>2.7681649771422127E-2</v>
      </c>
    </row>
    <row r="45" spans="1:6" x14ac:dyDescent="0.25">
      <c r="A45" s="126" t="s">
        <v>550</v>
      </c>
      <c r="C45" s="64">
        <f>Baseline!D113</f>
        <v>0</v>
      </c>
    </row>
    <row r="46" spans="1:6" x14ac:dyDescent="0.25">
      <c r="C46" s="64"/>
    </row>
    <row r="47" spans="1:6" x14ac:dyDescent="0.25">
      <c r="A47" s="59"/>
      <c r="B47" s="59" t="s">
        <v>299</v>
      </c>
      <c r="C47" s="148">
        <f>SUM(C41:C45)</f>
        <v>287295.46192530525</v>
      </c>
    </row>
    <row r="48" spans="1:6" ht="15.75" thickBot="1" x14ac:dyDescent="0.3">
      <c r="A48" s="59"/>
      <c r="B48" s="149"/>
      <c r="C48" s="149"/>
    </row>
    <row r="49" spans="1:13" ht="15.75" thickTop="1" x14ac:dyDescent="0.25">
      <c r="A49" s="59" t="s">
        <v>300</v>
      </c>
      <c r="B49" s="146"/>
      <c r="C49" s="146">
        <f>+C38-C47</f>
        <v>4683099.4717621328</v>
      </c>
    </row>
    <row r="50" spans="1:13" x14ac:dyDescent="0.25">
      <c r="A50" s="59" t="s">
        <v>547</v>
      </c>
      <c r="B50" s="150"/>
      <c r="C50" s="150">
        <f>+C47/C38</f>
        <v>5.7801334855330379E-2</v>
      </c>
    </row>
    <row r="51" spans="1:13" x14ac:dyDescent="0.25">
      <c r="A51" s="231"/>
      <c r="B51" s="232"/>
      <c r="C51" s="232"/>
    </row>
    <row r="52" spans="1:13" x14ac:dyDescent="0.25">
      <c r="A52" s="229" t="s">
        <v>495</v>
      </c>
      <c r="B52" s="230" t="s">
        <v>496</v>
      </c>
      <c r="C52" s="230" t="s">
        <v>494</v>
      </c>
    </row>
    <row r="53" spans="1:13" x14ac:dyDescent="0.25">
      <c r="A53" s="233" t="s">
        <v>496</v>
      </c>
      <c r="B53" s="234">
        <f>+B10</f>
        <v>0.45324999999999999</v>
      </c>
      <c r="C53" s="234">
        <f>+C10</f>
        <v>0.37269400000000003</v>
      </c>
    </row>
    <row r="54" spans="1:13" x14ac:dyDescent="0.25">
      <c r="A54" s="233" t="s">
        <v>548</v>
      </c>
      <c r="B54" s="370">
        <f>+B53*C49</f>
        <v>2122614.8355761864</v>
      </c>
      <c r="C54" s="370">
        <f>+C53*C49</f>
        <v>1745363.0745289165</v>
      </c>
    </row>
    <row r="55" spans="1:13" x14ac:dyDescent="0.25">
      <c r="A55" s="233"/>
      <c r="B55" s="234"/>
      <c r="C55" s="56"/>
    </row>
    <row r="56" spans="1:13" s="53" customFormat="1" x14ac:dyDescent="0.25">
      <c r="A56" s="59"/>
      <c r="B56" s="61"/>
      <c r="C56" s="56"/>
      <c r="E56" s="59"/>
      <c r="F56" s="59"/>
      <c r="G56" s="59"/>
      <c r="K56" s="59"/>
      <c r="L56" s="59"/>
      <c r="M56" s="59"/>
    </row>
    <row r="57" spans="1:13" s="53" customFormat="1" x14ac:dyDescent="0.25">
      <c r="A57" s="60"/>
      <c r="B57" s="519" t="s">
        <v>278</v>
      </c>
      <c r="C57" s="519"/>
      <c r="E57" s="59"/>
      <c r="F57" s="59"/>
      <c r="G57" s="59"/>
      <c r="K57" s="59"/>
      <c r="L57" s="59"/>
      <c r="M57" s="59"/>
    </row>
    <row r="58" spans="1:13" s="53" customFormat="1" x14ac:dyDescent="0.25">
      <c r="A58" s="60" t="s">
        <v>279</v>
      </c>
      <c r="B58" s="62" t="s">
        <v>280</v>
      </c>
      <c r="C58" s="230" t="s">
        <v>281</v>
      </c>
      <c r="E58" s="59"/>
      <c r="F58" s="444"/>
      <c r="G58" s="444"/>
      <c r="K58" s="59"/>
      <c r="L58" s="59"/>
      <c r="M58" s="59"/>
    </row>
    <row r="59" spans="1:13" s="53" customFormat="1" x14ac:dyDescent="0.25">
      <c r="A59" s="53" t="s">
        <v>302</v>
      </c>
      <c r="B59" s="56">
        <f>+'Summary-Reductions'!C37</f>
        <v>4496.8681074674914</v>
      </c>
      <c r="C59" s="56"/>
      <c r="E59" s="59"/>
      <c r="F59" s="445"/>
      <c r="G59" s="445"/>
      <c r="K59" s="59"/>
      <c r="L59" s="59"/>
      <c r="M59" s="59"/>
    </row>
    <row r="60" spans="1:13" s="53" customFormat="1" x14ac:dyDescent="0.25">
      <c r="A60" s="53" t="s">
        <v>283</v>
      </c>
      <c r="B60" s="56">
        <f>+'Summary-Reductions'!D37</f>
        <v>158392.9060728288</v>
      </c>
      <c r="C60" s="56">
        <f>C59+B60</f>
        <v>158392.9060728288</v>
      </c>
      <c r="E60" s="59"/>
      <c r="F60" s="445"/>
      <c r="G60" s="445"/>
      <c r="K60" s="59"/>
      <c r="L60" s="59"/>
      <c r="M60" s="59"/>
    </row>
    <row r="61" spans="1:13" s="53" customFormat="1" x14ac:dyDescent="0.25">
      <c r="A61" s="53" t="s">
        <v>282</v>
      </c>
      <c r="B61" s="56">
        <f>+'Summary-Reductions'!E37</f>
        <v>139769.10076407474</v>
      </c>
      <c r="C61" s="56">
        <f>C60+B61</f>
        <v>298162.00683690351</v>
      </c>
      <c r="E61" s="59"/>
      <c r="F61" s="445"/>
      <c r="G61" s="445"/>
      <c r="K61" s="59"/>
      <c r="L61" s="59"/>
      <c r="M61" s="59"/>
    </row>
    <row r="62" spans="1:13" s="53" customFormat="1" x14ac:dyDescent="0.25">
      <c r="A62" s="53" t="s">
        <v>284</v>
      </c>
      <c r="B62" s="56">
        <f>+'Summary-Reductions'!F37</f>
        <v>762982.16416155186</v>
      </c>
      <c r="C62" s="56">
        <f>C61+B62</f>
        <v>1061144.1709984555</v>
      </c>
      <c r="E62" s="59"/>
      <c r="F62" s="445"/>
      <c r="G62" s="445"/>
      <c r="K62" s="59"/>
      <c r="L62" s="59"/>
      <c r="M62" s="59"/>
    </row>
    <row r="63" spans="1:13" s="53" customFormat="1" x14ac:dyDescent="0.25">
      <c r="A63" s="55" t="s">
        <v>285</v>
      </c>
      <c r="B63" s="57">
        <f>+'Summary-Reductions'!G37</f>
        <v>1021679.1750956187</v>
      </c>
      <c r="C63" s="57">
        <f>C62+B63</f>
        <v>2082823.3460940742</v>
      </c>
      <c r="E63" s="446"/>
      <c r="F63" s="445"/>
      <c r="G63" s="445"/>
      <c r="K63" s="59"/>
      <c r="L63" s="59"/>
      <c r="M63" s="59"/>
    </row>
    <row r="64" spans="1:13" s="53" customFormat="1" x14ac:dyDescent="0.25">
      <c r="A64"/>
      <c r="B64"/>
      <c r="C64"/>
      <c r="E64" s="233"/>
      <c r="G64" s="59"/>
      <c r="K64" s="59"/>
      <c r="L64" s="59"/>
      <c r="M64" s="59"/>
    </row>
    <row r="65" spans="1:13" s="53" customFormat="1" x14ac:dyDescent="0.25">
      <c r="A65" s="231"/>
      <c r="B65" s="232"/>
      <c r="C65" s="232"/>
      <c r="E65" s="59"/>
      <c r="F65" s="59"/>
      <c r="G65" s="59"/>
      <c r="K65" s="59"/>
      <c r="L65" s="59"/>
      <c r="M65" s="59"/>
    </row>
    <row r="66" spans="1:13" s="53" customFormat="1" x14ac:dyDescent="0.25">
      <c r="A66" s="60"/>
      <c r="B66" s="519" t="s">
        <v>497</v>
      </c>
      <c r="C66" s="519"/>
      <c r="E66" s="59"/>
      <c r="F66" s="59"/>
      <c r="G66" s="59"/>
      <c r="K66" s="59"/>
      <c r="L66" s="59"/>
      <c r="M66" s="59"/>
    </row>
    <row r="67" spans="1:13" s="53" customFormat="1" x14ac:dyDescent="0.25">
      <c r="A67" s="60" t="s">
        <v>279</v>
      </c>
      <c r="B67" s="62" t="s">
        <v>280</v>
      </c>
      <c r="C67" s="62" t="s">
        <v>281</v>
      </c>
      <c r="E67" s="59"/>
      <c r="F67" s="59"/>
      <c r="G67" s="59"/>
      <c r="K67" s="59"/>
      <c r="L67" s="59"/>
      <c r="M67" s="59"/>
    </row>
    <row r="68" spans="1:13" s="53" customFormat="1" x14ac:dyDescent="0.25">
      <c r="A68" s="53" t="s">
        <v>302</v>
      </c>
      <c r="B68" s="56"/>
      <c r="C68" s="56"/>
      <c r="E68" s="59"/>
      <c r="F68" s="59"/>
      <c r="G68" s="59"/>
      <c r="K68" s="59"/>
      <c r="L68" s="59"/>
      <c r="M68" s="59"/>
    </row>
    <row r="69" spans="1:13" s="53" customFormat="1" x14ac:dyDescent="0.25">
      <c r="A69" s="52" t="s">
        <v>283</v>
      </c>
      <c r="B69" s="130"/>
      <c r="C69" s="130"/>
      <c r="E69" s="59"/>
      <c r="F69" s="59"/>
      <c r="G69" s="59"/>
      <c r="K69" s="59"/>
      <c r="L69" s="59"/>
      <c r="M69" s="59"/>
    </row>
    <row r="70" spans="1:13" s="53" customFormat="1" x14ac:dyDescent="0.25">
      <c r="A70" s="53" t="s">
        <v>282</v>
      </c>
      <c r="B70" s="56"/>
      <c r="C70" s="56"/>
      <c r="E70" s="59"/>
      <c r="F70" s="59"/>
      <c r="G70" s="59"/>
      <c r="K70" s="59"/>
      <c r="L70" s="59"/>
      <c r="M70" s="59"/>
    </row>
    <row r="71" spans="1:13" s="53" customFormat="1" x14ac:dyDescent="0.25">
      <c r="A71" s="53" t="s">
        <v>284</v>
      </c>
      <c r="B71" s="56"/>
      <c r="C71" s="56"/>
      <c r="E71" s="59"/>
      <c r="F71" s="59"/>
      <c r="G71" s="59"/>
      <c r="K71" s="59"/>
      <c r="L71" s="59"/>
      <c r="M71" s="59"/>
    </row>
    <row r="72" spans="1:13" s="53" customFormat="1" x14ac:dyDescent="0.25">
      <c r="A72" s="55" t="s">
        <v>285</v>
      </c>
      <c r="B72" s="57"/>
      <c r="C72" s="57"/>
      <c r="E72" s="59"/>
      <c r="F72" s="59"/>
      <c r="G72" s="59"/>
      <c r="K72" s="59"/>
      <c r="L72" s="59"/>
      <c r="M72" s="59"/>
    </row>
    <row r="73" spans="1:13" s="53" customFormat="1" x14ac:dyDescent="0.25">
      <c r="E73" s="59"/>
      <c r="F73" s="59"/>
      <c r="G73" s="59"/>
      <c r="K73" s="59"/>
      <c r="L73" s="59"/>
      <c r="M73" s="59"/>
    </row>
    <row r="74" spans="1:13" s="53" customFormat="1" x14ac:dyDescent="0.25">
      <c r="E74" s="59"/>
      <c r="F74" s="59"/>
      <c r="G74" s="59"/>
      <c r="K74" s="59"/>
      <c r="L74" s="59"/>
      <c r="M74" s="59"/>
    </row>
    <row r="75" spans="1:13" s="53" customFormat="1" x14ac:dyDescent="0.25">
      <c r="E75" s="59"/>
      <c r="F75" s="59"/>
      <c r="G75" s="59"/>
      <c r="K75" s="59"/>
      <c r="L75" s="59"/>
      <c r="M75" s="59"/>
    </row>
    <row r="76" spans="1:13" s="53" customFormat="1" x14ac:dyDescent="0.25">
      <c r="E76" s="59"/>
      <c r="F76" s="59"/>
      <c r="G76" s="59"/>
      <c r="K76" s="59"/>
      <c r="L76" s="59"/>
      <c r="M76" s="59"/>
    </row>
    <row r="77" spans="1:13" s="53" customFormat="1" x14ac:dyDescent="0.25">
      <c r="E77" s="59"/>
      <c r="F77" s="59"/>
      <c r="G77" s="59"/>
      <c r="K77" s="59"/>
      <c r="L77" s="59"/>
      <c r="M77" s="59"/>
    </row>
    <row r="78" spans="1:13" s="53" customFormat="1" x14ac:dyDescent="0.25">
      <c r="E78" s="59"/>
      <c r="F78" s="59"/>
      <c r="G78" s="59"/>
      <c r="K78" s="59"/>
      <c r="L78" s="59"/>
      <c r="M78" s="59"/>
    </row>
    <row r="79" spans="1:13" s="53" customFormat="1" x14ac:dyDescent="0.25">
      <c r="E79" s="59"/>
      <c r="F79" s="59"/>
      <c r="G79" s="59"/>
      <c r="K79" s="59"/>
      <c r="L79" s="59"/>
      <c r="M79" s="59"/>
    </row>
    <row r="80" spans="1:13" s="53" customFormat="1" x14ac:dyDescent="0.25">
      <c r="E80" s="59"/>
      <c r="F80" s="59"/>
      <c r="G80" s="59"/>
      <c r="K80" s="59"/>
      <c r="L80" s="59"/>
      <c r="M80" s="59"/>
    </row>
    <row r="81" spans="4:13" s="53" customFormat="1" x14ac:dyDescent="0.25">
      <c r="E81" s="59"/>
      <c r="F81" s="59"/>
      <c r="G81" s="59"/>
      <c r="K81" s="59"/>
      <c r="L81" s="59"/>
      <c r="M81" s="59"/>
    </row>
    <row r="82" spans="4:13" s="53" customFormat="1" x14ac:dyDescent="0.25">
      <c r="E82" s="59"/>
      <c r="F82" s="59"/>
      <c r="G82" s="59"/>
      <c r="K82" s="59"/>
      <c r="L82" s="59"/>
      <c r="M82" s="59"/>
    </row>
    <row r="93" spans="4:13" x14ac:dyDescent="0.25">
      <c r="D93" s="5"/>
      <c r="E93" s="299"/>
      <c r="F93" s="299"/>
    </row>
    <row r="94" spans="4:13" x14ac:dyDescent="0.25">
      <c r="D94" s="374"/>
      <c r="E94" s="147"/>
      <c r="F94" s="147"/>
    </row>
    <row r="95" spans="4:13" x14ac:dyDescent="0.25">
      <c r="D95" s="5"/>
      <c r="E95" s="299"/>
      <c r="F95" s="299"/>
    </row>
    <row r="96" spans="4:13" s="2" customFormat="1" x14ac:dyDescent="0.25">
      <c r="D96" s="5"/>
      <c r="E96" s="299"/>
      <c r="F96" s="299"/>
      <c r="G96" s="238"/>
      <c r="K96" s="238"/>
      <c r="L96" s="238"/>
      <c r="M96" s="238"/>
    </row>
    <row r="97" spans="4:6" x14ac:dyDescent="0.25">
      <c r="D97" s="375"/>
      <c r="E97" s="283"/>
      <c r="F97" s="283"/>
    </row>
    <row r="98" spans="4:6" x14ac:dyDescent="0.25">
      <c r="D98" s="375"/>
      <c r="E98" s="283"/>
      <c r="F98" s="283"/>
    </row>
    <row r="99" spans="4:6" x14ac:dyDescent="0.25">
      <c r="D99" s="375"/>
      <c r="E99" s="283"/>
      <c r="F99" s="283"/>
    </row>
    <row r="100" spans="4:6" x14ac:dyDescent="0.25">
      <c r="D100" s="375"/>
      <c r="E100" s="283"/>
      <c r="F100" s="283"/>
    </row>
    <row r="101" spans="4:6" x14ac:dyDescent="0.25">
      <c r="D101" s="5"/>
      <c r="E101" s="299"/>
      <c r="F101" s="299"/>
    </row>
    <row r="102" spans="4:6" x14ac:dyDescent="0.25">
      <c r="D102" s="5"/>
      <c r="E102" s="299"/>
      <c r="F102" s="299"/>
    </row>
    <row r="103" spans="4:6" x14ac:dyDescent="0.25">
      <c r="D103" s="5"/>
      <c r="E103" s="299"/>
      <c r="F103" s="299"/>
    </row>
  </sheetData>
  <mergeCells count="2">
    <mergeCell ref="B57:C57"/>
    <mergeCell ref="B66:C66"/>
  </mergeCells>
  <pageMargins left="0.7" right="0.7" top="0.75" bottom="0.75" header="0.3" footer="0.3"/>
  <pageSetup paperSize="256" scale="51" orientation="portrait" horizontalDpi="1200" verticalDpi="1200" r:id="rId1"/>
  <headerFooter>
    <oddFooter>&amp;L&amp;Z&amp;F:&amp;A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CCCCFF"/>
  </sheetPr>
  <dimension ref="A1:V38"/>
  <sheetViews>
    <sheetView zoomScale="90" zoomScaleNormal="90" workbookViewId="0">
      <pane ySplit="1" topLeftCell="A2" activePane="bottomLeft" state="frozen"/>
      <selection activeCell="F107" sqref="F107"/>
      <selection pane="bottomLeft" activeCell="G33" sqref="G33"/>
    </sheetView>
  </sheetViews>
  <sheetFormatPr defaultRowHeight="15" x14ac:dyDescent="0.25"/>
  <cols>
    <col min="1" max="1" width="43.140625" bestFit="1" customWidth="1"/>
    <col min="3" max="7" width="13.7109375" style="7" customWidth="1"/>
    <col min="9" max="9" width="9" style="5"/>
    <col min="10" max="14" width="13.7109375" style="5" customWidth="1"/>
    <col min="15" max="16" width="9" style="5"/>
    <col min="17" max="20" width="10.85546875" style="5" customWidth="1"/>
    <col min="21" max="21" width="13" style="5" customWidth="1"/>
    <col min="22" max="22" width="9" style="5"/>
  </cols>
  <sheetData>
    <row r="1" spans="1:21" x14ac:dyDescent="0.25">
      <c r="C1" s="7" t="s">
        <v>302</v>
      </c>
      <c r="D1" s="7" t="s">
        <v>283</v>
      </c>
      <c r="E1" s="7" t="s">
        <v>282</v>
      </c>
      <c r="F1" s="7" t="s">
        <v>284</v>
      </c>
      <c r="G1" s="7" t="s">
        <v>285</v>
      </c>
      <c r="I1" s="285"/>
      <c r="J1" s="299"/>
      <c r="K1" s="299"/>
      <c r="L1" s="299"/>
      <c r="M1" s="299"/>
      <c r="N1" s="299"/>
      <c r="P1" s="299"/>
      <c r="Q1" s="299"/>
      <c r="R1" s="299"/>
      <c r="S1" s="299"/>
      <c r="T1" s="299"/>
      <c r="U1" s="299"/>
    </row>
    <row r="2" spans="1:21" x14ac:dyDescent="0.25">
      <c r="A2" s="114" t="s">
        <v>552</v>
      </c>
      <c r="B2" s="22"/>
      <c r="C2" s="237"/>
      <c r="D2" s="237"/>
      <c r="E2" s="237"/>
      <c r="F2" s="237"/>
      <c r="G2" s="237"/>
      <c r="J2" s="299"/>
      <c r="K2" s="299"/>
      <c r="L2" s="299"/>
      <c r="M2" s="299"/>
      <c r="N2" s="299"/>
      <c r="Q2" s="299"/>
      <c r="R2" s="299"/>
      <c r="S2" s="299"/>
      <c r="T2" s="299"/>
      <c r="U2" s="299"/>
    </row>
    <row r="3" spans="1:21" x14ac:dyDescent="0.25">
      <c r="A3" t="s">
        <v>175</v>
      </c>
      <c r="C3" s="382"/>
      <c r="D3" s="382"/>
      <c r="E3" s="382"/>
      <c r="F3" s="382"/>
      <c r="G3" s="382"/>
      <c r="J3" s="435"/>
      <c r="K3" s="435"/>
      <c r="L3" s="435"/>
      <c r="M3" s="435"/>
      <c r="N3" s="435"/>
    </row>
    <row r="4" spans="1:21" x14ac:dyDescent="0.25">
      <c r="A4" t="s">
        <v>176</v>
      </c>
      <c r="C4" s="382"/>
      <c r="D4" s="382"/>
      <c r="E4" s="382"/>
      <c r="F4" s="382"/>
      <c r="G4" s="382"/>
      <c r="J4" s="435"/>
      <c r="K4" s="435"/>
      <c r="L4" s="435"/>
      <c r="M4" s="435"/>
      <c r="N4" s="435"/>
    </row>
    <row r="5" spans="1:21" x14ac:dyDescent="0.25">
      <c r="A5" t="s">
        <v>177</v>
      </c>
      <c r="C5" s="382"/>
      <c r="D5" s="382"/>
      <c r="E5" s="382"/>
      <c r="F5" s="382"/>
      <c r="G5" s="382"/>
      <c r="J5" s="435"/>
      <c r="K5" s="435"/>
      <c r="L5" s="435"/>
      <c r="M5" s="435"/>
      <c r="N5" s="435"/>
    </row>
    <row r="6" spans="1:21" x14ac:dyDescent="0.25">
      <c r="A6" s="114" t="s">
        <v>553</v>
      </c>
      <c r="B6" s="22"/>
      <c r="C6" s="394"/>
      <c r="D6" s="394"/>
      <c r="E6" s="394"/>
      <c r="F6" s="394"/>
      <c r="G6" s="394"/>
      <c r="J6" s="435"/>
      <c r="K6" s="435"/>
      <c r="L6" s="435"/>
      <c r="M6" s="435"/>
      <c r="N6" s="435"/>
    </row>
    <row r="7" spans="1:21" x14ac:dyDescent="0.25">
      <c r="A7" t="s">
        <v>180</v>
      </c>
      <c r="C7" s="382"/>
      <c r="D7" s="382"/>
      <c r="E7" s="382"/>
      <c r="F7" s="382"/>
      <c r="G7" s="382"/>
      <c r="J7" s="435"/>
      <c r="K7" s="435"/>
      <c r="L7" s="435"/>
      <c r="M7" s="435"/>
      <c r="N7" s="435"/>
    </row>
    <row r="8" spans="1:21" x14ac:dyDescent="0.25">
      <c r="A8" t="s">
        <v>182</v>
      </c>
      <c r="C8" s="382"/>
      <c r="D8" s="382"/>
      <c r="E8" s="382"/>
      <c r="F8" s="382"/>
      <c r="G8" s="382"/>
      <c r="J8" s="435"/>
      <c r="K8" s="435"/>
      <c r="L8" s="435"/>
      <c r="M8" s="435"/>
      <c r="N8" s="435"/>
    </row>
    <row r="9" spans="1:21" x14ac:dyDescent="0.25">
      <c r="A9" t="s">
        <v>178</v>
      </c>
      <c r="C9" s="382"/>
      <c r="D9" s="382"/>
      <c r="E9" s="382"/>
      <c r="F9" s="382"/>
      <c r="G9" s="382"/>
      <c r="J9" s="435"/>
      <c r="K9" s="435"/>
      <c r="L9" s="435"/>
      <c r="M9" s="435"/>
      <c r="N9" s="435"/>
    </row>
    <row r="10" spans="1:21" x14ac:dyDescent="0.25">
      <c r="A10" t="s">
        <v>39</v>
      </c>
      <c r="C10" s="382"/>
      <c r="D10" s="382"/>
      <c r="E10" s="382"/>
      <c r="F10" s="382"/>
      <c r="G10" s="382"/>
      <c r="J10" s="435"/>
      <c r="K10" s="435"/>
      <c r="L10" s="435"/>
      <c r="M10" s="435"/>
      <c r="N10" s="435"/>
    </row>
    <row r="11" spans="1:21" x14ac:dyDescent="0.25">
      <c r="A11" t="s">
        <v>179</v>
      </c>
      <c r="C11" s="382"/>
      <c r="D11" s="382"/>
      <c r="E11" s="382"/>
      <c r="F11" s="382"/>
      <c r="G11" s="382"/>
      <c r="J11" s="435"/>
      <c r="K11" s="435"/>
      <c r="L11" s="435"/>
      <c r="M11" s="435"/>
      <c r="N11" s="435"/>
    </row>
    <row r="12" spans="1:21" x14ac:dyDescent="0.25">
      <c r="A12" t="s">
        <v>186</v>
      </c>
      <c r="C12" s="382"/>
      <c r="D12" s="382"/>
      <c r="E12" s="382"/>
      <c r="F12" s="382"/>
      <c r="G12" s="382"/>
      <c r="J12" s="435"/>
      <c r="K12" s="435"/>
      <c r="L12" s="435"/>
      <c r="M12" s="435"/>
      <c r="N12" s="435"/>
    </row>
    <row r="13" spans="1:21" x14ac:dyDescent="0.25">
      <c r="A13" s="341" t="s">
        <v>556</v>
      </c>
      <c r="B13" s="159"/>
      <c r="C13" s="392">
        <f>+Permit!R45</f>
        <v>1087.0963902573344</v>
      </c>
      <c r="D13" s="392">
        <f>+Completed!R45</f>
        <v>24815.54943912938</v>
      </c>
      <c r="E13" s="392">
        <f>+Programmed!R45</f>
        <v>92250.199557337823</v>
      </c>
      <c r="F13" s="392">
        <f>+Identified!R45</f>
        <v>26283.571701474153</v>
      </c>
      <c r="G13" s="392">
        <f>+Potential!R45</f>
        <v>207903.85455286392</v>
      </c>
      <c r="J13" s="408"/>
      <c r="K13" s="436"/>
      <c r="L13" s="408"/>
      <c r="M13" s="408"/>
      <c r="N13" s="408"/>
      <c r="Q13" s="375"/>
      <c r="R13" s="375"/>
      <c r="S13" s="375"/>
      <c r="T13" s="375"/>
      <c r="U13" s="375"/>
    </row>
    <row r="14" spans="1:21" x14ac:dyDescent="0.25">
      <c r="A14" s="114" t="s">
        <v>564</v>
      </c>
      <c r="B14" s="22"/>
      <c r="C14" s="394"/>
      <c r="D14" s="394"/>
      <c r="E14" s="394"/>
      <c r="F14" s="394"/>
      <c r="G14" s="394"/>
      <c r="J14" s="408"/>
      <c r="K14" s="408"/>
      <c r="L14" s="408"/>
      <c r="M14" s="408"/>
      <c r="N14" s="408"/>
      <c r="Q14" s="375"/>
      <c r="R14" s="375"/>
      <c r="S14" s="375"/>
      <c r="T14" s="375"/>
      <c r="U14" s="375"/>
    </row>
    <row r="15" spans="1:21" x14ac:dyDescent="0.25">
      <c r="A15" s="2" t="s">
        <v>224</v>
      </c>
      <c r="C15" s="382">
        <f>+Permit!R47</f>
        <v>0</v>
      </c>
      <c r="D15" s="382">
        <f>+Completed!$R$47</f>
        <v>8611.0638239709424</v>
      </c>
      <c r="E15" s="382">
        <f>+Programmed!$R$47</f>
        <v>0</v>
      </c>
      <c r="F15" s="382">
        <f>+Identified!$R$47</f>
        <v>0</v>
      </c>
      <c r="G15" s="382">
        <f>+Potential!$R$47</f>
        <v>26629.387481282996</v>
      </c>
      <c r="J15" s="435"/>
      <c r="K15" s="435"/>
      <c r="L15" s="435"/>
      <c r="M15" s="435"/>
      <c r="N15" s="435"/>
      <c r="Q15" s="375"/>
      <c r="R15" s="375"/>
      <c r="S15" s="375"/>
      <c r="T15" s="375"/>
      <c r="U15" s="375"/>
    </row>
    <row r="16" spans="1:21" x14ac:dyDescent="0.25">
      <c r="A16" s="2" t="s">
        <v>162</v>
      </c>
      <c r="C16" s="382">
        <f>+Permit!G55</f>
        <v>3426.0264442957432</v>
      </c>
      <c r="D16" s="382">
        <f>+Completed!$G$55</f>
        <v>3426.1816297496298</v>
      </c>
      <c r="E16" s="382">
        <f>+Programmed!$G$55</f>
        <v>11575.673975156973</v>
      </c>
      <c r="F16" s="382">
        <f>+Identified!$G$55</f>
        <v>0</v>
      </c>
      <c r="G16" s="382">
        <f>+Potential!$G$55</f>
        <v>8100.2592885572749</v>
      </c>
      <c r="J16" s="435"/>
      <c r="K16" s="435"/>
      <c r="L16" s="435"/>
      <c r="M16" s="435"/>
      <c r="N16" s="435"/>
      <c r="Q16" s="375"/>
      <c r="R16" s="375"/>
      <c r="S16" s="375"/>
      <c r="T16" s="375"/>
      <c r="U16" s="375"/>
    </row>
    <row r="17" spans="1:22" x14ac:dyDescent="0.25">
      <c r="A17" s="2" t="s">
        <v>164</v>
      </c>
      <c r="C17" s="382">
        <f>+Permit!G56</f>
        <v>0</v>
      </c>
      <c r="D17" s="382">
        <f>+Completed!$G$56</f>
        <v>0</v>
      </c>
      <c r="E17" s="382">
        <f>+Programmed!$G$56</f>
        <v>0</v>
      </c>
      <c r="F17" s="382">
        <f>+Identified!$G$56</f>
        <v>0</v>
      </c>
      <c r="G17" s="382">
        <f>+Potential!$G$56</f>
        <v>0</v>
      </c>
      <c r="J17" s="435"/>
      <c r="K17" s="435"/>
      <c r="L17" s="435"/>
      <c r="M17" s="435"/>
      <c r="N17" s="435"/>
      <c r="Q17" s="375"/>
      <c r="R17" s="375"/>
      <c r="S17" s="375"/>
      <c r="T17" s="375"/>
      <c r="U17" s="375"/>
    </row>
    <row r="18" spans="1:22" x14ac:dyDescent="0.25">
      <c r="A18" s="2" t="s">
        <v>163</v>
      </c>
      <c r="C18" s="382">
        <f>+Permit!G57</f>
        <v>0</v>
      </c>
      <c r="D18" s="382">
        <f>+Completed!$G$57</f>
        <v>0</v>
      </c>
      <c r="E18" s="382">
        <f>+Programmed!$G$57</f>
        <v>0</v>
      </c>
      <c r="F18" s="382">
        <f>+Identified!$G$57</f>
        <v>0</v>
      </c>
      <c r="G18" s="382">
        <f>+Potential!$G$57</f>
        <v>0</v>
      </c>
      <c r="J18" s="435"/>
      <c r="K18" s="435"/>
      <c r="L18" s="435"/>
      <c r="M18" s="435"/>
      <c r="N18" s="435"/>
      <c r="Q18" s="375"/>
      <c r="R18" s="375"/>
      <c r="S18" s="375"/>
      <c r="T18" s="375"/>
      <c r="U18" s="375"/>
    </row>
    <row r="19" spans="1:22" x14ac:dyDescent="0.25">
      <c r="A19" s="114" t="s">
        <v>554</v>
      </c>
      <c r="B19" s="22"/>
      <c r="C19" s="394"/>
      <c r="D19" s="394"/>
      <c r="E19" s="394"/>
      <c r="F19" s="394"/>
      <c r="G19" s="394"/>
      <c r="J19" s="435"/>
      <c r="K19" s="435"/>
      <c r="L19" s="435"/>
      <c r="M19" s="435"/>
      <c r="N19" s="435"/>
      <c r="Q19" s="375"/>
      <c r="R19" s="375"/>
      <c r="S19" s="375"/>
      <c r="T19" s="375"/>
      <c r="U19" s="375"/>
    </row>
    <row r="20" spans="1:22" x14ac:dyDescent="0.25">
      <c r="A20" t="s">
        <v>165</v>
      </c>
      <c r="C20" s="382">
        <f>+Permit!G58</f>
        <v>0</v>
      </c>
      <c r="D20" s="382">
        <f>+Completed!$G$58</f>
        <v>0</v>
      </c>
      <c r="E20" s="382">
        <f>+Programmed!$G$58</f>
        <v>0</v>
      </c>
      <c r="F20" s="382">
        <f>+Identified!$G$58</f>
        <v>0</v>
      </c>
      <c r="G20" s="382">
        <f>+Potential!$G$58</f>
        <v>0</v>
      </c>
      <c r="J20" s="435"/>
      <c r="K20" s="435"/>
      <c r="L20" s="435"/>
      <c r="M20" s="435"/>
      <c r="N20" s="435"/>
      <c r="Q20" s="375"/>
      <c r="R20" s="375"/>
      <c r="S20" s="375"/>
      <c r="T20" s="375"/>
      <c r="U20" s="375"/>
    </row>
    <row r="21" spans="1:22" x14ac:dyDescent="0.25">
      <c r="A21" t="s">
        <v>174</v>
      </c>
      <c r="C21" s="382">
        <f>+Permit!G59</f>
        <v>0</v>
      </c>
      <c r="D21" s="382">
        <f>+Completed!$G$59</f>
        <v>0</v>
      </c>
      <c r="E21" s="382">
        <f>+Programmed!$G$59</f>
        <v>0</v>
      </c>
      <c r="F21" s="382">
        <f>+Identified!$G$59</f>
        <v>0</v>
      </c>
      <c r="G21" s="382">
        <f>+Potential!$G$59</f>
        <v>0</v>
      </c>
      <c r="J21" s="435"/>
      <c r="K21" s="435"/>
      <c r="L21" s="435"/>
      <c r="M21" s="435"/>
      <c r="N21" s="435"/>
      <c r="Q21" s="375"/>
      <c r="R21" s="375"/>
      <c r="S21" s="375"/>
      <c r="T21" s="375"/>
      <c r="U21" s="375"/>
    </row>
    <row r="22" spans="1:22" x14ac:dyDescent="0.25">
      <c r="A22" t="s">
        <v>167</v>
      </c>
      <c r="C22" s="382">
        <f>+Permit!G64</f>
        <v>0</v>
      </c>
      <c r="D22" s="382">
        <f>+Completed!$G$64</f>
        <v>0</v>
      </c>
      <c r="E22" s="382">
        <f>+Programmed!$G$64</f>
        <v>0</v>
      </c>
      <c r="F22" s="382">
        <f>+Identified!$G$64</f>
        <v>0</v>
      </c>
      <c r="G22" s="382">
        <f>+Potential!$G$64</f>
        <v>0</v>
      </c>
      <c r="J22" s="435"/>
      <c r="K22" s="435"/>
      <c r="L22" s="435"/>
      <c r="M22" s="435"/>
      <c r="N22" s="435"/>
      <c r="Q22" s="375"/>
      <c r="R22" s="375"/>
      <c r="S22" s="375"/>
      <c r="T22" s="375"/>
      <c r="U22" s="375"/>
    </row>
    <row r="23" spans="1:22" x14ac:dyDescent="0.25">
      <c r="A23" t="s">
        <v>161</v>
      </c>
      <c r="C23" s="382">
        <f>+Permit!G67</f>
        <v>0</v>
      </c>
      <c r="D23" s="382">
        <f>+Completed!$G$67</f>
        <v>0</v>
      </c>
      <c r="E23" s="382">
        <f>+Programmed!$G$67</f>
        <v>0</v>
      </c>
      <c r="F23" s="382">
        <f>+Identified!$G$67</f>
        <v>0</v>
      </c>
      <c r="G23" s="382">
        <f>+Potential!$G$67</f>
        <v>0</v>
      </c>
      <c r="J23" s="435"/>
      <c r="K23" s="435"/>
      <c r="L23" s="435"/>
      <c r="M23" s="435"/>
      <c r="N23" s="435"/>
      <c r="Q23" s="375"/>
      <c r="R23" s="375"/>
      <c r="S23" s="375"/>
      <c r="T23" s="375"/>
      <c r="U23" s="375"/>
    </row>
    <row r="24" spans="1:22" x14ac:dyDescent="0.25">
      <c r="A24" s="114" t="s">
        <v>555</v>
      </c>
      <c r="B24" s="22"/>
      <c r="C24" s="394"/>
      <c r="D24" s="394"/>
      <c r="E24" s="394"/>
      <c r="F24" s="394"/>
      <c r="G24" s="394"/>
      <c r="J24" s="435"/>
      <c r="K24" s="435"/>
      <c r="L24" s="435"/>
      <c r="M24" s="435"/>
      <c r="N24" s="435"/>
      <c r="Q24" s="375"/>
      <c r="R24" s="375"/>
      <c r="S24" s="375"/>
      <c r="T24" s="375"/>
      <c r="U24" s="375"/>
    </row>
    <row r="25" spans="1:22" x14ac:dyDescent="0.25">
      <c r="A25" t="s">
        <v>173</v>
      </c>
      <c r="C25" s="382">
        <f>+Permit!G61</f>
        <v>0</v>
      </c>
      <c r="D25" s="382">
        <f>+Completed!$G$61</f>
        <v>0</v>
      </c>
      <c r="E25" s="382">
        <f>+Programmed!$G$61</f>
        <v>0</v>
      </c>
      <c r="F25" s="382">
        <f>+Identified!$G$61</f>
        <v>0</v>
      </c>
      <c r="G25" s="382">
        <f>+Potential!$G$61</f>
        <v>0</v>
      </c>
      <c r="J25" s="435"/>
      <c r="K25" s="435"/>
      <c r="L25" s="435"/>
      <c r="M25" s="435"/>
      <c r="N25" s="435"/>
      <c r="Q25" s="375"/>
      <c r="R25" s="375"/>
      <c r="S25" s="375"/>
      <c r="T25" s="375"/>
      <c r="U25" s="375"/>
    </row>
    <row r="26" spans="1:22" x14ac:dyDescent="0.25">
      <c r="A26" t="s">
        <v>166</v>
      </c>
      <c r="C26" s="382">
        <f>+Permit!G62</f>
        <v>0</v>
      </c>
      <c r="D26" s="382">
        <f>+Completed!$G$62</f>
        <v>0</v>
      </c>
      <c r="E26" s="382">
        <f>+Programmed!$G$62</f>
        <v>0</v>
      </c>
      <c r="F26" s="382">
        <f>+Identified!$G$62</f>
        <v>0</v>
      </c>
      <c r="G26" s="382">
        <f>+Potential!$G$62</f>
        <v>0</v>
      </c>
      <c r="J26" s="435"/>
      <c r="K26" s="435"/>
      <c r="L26" s="435"/>
      <c r="M26" s="435"/>
      <c r="N26" s="435"/>
      <c r="Q26" s="375"/>
      <c r="R26" s="375"/>
      <c r="S26" s="375"/>
      <c r="T26" s="375"/>
      <c r="U26" s="375"/>
    </row>
    <row r="27" spans="1:22" x14ac:dyDescent="0.25">
      <c r="A27" t="s">
        <v>171</v>
      </c>
      <c r="C27" s="382">
        <f>+Permit!G63</f>
        <v>0</v>
      </c>
      <c r="D27" s="382">
        <f>+Completed!$G$63</f>
        <v>0</v>
      </c>
      <c r="E27" s="382">
        <f>+Programmed!$G$63</f>
        <v>0</v>
      </c>
      <c r="F27" s="382">
        <f>+Identified!$G$63</f>
        <v>0</v>
      </c>
      <c r="G27" s="382">
        <f>+Potential!$G$63</f>
        <v>0</v>
      </c>
      <c r="J27" s="435"/>
      <c r="K27" s="435"/>
      <c r="L27" s="435"/>
      <c r="M27" s="435"/>
      <c r="N27" s="435"/>
      <c r="Q27" s="375"/>
      <c r="R27" s="375"/>
      <c r="S27" s="375"/>
      <c r="T27" s="375"/>
      <c r="U27" s="375"/>
    </row>
    <row r="28" spans="1:22" s="6" customFormat="1" x14ac:dyDescent="0.25">
      <c r="A28" s="6" t="s">
        <v>172</v>
      </c>
      <c r="C28" s="393">
        <f>+Permit!G65</f>
        <v>0</v>
      </c>
      <c r="D28" s="393">
        <f>+Completed!$G$65</f>
        <v>0</v>
      </c>
      <c r="E28" s="393">
        <f>+Programmed!$G$65</f>
        <v>0</v>
      </c>
      <c r="F28" s="393">
        <f>+Identified!$G$65</f>
        <v>0</v>
      </c>
      <c r="G28" s="393">
        <f>+Potential!$G$65</f>
        <v>0</v>
      </c>
      <c r="I28" s="5"/>
      <c r="J28" s="435"/>
      <c r="K28" s="435"/>
      <c r="L28" s="435"/>
      <c r="M28" s="435"/>
      <c r="N28" s="435"/>
      <c r="O28" s="5"/>
      <c r="P28" s="5"/>
      <c r="Q28" s="375"/>
      <c r="R28" s="375"/>
      <c r="S28" s="375"/>
      <c r="T28" s="375"/>
      <c r="U28" s="375"/>
      <c r="V28" s="5"/>
    </row>
    <row r="29" spans="1:22" s="6" customFormat="1" x14ac:dyDescent="0.25">
      <c r="A29" s="342" t="s">
        <v>557</v>
      </c>
      <c r="B29" s="159"/>
      <c r="C29" s="395">
        <f>SUM(C15:C28)</f>
        <v>3426.0264442957432</v>
      </c>
      <c r="D29" s="395">
        <f>SUM(D15:D28)</f>
        <v>12037.245453720572</v>
      </c>
      <c r="E29" s="395">
        <f>SUM(E15:E28)</f>
        <v>11575.673975156973</v>
      </c>
      <c r="F29" s="395">
        <f>SUM(F15:F28)</f>
        <v>0</v>
      </c>
      <c r="G29" s="395">
        <f>SUM(G15:G28)</f>
        <v>34729.64676984027</v>
      </c>
      <c r="I29" s="5"/>
      <c r="J29" s="437"/>
      <c r="K29" s="437"/>
      <c r="L29" s="437"/>
      <c r="M29" s="437"/>
      <c r="N29" s="437"/>
      <c r="O29" s="5"/>
      <c r="P29" s="5"/>
      <c r="Q29" s="375"/>
      <c r="R29" s="375"/>
      <c r="S29" s="375"/>
      <c r="T29" s="375"/>
      <c r="U29" s="375"/>
      <c r="V29" s="5"/>
    </row>
    <row r="30" spans="1:22" x14ac:dyDescent="0.25">
      <c r="A30" s="5" t="s">
        <v>558</v>
      </c>
      <c r="C30" s="382">
        <f>+Permit!G84</f>
        <v>0</v>
      </c>
      <c r="D30" s="382">
        <f>+Completed!$G$84</f>
        <v>4379.7784418196179</v>
      </c>
      <c r="E30" s="382">
        <f>+Programmed!$G$84</f>
        <v>5028.9731586655325</v>
      </c>
      <c r="F30" s="382">
        <f>+Identified!$G$84</f>
        <v>13020.468687163124</v>
      </c>
      <c r="G30" s="382">
        <f>+Potential!$G$84</f>
        <v>0</v>
      </c>
      <c r="J30" s="435"/>
      <c r="K30" s="435"/>
      <c r="L30" s="435"/>
      <c r="M30" s="435"/>
      <c r="N30" s="435"/>
      <c r="Q30" s="375"/>
      <c r="R30" s="375"/>
      <c r="S30" s="375"/>
      <c r="T30" s="375"/>
      <c r="U30" s="375"/>
    </row>
    <row r="31" spans="1:22" x14ac:dyDescent="0.25">
      <c r="A31" s="5" t="s">
        <v>297</v>
      </c>
      <c r="C31" s="382">
        <f>+Permit!D91</f>
        <v>0</v>
      </c>
      <c r="D31" s="382">
        <f>+Completed!$D$91</f>
        <v>0</v>
      </c>
      <c r="E31" s="382">
        <f>+Programmed!D91</f>
        <v>30930.508800000003</v>
      </c>
      <c r="F31" s="382">
        <f>+Identified!$D$91</f>
        <v>0</v>
      </c>
      <c r="G31" s="382">
        <f>+Potential!$D$91</f>
        <v>0</v>
      </c>
      <c r="J31" s="435"/>
      <c r="K31" s="435"/>
      <c r="L31" s="435"/>
      <c r="M31" s="435"/>
      <c r="N31" s="435"/>
      <c r="Q31" s="375"/>
      <c r="R31" s="375"/>
      <c r="S31" s="438"/>
      <c r="T31" s="375"/>
      <c r="U31" s="375"/>
    </row>
    <row r="32" spans="1:22" x14ac:dyDescent="0.25">
      <c r="A32" s="5" t="s">
        <v>303</v>
      </c>
      <c r="C32" s="382">
        <f>+Permit!D98</f>
        <v>0</v>
      </c>
      <c r="D32" s="382">
        <f>+Completed!$D$98</f>
        <v>0</v>
      </c>
      <c r="E32" s="382">
        <f>+Programmed!$D$98</f>
        <v>0</v>
      </c>
      <c r="F32" s="382">
        <f>+Identified!$D$98</f>
        <v>387572.85000000009</v>
      </c>
      <c r="G32" s="382">
        <f>+Potential!$D$98</f>
        <v>442940.4</v>
      </c>
      <c r="J32" s="435"/>
      <c r="K32" s="435"/>
      <c r="L32" s="435"/>
      <c r="M32" s="435"/>
      <c r="N32" s="435"/>
      <c r="Q32" s="375"/>
      <c r="R32" s="375"/>
      <c r="S32" s="375"/>
      <c r="T32" s="375"/>
      <c r="U32" s="284"/>
    </row>
    <row r="33" spans="1:22" x14ac:dyDescent="0.25">
      <c r="A33" s="5" t="s">
        <v>313</v>
      </c>
      <c r="C33" s="382">
        <f>+Permit!D104</f>
        <v>-16.254727085586637</v>
      </c>
      <c r="D33" s="382">
        <f>+Completed!$D$104</f>
        <v>132809.53273815924</v>
      </c>
      <c r="E33" s="382">
        <f>+Programmed!$D$104</f>
        <v>-16.254727085586637</v>
      </c>
      <c r="F33" s="382">
        <f>+Identified!$D$104</f>
        <v>-16.254727085586637</v>
      </c>
      <c r="G33" s="382">
        <f>+Potential!$D$104</f>
        <v>-16.254727085586637</v>
      </c>
      <c r="J33" s="435"/>
      <c r="K33" s="435"/>
      <c r="L33" s="435"/>
      <c r="M33" s="435"/>
      <c r="N33" s="435"/>
      <c r="Q33" s="375"/>
      <c r="R33" s="375"/>
      <c r="S33" s="438"/>
      <c r="T33" s="438"/>
      <c r="U33" s="375"/>
    </row>
    <row r="34" spans="1:22" x14ac:dyDescent="0.25">
      <c r="A34" s="5" t="s">
        <v>306</v>
      </c>
      <c r="C34" s="382">
        <f>+Permit!D110</f>
        <v>0</v>
      </c>
      <c r="D34" s="382">
        <f>+Completed!$D$110</f>
        <v>0</v>
      </c>
      <c r="E34" s="382">
        <f>+Programmed!$D$110</f>
        <v>0</v>
      </c>
      <c r="F34" s="382">
        <f>+Identified!$D$110</f>
        <v>336121.52850000001</v>
      </c>
      <c r="G34" s="382">
        <f>+Potential!$D$110</f>
        <v>336121.52850000001</v>
      </c>
      <c r="J34" s="435"/>
      <c r="K34" s="435"/>
      <c r="L34" s="435"/>
      <c r="M34" s="435"/>
      <c r="N34" s="435"/>
      <c r="Q34" s="375"/>
      <c r="R34" s="375"/>
      <c r="S34" s="375"/>
      <c r="T34" s="375"/>
      <c r="U34" s="375"/>
    </row>
    <row r="35" spans="1:22" x14ac:dyDescent="0.25">
      <c r="A35" s="5" t="s">
        <v>307</v>
      </c>
      <c r="C35" s="382">
        <f>Permit!D112</f>
        <v>0</v>
      </c>
      <c r="D35" s="382">
        <f>Completed!D112</f>
        <v>-15649.2</v>
      </c>
      <c r="E35" s="382">
        <f>Programmed!D112</f>
        <v>0</v>
      </c>
      <c r="F35" s="382">
        <f>Identified!D112</f>
        <v>0</v>
      </c>
      <c r="G35" s="382">
        <f>Potential!D112</f>
        <v>0</v>
      </c>
      <c r="J35" s="435"/>
      <c r="K35" s="435"/>
      <c r="L35" s="435"/>
      <c r="M35" s="435"/>
      <c r="N35" s="435"/>
      <c r="Q35" s="375"/>
      <c r="R35" s="375"/>
      <c r="S35" s="375"/>
      <c r="T35" s="375"/>
      <c r="U35" s="375"/>
    </row>
    <row r="36" spans="1:22" s="6" customFormat="1" ht="15.75" thickBot="1" x14ac:dyDescent="0.3">
      <c r="A36" s="402" t="s">
        <v>559</v>
      </c>
      <c r="B36" s="403"/>
      <c r="C36" s="404">
        <f>SUM(C30:C35)</f>
        <v>-16.254727085586637</v>
      </c>
      <c r="D36" s="404">
        <f>SUM(D30:D35)</f>
        <v>121540.11117997886</v>
      </c>
      <c r="E36" s="404">
        <f>SUM(E30:E35)</f>
        <v>35943.227231579949</v>
      </c>
      <c r="F36" s="404">
        <f>SUM(F30:F35)</f>
        <v>736698.59246007772</v>
      </c>
      <c r="G36" s="404">
        <f>SUM(G30:G35)</f>
        <v>779045.67377291445</v>
      </c>
      <c r="I36" s="5"/>
      <c r="J36" s="437"/>
      <c r="K36" s="437"/>
      <c r="L36" s="437"/>
      <c r="M36" s="437"/>
      <c r="N36" s="437"/>
      <c r="O36" s="5"/>
      <c r="P36" s="5"/>
      <c r="Q36" s="375"/>
      <c r="R36" s="375"/>
      <c r="S36" s="375"/>
      <c r="T36" s="375"/>
      <c r="U36" s="375"/>
      <c r="V36" s="5"/>
    </row>
    <row r="37" spans="1:22" ht="16.5" thickTop="1" thickBot="1" x14ac:dyDescent="0.3">
      <c r="A37" s="405" t="s">
        <v>563</v>
      </c>
      <c r="B37" s="406"/>
      <c r="C37" s="407">
        <f>+C13+C29+C36</f>
        <v>4496.8681074674914</v>
      </c>
      <c r="D37" s="407">
        <f>+D13+D29+D36</f>
        <v>158392.9060728288</v>
      </c>
      <c r="E37" s="407">
        <f>+E13+E29+E36</f>
        <v>139769.10076407474</v>
      </c>
      <c r="F37" s="407">
        <f>+F13+F29+F36</f>
        <v>762982.16416155186</v>
      </c>
      <c r="G37" s="407">
        <f>+G13+G29+G36</f>
        <v>1021679.1750956187</v>
      </c>
      <c r="J37" s="437"/>
      <c r="K37" s="437"/>
      <c r="L37" s="437"/>
      <c r="M37" s="437"/>
      <c r="N37" s="437"/>
    </row>
    <row r="38" spans="1:22" ht="15.75" thickTop="1" x14ac:dyDescent="0.25">
      <c r="J38" s="435"/>
      <c r="K38" s="435"/>
      <c r="L38" s="435"/>
      <c r="M38" s="435"/>
      <c r="N38" s="4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J33"/>
  <sheetViews>
    <sheetView topLeftCell="B1" zoomScaleNormal="100" workbookViewId="0">
      <selection activeCell="J30" sqref="J30"/>
    </sheetView>
  </sheetViews>
  <sheetFormatPr defaultColWidth="9.140625" defaultRowHeight="15" x14ac:dyDescent="0.25"/>
  <cols>
    <col min="1" max="1" width="7.42578125" style="452" customWidth="1"/>
    <col min="2" max="2" width="20" style="452" customWidth="1"/>
    <col min="3" max="3" width="95.85546875" style="452" customWidth="1"/>
    <col min="4" max="4" width="9.140625" style="452"/>
    <col min="5" max="7" width="11" style="452" customWidth="1"/>
    <col min="8" max="8" width="24.7109375" style="452" customWidth="1"/>
    <col min="9" max="10" width="32.7109375" style="452" customWidth="1"/>
    <col min="11" max="16384" width="9.140625" style="452"/>
  </cols>
  <sheetData>
    <row r="1" spans="1:10" x14ac:dyDescent="0.25">
      <c r="A1" s="463" t="s">
        <v>640</v>
      </c>
      <c r="B1" s="463" t="s">
        <v>641</v>
      </c>
      <c r="C1" s="463"/>
      <c r="D1" s="463"/>
      <c r="E1" s="463"/>
      <c r="F1" s="463"/>
      <c r="G1" s="463"/>
      <c r="H1" s="464"/>
      <c r="I1" s="464"/>
    </row>
    <row r="2" spans="1:10" x14ac:dyDescent="0.25">
      <c r="A2" s="463"/>
      <c r="B2" s="463" t="s">
        <v>642</v>
      </c>
      <c r="C2" s="463"/>
      <c r="D2" s="463"/>
      <c r="E2" s="463"/>
      <c r="F2" s="463"/>
      <c r="G2" s="463"/>
      <c r="H2" s="464"/>
      <c r="I2" s="464"/>
    </row>
    <row r="3" spans="1:10" x14ac:dyDescent="0.25">
      <c r="A3" s="463"/>
      <c r="B3" s="463"/>
      <c r="C3" s="463"/>
      <c r="D3" s="463"/>
      <c r="E3" s="463"/>
      <c r="F3" s="463"/>
      <c r="G3" s="463"/>
      <c r="H3" s="464"/>
      <c r="I3" s="464"/>
    </row>
    <row r="4" spans="1:10" x14ac:dyDescent="0.25">
      <c r="A4" s="463"/>
      <c r="B4" s="465" t="s">
        <v>583</v>
      </c>
      <c r="C4" s="465" t="s">
        <v>618</v>
      </c>
      <c r="D4" s="465"/>
      <c r="E4" s="465" t="s">
        <v>643</v>
      </c>
      <c r="F4" s="465" t="s">
        <v>618</v>
      </c>
      <c r="G4" s="465" t="s">
        <v>644</v>
      </c>
      <c r="H4" s="466" t="s">
        <v>667</v>
      </c>
      <c r="I4" s="466" t="s">
        <v>668</v>
      </c>
      <c r="J4" s="453" t="s">
        <v>678</v>
      </c>
    </row>
    <row r="5" spans="1:10" ht="30" x14ac:dyDescent="0.25">
      <c r="A5" s="467">
        <v>1</v>
      </c>
      <c r="B5" s="467" t="s">
        <v>617</v>
      </c>
      <c r="C5" s="468" t="s">
        <v>647</v>
      </c>
      <c r="D5" s="468"/>
      <c r="E5" s="468"/>
      <c r="F5" s="468" t="s">
        <v>662</v>
      </c>
      <c r="G5" s="468" t="s">
        <v>673</v>
      </c>
      <c r="H5" s="469" t="s">
        <v>663</v>
      </c>
      <c r="I5" s="484" t="s">
        <v>669</v>
      </c>
      <c r="J5" s="495" t="s">
        <v>677</v>
      </c>
    </row>
    <row r="6" spans="1:10" x14ac:dyDescent="0.25">
      <c r="A6" s="467"/>
      <c r="B6" s="467"/>
      <c r="C6" s="492" t="s">
        <v>645</v>
      </c>
      <c r="D6" s="492"/>
      <c r="E6" s="492"/>
      <c r="F6" s="492" t="s">
        <v>662</v>
      </c>
      <c r="G6" s="492"/>
      <c r="H6" s="493" t="s">
        <v>664</v>
      </c>
      <c r="I6" s="493"/>
      <c r="J6" s="495"/>
    </row>
    <row r="7" spans="1:10" x14ac:dyDescent="0.25">
      <c r="A7" s="467"/>
      <c r="B7" s="467"/>
      <c r="C7" s="470" t="s">
        <v>648</v>
      </c>
      <c r="D7" s="467"/>
      <c r="E7" s="467"/>
      <c r="F7" s="467"/>
      <c r="G7" s="467"/>
      <c r="H7" s="471"/>
      <c r="I7" s="471"/>
    </row>
    <row r="8" spans="1:10" x14ac:dyDescent="0.25">
      <c r="A8" s="467"/>
      <c r="B8" s="467"/>
      <c r="C8" s="470" t="s">
        <v>649</v>
      </c>
      <c r="D8" s="467"/>
      <c r="E8" s="467"/>
      <c r="F8" s="467"/>
      <c r="G8" s="467"/>
      <c r="H8" s="471"/>
      <c r="I8" s="471"/>
    </row>
    <row r="9" spans="1:10" x14ac:dyDescent="0.25">
      <c r="A9" s="467"/>
      <c r="B9" s="467"/>
      <c r="C9" s="470" t="s">
        <v>650</v>
      </c>
      <c r="D9" s="467"/>
      <c r="E9" s="467"/>
      <c r="F9" s="467"/>
      <c r="G9" s="467"/>
      <c r="H9" s="471"/>
      <c r="I9" s="471"/>
    </row>
    <row r="10" spans="1:10" x14ac:dyDescent="0.25">
      <c r="A10" s="463"/>
      <c r="B10" s="463"/>
      <c r="C10" s="463"/>
      <c r="D10" s="463"/>
      <c r="E10" s="463"/>
      <c r="F10" s="463"/>
      <c r="G10" s="463"/>
      <c r="H10" s="464"/>
      <c r="I10" s="464"/>
    </row>
    <row r="11" spans="1:10" x14ac:dyDescent="0.25">
      <c r="A11" s="463">
        <v>2</v>
      </c>
      <c r="B11" s="463" t="s">
        <v>620</v>
      </c>
      <c r="C11" s="468" t="s">
        <v>651</v>
      </c>
      <c r="D11" s="468"/>
      <c r="E11" s="468"/>
      <c r="F11" s="468" t="s">
        <v>662</v>
      </c>
      <c r="G11" s="468"/>
      <c r="H11" s="469"/>
      <c r="I11" s="469"/>
      <c r="J11" s="495"/>
    </row>
    <row r="12" spans="1:10" x14ac:dyDescent="0.25">
      <c r="A12" s="472"/>
      <c r="B12" s="472"/>
      <c r="C12" s="470" t="s">
        <v>648</v>
      </c>
      <c r="D12" s="473"/>
      <c r="E12" s="473"/>
      <c r="F12" s="473"/>
      <c r="G12" s="473"/>
      <c r="H12" s="474"/>
      <c r="I12" s="474"/>
    </row>
    <row r="13" spans="1:10" x14ac:dyDescent="0.25">
      <c r="A13" s="472"/>
      <c r="B13" s="472"/>
      <c r="C13" s="470" t="s">
        <v>649</v>
      </c>
      <c r="D13" s="475"/>
      <c r="E13" s="475"/>
      <c r="F13" s="475"/>
      <c r="G13" s="475"/>
      <c r="H13" s="476"/>
      <c r="I13" s="476"/>
    </row>
    <row r="14" spans="1:10" x14ac:dyDescent="0.25">
      <c r="A14" s="472"/>
      <c r="B14" s="472"/>
      <c r="C14" s="477" t="s">
        <v>652</v>
      </c>
      <c r="D14" s="475"/>
      <c r="E14" s="475"/>
      <c r="F14" s="475"/>
      <c r="G14" s="475"/>
      <c r="H14" s="476"/>
      <c r="I14" s="476"/>
    </row>
    <row r="15" spans="1:10" x14ac:dyDescent="0.25">
      <c r="A15" s="472"/>
      <c r="B15" s="472"/>
      <c r="C15" s="478"/>
      <c r="D15" s="478"/>
      <c r="E15" s="478"/>
      <c r="F15" s="478"/>
      <c r="G15" s="478"/>
      <c r="H15" s="466"/>
      <c r="I15" s="466"/>
    </row>
    <row r="16" spans="1:10" ht="75" x14ac:dyDescent="0.25">
      <c r="A16" s="463"/>
      <c r="B16" s="463"/>
      <c r="C16" s="468" t="s">
        <v>653</v>
      </c>
      <c r="D16" s="468"/>
      <c r="E16" s="468"/>
      <c r="F16" s="468" t="s">
        <v>662</v>
      </c>
      <c r="G16" s="468" t="s">
        <v>673</v>
      </c>
      <c r="H16" s="469" t="s">
        <v>665</v>
      </c>
      <c r="I16" s="484" t="s">
        <v>679</v>
      </c>
      <c r="J16" s="495" t="s">
        <v>677</v>
      </c>
    </row>
    <row r="17" spans="1:10" x14ac:dyDescent="0.25">
      <c r="A17" s="463"/>
      <c r="B17" s="463"/>
      <c r="C17" s="470" t="s">
        <v>648</v>
      </c>
      <c r="D17" s="463"/>
      <c r="E17" s="463"/>
      <c r="F17" s="463"/>
      <c r="G17" s="463"/>
      <c r="H17" s="464"/>
      <c r="I17" s="464"/>
    </row>
    <row r="18" spans="1:10" x14ac:dyDescent="0.25">
      <c r="A18" s="463"/>
      <c r="B18" s="463"/>
      <c r="C18" s="470" t="s">
        <v>649</v>
      </c>
      <c r="D18" s="463"/>
      <c r="E18" s="463"/>
      <c r="F18" s="463"/>
      <c r="G18" s="463"/>
      <c r="H18" s="464"/>
      <c r="I18" s="464"/>
    </row>
    <row r="19" spans="1:10" x14ac:dyDescent="0.25">
      <c r="A19" s="463"/>
      <c r="B19" s="463"/>
      <c r="C19" s="470" t="s">
        <v>650</v>
      </c>
      <c r="D19" s="463"/>
      <c r="E19" s="463"/>
      <c r="F19" s="463"/>
      <c r="G19" s="463"/>
      <c r="H19" s="464"/>
      <c r="I19" s="464"/>
    </row>
    <row r="20" spans="1:10" x14ac:dyDescent="0.25">
      <c r="A20" s="463"/>
      <c r="B20" s="463"/>
      <c r="C20" s="463"/>
      <c r="D20" s="463"/>
      <c r="E20" s="463"/>
      <c r="F20" s="463"/>
      <c r="G20" s="463"/>
      <c r="H20" s="464"/>
      <c r="I20" s="464"/>
    </row>
    <row r="21" spans="1:10" x14ac:dyDescent="0.25">
      <c r="A21" s="463">
        <v>3</v>
      </c>
      <c r="B21" s="463" t="s">
        <v>655</v>
      </c>
      <c r="C21" s="479" t="s">
        <v>654</v>
      </c>
      <c r="D21" s="479"/>
      <c r="E21" s="479"/>
      <c r="F21" s="479" t="s">
        <v>662</v>
      </c>
      <c r="G21" s="479"/>
      <c r="H21" s="480"/>
      <c r="I21" s="480"/>
      <c r="J21" s="495"/>
    </row>
    <row r="22" spans="1:10" x14ac:dyDescent="0.25">
      <c r="A22" s="463"/>
      <c r="B22" s="463"/>
      <c r="C22" s="470" t="s">
        <v>648</v>
      </c>
      <c r="D22" s="472"/>
      <c r="E22" s="472"/>
      <c r="F22" s="472"/>
      <c r="G22" s="472"/>
      <c r="H22" s="481"/>
      <c r="I22" s="481"/>
    </row>
    <row r="23" spans="1:10" x14ac:dyDescent="0.25">
      <c r="A23" s="463"/>
      <c r="B23" s="463"/>
      <c r="C23" s="470" t="s">
        <v>649</v>
      </c>
      <c r="D23" s="472"/>
      <c r="E23" s="472"/>
      <c r="F23" s="472"/>
      <c r="G23" s="472"/>
      <c r="H23" s="481"/>
      <c r="I23" s="481"/>
    </row>
    <row r="24" spans="1:10" x14ac:dyDescent="0.25">
      <c r="A24" s="463"/>
      <c r="B24" s="463"/>
      <c r="C24" s="470" t="s">
        <v>657</v>
      </c>
      <c r="D24" s="472"/>
      <c r="E24" s="472"/>
      <c r="F24" s="472"/>
      <c r="G24" s="472"/>
      <c r="H24" s="481"/>
      <c r="I24" s="481"/>
    </row>
    <row r="25" spans="1:10" x14ac:dyDescent="0.25">
      <c r="A25" s="463"/>
      <c r="B25" s="463"/>
      <c r="C25" s="463"/>
      <c r="D25" s="463"/>
      <c r="E25" s="463"/>
      <c r="F25" s="463"/>
      <c r="G25" s="463"/>
      <c r="H25" s="464"/>
      <c r="I25" s="464"/>
    </row>
    <row r="26" spans="1:10" ht="75" x14ac:dyDescent="0.25">
      <c r="A26" s="463">
        <v>4</v>
      </c>
      <c r="B26" s="463" t="s">
        <v>656</v>
      </c>
      <c r="C26" s="479" t="s">
        <v>658</v>
      </c>
      <c r="D26" s="479"/>
      <c r="E26" s="479"/>
      <c r="F26" s="479" t="s">
        <v>662</v>
      </c>
      <c r="G26" s="479" t="s">
        <v>673</v>
      </c>
      <c r="H26" s="480" t="s">
        <v>666</v>
      </c>
      <c r="I26" s="484" t="s">
        <v>676</v>
      </c>
      <c r="J26" s="495" t="s">
        <v>680</v>
      </c>
    </row>
    <row r="27" spans="1:10" x14ac:dyDescent="0.25">
      <c r="C27" s="459" t="s">
        <v>641</v>
      </c>
    </row>
    <row r="28" spans="1:10" x14ac:dyDescent="0.25">
      <c r="C28" s="459" t="s">
        <v>646</v>
      </c>
    </row>
    <row r="30" spans="1:10" ht="60" x14ac:dyDescent="0.25">
      <c r="C30" s="479" t="s">
        <v>659</v>
      </c>
      <c r="D30" s="479"/>
      <c r="E30" s="479"/>
      <c r="F30" s="479" t="s">
        <v>662</v>
      </c>
      <c r="G30" s="479" t="s">
        <v>673</v>
      </c>
      <c r="H30" s="480" t="s">
        <v>665</v>
      </c>
      <c r="I30" s="484" t="s">
        <v>670</v>
      </c>
      <c r="J30" s="495" t="s">
        <v>681</v>
      </c>
    </row>
    <row r="31" spans="1:10" x14ac:dyDescent="0.25">
      <c r="C31" s="459" t="s">
        <v>641</v>
      </c>
    </row>
    <row r="32" spans="1:10" x14ac:dyDescent="0.25">
      <c r="C32" s="459" t="s">
        <v>660</v>
      </c>
    </row>
    <row r="33" spans="3:3" x14ac:dyDescent="0.25">
      <c r="C33" s="459" t="s">
        <v>661</v>
      </c>
    </row>
  </sheetData>
  <pageMargins left="0.7" right="0.7" top="0.75" bottom="0.75" header="0.3" footer="0.3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 tint="0.39997558519241921"/>
  </sheetPr>
  <dimension ref="A1:Q30"/>
  <sheetViews>
    <sheetView zoomScaleNormal="100" workbookViewId="0">
      <selection activeCell="H26" sqref="H26"/>
    </sheetView>
  </sheetViews>
  <sheetFormatPr defaultRowHeight="15" x14ac:dyDescent="0.25"/>
  <cols>
    <col min="2" max="2" width="31.7109375" bestFit="1" customWidth="1"/>
    <col min="3" max="3" width="14.7109375" customWidth="1"/>
    <col min="4" max="8" width="13.85546875" customWidth="1"/>
    <col min="9" max="13" width="11.28515625" customWidth="1"/>
    <col min="14" max="15" width="11" customWidth="1"/>
  </cols>
  <sheetData>
    <row r="1" spans="1:17" s="13" customFormat="1" ht="30" x14ac:dyDescent="0.25">
      <c r="A1" s="15" t="s">
        <v>46</v>
      </c>
      <c r="B1" s="12"/>
      <c r="C1" s="12" t="s">
        <v>59</v>
      </c>
      <c r="D1" s="24" t="s">
        <v>51</v>
      </c>
      <c r="E1" s="24" t="s">
        <v>259</v>
      </c>
      <c r="F1" s="24" t="s">
        <v>261</v>
      </c>
      <c r="G1" s="24" t="s">
        <v>54</v>
      </c>
      <c r="H1" s="24" t="s">
        <v>55</v>
      </c>
      <c r="I1" s="24" t="s">
        <v>50</v>
      </c>
      <c r="J1" s="24" t="s">
        <v>22</v>
      </c>
      <c r="K1" s="24" t="s">
        <v>18</v>
      </c>
      <c r="L1" s="24" t="s">
        <v>19</v>
      </c>
      <c r="M1" s="24" t="s">
        <v>20</v>
      </c>
      <c r="Q1" s="13" t="s">
        <v>49</v>
      </c>
    </row>
    <row r="2" spans="1:17" x14ac:dyDescent="0.25">
      <c r="A2" s="20">
        <v>11</v>
      </c>
      <c r="B2" s="20" t="s">
        <v>23</v>
      </c>
      <c r="D2" s="100">
        <v>18147.78</v>
      </c>
      <c r="E2" s="100">
        <v>2066.7199999999998</v>
      </c>
      <c r="F2" s="101">
        <f>+D2*K2</f>
        <v>12864.848</v>
      </c>
      <c r="G2" s="21">
        <v>8345</v>
      </c>
      <c r="H2" s="2"/>
      <c r="I2" s="87">
        <v>0.8</v>
      </c>
      <c r="J2" s="254">
        <f t="shared" ref="J2:J7" si="0">+E2/D2</f>
        <v>0.11388279998986102</v>
      </c>
      <c r="K2" s="256">
        <f t="shared" ref="K2:K8" si="1">(1-J2)*I2</f>
        <v>0.70889376000811122</v>
      </c>
      <c r="L2" s="37">
        <f>1-(J2+K2)</f>
        <v>0.17722344000202772</v>
      </c>
      <c r="M2" s="16"/>
      <c r="N2" s="498"/>
      <c r="Q2" s="17">
        <f>SUM(J2:M2)</f>
        <v>1</v>
      </c>
    </row>
    <row r="3" spans="1:17" x14ac:dyDescent="0.25">
      <c r="A3" s="20">
        <v>12</v>
      </c>
      <c r="B3" s="20" t="s">
        <v>24</v>
      </c>
      <c r="D3" s="100">
        <v>4480.45</v>
      </c>
      <c r="E3" s="100">
        <v>1098.04</v>
      </c>
      <c r="F3" s="101">
        <f t="shared" ref="F3:F26" si="2">+D3*K3</f>
        <v>2705.9279999999999</v>
      </c>
      <c r="G3" s="21">
        <v>8345</v>
      </c>
      <c r="H3" s="2"/>
      <c r="I3" s="87">
        <v>0.8</v>
      </c>
      <c r="J3" s="254">
        <f>+E3/D3</f>
        <v>0.24507359751810645</v>
      </c>
      <c r="K3" s="256">
        <f t="shared" si="1"/>
        <v>0.60394112198551486</v>
      </c>
      <c r="L3" s="37">
        <f t="shared" ref="L3:L8" si="3">1-(J3+K3)</f>
        <v>0.15098528049637872</v>
      </c>
      <c r="M3" s="8"/>
      <c r="N3" s="498"/>
      <c r="Q3" s="17">
        <f t="shared" ref="Q3:Q12" si="4">SUM(J3:M3)</f>
        <v>1</v>
      </c>
    </row>
    <row r="4" spans="1:17" x14ac:dyDescent="0.25">
      <c r="A4" s="20">
        <v>13</v>
      </c>
      <c r="B4" s="20" t="s">
        <v>25</v>
      </c>
      <c r="D4" s="100">
        <v>178.28</v>
      </c>
      <c r="E4" s="100">
        <v>78.97</v>
      </c>
      <c r="F4" s="101">
        <f t="shared" si="2"/>
        <v>79.448000000000008</v>
      </c>
      <c r="G4" s="21">
        <v>8345</v>
      </c>
      <c r="H4" s="2"/>
      <c r="I4" s="87">
        <v>0.8</v>
      </c>
      <c r="J4" s="254">
        <f t="shared" si="0"/>
        <v>0.44295490240071794</v>
      </c>
      <c r="K4" s="256">
        <f t="shared" si="1"/>
        <v>0.44563607807942562</v>
      </c>
      <c r="L4" s="37">
        <f t="shared" si="3"/>
        <v>0.11140901951985649</v>
      </c>
      <c r="M4" s="8"/>
      <c r="N4" s="498"/>
      <c r="Q4" s="17">
        <f t="shared" si="4"/>
        <v>1</v>
      </c>
    </row>
    <row r="5" spans="1:17" x14ac:dyDescent="0.25">
      <c r="A5" s="20">
        <v>14</v>
      </c>
      <c r="B5" s="20" t="s">
        <v>26</v>
      </c>
      <c r="D5" s="100">
        <v>2514.9299999999998</v>
      </c>
      <c r="E5" s="100">
        <v>971.01</v>
      </c>
      <c r="F5" s="101">
        <f t="shared" si="2"/>
        <v>1235.1359999999997</v>
      </c>
      <c r="G5" s="21">
        <v>4300</v>
      </c>
      <c r="H5" s="2"/>
      <c r="I5" s="87">
        <v>0.8</v>
      </c>
      <c r="J5" s="254">
        <f t="shared" si="0"/>
        <v>0.38609822142166983</v>
      </c>
      <c r="K5" s="256">
        <f t="shared" si="1"/>
        <v>0.49112142286266414</v>
      </c>
      <c r="L5" s="37">
        <f t="shared" si="3"/>
        <v>0.12278035571566603</v>
      </c>
      <c r="M5" s="8"/>
      <c r="N5" s="498"/>
      <c r="Q5" s="17">
        <f t="shared" si="4"/>
        <v>1</v>
      </c>
    </row>
    <row r="6" spans="1:17" x14ac:dyDescent="0.25">
      <c r="A6" s="20">
        <v>15</v>
      </c>
      <c r="B6" s="20" t="s">
        <v>27</v>
      </c>
      <c r="D6" s="100">
        <v>863.83</v>
      </c>
      <c r="E6" s="100">
        <v>256.02</v>
      </c>
      <c r="F6" s="101">
        <f t="shared" si="2"/>
        <v>486.24799999999999</v>
      </c>
      <c r="G6" s="21">
        <v>2500</v>
      </c>
      <c r="H6" s="2"/>
      <c r="I6" s="87">
        <v>0.8</v>
      </c>
      <c r="J6" s="254">
        <f t="shared" si="0"/>
        <v>0.2963777595128671</v>
      </c>
      <c r="K6" s="256">
        <f t="shared" si="1"/>
        <v>0.56289779238970628</v>
      </c>
      <c r="L6" s="37">
        <f t="shared" si="3"/>
        <v>0.14072444809742657</v>
      </c>
      <c r="M6" s="8"/>
      <c r="N6" s="498"/>
      <c r="Q6" s="17">
        <f t="shared" si="4"/>
        <v>1</v>
      </c>
    </row>
    <row r="7" spans="1:17" x14ac:dyDescent="0.25">
      <c r="A7" s="20">
        <v>16</v>
      </c>
      <c r="B7" s="20" t="s">
        <v>28</v>
      </c>
      <c r="D7" s="100">
        <v>756.95</v>
      </c>
      <c r="E7" s="100">
        <v>180.92</v>
      </c>
      <c r="F7" s="101">
        <f t="shared" si="2"/>
        <v>460.82400000000013</v>
      </c>
      <c r="G7" s="21">
        <v>4300</v>
      </c>
      <c r="H7" s="2"/>
      <c r="I7" s="87">
        <v>0.8</v>
      </c>
      <c r="J7" s="254">
        <f t="shared" si="0"/>
        <v>0.23901182376643104</v>
      </c>
      <c r="K7" s="256">
        <f t="shared" si="1"/>
        <v>0.60879054098685526</v>
      </c>
      <c r="L7" s="37">
        <f t="shared" si="3"/>
        <v>0.1521976352467137</v>
      </c>
      <c r="M7" s="8"/>
      <c r="N7" s="498"/>
      <c r="Q7" s="17">
        <f t="shared" si="4"/>
        <v>1</v>
      </c>
    </row>
    <row r="8" spans="1:17" x14ac:dyDescent="0.25">
      <c r="A8" s="20">
        <v>17</v>
      </c>
      <c r="B8" s="20" t="s">
        <v>29</v>
      </c>
      <c r="D8" s="100"/>
      <c r="E8" s="100"/>
      <c r="F8" s="101">
        <f t="shared" si="2"/>
        <v>0</v>
      </c>
      <c r="G8" s="2"/>
      <c r="H8" s="2"/>
      <c r="I8" s="87"/>
      <c r="J8" s="254"/>
      <c r="K8" s="256">
        <f t="shared" si="1"/>
        <v>0</v>
      </c>
      <c r="L8" s="37">
        <f t="shared" si="3"/>
        <v>1</v>
      </c>
      <c r="M8" s="8"/>
      <c r="N8" s="498"/>
      <c r="Q8" s="17">
        <f t="shared" si="4"/>
        <v>1</v>
      </c>
    </row>
    <row r="9" spans="1:17" x14ac:dyDescent="0.25">
      <c r="A9" s="20">
        <v>18</v>
      </c>
      <c r="B9" s="20" t="s">
        <v>30</v>
      </c>
      <c r="D9" s="100">
        <v>1511.24</v>
      </c>
      <c r="E9" s="100">
        <v>87.43</v>
      </c>
      <c r="F9" s="101">
        <f t="shared" si="2"/>
        <v>1139.048</v>
      </c>
      <c r="G9" s="21">
        <v>7200</v>
      </c>
      <c r="H9" s="2"/>
      <c r="I9" s="87">
        <v>0.8</v>
      </c>
      <c r="J9" s="254">
        <f>+E9/D9</f>
        <v>5.7853153701596043E-2</v>
      </c>
      <c r="K9" s="256">
        <f>(1-J9)*I9</f>
        <v>0.75371747703872316</v>
      </c>
      <c r="L9" s="37">
        <f>1-(J9+K9)</f>
        <v>0.18842936925968079</v>
      </c>
      <c r="M9" s="8"/>
      <c r="N9" s="498"/>
      <c r="Q9" s="17">
        <f t="shared" si="4"/>
        <v>1</v>
      </c>
    </row>
    <row r="10" spans="1:17" x14ac:dyDescent="0.25">
      <c r="A10" s="20">
        <v>80</v>
      </c>
      <c r="B10" s="20" t="s">
        <v>41</v>
      </c>
      <c r="D10" s="100"/>
      <c r="E10" s="100"/>
      <c r="F10" s="101">
        <f t="shared" si="2"/>
        <v>0</v>
      </c>
      <c r="G10" s="21">
        <v>1700</v>
      </c>
      <c r="H10" s="2"/>
      <c r="I10" s="18">
        <v>0.8</v>
      </c>
      <c r="J10" s="254"/>
      <c r="K10" s="256"/>
      <c r="L10" s="37"/>
      <c r="M10" s="8"/>
      <c r="N10" s="498"/>
      <c r="Q10" s="17">
        <f t="shared" si="4"/>
        <v>0</v>
      </c>
    </row>
    <row r="11" spans="1:17" x14ac:dyDescent="0.25">
      <c r="A11" s="20">
        <v>191</v>
      </c>
      <c r="B11" s="20" t="s">
        <v>42</v>
      </c>
      <c r="D11" s="100"/>
      <c r="E11" s="100"/>
      <c r="F11" s="101">
        <f t="shared" si="2"/>
        <v>0</v>
      </c>
      <c r="G11" s="482">
        <v>8345</v>
      </c>
      <c r="H11" s="2"/>
      <c r="I11" s="87">
        <v>0.8</v>
      </c>
      <c r="J11" s="254"/>
      <c r="K11" s="256">
        <f>(1-J11)*I11</f>
        <v>0.8</v>
      </c>
      <c r="L11" s="37">
        <f>1-(J11+K11)</f>
        <v>0.19999999999999996</v>
      </c>
      <c r="M11" s="8"/>
      <c r="Q11" s="17">
        <f t="shared" si="4"/>
        <v>1</v>
      </c>
    </row>
    <row r="12" spans="1:17" x14ac:dyDescent="0.25">
      <c r="A12" s="28">
        <v>192</v>
      </c>
      <c r="B12" s="28" t="s">
        <v>43</v>
      </c>
      <c r="C12" s="1"/>
      <c r="D12" s="102"/>
      <c r="E12" s="102"/>
      <c r="F12" s="103">
        <f t="shared" si="2"/>
        <v>0</v>
      </c>
      <c r="G12" s="483">
        <v>8345</v>
      </c>
      <c r="H12" s="25"/>
      <c r="I12" s="88">
        <v>0.9</v>
      </c>
      <c r="J12" s="255"/>
      <c r="K12" s="38">
        <f>(1-J12)*I12</f>
        <v>0.9</v>
      </c>
      <c r="L12" s="38">
        <f>1-(J12+K12)</f>
        <v>9.9999999999999978E-2</v>
      </c>
      <c r="M12" s="14"/>
      <c r="Q12" s="17">
        <f t="shared" si="4"/>
        <v>1</v>
      </c>
    </row>
    <row r="13" spans="1:17" x14ac:dyDescent="0.25">
      <c r="A13" s="20">
        <v>21</v>
      </c>
      <c r="B13" s="20" t="s">
        <v>31</v>
      </c>
      <c r="C13" s="20" t="s">
        <v>20</v>
      </c>
      <c r="D13" s="100">
        <v>1212</v>
      </c>
      <c r="E13" s="100">
        <v>2</v>
      </c>
      <c r="F13" s="101">
        <f t="shared" si="2"/>
        <v>0</v>
      </c>
      <c r="G13" s="2"/>
      <c r="H13" s="21">
        <v>39</v>
      </c>
      <c r="I13" s="8"/>
      <c r="J13" s="254"/>
      <c r="K13" s="8"/>
      <c r="L13" s="8"/>
      <c r="M13" s="39"/>
    </row>
    <row r="14" spans="1:17" x14ac:dyDescent="0.25">
      <c r="A14" s="20">
        <v>22</v>
      </c>
      <c r="B14" s="20" t="s">
        <v>32</v>
      </c>
      <c r="C14" s="20" t="s">
        <v>20</v>
      </c>
      <c r="D14" s="100"/>
      <c r="E14" s="100"/>
      <c r="F14" s="101">
        <f t="shared" si="2"/>
        <v>0</v>
      </c>
      <c r="G14" s="2"/>
      <c r="H14" s="21">
        <v>39</v>
      </c>
      <c r="I14" s="8"/>
      <c r="J14" s="254"/>
      <c r="K14" s="8"/>
      <c r="L14" s="8"/>
      <c r="M14" s="39"/>
    </row>
    <row r="15" spans="1:17" x14ac:dyDescent="0.25">
      <c r="A15" s="20">
        <v>23</v>
      </c>
      <c r="B15" s="20" t="s">
        <v>47</v>
      </c>
      <c r="C15" s="20" t="s">
        <v>20</v>
      </c>
      <c r="D15" s="100"/>
      <c r="E15" s="100"/>
      <c r="F15" s="101">
        <f t="shared" si="2"/>
        <v>0</v>
      </c>
      <c r="G15" s="2"/>
      <c r="H15" s="21">
        <v>39</v>
      </c>
      <c r="I15" s="8"/>
      <c r="J15" s="254"/>
      <c r="K15" s="8"/>
      <c r="L15" s="8"/>
      <c r="M15" s="39"/>
    </row>
    <row r="16" spans="1:17" x14ac:dyDescent="0.25">
      <c r="A16" s="20">
        <v>241</v>
      </c>
      <c r="B16" s="20" t="s">
        <v>44</v>
      </c>
      <c r="C16" s="20" t="s">
        <v>20</v>
      </c>
      <c r="D16" s="100"/>
      <c r="E16" s="100"/>
      <c r="F16" s="101">
        <f t="shared" si="2"/>
        <v>0</v>
      </c>
      <c r="G16" s="2"/>
      <c r="H16" s="21">
        <v>39</v>
      </c>
      <c r="I16" s="8"/>
      <c r="J16" s="254"/>
      <c r="K16" s="8"/>
      <c r="L16" s="8"/>
      <c r="M16" s="39"/>
    </row>
    <row r="17" spans="1:16" x14ac:dyDescent="0.25">
      <c r="A17" s="20">
        <v>242</v>
      </c>
      <c r="B17" s="20" t="s">
        <v>45</v>
      </c>
      <c r="C17" s="20" t="s">
        <v>20</v>
      </c>
      <c r="D17" s="100"/>
      <c r="E17" s="100"/>
      <c r="F17" s="101">
        <f t="shared" si="2"/>
        <v>0</v>
      </c>
      <c r="G17" s="2"/>
      <c r="H17" s="21">
        <v>39</v>
      </c>
      <c r="I17" s="8"/>
      <c r="J17" s="254"/>
      <c r="K17" s="8"/>
      <c r="L17" s="8"/>
      <c r="M17" s="39"/>
      <c r="P17">
        <f>MEDIAN(_xlfn._xlws.SORT(G2:G12))</f>
        <v>7772.5</v>
      </c>
    </row>
    <row r="18" spans="1:16" x14ac:dyDescent="0.25">
      <c r="A18" s="20">
        <v>25</v>
      </c>
      <c r="B18" s="20" t="s">
        <v>33</v>
      </c>
      <c r="C18" s="20" t="s">
        <v>20</v>
      </c>
      <c r="D18" s="100"/>
      <c r="E18" s="100"/>
      <c r="F18" s="101">
        <f t="shared" si="2"/>
        <v>0</v>
      </c>
      <c r="G18" s="2"/>
      <c r="H18" s="21">
        <v>39</v>
      </c>
      <c r="I18" s="8"/>
      <c r="J18" s="254"/>
      <c r="K18" s="8"/>
      <c r="L18" s="8"/>
      <c r="M18" s="39"/>
    </row>
    <row r="19" spans="1:16" x14ac:dyDescent="0.25">
      <c r="A19" s="20">
        <v>41</v>
      </c>
      <c r="B19" s="20" t="s">
        <v>34</v>
      </c>
      <c r="C19" s="20" t="s">
        <v>19</v>
      </c>
      <c r="D19" s="100"/>
      <c r="E19" s="100"/>
      <c r="F19" s="101">
        <f t="shared" si="2"/>
        <v>0</v>
      </c>
      <c r="G19" s="2"/>
      <c r="H19" s="21">
        <v>12</v>
      </c>
      <c r="I19" s="8"/>
      <c r="J19" s="254"/>
      <c r="K19" s="8"/>
      <c r="L19" s="39"/>
      <c r="M19" s="23"/>
    </row>
    <row r="20" spans="1:16" x14ac:dyDescent="0.25">
      <c r="A20" s="20">
        <v>42</v>
      </c>
      <c r="B20" s="20" t="s">
        <v>35</v>
      </c>
      <c r="C20" s="20" t="s">
        <v>19</v>
      </c>
      <c r="D20" s="100"/>
      <c r="E20" s="100"/>
      <c r="F20" s="101">
        <f t="shared" si="2"/>
        <v>0</v>
      </c>
      <c r="G20" s="2"/>
      <c r="H20" s="21">
        <v>12</v>
      </c>
      <c r="I20" s="8"/>
      <c r="J20" s="254"/>
      <c r="K20" s="8"/>
      <c r="L20" s="39"/>
      <c r="M20" s="23"/>
    </row>
    <row r="21" spans="1:16" x14ac:dyDescent="0.25">
      <c r="A21" s="20">
        <v>43</v>
      </c>
      <c r="B21" s="20" t="s">
        <v>36</v>
      </c>
      <c r="C21" s="20" t="s">
        <v>19</v>
      </c>
      <c r="D21" s="100"/>
      <c r="E21" s="100"/>
      <c r="F21" s="101">
        <f t="shared" si="2"/>
        <v>0</v>
      </c>
      <c r="G21" s="2"/>
      <c r="H21" s="21">
        <v>12</v>
      </c>
      <c r="I21" s="8"/>
      <c r="J21" s="254"/>
      <c r="K21" s="8"/>
      <c r="L21" s="39"/>
      <c r="M21" s="23"/>
    </row>
    <row r="22" spans="1:16" x14ac:dyDescent="0.25">
      <c r="A22" s="20">
        <v>44</v>
      </c>
      <c r="B22" s="20" t="s">
        <v>37</v>
      </c>
      <c r="C22" s="20" t="s">
        <v>19</v>
      </c>
      <c r="D22" s="100"/>
      <c r="E22" s="100"/>
      <c r="F22" s="101">
        <f t="shared" si="2"/>
        <v>0</v>
      </c>
      <c r="G22" s="2"/>
      <c r="H22" s="21">
        <v>12</v>
      </c>
      <c r="I22" s="8"/>
      <c r="J22" s="254"/>
      <c r="K22" s="8"/>
      <c r="L22" s="39"/>
      <c r="M22" s="23"/>
    </row>
    <row r="23" spans="1:16" x14ac:dyDescent="0.25">
      <c r="A23" s="20">
        <v>50</v>
      </c>
      <c r="B23" s="20" t="s">
        <v>38</v>
      </c>
      <c r="C23" s="20" t="s">
        <v>38</v>
      </c>
      <c r="D23" s="100"/>
      <c r="E23" s="100"/>
      <c r="F23" s="101">
        <f t="shared" si="2"/>
        <v>0</v>
      </c>
      <c r="G23" s="2"/>
      <c r="H23" s="482">
        <v>0</v>
      </c>
      <c r="I23" s="8"/>
      <c r="J23" s="254"/>
      <c r="K23" s="8"/>
      <c r="L23" s="39"/>
      <c r="M23" s="23"/>
    </row>
    <row r="24" spans="1:16" x14ac:dyDescent="0.25">
      <c r="A24" s="20">
        <v>60</v>
      </c>
      <c r="B24" s="20" t="s">
        <v>39</v>
      </c>
      <c r="C24" s="20" t="s">
        <v>19</v>
      </c>
      <c r="D24" s="100"/>
      <c r="E24" s="100"/>
      <c r="F24" s="101">
        <f t="shared" si="2"/>
        <v>0</v>
      </c>
      <c r="G24" s="2"/>
      <c r="H24" s="21">
        <v>39</v>
      </c>
      <c r="I24" s="8"/>
      <c r="J24" s="254"/>
      <c r="K24" s="8"/>
      <c r="L24" s="39"/>
      <c r="M24" s="23"/>
    </row>
    <row r="25" spans="1:16" x14ac:dyDescent="0.25">
      <c r="A25" s="20">
        <v>72</v>
      </c>
      <c r="B25" s="20" t="s">
        <v>48</v>
      </c>
      <c r="C25" s="20"/>
      <c r="D25" s="100"/>
      <c r="E25" s="100"/>
      <c r="F25" s="101">
        <f t="shared" si="2"/>
        <v>0</v>
      </c>
      <c r="G25" s="2"/>
      <c r="H25" s="21"/>
      <c r="I25" s="8"/>
      <c r="J25" s="254"/>
      <c r="K25" s="8"/>
      <c r="L25" s="8"/>
      <c r="M25" s="23"/>
    </row>
    <row r="26" spans="1:16" x14ac:dyDescent="0.25">
      <c r="A26" s="20">
        <v>73</v>
      </c>
      <c r="B26" s="20" t="s">
        <v>40</v>
      </c>
      <c r="C26" s="20" t="s">
        <v>57</v>
      </c>
      <c r="D26" s="100">
        <v>176.06754999999998</v>
      </c>
      <c r="E26" s="100">
        <v>13.274402999999998</v>
      </c>
      <c r="F26" s="101">
        <f t="shared" si="2"/>
        <v>0</v>
      </c>
      <c r="G26" s="2"/>
      <c r="H26" s="21"/>
      <c r="I26" s="8"/>
      <c r="J26" s="254">
        <f>+E26/D26</f>
        <v>7.5393807660752932E-2</v>
      </c>
      <c r="K26" s="8"/>
      <c r="L26" s="8"/>
      <c r="M26" s="39">
        <f>1-J26</f>
        <v>0.92460619233924701</v>
      </c>
    </row>
    <row r="27" spans="1:16" x14ac:dyDescent="0.25">
      <c r="D27" s="104"/>
      <c r="E27" s="104"/>
      <c r="F27" s="104"/>
    </row>
    <row r="28" spans="1:16" x14ac:dyDescent="0.25">
      <c r="C28" s="2" t="s">
        <v>260</v>
      </c>
      <c r="D28" s="101">
        <f>SUM(D2:D12)</f>
        <v>28453.460000000003</v>
      </c>
      <c r="E28" s="101">
        <f>SUM(E2:E12)</f>
        <v>4739.1100000000006</v>
      </c>
      <c r="F28" s="101">
        <f>SUM(F2:F12)</f>
        <v>18971.48</v>
      </c>
    </row>
    <row r="29" spans="1:16" x14ac:dyDescent="0.25">
      <c r="C29" s="2" t="s">
        <v>20</v>
      </c>
      <c r="D29" s="101">
        <f>SUM(D13:D26)</f>
        <v>1388.06755</v>
      </c>
      <c r="E29" s="101">
        <f>SUM(E13:E26)</f>
        <v>15.274402999999998</v>
      </c>
      <c r="F29" s="101">
        <f>SUM(F13:F26)</f>
        <v>0</v>
      </c>
    </row>
    <row r="30" spans="1:16" x14ac:dyDescent="0.25">
      <c r="C30" s="2" t="s">
        <v>203</v>
      </c>
      <c r="D30" s="101">
        <f>D28+D29</f>
        <v>29841.527550000003</v>
      </c>
      <c r="E30" s="101">
        <f>E28+E29</f>
        <v>4754.3844030000009</v>
      </c>
      <c r="F30" s="101">
        <f>F28+F29</f>
        <v>18971.48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 tint="0.39997558519241921"/>
  </sheetPr>
  <dimension ref="A1:M41"/>
  <sheetViews>
    <sheetView workbookViewId="0">
      <selection activeCell="D17" sqref="D17:I23"/>
    </sheetView>
  </sheetViews>
  <sheetFormatPr defaultRowHeight="15" x14ac:dyDescent="0.25"/>
  <cols>
    <col min="1" max="1" width="43.140625" bestFit="1" customWidth="1"/>
    <col min="2" max="2" width="20.85546875" bestFit="1" customWidth="1"/>
    <col min="3" max="3" width="16.7109375" customWidth="1"/>
    <col min="4" max="4" width="12.42578125" customWidth="1"/>
    <col min="5" max="5" width="25.42578125" customWidth="1"/>
    <col min="6" max="9" width="12.42578125" customWidth="1"/>
  </cols>
  <sheetData>
    <row r="1" spans="1:13" x14ac:dyDescent="0.25">
      <c r="A1" s="9" t="s">
        <v>0</v>
      </c>
      <c r="B1" s="26" t="s">
        <v>291</v>
      </c>
      <c r="C1" s="2"/>
      <c r="D1" s="2"/>
      <c r="F1" s="2"/>
      <c r="G1" s="2"/>
      <c r="H1" s="2"/>
      <c r="I1" s="2"/>
      <c r="J1" s="3"/>
      <c r="K1" s="2"/>
      <c r="L1" s="2"/>
      <c r="M1" s="2"/>
    </row>
    <row r="2" spans="1:13" x14ac:dyDescent="0.25">
      <c r="A2" t="s">
        <v>1</v>
      </c>
      <c r="B2" s="257">
        <v>40.590000000000003</v>
      </c>
      <c r="C2" t="s">
        <v>2</v>
      </c>
      <c r="F2" s="2"/>
      <c r="G2" s="2"/>
      <c r="H2" s="2"/>
      <c r="I2" s="2"/>
      <c r="J2" s="3"/>
      <c r="K2" s="2"/>
      <c r="L2" s="2"/>
      <c r="M2" s="2"/>
    </row>
    <row r="3" spans="1:13" x14ac:dyDescent="0.25">
      <c r="A3" t="s">
        <v>3</v>
      </c>
      <c r="B3" s="72">
        <v>28629.527550000003</v>
      </c>
      <c r="C3" t="s">
        <v>4</v>
      </c>
      <c r="F3" s="2"/>
      <c r="G3" s="2"/>
      <c r="H3" s="2"/>
      <c r="I3" s="2"/>
      <c r="J3" s="3"/>
      <c r="K3" s="2"/>
      <c r="L3" s="2"/>
      <c r="M3" s="2"/>
    </row>
    <row r="4" spans="1:13" x14ac:dyDescent="0.25">
      <c r="A4" t="s">
        <v>5</v>
      </c>
      <c r="B4" s="72"/>
      <c r="C4" t="s">
        <v>6</v>
      </c>
      <c r="F4" s="2"/>
      <c r="G4" s="2"/>
      <c r="H4" s="2"/>
      <c r="I4" s="2"/>
      <c r="J4" s="2"/>
      <c r="K4" s="2"/>
      <c r="L4" s="2"/>
      <c r="M4" s="2"/>
    </row>
    <row r="5" spans="1:13" x14ac:dyDescent="0.25">
      <c r="A5" t="s">
        <v>7</v>
      </c>
      <c r="B5" s="72"/>
      <c r="C5" t="s">
        <v>6</v>
      </c>
      <c r="F5" s="2"/>
      <c r="G5" s="2"/>
      <c r="H5" s="2"/>
      <c r="I5" s="2"/>
      <c r="J5" s="2"/>
      <c r="K5" s="2"/>
      <c r="L5" s="2"/>
      <c r="M5" s="2"/>
    </row>
    <row r="6" spans="1:13" s="2" customFormat="1" x14ac:dyDescent="0.25">
      <c r="B6" s="73"/>
    </row>
    <row r="7" spans="1:13" s="2" customFormat="1" x14ac:dyDescent="0.25">
      <c r="A7" s="69" t="s">
        <v>225</v>
      </c>
      <c r="B7" s="73"/>
    </row>
    <row r="8" spans="1:13" s="2" customFormat="1" x14ac:dyDescent="0.25">
      <c r="A8" s="2" t="s">
        <v>226</v>
      </c>
      <c r="B8" s="74">
        <v>24521</v>
      </c>
    </row>
    <row r="9" spans="1:13" s="2" customFormat="1" x14ac:dyDescent="0.25">
      <c r="A9" s="2" t="s">
        <v>227</v>
      </c>
      <c r="B9" s="75">
        <v>2.7</v>
      </c>
    </row>
    <row r="10" spans="1:13" s="2" customFormat="1" x14ac:dyDescent="0.25">
      <c r="A10" s="2" t="s">
        <v>225</v>
      </c>
      <c r="B10" s="33">
        <f>ROUND(+'Watershed Data'!B8*'Watershed Data'!B9,0)</f>
        <v>66207</v>
      </c>
    </row>
    <row r="11" spans="1:13" s="2" customFormat="1" x14ac:dyDescent="0.25">
      <c r="A11" t="s">
        <v>228</v>
      </c>
      <c r="B11" s="20">
        <v>70</v>
      </c>
    </row>
    <row r="12" spans="1:13" s="2" customFormat="1" x14ac:dyDescent="0.25">
      <c r="A12"/>
      <c r="B12"/>
    </row>
    <row r="13" spans="1:13" s="2" customFormat="1" x14ac:dyDescent="0.25">
      <c r="B13" s="32"/>
    </row>
    <row r="14" spans="1:13" x14ac:dyDescent="0.25">
      <c r="B14" s="4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10" t="s">
        <v>15</v>
      </c>
      <c r="B15" s="1"/>
      <c r="C15" s="1"/>
      <c r="D15" s="1"/>
      <c r="E15" s="1"/>
      <c r="F15" s="1"/>
      <c r="G15" s="1"/>
      <c r="H15" s="1"/>
      <c r="I15" s="1"/>
    </row>
    <row r="16" spans="1:13" x14ac:dyDescent="0.25">
      <c r="B16" t="s">
        <v>16</v>
      </c>
      <c r="F16" t="s">
        <v>17</v>
      </c>
    </row>
    <row r="17" spans="1:13" x14ac:dyDescent="0.25">
      <c r="A17" s="1"/>
      <c r="B17" s="1"/>
      <c r="C17" s="1"/>
      <c r="D17" s="11" t="s">
        <v>22</v>
      </c>
      <c r="E17" s="11" t="s">
        <v>18</v>
      </c>
      <c r="F17" s="11" t="s">
        <v>19</v>
      </c>
      <c r="G17" s="11" t="s">
        <v>20</v>
      </c>
      <c r="H17" s="1" t="s">
        <v>57</v>
      </c>
      <c r="I17" s="1" t="s">
        <v>38</v>
      </c>
    </row>
    <row r="18" spans="1:13" x14ac:dyDescent="0.25">
      <c r="A18" t="s">
        <v>21</v>
      </c>
    </row>
    <row r="19" spans="1:13" x14ac:dyDescent="0.25">
      <c r="A19" t="s">
        <v>506</v>
      </c>
      <c r="B19" s="496">
        <v>0.1377656275173923</v>
      </c>
      <c r="C19" s="126"/>
      <c r="D19" s="258">
        <v>0.95</v>
      </c>
      <c r="E19" s="258">
        <v>0.15</v>
      </c>
      <c r="F19" s="258">
        <v>0.02</v>
      </c>
      <c r="G19" s="258">
        <v>0.02</v>
      </c>
      <c r="H19" s="258">
        <v>0.5</v>
      </c>
      <c r="I19" s="258">
        <v>1</v>
      </c>
    </row>
    <row r="20" spans="1:13" x14ac:dyDescent="0.25">
      <c r="A20" t="s">
        <v>507</v>
      </c>
      <c r="B20" s="496">
        <v>0.54099456124874135</v>
      </c>
      <c r="C20" s="126"/>
      <c r="D20" s="258">
        <v>0.95</v>
      </c>
      <c r="E20" s="258">
        <v>0.2</v>
      </c>
      <c r="F20" s="258">
        <v>0.03</v>
      </c>
      <c r="G20" s="258">
        <v>0.03</v>
      </c>
      <c r="H20" s="258">
        <v>0.5</v>
      </c>
      <c r="I20" s="258">
        <v>1</v>
      </c>
    </row>
    <row r="21" spans="1:13" x14ac:dyDescent="0.25">
      <c r="A21" t="s">
        <v>504</v>
      </c>
      <c r="B21" s="496">
        <v>0.25352284198956293</v>
      </c>
      <c r="C21" s="126"/>
      <c r="D21" s="258">
        <v>0.95</v>
      </c>
      <c r="E21" s="258">
        <v>0.22</v>
      </c>
      <c r="F21" s="258">
        <v>0.04</v>
      </c>
      <c r="G21" s="258">
        <v>0.04</v>
      </c>
      <c r="H21" s="258">
        <v>0.5</v>
      </c>
      <c r="I21" s="258">
        <v>1</v>
      </c>
    </row>
    <row r="22" spans="1:13" x14ac:dyDescent="0.25">
      <c r="A22" t="s">
        <v>508</v>
      </c>
      <c r="B22" s="19">
        <v>6.7863221717286842E-2</v>
      </c>
      <c r="C22" s="126"/>
      <c r="D22" s="259">
        <v>0.95</v>
      </c>
      <c r="E22" s="259">
        <v>0.25</v>
      </c>
      <c r="F22" s="259">
        <v>0.05</v>
      </c>
      <c r="G22" s="259">
        <v>0.05</v>
      </c>
      <c r="H22" s="259">
        <v>0.5</v>
      </c>
      <c r="I22" s="259">
        <v>1</v>
      </c>
    </row>
    <row r="23" spans="1:13" x14ac:dyDescent="0.25">
      <c r="D23" s="31">
        <f t="shared" ref="D23:I23" si="0">SUMPRODUCT($B19:$B22,D19:D22)</f>
        <v>0.95013893984933417</v>
      </c>
      <c r="E23" s="31">
        <f t="shared" si="0"/>
        <v>0.20160458704438267</v>
      </c>
      <c r="F23" s="31">
        <f t="shared" si="0"/>
        <v>3.2519224153256948E-2</v>
      </c>
      <c r="G23" s="31">
        <f t="shared" si="0"/>
        <v>3.2519224153256948E-2</v>
      </c>
      <c r="H23" s="31">
        <f t="shared" si="0"/>
        <v>0.50007312623649169</v>
      </c>
      <c r="I23" s="31">
        <f t="shared" si="0"/>
        <v>1.0001462524729834</v>
      </c>
    </row>
    <row r="24" spans="1:13" x14ac:dyDescent="0.25">
      <c r="A24" s="499" t="s">
        <v>344</v>
      </c>
      <c r="B24" s="499" t="s">
        <v>322</v>
      </c>
      <c r="C24" s="500" t="s">
        <v>605</v>
      </c>
      <c r="D24" s="499"/>
    </row>
    <row r="27" spans="1:13" x14ac:dyDescent="0.25">
      <c r="A27" s="501" t="s">
        <v>8</v>
      </c>
      <c r="B27" s="502"/>
      <c r="C27" s="503" t="s">
        <v>605</v>
      </c>
      <c r="D27" s="502"/>
      <c r="E27" s="50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499" t="s">
        <v>9</v>
      </c>
      <c r="B28" s="504" t="s">
        <v>10</v>
      </c>
      <c r="C28" s="504" t="s">
        <v>11</v>
      </c>
      <c r="D28" s="504" t="s">
        <v>12</v>
      </c>
      <c r="E28" s="504" t="s">
        <v>13</v>
      </c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499" t="s">
        <v>14</v>
      </c>
      <c r="B29" s="505">
        <v>0.5</v>
      </c>
      <c r="C29" s="505">
        <v>0.7</v>
      </c>
      <c r="D29" s="505">
        <v>0.9</v>
      </c>
      <c r="E29" s="505">
        <v>1</v>
      </c>
      <c r="F29" s="2"/>
      <c r="G29" s="2"/>
      <c r="H29" s="2"/>
      <c r="I29" s="2"/>
      <c r="J29" s="2"/>
      <c r="K29" s="2"/>
      <c r="L29" s="2"/>
      <c r="M29" s="2"/>
    </row>
    <row r="30" spans="1:13" x14ac:dyDescent="0.25">
      <c r="A30" s="499"/>
      <c r="B30" s="505"/>
      <c r="C30" s="505"/>
      <c r="D30" s="505"/>
      <c r="E30" s="505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H31" s="2"/>
      <c r="I31" s="2"/>
      <c r="J31" s="2"/>
      <c r="K31" s="2"/>
      <c r="L31" s="2"/>
      <c r="M31" s="2"/>
    </row>
    <row r="32" spans="1:13" x14ac:dyDescent="0.25">
      <c r="A32" s="506" t="s">
        <v>453</v>
      </c>
      <c r="B32" s="500" t="s">
        <v>605</v>
      </c>
      <c r="H32" s="2"/>
      <c r="I32" s="2"/>
      <c r="J32" s="2"/>
      <c r="K32" s="2"/>
      <c r="L32" s="2"/>
      <c r="M32" s="2"/>
    </row>
    <row r="33" spans="1:13" x14ac:dyDescent="0.25">
      <c r="A33" s="507" t="s">
        <v>322</v>
      </c>
      <c r="B33" s="499"/>
      <c r="H33" s="2"/>
      <c r="I33" s="2"/>
      <c r="J33" s="2"/>
      <c r="K33" s="2"/>
      <c r="L33" s="2"/>
      <c r="M33" s="2"/>
    </row>
    <row r="34" spans="1:13" x14ac:dyDescent="0.25">
      <c r="A34" s="508" t="s">
        <v>337</v>
      </c>
      <c r="B34" s="499"/>
      <c r="H34" s="2"/>
      <c r="I34" s="2"/>
      <c r="J34" s="2"/>
      <c r="K34" s="2"/>
      <c r="L34" s="2"/>
      <c r="M34" s="2"/>
    </row>
    <row r="35" spans="1:13" x14ac:dyDescent="0.25">
      <c r="A35" s="164"/>
      <c r="H35" s="2"/>
      <c r="I35" s="2"/>
      <c r="J35" s="2"/>
      <c r="K35" s="2"/>
      <c r="L35" s="2"/>
      <c r="M35" s="2"/>
    </row>
    <row r="36" spans="1:13" x14ac:dyDescent="0.25">
      <c r="H36" s="2"/>
      <c r="I36" s="2"/>
      <c r="J36" s="2"/>
      <c r="K36" s="2"/>
      <c r="L36" s="2"/>
      <c r="M36" s="2"/>
    </row>
    <row r="37" spans="1:13" x14ac:dyDescent="0.25">
      <c r="A37" s="212" t="s">
        <v>454</v>
      </c>
      <c r="B37" s="213"/>
      <c r="C37" s="213"/>
      <c r="D37" s="213"/>
      <c r="E37" s="213"/>
      <c r="F37" s="214"/>
    </row>
    <row r="38" spans="1:13" ht="45" x14ac:dyDescent="0.25">
      <c r="A38" s="215" t="s">
        <v>351</v>
      </c>
      <c r="B38" s="216" t="s">
        <v>352</v>
      </c>
      <c r="C38" s="216" t="s">
        <v>348</v>
      </c>
      <c r="D38" s="216" t="s">
        <v>349</v>
      </c>
      <c r="E38" s="216" t="s">
        <v>346</v>
      </c>
      <c r="F38" s="217" t="s">
        <v>347</v>
      </c>
    </row>
    <row r="39" spans="1:13" x14ac:dyDescent="0.25">
      <c r="A39" s="218" t="s">
        <v>334</v>
      </c>
      <c r="B39" s="219">
        <v>0</v>
      </c>
      <c r="C39" s="220" t="s">
        <v>335</v>
      </c>
      <c r="D39" s="220">
        <v>0.05</v>
      </c>
      <c r="E39" s="221" t="s">
        <v>336</v>
      </c>
      <c r="F39" s="222">
        <v>0.1</v>
      </c>
    </row>
    <row r="40" spans="1:13" x14ac:dyDescent="0.25">
      <c r="A40" s="218" t="s">
        <v>338</v>
      </c>
      <c r="B40" s="219">
        <v>0.05</v>
      </c>
      <c r="C40" s="220" t="s">
        <v>339</v>
      </c>
      <c r="D40" s="220">
        <v>0</v>
      </c>
      <c r="E40" s="221" t="s">
        <v>340</v>
      </c>
      <c r="F40" s="222">
        <v>0</v>
      </c>
    </row>
    <row r="41" spans="1:13" x14ac:dyDescent="0.25">
      <c r="A41" s="223" t="s">
        <v>341</v>
      </c>
      <c r="B41" s="224">
        <v>0.05</v>
      </c>
      <c r="C41" s="224" t="s">
        <v>342</v>
      </c>
      <c r="D41" s="224">
        <v>0</v>
      </c>
      <c r="E41" s="225" t="s">
        <v>343</v>
      </c>
      <c r="F41" s="226">
        <v>-0.05</v>
      </c>
    </row>
  </sheetData>
  <dataValidations disablePrompts="1" xWindow="338" yWindow="1012" count="1">
    <dataValidation type="list" allowBlank="1" showInputMessage="1" showErrorMessage="1" promptTitle="Select" prompt="Soil Type" sqref="B24" xr:uid="{00000000-0002-0000-0300-000000000000}">
      <formula1>Soil_Type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 tint="0.39997558519241921"/>
  </sheetPr>
  <dimension ref="A1:N73"/>
  <sheetViews>
    <sheetView topLeftCell="D10" workbookViewId="0">
      <selection activeCell="M12" sqref="M12"/>
    </sheetView>
  </sheetViews>
  <sheetFormatPr defaultColWidth="9.140625" defaultRowHeight="15" x14ac:dyDescent="0.25"/>
  <cols>
    <col min="1" max="1" width="9.140625" style="6"/>
    <col min="2" max="2" width="24.140625" style="6" bestFit="1" customWidth="1"/>
    <col min="3" max="3" width="9.140625" style="6"/>
    <col min="4" max="4" width="43.140625" style="6" bestFit="1" customWidth="1"/>
    <col min="5" max="5" width="13.28515625" style="42" bestFit="1" customWidth="1"/>
    <col min="6" max="6" width="13.140625" style="41" bestFit="1" customWidth="1"/>
    <col min="7" max="10" width="14.42578125" style="41" customWidth="1"/>
    <col min="11" max="11" width="9.140625" style="6"/>
    <col min="12" max="12" width="12.5703125" style="6" bestFit="1" customWidth="1"/>
    <col min="13" max="16384" width="9.140625" style="6"/>
  </cols>
  <sheetData>
    <row r="1" spans="1:14" ht="15.75" x14ac:dyDescent="0.25">
      <c r="A1" s="158" t="s">
        <v>311</v>
      </c>
      <c r="G1" s="239"/>
    </row>
    <row r="2" spans="1:14" x14ac:dyDescent="0.25">
      <c r="A2" s="6" t="s">
        <v>188</v>
      </c>
      <c r="B2" s="43" t="s">
        <v>183</v>
      </c>
      <c r="C2" s="43" t="s">
        <v>184</v>
      </c>
      <c r="D2" s="43" t="s">
        <v>185</v>
      </c>
      <c r="E2" s="48" t="s">
        <v>192</v>
      </c>
      <c r="F2" s="83" t="s">
        <v>244</v>
      </c>
      <c r="G2" s="83" t="s">
        <v>498</v>
      </c>
      <c r="H2" s="83" t="s">
        <v>499</v>
      </c>
      <c r="I2" s="83" t="s">
        <v>500</v>
      </c>
      <c r="J2" s="83" t="s">
        <v>501</v>
      </c>
      <c r="L2" s="40" t="s">
        <v>196</v>
      </c>
    </row>
    <row r="3" spans="1:14" x14ac:dyDescent="0.25">
      <c r="A3" s="6">
        <v>1</v>
      </c>
      <c r="B3" s="44" t="s">
        <v>175</v>
      </c>
      <c r="C3" s="45" t="s">
        <v>65</v>
      </c>
      <c r="D3" s="46" t="s">
        <v>83</v>
      </c>
      <c r="E3" s="49"/>
      <c r="F3" s="84">
        <v>0.6</v>
      </c>
      <c r="G3" s="84">
        <v>0.6</v>
      </c>
      <c r="H3" s="84">
        <v>0.6</v>
      </c>
      <c r="I3" s="84">
        <v>0.6</v>
      </c>
      <c r="J3" s="84">
        <v>0.6</v>
      </c>
      <c r="L3" s="6" t="s">
        <v>219</v>
      </c>
      <c r="M3" s="6" t="s">
        <v>223</v>
      </c>
    </row>
    <row r="4" spans="1:14" x14ac:dyDescent="0.25">
      <c r="A4" s="6">
        <v>2</v>
      </c>
      <c r="B4" s="44" t="s">
        <v>175</v>
      </c>
      <c r="C4" s="45" t="s">
        <v>66</v>
      </c>
      <c r="D4" s="46" t="s">
        <v>240</v>
      </c>
      <c r="E4" s="49"/>
      <c r="F4" s="84">
        <v>0.6</v>
      </c>
      <c r="G4" s="84">
        <v>0.6</v>
      </c>
      <c r="H4" s="84">
        <v>0.6</v>
      </c>
      <c r="I4" s="84">
        <v>0.6</v>
      </c>
      <c r="J4" s="84">
        <v>0.6</v>
      </c>
    </row>
    <row r="5" spans="1:14" x14ac:dyDescent="0.25">
      <c r="A5" s="6">
        <v>3</v>
      </c>
      <c r="B5" s="44" t="s">
        <v>175</v>
      </c>
      <c r="C5" s="45" t="s">
        <v>67</v>
      </c>
      <c r="D5" s="46" t="s">
        <v>84</v>
      </c>
      <c r="E5" s="49"/>
      <c r="F5" s="84">
        <v>0.75</v>
      </c>
      <c r="G5" s="84">
        <v>0.75</v>
      </c>
      <c r="H5" s="84">
        <v>0.75</v>
      </c>
      <c r="I5" s="84">
        <v>0.45</v>
      </c>
      <c r="J5" s="84">
        <v>0.45</v>
      </c>
      <c r="L5" s="6" t="s">
        <v>193</v>
      </c>
      <c r="M5" s="6" t="s">
        <v>212</v>
      </c>
    </row>
    <row r="6" spans="1:14" x14ac:dyDescent="0.25">
      <c r="A6" s="6">
        <v>4</v>
      </c>
      <c r="B6" s="44" t="s">
        <v>175</v>
      </c>
      <c r="C6" s="45" t="s">
        <v>68</v>
      </c>
      <c r="D6" s="46" t="s">
        <v>85</v>
      </c>
      <c r="E6" s="49"/>
      <c r="F6" s="84">
        <v>0.75</v>
      </c>
      <c r="G6" s="84">
        <v>0.75</v>
      </c>
      <c r="H6" s="84">
        <v>0.75</v>
      </c>
      <c r="I6" s="84">
        <v>0.45</v>
      </c>
      <c r="J6" s="84">
        <v>0.45</v>
      </c>
      <c r="M6" s="43">
        <v>0.9</v>
      </c>
      <c r="N6" s="6" t="s">
        <v>214</v>
      </c>
    </row>
    <row r="7" spans="1:14" x14ac:dyDescent="0.25">
      <c r="A7" s="6">
        <v>5</v>
      </c>
      <c r="B7" s="44" t="s">
        <v>176</v>
      </c>
      <c r="C7" s="45" t="s">
        <v>81</v>
      </c>
      <c r="D7" s="46" t="s">
        <v>98</v>
      </c>
      <c r="E7" s="49"/>
      <c r="F7" s="84">
        <v>0.5</v>
      </c>
      <c r="G7" s="84">
        <v>0.5</v>
      </c>
      <c r="H7" s="84">
        <v>0.5</v>
      </c>
      <c r="I7" s="84">
        <v>0.25</v>
      </c>
      <c r="J7" s="84">
        <v>0.25</v>
      </c>
      <c r="L7" s="6" t="s">
        <v>194</v>
      </c>
      <c r="M7" s="6" t="s">
        <v>213</v>
      </c>
    </row>
    <row r="8" spans="1:14" x14ac:dyDescent="0.25">
      <c r="A8" s="6">
        <v>6</v>
      </c>
      <c r="B8" s="44" t="s">
        <v>176</v>
      </c>
      <c r="C8" s="45" t="s">
        <v>80</v>
      </c>
      <c r="D8" s="46" t="s">
        <v>97</v>
      </c>
      <c r="E8" s="49"/>
      <c r="F8" s="84">
        <v>0.5</v>
      </c>
      <c r="G8" s="84">
        <v>0.5</v>
      </c>
      <c r="H8" s="84">
        <v>0.5</v>
      </c>
      <c r="I8" s="84">
        <v>0.25</v>
      </c>
      <c r="J8" s="84">
        <v>0.25</v>
      </c>
      <c r="M8" s="43">
        <v>1.2</v>
      </c>
      <c r="N8" s="5" t="s">
        <v>215</v>
      </c>
    </row>
    <row r="9" spans="1:14" x14ac:dyDescent="0.25">
      <c r="A9" s="6">
        <v>7</v>
      </c>
      <c r="B9" s="44" t="s">
        <v>176</v>
      </c>
      <c r="C9" s="45" t="s">
        <v>82</v>
      </c>
      <c r="D9" s="46" t="s">
        <v>99</v>
      </c>
      <c r="E9" s="49"/>
      <c r="F9" s="84">
        <v>0.75</v>
      </c>
      <c r="G9" s="84">
        <v>0.75</v>
      </c>
      <c r="H9" s="84">
        <v>0.75</v>
      </c>
      <c r="I9" s="84">
        <v>0.5</v>
      </c>
      <c r="J9" s="84">
        <v>0.5</v>
      </c>
      <c r="M9" s="66">
        <v>1</v>
      </c>
      <c r="N9" s="509" t="s">
        <v>216</v>
      </c>
    </row>
    <row r="10" spans="1:14" x14ac:dyDescent="0.25">
      <c r="A10" s="6">
        <v>8</v>
      </c>
      <c r="B10" s="45" t="s">
        <v>177</v>
      </c>
      <c r="C10" s="45" t="s">
        <v>75</v>
      </c>
      <c r="D10" s="46" t="s">
        <v>92</v>
      </c>
      <c r="E10" s="49"/>
      <c r="F10" s="84">
        <v>0.4</v>
      </c>
      <c r="G10" s="84">
        <v>0.4</v>
      </c>
      <c r="H10" s="84">
        <v>0.4</v>
      </c>
      <c r="I10" s="84">
        <v>0.4</v>
      </c>
      <c r="J10" s="84">
        <v>0.4</v>
      </c>
      <c r="M10" s="44">
        <v>0.8</v>
      </c>
      <c r="N10" s="509" t="s">
        <v>217</v>
      </c>
    </row>
    <row r="11" spans="1:14" x14ac:dyDescent="0.25">
      <c r="A11" s="6">
        <v>9</v>
      </c>
      <c r="B11" s="45" t="s">
        <v>177</v>
      </c>
      <c r="C11" s="45" t="s">
        <v>76</v>
      </c>
      <c r="D11" s="46" t="s">
        <v>93</v>
      </c>
      <c r="E11" s="49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L11" s="5" t="s">
        <v>195</v>
      </c>
      <c r="M11" s="6" t="s">
        <v>218</v>
      </c>
    </row>
    <row r="12" spans="1:14" x14ac:dyDescent="0.25">
      <c r="A12" s="6">
        <v>10</v>
      </c>
      <c r="B12" s="45" t="s">
        <v>177</v>
      </c>
      <c r="C12" s="45" t="s">
        <v>72</v>
      </c>
      <c r="D12" s="46" t="s">
        <v>89</v>
      </c>
      <c r="E12" s="49">
        <v>0.85</v>
      </c>
      <c r="F12" s="84">
        <v>0.9</v>
      </c>
      <c r="G12" s="84">
        <v>0.9</v>
      </c>
      <c r="H12" s="84">
        <v>0.9</v>
      </c>
      <c r="I12" s="84">
        <v>0.5</v>
      </c>
      <c r="J12" s="84">
        <v>0.5</v>
      </c>
      <c r="M12" s="43">
        <v>0.9</v>
      </c>
      <c r="N12" s="5" t="s">
        <v>220</v>
      </c>
    </row>
    <row r="13" spans="1:14" x14ac:dyDescent="0.25">
      <c r="A13" s="6">
        <v>11</v>
      </c>
      <c r="B13" s="45" t="s">
        <v>177</v>
      </c>
      <c r="C13" s="45" t="s">
        <v>70</v>
      </c>
      <c r="D13" s="46" t="s">
        <v>87</v>
      </c>
      <c r="E13" s="49">
        <v>0.85</v>
      </c>
      <c r="F13" s="84">
        <v>0.9</v>
      </c>
      <c r="G13" s="84">
        <v>0.9</v>
      </c>
      <c r="H13" s="84">
        <v>0.9</v>
      </c>
      <c r="I13" s="84">
        <v>0.5</v>
      </c>
      <c r="J13" s="84">
        <v>0.5</v>
      </c>
      <c r="M13" s="66">
        <v>0.6</v>
      </c>
      <c r="N13" s="509" t="s">
        <v>221</v>
      </c>
    </row>
    <row r="14" spans="1:14" x14ac:dyDescent="0.25">
      <c r="A14" s="6">
        <v>12</v>
      </c>
      <c r="B14" s="45" t="s">
        <v>177</v>
      </c>
      <c r="C14" s="45" t="s">
        <v>71</v>
      </c>
      <c r="D14" s="46" t="s">
        <v>88</v>
      </c>
      <c r="E14" s="49">
        <v>0.85</v>
      </c>
      <c r="F14" s="84">
        <v>0.9</v>
      </c>
      <c r="G14" s="84">
        <v>0.9</v>
      </c>
      <c r="H14" s="84">
        <v>0.9</v>
      </c>
      <c r="I14" s="84">
        <v>0.5</v>
      </c>
      <c r="J14" s="84">
        <v>0.5</v>
      </c>
      <c r="M14" s="44">
        <v>0.5</v>
      </c>
      <c r="N14" s="509" t="s">
        <v>222</v>
      </c>
    </row>
    <row r="15" spans="1:14" x14ac:dyDescent="0.25">
      <c r="A15" s="6">
        <v>13</v>
      </c>
      <c r="B15" s="45" t="s">
        <v>177</v>
      </c>
      <c r="C15" s="45" t="s">
        <v>73</v>
      </c>
      <c r="D15" s="46" t="s">
        <v>90</v>
      </c>
      <c r="E15" s="49">
        <v>0.5</v>
      </c>
      <c r="F15" s="84">
        <v>0.8</v>
      </c>
      <c r="G15" s="84">
        <v>0.8</v>
      </c>
      <c r="H15" s="84">
        <v>0.8</v>
      </c>
      <c r="I15" s="84">
        <v>0.4</v>
      </c>
      <c r="J15" s="84">
        <v>0.4</v>
      </c>
    </row>
    <row r="16" spans="1:14" x14ac:dyDescent="0.25">
      <c r="A16" s="6">
        <v>14</v>
      </c>
      <c r="B16" s="45" t="s">
        <v>177</v>
      </c>
      <c r="C16" s="45" t="s">
        <v>74</v>
      </c>
      <c r="D16" s="46" t="s">
        <v>91</v>
      </c>
      <c r="E16" s="49">
        <v>0.5</v>
      </c>
      <c r="F16" s="84">
        <v>0.8</v>
      </c>
      <c r="G16" s="84">
        <v>0.8</v>
      </c>
      <c r="H16" s="84">
        <v>0.8</v>
      </c>
      <c r="I16" s="84">
        <v>0.4</v>
      </c>
      <c r="J16" s="84">
        <v>0.4</v>
      </c>
    </row>
    <row r="17" spans="1:13" x14ac:dyDescent="0.25">
      <c r="A17" s="6">
        <v>15</v>
      </c>
      <c r="B17" s="45" t="s">
        <v>177</v>
      </c>
      <c r="C17" s="45" t="s">
        <v>78</v>
      </c>
      <c r="D17" s="46" t="s">
        <v>95</v>
      </c>
      <c r="E17" s="49">
        <v>0</v>
      </c>
      <c r="F17" s="84">
        <v>0.2</v>
      </c>
      <c r="G17" s="84">
        <v>0.2</v>
      </c>
      <c r="H17" s="84">
        <v>0.2</v>
      </c>
      <c r="I17" s="84">
        <v>0.1</v>
      </c>
      <c r="J17" s="84">
        <v>0.1</v>
      </c>
      <c r="M17" s="6" t="s">
        <v>253</v>
      </c>
    </row>
    <row r="18" spans="1:13" x14ac:dyDescent="0.25">
      <c r="A18" s="6">
        <v>16</v>
      </c>
      <c r="B18" s="45" t="s">
        <v>177</v>
      </c>
      <c r="C18" s="45" t="s">
        <v>79</v>
      </c>
      <c r="D18" s="46" t="s">
        <v>96</v>
      </c>
      <c r="E18" s="49"/>
      <c r="F18" s="84">
        <v>0</v>
      </c>
      <c r="G18" s="84">
        <v>0</v>
      </c>
      <c r="H18" s="84">
        <v>0</v>
      </c>
      <c r="I18" s="84">
        <v>0</v>
      </c>
      <c r="J18" s="84">
        <v>0</v>
      </c>
      <c r="M18" s="91"/>
    </row>
    <row r="19" spans="1:13" x14ac:dyDescent="0.25">
      <c r="A19" s="6">
        <v>17</v>
      </c>
      <c r="B19" s="45" t="s">
        <v>177</v>
      </c>
      <c r="C19" s="45" t="s">
        <v>77</v>
      </c>
      <c r="D19" s="46" t="s">
        <v>94</v>
      </c>
      <c r="E19" s="49">
        <v>0</v>
      </c>
      <c r="F19" s="84">
        <v>0.6</v>
      </c>
      <c r="G19" s="84">
        <v>0.6</v>
      </c>
      <c r="H19" s="84">
        <v>0.6</v>
      </c>
      <c r="I19" s="84">
        <v>0.4</v>
      </c>
      <c r="J19" s="84">
        <v>0.4</v>
      </c>
      <c r="M19" s="6" t="s">
        <v>266</v>
      </c>
    </row>
    <row r="20" spans="1:13" x14ac:dyDescent="0.25">
      <c r="A20" s="6">
        <v>18</v>
      </c>
      <c r="B20" s="45" t="s">
        <v>177</v>
      </c>
      <c r="C20" s="45" t="s">
        <v>69</v>
      </c>
      <c r="D20" s="46" t="s">
        <v>86</v>
      </c>
      <c r="E20" s="49"/>
      <c r="F20" s="84">
        <v>0</v>
      </c>
      <c r="G20" s="84">
        <v>0</v>
      </c>
      <c r="H20" s="84">
        <v>0</v>
      </c>
      <c r="I20" s="84">
        <v>0</v>
      </c>
      <c r="J20" s="84">
        <v>0</v>
      </c>
    </row>
    <row r="21" spans="1:13" x14ac:dyDescent="0.25">
      <c r="A21" s="6">
        <v>19</v>
      </c>
      <c r="B21" s="45" t="s">
        <v>180</v>
      </c>
      <c r="C21" s="44" t="s">
        <v>108</v>
      </c>
      <c r="D21" s="44" t="s">
        <v>101</v>
      </c>
      <c r="E21" s="49">
        <v>0.5</v>
      </c>
      <c r="F21" s="84">
        <v>0.8</v>
      </c>
      <c r="G21" s="84">
        <v>0.8</v>
      </c>
      <c r="H21" s="84">
        <v>0.8</v>
      </c>
      <c r="I21" s="84">
        <v>0.4</v>
      </c>
      <c r="J21" s="84">
        <v>0.4</v>
      </c>
    </row>
    <row r="22" spans="1:13" x14ac:dyDescent="0.25">
      <c r="A22" s="6">
        <v>20</v>
      </c>
      <c r="B22" s="45" t="s">
        <v>180</v>
      </c>
      <c r="C22" s="44" t="s">
        <v>111</v>
      </c>
      <c r="D22" s="44" t="s">
        <v>104</v>
      </c>
      <c r="E22" s="49">
        <v>0.8</v>
      </c>
      <c r="F22" s="84">
        <v>0</v>
      </c>
      <c r="G22" s="84">
        <v>0</v>
      </c>
      <c r="H22" s="84">
        <v>0</v>
      </c>
      <c r="I22" s="84">
        <v>0</v>
      </c>
      <c r="J22" s="84">
        <v>0</v>
      </c>
    </row>
    <row r="23" spans="1:13" x14ac:dyDescent="0.25">
      <c r="A23" s="6">
        <v>21</v>
      </c>
      <c r="B23" s="45" t="s">
        <v>180</v>
      </c>
      <c r="C23" s="44" t="s">
        <v>112</v>
      </c>
      <c r="D23" s="44" t="s">
        <v>105</v>
      </c>
      <c r="E23" s="49">
        <v>0.8</v>
      </c>
      <c r="F23" s="84">
        <v>0</v>
      </c>
      <c r="G23" s="84">
        <v>0</v>
      </c>
      <c r="H23" s="84">
        <v>0</v>
      </c>
      <c r="I23" s="84">
        <v>0</v>
      </c>
      <c r="J23" s="84">
        <v>0</v>
      </c>
    </row>
    <row r="24" spans="1:13" x14ac:dyDescent="0.25">
      <c r="A24" s="6">
        <v>22</v>
      </c>
      <c r="B24" s="45" t="s">
        <v>180</v>
      </c>
      <c r="C24" s="44" t="s">
        <v>110</v>
      </c>
      <c r="D24" s="44" t="s">
        <v>103</v>
      </c>
      <c r="E24" s="49">
        <v>0.8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</row>
    <row r="25" spans="1:13" x14ac:dyDescent="0.25">
      <c r="A25" s="6">
        <v>23</v>
      </c>
      <c r="B25" s="45" t="s">
        <v>180</v>
      </c>
      <c r="C25" s="44" t="s">
        <v>109</v>
      </c>
      <c r="D25" s="44" t="s">
        <v>102</v>
      </c>
      <c r="E25" s="49">
        <v>0.8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</row>
    <row r="26" spans="1:13" x14ac:dyDescent="0.25">
      <c r="A26" s="6">
        <v>24</v>
      </c>
      <c r="B26" s="45" t="s">
        <v>180</v>
      </c>
      <c r="C26" s="47" t="s">
        <v>181</v>
      </c>
      <c r="D26" s="44" t="s">
        <v>100</v>
      </c>
      <c r="E26" s="49"/>
      <c r="F26" s="84">
        <v>0</v>
      </c>
      <c r="G26" s="84">
        <v>0</v>
      </c>
      <c r="H26" s="84">
        <v>0</v>
      </c>
      <c r="I26" s="84">
        <v>0</v>
      </c>
      <c r="J26" s="84">
        <v>0</v>
      </c>
    </row>
    <row r="27" spans="1:13" x14ac:dyDescent="0.25">
      <c r="A27" s="6">
        <v>25</v>
      </c>
      <c r="B27" s="45" t="s">
        <v>182</v>
      </c>
      <c r="C27" s="44" t="s">
        <v>115</v>
      </c>
      <c r="D27" s="44" t="s">
        <v>117</v>
      </c>
      <c r="E27" s="49">
        <v>0</v>
      </c>
      <c r="F27" s="84">
        <v>0.6</v>
      </c>
      <c r="G27" s="84">
        <v>0.6</v>
      </c>
      <c r="H27" s="84">
        <v>0.6</v>
      </c>
      <c r="I27" s="84">
        <v>0.4</v>
      </c>
      <c r="J27" s="84">
        <v>0.4</v>
      </c>
    </row>
    <row r="28" spans="1:13" x14ac:dyDescent="0.25">
      <c r="A28" s="6">
        <v>26</v>
      </c>
      <c r="B28" s="45" t="s">
        <v>182</v>
      </c>
      <c r="C28" s="44" t="s">
        <v>116</v>
      </c>
      <c r="D28" s="44" t="s">
        <v>118</v>
      </c>
      <c r="E28" s="49"/>
      <c r="F28" s="84">
        <v>0</v>
      </c>
      <c r="G28" s="84">
        <v>0</v>
      </c>
      <c r="H28" s="84">
        <v>0</v>
      </c>
      <c r="I28" s="84">
        <v>0</v>
      </c>
      <c r="J28" s="84">
        <v>0</v>
      </c>
    </row>
    <row r="29" spans="1:13" x14ac:dyDescent="0.25">
      <c r="A29" s="6">
        <v>27</v>
      </c>
      <c r="B29" s="44" t="s">
        <v>178</v>
      </c>
      <c r="C29" s="44" t="s">
        <v>127</v>
      </c>
      <c r="D29" s="44" t="s">
        <v>141</v>
      </c>
      <c r="E29" s="49">
        <v>0.7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</row>
    <row r="30" spans="1:13" x14ac:dyDescent="0.25">
      <c r="A30" s="6">
        <v>28</v>
      </c>
      <c r="B30" s="44" t="s">
        <v>178</v>
      </c>
      <c r="C30" s="44" t="s">
        <v>128</v>
      </c>
      <c r="D30" s="44" t="s">
        <v>142</v>
      </c>
      <c r="E30" s="49">
        <v>0.7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</row>
    <row r="31" spans="1:13" x14ac:dyDescent="0.25">
      <c r="A31" s="6">
        <v>29</v>
      </c>
      <c r="B31" s="44" t="s">
        <v>178</v>
      </c>
      <c r="C31" s="44" t="s">
        <v>125</v>
      </c>
      <c r="D31" s="44" t="s">
        <v>139</v>
      </c>
      <c r="E31" s="49">
        <v>0.7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</row>
    <row r="32" spans="1:13" x14ac:dyDescent="0.25">
      <c r="A32" s="6">
        <v>30</v>
      </c>
      <c r="B32" s="44" t="s">
        <v>178</v>
      </c>
      <c r="C32" s="44" t="s">
        <v>126</v>
      </c>
      <c r="D32" s="44" t="s">
        <v>140</v>
      </c>
      <c r="E32" s="49">
        <v>0.7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</row>
    <row r="33" spans="1:14" x14ac:dyDescent="0.25">
      <c r="A33" s="6">
        <v>31</v>
      </c>
      <c r="B33" s="44" t="s">
        <v>178</v>
      </c>
      <c r="C33" s="44" t="s">
        <v>124</v>
      </c>
      <c r="D33" s="44" t="s">
        <v>138</v>
      </c>
      <c r="E33" s="49">
        <v>0.7</v>
      </c>
      <c r="F33" s="84">
        <v>0</v>
      </c>
      <c r="G33" s="84">
        <v>0</v>
      </c>
      <c r="H33" s="84">
        <v>0</v>
      </c>
      <c r="I33" s="84">
        <v>0</v>
      </c>
      <c r="J33" s="84">
        <v>0</v>
      </c>
    </row>
    <row r="34" spans="1:14" x14ac:dyDescent="0.25">
      <c r="A34" s="6">
        <v>32</v>
      </c>
      <c r="B34" s="44" t="s">
        <v>39</v>
      </c>
      <c r="C34" s="44" t="s">
        <v>132</v>
      </c>
      <c r="D34" s="44" t="s">
        <v>146</v>
      </c>
      <c r="E34" s="49">
        <v>0.8</v>
      </c>
      <c r="F34" s="84">
        <v>0</v>
      </c>
      <c r="G34" s="84">
        <v>0</v>
      </c>
      <c r="H34" s="84">
        <v>0</v>
      </c>
      <c r="I34" s="84">
        <v>0</v>
      </c>
      <c r="J34" s="84">
        <v>0</v>
      </c>
    </row>
    <row r="35" spans="1:14" x14ac:dyDescent="0.25">
      <c r="A35" s="6">
        <v>33</v>
      </c>
      <c r="B35" s="44" t="s">
        <v>39</v>
      </c>
      <c r="C35" s="44" t="s">
        <v>129</v>
      </c>
      <c r="D35" s="44" t="s">
        <v>143</v>
      </c>
      <c r="E35" s="49">
        <v>0.8</v>
      </c>
      <c r="F35" s="84">
        <v>0</v>
      </c>
      <c r="G35" s="84">
        <v>0</v>
      </c>
      <c r="H35" s="84">
        <v>0</v>
      </c>
      <c r="I35" s="84">
        <v>0</v>
      </c>
      <c r="J35" s="84">
        <v>0</v>
      </c>
    </row>
    <row r="36" spans="1:14" x14ac:dyDescent="0.25">
      <c r="A36" s="6">
        <v>34</v>
      </c>
      <c r="B36" s="44" t="s">
        <v>39</v>
      </c>
      <c r="C36" s="44" t="s">
        <v>131</v>
      </c>
      <c r="D36" s="44" t="s">
        <v>145</v>
      </c>
      <c r="E36" s="49">
        <v>0.8</v>
      </c>
      <c r="F36" s="84">
        <v>0</v>
      </c>
      <c r="G36" s="84">
        <v>0</v>
      </c>
      <c r="H36" s="84">
        <v>0</v>
      </c>
      <c r="I36" s="84">
        <v>0</v>
      </c>
      <c r="J36" s="84">
        <v>0</v>
      </c>
    </row>
    <row r="37" spans="1:14" x14ac:dyDescent="0.25">
      <c r="A37" s="6">
        <v>35</v>
      </c>
      <c r="B37" s="44" t="s">
        <v>39</v>
      </c>
      <c r="C37" s="44" t="s">
        <v>130</v>
      </c>
      <c r="D37" s="44" t="s">
        <v>144</v>
      </c>
      <c r="E37" s="49">
        <v>0.8</v>
      </c>
      <c r="F37" s="84">
        <v>0</v>
      </c>
      <c r="G37" s="84">
        <v>0</v>
      </c>
      <c r="H37" s="84">
        <v>0</v>
      </c>
      <c r="I37" s="84">
        <v>0</v>
      </c>
      <c r="J37" s="84">
        <v>0</v>
      </c>
    </row>
    <row r="38" spans="1:14" x14ac:dyDescent="0.25">
      <c r="A38" s="6">
        <v>36</v>
      </c>
      <c r="B38" s="44" t="s">
        <v>179</v>
      </c>
      <c r="C38" s="44" t="s">
        <v>113</v>
      </c>
      <c r="D38" s="44" t="s">
        <v>106</v>
      </c>
      <c r="E38" s="49">
        <v>0.85</v>
      </c>
      <c r="F38" s="84">
        <v>0.9</v>
      </c>
      <c r="G38" s="84">
        <v>0.9</v>
      </c>
      <c r="H38" s="84">
        <v>0.9</v>
      </c>
      <c r="I38" s="84">
        <v>0.5</v>
      </c>
      <c r="J38" s="84">
        <v>0.5</v>
      </c>
    </row>
    <row r="39" spans="1:14" x14ac:dyDescent="0.25">
      <c r="A39" s="6">
        <v>37</v>
      </c>
      <c r="B39" s="44" t="s">
        <v>179</v>
      </c>
      <c r="C39" s="44" t="s">
        <v>114</v>
      </c>
      <c r="D39" s="44" t="s">
        <v>107</v>
      </c>
      <c r="E39" s="49">
        <v>0.85</v>
      </c>
      <c r="F39" s="84">
        <v>0.9</v>
      </c>
      <c r="G39" s="84">
        <v>0.9</v>
      </c>
      <c r="H39" s="84">
        <v>0.9</v>
      </c>
      <c r="I39" s="84">
        <v>0.5</v>
      </c>
      <c r="J39" s="84">
        <v>0.5</v>
      </c>
    </row>
    <row r="40" spans="1:14" x14ac:dyDescent="0.25">
      <c r="A40" s="6">
        <v>38</v>
      </c>
      <c r="B40" s="44" t="s">
        <v>186</v>
      </c>
      <c r="C40" s="44" t="s">
        <v>120</v>
      </c>
      <c r="D40" s="44" t="s">
        <v>134</v>
      </c>
      <c r="E40" s="49">
        <v>0</v>
      </c>
      <c r="F40" s="84">
        <v>0</v>
      </c>
      <c r="G40" s="84">
        <v>0</v>
      </c>
      <c r="H40" s="84">
        <v>0</v>
      </c>
      <c r="I40" s="84">
        <v>0</v>
      </c>
      <c r="J40" s="84">
        <v>0</v>
      </c>
    </row>
    <row r="41" spans="1:14" x14ac:dyDescent="0.25">
      <c r="A41" s="6">
        <v>39</v>
      </c>
      <c r="B41" s="44" t="s">
        <v>186</v>
      </c>
      <c r="C41" s="44" t="s">
        <v>119</v>
      </c>
      <c r="D41" s="44" t="s">
        <v>133</v>
      </c>
      <c r="E41" s="49">
        <v>0</v>
      </c>
      <c r="F41" s="84">
        <v>0.15</v>
      </c>
      <c r="G41" s="84">
        <v>0.15</v>
      </c>
      <c r="H41" s="84">
        <v>0.15</v>
      </c>
      <c r="I41" s="84">
        <v>0</v>
      </c>
      <c r="J41" s="84">
        <v>0</v>
      </c>
      <c r="K41" s="157"/>
    </row>
    <row r="42" spans="1:14" x14ac:dyDescent="0.25">
      <c r="A42" s="6">
        <v>40</v>
      </c>
      <c r="B42" s="44" t="s">
        <v>186</v>
      </c>
      <c r="C42" s="44" t="s">
        <v>121</v>
      </c>
      <c r="D42" s="44" t="s">
        <v>135</v>
      </c>
      <c r="E42" s="49">
        <v>0</v>
      </c>
      <c r="F42" s="84">
        <v>0</v>
      </c>
      <c r="G42" s="84">
        <v>0</v>
      </c>
      <c r="H42" s="84">
        <v>0</v>
      </c>
      <c r="I42" s="84">
        <v>0</v>
      </c>
      <c r="J42" s="84">
        <v>0</v>
      </c>
    </row>
    <row r="43" spans="1:14" x14ac:dyDescent="0.25">
      <c r="A43" s="510">
        <v>41</v>
      </c>
      <c r="B43" s="510" t="s">
        <v>186</v>
      </c>
      <c r="C43" s="510" t="s">
        <v>122</v>
      </c>
      <c r="D43" s="510" t="s">
        <v>136</v>
      </c>
      <c r="E43" s="511">
        <v>0</v>
      </c>
      <c r="F43" s="512">
        <v>0</v>
      </c>
      <c r="G43" s="512">
        <v>0</v>
      </c>
      <c r="H43" s="512">
        <v>0</v>
      </c>
      <c r="I43" s="512">
        <v>0</v>
      </c>
      <c r="J43" s="512">
        <v>0</v>
      </c>
      <c r="K43" s="510"/>
    </row>
    <row r="44" spans="1:14" x14ac:dyDescent="0.25">
      <c r="A44" s="510">
        <v>42</v>
      </c>
      <c r="B44" s="510" t="s">
        <v>186</v>
      </c>
      <c r="C44" s="510" t="s">
        <v>123</v>
      </c>
      <c r="D44" s="510" t="s">
        <v>137</v>
      </c>
      <c r="E44" s="511">
        <v>0</v>
      </c>
      <c r="F44" s="512">
        <v>0.5</v>
      </c>
      <c r="G44" s="512">
        <v>0.5</v>
      </c>
      <c r="H44" s="512">
        <v>0.5</v>
      </c>
      <c r="I44" s="512">
        <v>0.5</v>
      </c>
      <c r="J44" s="512">
        <v>0.5</v>
      </c>
      <c r="K44" s="510"/>
    </row>
    <row r="45" spans="1:14" s="5" customFormat="1" x14ac:dyDescent="0.25">
      <c r="E45" s="283"/>
      <c r="F45" s="284"/>
      <c r="G45" s="284"/>
      <c r="H45" s="284"/>
      <c r="I45" s="284"/>
      <c r="J45" s="284"/>
    </row>
    <row r="46" spans="1:14" x14ac:dyDescent="0.25">
      <c r="A46" s="285" t="s">
        <v>516</v>
      </c>
      <c r="B46" s="5"/>
      <c r="C46" s="5"/>
      <c r="D46" s="5"/>
      <c r="E46" s="283"/>
      <c r="F46" s="284"/>
      <c r="G46" s="284"/>
      <c r="H46" s="284"/>
      <c r="I46" s="284"/>
      <c r="J46" s="284"/>
      <c r="K46" s="5"/>
      <c r="L46" s="5"/>
      <c r="M46" s="5"/>
      <c r="N46" s="5"/>
    </row>
    <row r="47" spans="1:14" x14ac:dyDescent="0.25">
      <c r="B47" s="44"/>
      <c r="C47" s="44"/>
      <c r="D47" s="44" t="s">
        <v>224</v>
      </c>
      <c r="E47" s="49">
        <v>0.42</v>
      </c>
      <c r="F47" s="84">
        <v>0.75</v>
      </c>
      <c r="G47" s="84">
        <v>0.75</v>
      </c>
      <c r="H47" s="84">
        <v>0.75</v>
      </c>
      <c r="I47" s="84">
        <v>0.5</v>
      </c>
      <c r="J47" s="84">
        <v>0.5</v>
      </c>
      <c r="K47" s="6" t="s">
        <v>521</v>
      </c>
      <c r="L47" s="6" t="s">
        <v>522</v>
      </c>
    </row>
    <row r="48" spans="1:14" s="5" customFormat="1" ht="15.75" thickBot="1" x14ac:dyDescent="0.3">
      <c r="E48" s="283"/>
      <c r="F48" s="284"/>
      <c r="G48" s="284"/>
      <c r="H48" s="284"/>
      <c r="I48" s="284"/>
      <c r="J48" s="284"/>
    </row>
    <row r="49" spans="1:14" s="5" customFormat="1" x14ac:dyDescent="0.25">
      <c r="A49" s="285" t="s">
        <v>529</v>
      </c>
      <c r="E49" s="324"/>
      <c r="F49" s="325" t="s">
        <v>530</v>
      </c>
      <c r="G49" s="326"/>
      <c r="H49" s="333"/>
      <c r="I49" s="325" t="s">
        <v>249</v>
      </c>
      <c r="J49" s="325"/>
      <c r="K49" s="334"/>
    </row>
    <row r="50" spans="1:14" s="5" customFormat="1" ht="30.75" thickBot="1" x14ac:dyDescent="0.3">
      <c r="B50" s="285" t="s">
        <v>183</v>
      </c>
      <c r="C50" s="285" t="s">
        <v>184</v>
      </c>
      <c r="D50" s="285" t="s">
        <v>185</v>
      </c>
      <c r="E50" s="327" t="s">
        <v>531</v>
      </c>
      <c r="F50" s="328" t="s">
        <v>532</v>
      </c>
      <c r="G50" s="329" t="s">
        <v>19</v>
      </c>
      <c r="H50" s="335" t="s">
        <v>535</v>
      </c>
      <c r="I50" s="336" t="s">
        <v>533</v>
      </c>
      <c r="J50" s="337" t="s">
        <v>534</v>
      </c>
      <c r="K50" s="338" t="s">
        <v>536</v>
      </c>
    </row>
    <row r="51" spans="1:14" x14ac:dyDescent="0.25">
      <c r="A51" s="6">
        <v>43</v>
      </c>
      <c r="B51" s="44" t="s">
        <v>187</v>
      </c>
      <c r="C51" s="44" t="s">
        <v>148</v>
      </c>
      <c r="D51" s="44" t="s">
        <v>162</v>
      </c>
      <c r="E51" s="330">
        <f>0.00103*'Watershed Data'!$D$23*0.9*'Watershed Data'!$B$2*'LandUse-LandCover'!$G$2</f>
        <v>298.34052096597577</v>
      </c>
      <c r="F51" s="330">
        <f>0.00103*'Watershed Data'!$E$23*0.9*'Watershed Data'!$B$2*'LandUse-LandCover'!$G$2</f>
        <v>63.303181256300434</v>
      </c>
      <c r="G51" s="330">
        <f>'LandUse-LandCover'!H19</f>
        <v>12</v>
      </c>
      <c r="H51" s="6"/>
      <c r="I51" s="315">
        <f>F51-G51</f>
        <v>51.303181256300434</v>
      </c>
      <c r="J51" s="284"/>
    </row>
    <row r="52" spans="1:14" x14ac:dyDescent="0.25">
      <c r="A52" s="6">
        <v>44</v>
      </c>
      <c r="B52" s="44" t="s">
        <v>187</v>
      </c>
      <c r="C52" s="44" t="s">
        <v>150</v>
      </c>
      <c r="D52" s="44" t="s">
        <v>164</v>
      </c>
      <c r="E52" s="330">
        <f>0.00103*'Watershed Data'!$D$23*0.9*'Watershed Data'!$B$2*'LandUse-LandCover'!$G$2</f>
        <v>298.34052096597577</v>
      </c>
      <c r="F52" s="330">
        <f>0.00103*'Watershed Data'!$E$23*0.9*'Watershed Data'!$B$2*'LandUse-LandCover'!$G$2</f>
        <v>63.303181256300434</v>
      </c>
      <c r="G52" s="330">
        <f>'LandUse-LandCover'!H20</f>
        <v>12</v>
      </c>
      <c r="H52" s="6"/>
      <c r="I52" s="315">
        <f>E52-G52</f>
        <v>286.34052096597577</v>
      </c>
      <c r="J52" s="284"/>
    </row>
    <row r="53" spans="1:14" x14ac:dyDescent="0.25">
      <c r="A53" s="6">
        <v>45</v>
      </c>
      <c r="B53" s="44" t="s">
        <v>187</v>
      </c>
      <c r="C53" s="44" t="s">
        <v>149</v>
      </c>
      <c r="D53" s="44" t="s">
        <v>163</v>
      </c>
      <c r="E53" s="330">
        <f>0.00103*'Watershed Data'!$D$23*0.9*'Watershed Data'!$B$2*'LandUse-LandCover'!$G$2</f>
        <v>298.34052096597577</v>
      </c>
      <c r="F53" s="330">
        <f>0.00103*'Watershed Data'!$E$23*0.9*'Watershed Data'!$B$2*'LandUse-LandCover'!$G$2</f>
        <v>63.303181256300434</v>
      </c>
      <c r="G53" s="330">
        <f>'LandUse-LandCover'!H21</f>
        <v>12</v>
      </c>
      <c r="H53" s="6"/>
      <c r="I53" s="315">
        <f>E53-G53</f>
        <v>286.34052096597577</v>
      </c>
      <c r="J53" s="284"/>
    </row>
    <row r="54" spans="1:14" x14ac:dyDescent="0.25">
      <c r="A54" s="6">
        <v>46</v>
      </c>
      <c r="B54" s="44" t="s">
        <v>187</v>
      </c>
      <c r="C54" s="44" t="s">
        <v>151</v>
      </c>
      <c r="D54" s="44" t="s">
        <v>165</v>
      </c>
      <c r="E54" s="330">
        <f>0.00103*'Watershed Data'!$D$23*0.9*'Watershed Data'!$B$2*'LandUse-LandCover'!$G$2</f>
        <v>298.34052096597577</v>
      </c>
      <c r="F54" s="331"/>
      <c r="G54" s="331"/>
      <c r="H54" s="180">
        <v>0</v>
      </c>
      <c r="I54" s="332">
        <f>E54*H54</f>
        <v>0</v>
      </c>
      <c r="J54" s="284"/>
    </row>
    <row r="55" spans="1:14" x14ac:dyDescent="0.25">
      <c r="A55" s="6">
        <v>47</v>
      </c>
      <c r="B55" s="44" t="s">
        <v>187</v>
      </c>
      <c r="C55" s="44" t="s">
        <v>160</v>
      </c>
      <c r="D55" s="44" t="s">
        <v>174</v>
      </c>
      <c r="E55" s="330">
        <f>0.00103*'Watershed Data'!$D$23*0.9*'Watershed Data'!$B$2*'LandUse-LandCover'!$G$2</f>
        <v>298.34052096597577</v>
      </c>
      <c r="F55" s="331"/>
      <c r="G55" s="331"/>
      <c r="H55" s="180">
        <v>0</v>
      </c>
      <c r="I55" s="332">
        <f>E55*H55</f>
        <v>0</v>
      </c>
      <c r="J55" s="284"/>
    </row>
    <row r="56" spans="1:14" s="5" customFormat="1" x14ac:dyDescent="0.25">
      <c r="E56" s="283"/>
      <c r="F56" s="284"/>
      <c r="G56" s="284"/>
      <c r="I56" s="284"/>
      <c r="J56" s="284"/>
    </row>
    <row r="57" spans="1:14" x14ac:dyDescent="0.25">
      <c r="A57" s="6">
        <v>49</v>
      </c>
      <c r="B57" s="44" t="s">
        <v>187</v>
      </c>
      <c r="C57" s="44" t="s">
        <v>159</v>
      </c>
      <c r="D57" s="44" t="s">
        <v>173</v>
      </c>
      <c r="E57" s="283"/>
      <c r="F57" s="284"/>
      <c r="G57" s="284"/>
      <c r="H57" s="6"/>
      <c r="I57" s="284"/>
      <c r="J57" s="180">
        <v>0</v>
      </c>
    </row>
    <row r="58" spans="1:14" x14ac:dyDescent="0.25">
      <c r="A58" s="6">
        <v>50</v>
      </c>
      <c r="B58" s="44" t="s">
        <v>515</v>
      </c>
      <c r="C58" s="44" t="s">
        <v>152</v>
      </c>
      <c r="D58" s="44" t="s">
        <v>166</v>
      </c>
      <c r="E58" s="283"/>
      <c r="F58" s="284"/>
      <c r="G58" s="284"/>
      <c r="H58" s="6"/>
      <c r="I58" s="284"/>
      <c r="J58" s="180">
        <v>0</v>
      </c>
      <c r="K58" s="5"/>
      <c r="L58" s="5"/>
      <c r="M58" s="5"/>
      <c r="N58" s="5"/>
    </row>
    <row r="59" spans="1:14" x14ac:dyDescent="0.25">
      <c r="A59" s="6">
        <v>51</v>
      </c>
      <c r="B59" s="44" t="s">
        <v>515</v>
      </c>
      <c r="C59" s="44" t="s">
        <v>157</v>
      </c>
      <c r="D59" s="44" t="s">
        <v>171</v>
      </c>
      <c r="E59" s="283"/>
      <c r="F59" s="284"/>
      <c r="G59" s="284"/>
      <c r="H59" s="6"/>
      <c r="I59" s="284"/>
      <c r="J59" s="180">
        <v>0</v>
      </c>
      <c r="K59" s="5"/>
      <c r="L59" s="5"/>
      <c r="M59" s="5"/>
      <c r="N59" s="5"/>
    </row>
    <row r="60" spans="1:14" x14ac:dyDescent="0.25">
      <c r="A60" s="510">
        <v>52</v>
      </c>
      <c r="B60" s="510" t="s">
        <v>515</v>
      </c>
      <c r="C60" s="510" t="s">
        <v>153</v>
      </c>
      <c r="D60" s="510" t="s">
        <v>167</v>
      </c>
      <c r="E60" s="511"/>
      <c r="F60" s="512"/>
      <c r="G60" s="512"/>
      <c r="H60" s="510"/>
      <c r="I60" s="512"/>
      <c r="J60" s="512">
        <v>0</v>
      </c>
      <c r="K60" s="510"/>
      <c r="L60" s="5"/>
      <c r="M60" s="5"/>
      <c r="N60" s="5"/>
    </row>
    <row r="61" spans="1:14" x14ac:dyDescent="0.25">
      <c r="A61" s="6">
        <v>53</v>
      </c>
      <c r="B61" s="44" t="s">
        <v>515</v>
      </c>
      <c r="C61" s="44" t="s">
        <v>158</v>
      </c>
      <c r="D61" s="44" t="s">
        <v>172</v>
      </c>
      <c r="E61" s="283"/>
      <c r="F61" s="284"/>
      <c r="G61" s="284"/>
      <c r="H61" s="6"/>
      <c r="I61" s="284"/>
      <c r="J61" s="180">
        <v>0</v>
      </c>
      <c r="K61" s="5"/>
      <c r="L61" s="5"/>
      <c r="M61" s="5"/>
      <c r="N61" s="5"/>
    </row>
    <row r="62" spans="1:14" s="5" customFormat="1" x14ac:dyDescent="0.25">
      <c r="E62" s="283"/>
      <c r="F62" s="284"/>
      <c r="G62" s="284"/>
      <c r="I62" s="284"/>
      <c r="J62" s="284"/>
    </row>
    <row r="63" spans="1:14" x14ac:dyDescent="0.25">
      <c r="A63" s="6">
        <v>53</v>
      </c>
      <c r="B63" s="44" t="s">
        <v>515</v>
      </c>
      <c r="C63" s="44" t="s">
        <v>147</v>
      </c>
      <c r="D63" s="44" t="s">
        <v>161</v>
      </c>
      <c r="E63" s="283"/>
      <c r="F63" s="284"/>
      <c r="G63" s="284"/>
      <c r="H63" s="6"/>
      <c r="I63" s="284"/>
      <c r="J63" s="284"/>
      <c r="K63" s="180">
        <v>0</v>
      </c>
      <c r="L63" s="5"/>
      <c r="M63" s="5"/>
      <c r="N63" s="5"/>
    </row>
    <row r="64" spans="1:14" s="5" customFormat="1" x14ac:dyDescent="0.25">
      <c r="E64" s="283"/>
      <c r="F64" s="284"/>
      <c r="G64" s="284"/>
      <c r="H64" s="284"/>
      <c r="I64" s="284"/>
      <c r="J64" s="284"/>
    </row>
    <row r="65" spans="1:11" customFormat="1" ht="15.75" x14ac:dyDescent="0.25">
      <c r="A65" s="158" t="s">
        <v>312</v>
      </c>
    </row>
    <row r="66" spans="1:11" customFormat="1" x14ac:dyDescent="0.25">
      <c r="A66" s="43" t="s">
        <v>310</v>
      </c>
      <c r="B66" s="43" t="s">
        <v>183</v>
      </c>
      <c r="C66" s="43" t="s">
        <v>184</v>
      </c>
      <c r="D66" s="43" t="s">
        <v>185</v>
      </c>
      <c r="E66" s="48" t="s">
        <v>192</v>
      </c>
      <c r="F66" s="83" t="s">
        <v>244</v>
      </c>
      <c r="G66" s="83"/>
      <c r="H66" s="83"/>
      <c r="I66" s="83"/>
      <c r="J66" s="83"/>
    </row>
    <row r="67" spans="1:11" x14ac:dyDescent="0.25">
      <c r="A67" s="6">
        <v>54</v>
      </c>
      <c r="B67" s="44" t="s">
        <v>187</v>
      </c>
      <c r="C67" s="44" t="s">
        <v>156</v>
      </c>
      <c r="D67" s="44" t="s">
        <v>170</v>
      </c>
      <c r="E67" s="49">
        <v>1</v>
      </c>
    </row>
    <row r="68" spans="1:11" x14ac:dyDescent="0.25">
      <c r="A68" s="6">
        <v>55</v>
      </c>
      <c r="B68" s="44" t="s">
        <v>187</v>
      </c>
      <c r="C68" s="44" t="s">
        <v>155</v>
      </c>
      <c r="D68" s="44" t="s">
        <v>169</v>
      </c>
      <c r="E68" s="49"/>
    </row>
    <row r="69" spans="1:11" x14ac:dyDescent="0.25">
      <c r="A69" s="6">
        <v>56</v>
      </c>
      <c r="B69" s="44" t="s">
        <v>187</v>
      </c>
      <c r="C69" s="44" t="s">
        <v>154</v>
      </c>
      <c r="D69" s="44" t="s">
        <v>168</v>
      </c>
      <c r="E69" s="49">
        <v>1</v>
      </c>
    </row>
    <row r="70" spans="1:11" x14ac:dyDescent="0.25">
      <c r="D70" s="44" t="s">
        <v>314</v>
      </c>
      <c r="E70" s="42" t="s">
        <v>315</v>
      </c>
    </row>
    <row r="72" spans="1:11" x14ac:dyDescent="0.25">
      <c r="D72" s="243" t="s">
        <v>505</v>
      </c>
      <c r="E72" s="249"/>
      <c r="F72" s="244" t="s">
        <v>506</v>
      </c>
      <c r="G72" s="244" t="s">
        <v>507</v>
      </c>
      <c r="H72" s="244" t="s">
        <v>504</v>
      </c>
      <c r="I72" s="245" t="s">
        <v>508</v>
      </c>
      <c r="J72" s="245"/>
      <c r="K72" s="41"/>
    </row>
    <row r="73" spans="1:11" x14ac:dyDescent="0.25">
      <c r="D73" s="246" t="s">
        <v>509</v>
      </c>
      <c r="E73" s="25"/>
      <c r="F73" s="247">
        <v>5</v>
      </c>
      <c r="G73" s="247">
        <v>6</v>
      </c>
      <c r="H73" s="247">
        <v>7</v>
      </c>
      <c r="I73" s="248">
        <v>8</v>
      </c>
      <c r="J73" s="248"/>
      <c r="K73" s="239" t="s">
        <v>510</v>
      </c>
    </row>
  </sheetData>
  <sortState xmlns:xlrd2="http://schemas.microsoft.com/office/spreadsheetml/2017/richdata2" ref="C19:D43">
    <sortCondition ref="C19:C4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4" tint="0.39997558519241921"/>
  </sheetPr>
  <dimension ref="A1:N105"/>
  <sheetViews>
    <sheetView topLeftCell="A34" zoomScaleNormal="100" workbookViewId="0">
      <selection activeCell="B41" sqref="B41"/>
    </sheetView>
  </sheetViews>
  <sheetFormatPr defaultRowHeight="15" x14ac:dyDescent="0.25"/>
  <cols>
    <col min="1" max="1" width="44.28515625" customWidth="1"/>
    <col min="2" max="2" width="20" customWidth="1"/>
    <col min="3" max="3" width="35.5703125" bestFit="1" customWidth="1"/>
    <col min="4" max="4" width="11.140625" customWidth="1"/>
    <col min="5" max="5" width="12.7109375" bestFit="1" customWidth="1"/>
    <col min="6" max="6" width="14.42578125" bestFit="1" customWidth="1"/>
    <col min="7" max="7" width="16.42578125" bestFit="1" customWidth="1"/>
    <col min="8" max="8" width="18.140625" bestFit="1" customWidth="1"/>
    <col min="9" max="9" width="13.140625" bestFit="1" customWidth="1"/>
    <col min="10" max="10" width="9.5703125" bestFit="1" customWidth="1"/>
    <col min="12" max="12" width="11.85546875" bestFit="1" customWidth="1"/>
    <col min="13" max="13" width="14.85546875" bestFit="1" customWidth="1"/>
    <col min="14" max="14" width="10.85546875" bestFit="1" customWidth="1"/>
    <col min="15" max="15" width="13.140625" bestFit="1" customWidth="1"/>
    <col min="16" max="16" width="25.28515625" bestFit="1" customWidth="1"/>
  </cols>
  <sheetData>
    <row r="1" spans="1:5" x14ac:dyDescent="0.25">
      <c r="A1" s="168" t="s">
        <v>229</v>
      </c>
    </row>
    <row r="2" spans="1:5" x14ac:dyDescent="0.25">
      <c r="A2" t="s">
        <v>230</v>
      </c>
      <c r="B2" s="70">
        <v>10000000</v>
      </c>
      <c r="C2" s="396" t="s">
        <v>560</v>
      </c>
    </row>
    <row r="4" spans="1:5" x14ac:dyDescent="0.25">
      <c r="A4" s="168" t="s">
        <v>231</v>
      </c>
    </row>
    <row r="5" spans="1:5" x14ac:dyDescent="0.25">
      <c r="A5" t="s">
        <v>345</v>
      </c>
      <c r="B5" s="152" t="s">
        <v>336</v>
      </c>
    </row>
    <row r="6" spans="1:5" x14ac:dyDescent="0.25">
      <c r="A6" t="s">
        <v>350</v>
      </c>
      <c r="B6" s="378" t="s">
        <v>339</v>
      </c>
    </row>
    <row r="7" spans="1:5" x14ac:dyDescent="0.25">
      <c r="A7" t="s">
        <v>351</v>
      </c>
      <c r="B7" s="378" t="s">
        <v>334</v>
      </c>
    </row>
    <row r="8" spans="1:5" x14ac:dyDescent="0.25">
      <c r="A8" s="126" t="s">
        <v>333</v>
      </c>
      <c r="B8" s="33">
        <f>B9*'Watershed Data'!B9*'Watershed Data'!B11*SewageData!B13*10^7</f>
        <v>291544596</v>
      </c>
      <c r="C8" s="399">
        <v>291544596.00000006</v>
      </c>
      <c r="D8" s="170" t="s">
        <v>574</v>
      </c>
    </row>
    <row r="9" spans="1:5" s="6" customFormat="1" x14ac:dyDescent="0.25">
      <c r="A9" s="151" t="s">
        <v>292</v>
      </c>
      <c r="B9" s="152">
        <v>11178</v>
      </c>
      <c r="C9" s="399">
        <v>11178</v>
      </c>
      <c r="D9" s="6">
        <f>11178/24521</f>
        <v>0.45585416581705479</v>
      </c>
    </row>
    <row r="10" spans="1:5" x14ac:dyDescent="0.25">
      <c r="A10" t="s">
        <v>293</v>
      </c>
      <c r="B10" s="122"/>
      <c r="C10" t="s">
        <v>561</v>
      </c>
    </row>
    <row r="11" spans="1:5" x14ac:dyDescent="0.25">
      <c r="A11" t="s">
        <v>294</v>
      </c>
      <c r="B11" s="153">
        <v>540</v>
      </c>
      <c r="C11" s="399">
        <v>540</v>
      </c>
    </row>
    <row r="12" spans="1:5" x14ac:dyDescent="0.25">
      <c r="A12" t="s">
        <v>331</v>
      </c>
      <c r="B12" s="37">
        <f>+B11/B9</f>
        <v>4.8309178743961352E-2</v>
      </c>
      <c r="C12" t="s">
        <v>561</v>
      </c>
      <c r="E12" s="188"/>
    </row>
    <row r="13" spans="1:5" x14ac:dyDescent="0.25">
      <c r="A13" t="s">
        <v>327</v>
      </c>
      <c r="B13" s="227">
        <f>1.38*10^-5</f>
        <v>1.38E-5</v>
      </c>
      <c r="C13" s="156"/>
      <c r="D13" s="170" t="s">
        <v>575</v>
      </c>
    </row>
    <row r="14" spans="1:5" x14ac:dyDescent="0.25">
      <c r="A14" t="s">
        <v>321</v>
      </c>
      <c r="B14" s="400">
        <f>0.1+(IF(B7='Watershed Data'!A39,'Watershed Data'!B39,(IF(B7='Watershed Data'!A40,'Watershed Data'!B40,'Watershed Data'!B41)))+(IF(B5='Watershed Data'!E39,'Watershed Data'!F39,(IF(B5='Watershed Data'!E41,'Watershed Data'!F41,'Watershed Data'!F40))))+(IF(B6='Watershed Data'!C39,'Watershed Data'!D39,'Watershed Data'!D40)))</f>
        <v>0.2</v>
      </c>
      <c r="C14" s="396" t="s">
        <v>562</v>
      </c>
      <c r="D14" s="170" t="s">
        <v>353</v>
      </c>
    </row>
    <row r="15" spans="1:5" x14ac:dyDescent="0.25">
      <c r="A15" t="s">
        <v>330</v>
      </c>
      <c r="B15" s="183">
        <v>1</v>
      </c>
    </row>
    <row r="16" spans="1:5" x14ac:dyDescent="0.25">
      <c r="A16" t="s">
        <v>332</v>
      </c>
      <c r="B16" s="183">
        <v>0.5</v>
      </c>
    </row>
    <row r="17" spans="1:4" x14ac:dyDescent="0.25">
      <c r="A17" t="s">
        <v>329</v>
      </c>
      <c r="B17" s="169">
        <v>2E-3</v>
      </c>
    </row>
    <row r="18" spans="1:4" x14ac:dyDescent="0.25">
      <c r="A18" t="s">
        <v>455</v>
      </c>
      <c r="B18" s="169">
        <v>0.13</v>
      </c>
    </row>
    <row r="19" spans="1:4" x14ac:dyDescent="0.25">
      <c r="A19" t="s">
        <v>326</v>
      </c>
      <c r="B19" s="171">
        <f>B8*B14*(B16*(1-B12)*B17+B15*B12*B18)</f>
        <v>421683.3432</v>
      </c>
      <c r="C19" s="401">
        <v>210841</v>
      </c>
      <c r="D19" s="170" t="s">
        <v>572</v>
      </c>
    </row>
    <row r="21" spans="1:4" x14ac:dyDescent="0.25">
      <c r="A21" s="168" t="s">
        <v>232</v>
      </c>
      <c r="C21" s="156"/>
    </row>
    <row r="22" spans="1:4" x14ac:dyDescent="0.25">
      <c r="A22" t="s">
        <v>233</v>
      </c>
      <c r="B22" s="20">
        <v>0.4</v>
      </c>
    </row>
    <row r="23" spans="1:4" x14ac:dyDescent="0.25">
      <c r="A23" t="s">
        <v>237</v>
      </c>
      <c r="B23" s="33">
        <f>ROUND('Watershed Data'!B8*B22,0)</f>
        <v>9808</v>
      </c>
      <c r="D23" s="64"/>
    </row>
    <row r="24" spans="1:4" x14ac:dyDescent="0.25">
      <c r="A24" t="s">
        <v>570</v>
      </c>
      <c r="B24" s="20">
        <v>0.5</v>
      </c>
      <c r="D24" s="64"/>
    </row>
    <row r="25" spans="1:4" x14ac:dyDescent="0.25">
      <c r="A25" t="s">
        <v>569</v>
      </c>
      <c r="B25" s="20">
        <v>0.6</v>
      </c>
      <c r="D25" s="64"/>
    </row>
    <row r="26" spans="1:4" x14ac:dyDescent="0.25">
      <c r="A26" t="s">
        <v>571</v>
      </c>
      <c r="B26" s="22">
        <f>1-B25</f>
        <v>0.4</v>
      </c>
      <c r="D26" s="64"/>
    </row>
    <row r="27" spans="1:4" x14ac:dyDescent="0.25">
      <c r="A27" t="s">
        <v>236</v>
      </c>
      <c r="B27" s="20">
        <v>0.32</v>
      </c>
      <c r="D27" s="64"/>
    </row>
    <row r="28" spans="1:4" x14ac:dyDescent="0.25">
      <c r="A28" t="s">
        <v>565</v>
      </c>
      <c r="B28" s="20">
        <v>10</v>
      </c>
      <c r="D28" s="64"/>
    </row>
    <row r="29" spans="1:4" x14ac:dyDescent="0.25">
      <c r="A29" t="s">
        <v>456</v>
      </c>
      <c r="B29" s="184">
        <v>0</v>
      </c>
      <c r="D29" s="64"/>
    </row>
    <row r="30" spans="1:4" x14ac:dyDescent="0.25">
      <c r="A30" t="s">
        <v>457</v>
      </c>
      <c r="B30" s="20">
        <f>B29/B23</f>
        <v>0</v>
      </c>
      <c r="D30" s="64"/>
    </row>
    <row r="31" spans="1:4" x14ac:dyDescent="0.25">
      <c r="A31" t="s">
        <v>330</v>
      </c>
      <c r="B31" s="410">
        <v>1</v>
      </c>
      <c r="C31" s="156"/>
      <c r="D31" s="64"/>
    </row>
    <row r="32" spans="1:4" x14ac:dyDescent="0.25">
      <c r="A32" t="s">
        <v>332</v>
      </c>
      <c r="B32" s="20">
        <v>0.05</v>
      </c>
      <c r="C32" s="156"/>
      <c r="D32" s="64"/>
    </row>
    <row r="33" spans="1:14" x14ac:dyDescent="0.25">
      <c r="A33" s="126" t="s">
        <v>566</v>
      </c>
      <c r="B33" s="411">
        <v>365</v>
      </c>
      <c r="C33" s="156"/>
      <c r="D33" s="64">
        <f>310*140*90*3.78</f>
        <v>14764680</v>
      </c>
    </row>
    <row r="34" spans="1:14" x14ac:dyDescent="0.25">
      <c r="A34" t="s">
        <v>238</v>
      </c>
      <c r="B34" s="33">
        <f>+((B23*(1-B30)*B32)+(B23*B30*B31))*B24*B26*B27*B28*B33</f>
        <v>114557.44000000002</v>
      </c>
      <c r="C34" s="64"/>
      <c r="D34" s="64"/>
    </row>
    <row r="36" spans="1:14" x14ac:dyDescent="0.25">
      <c r="A36" s="168" t="s">
        <v>328</v>
      </c>
    </row>
    <row r="37" spans="1:14" x14ac:dyDescent="0.25">
      <c r="A37" s="126" t="s">
        <v>323</v>
      </c>
      <c r="B37" s="431">
        <v>310</v>
      </c>
      <c r="C37" s="156"/>
      <c r="D37" s="187" t="s">
        <v>458</v>
      </c>
    </row>
    <row r="38" spans="1:14" x14ac:dyDescent="0.25">
      <c r="A38" s="126" t="s">
        <v>324</v>
      </c>
      <c r="B38" s="433">
        <v>140</v>
      </c>
      <c r="C38" s="156" t="s">
        <v>354</v>
      </c>
    </row>
    <row r="39" spans="1:14" x14ac:dyDescent="0.25">
      <c r="A39" s="126" t="s">
        <v>325</v>
      </c>
      <c r="B39" s="70">
        <v>90000</v>
      </c>
    </row>
    <row r="40" spans="1:14" x14ac:dyDescent="0.25">
      <c r="A40" s="126" t="s">
        <v>327</v>
      </c>
      <c r="B40" s="432">
        <f>37.8/100000</f>
        <v>3.7799999999999997E-4</v>
      </c>
      <c r="D40" s="170" t="s">
        <v>448</v>
      </c>
    </row>
    <row r="41" spans="1:14" x14ac:dyDescent="0.25">
      <c r="A41" s="126" t="s">
        <v>326</v>
      </c>
      <c r="B41" s="33">
        <f>B37*B38*B39*B40</f>
        <v>1476468</v>
      </c>
      <c r="C41" s="401">
        <v>1476804.2536800003</v>
      </c>
      <c r="F41" s="397"/>
    </row>
    <row r="43" spans="1:14" x14ac:dyDescent="0.25">
      <c r="A43" s="126" t="s">
        <v>459</v>
      </c>
      <c r="B43" s="156" t="s">
        <v>431</v>
      </c>
    </row>
    <row r="44" spans="1:14" x14ac:dyDescent="0.25">
      <c r="A44" s="175" t="s">
        <v>355</v>
      </c>
      <c r="B44" s="175" t="s">
        <v>356</v>
      </c>
      <c r="C44" s="175" t="s">
        <v>357</v>
      </c>
      <c r="D44" s="175" t="s">
        <v>358</v>
      </c>
      <c r="E44" s="175" t="s">
        <v>359</v>
      </c>
      <c r="F44" s="175" t="s">
        <v>360</v>
      </c>
      <c r="G44" s="175" t="s">
        <v>361</v>
      </c>
      <c r="H44" s="175" t="s">
        <v>362</v>
      </c>
      <c r="I44" s="175" t="s">
        <v>363</v>
      </c>
      <c r="J44" s="176" t="s">
        <v>364</v>
      </c>
      <c r="L44" s="175" t="s">
        <v>365</v>
      </c>
      <c r="M44" s="175" t="s">
        <v>366</v>
      </c>
    </row>
    <row r="45" spans="1:14" x14ac:dyDescent="0.25">
      <c r="A45" s="177">
        <v>1</v>
      </c>
      <c r="B45" s="178" t="s">
        <v>367</v>
      </c>
      <c r="C45" s="178" t="s">
        <v>368</v>
      </c>
      <c r="D45" s="178" t="s">
        <v>369</v>
      </c>
      <c r="E45" s="179">
        <v>14852.04674061</v>
      </c>
      <c r="F45" s="379">
        <v>646955156.02178955</v>
      </c>
      <c r="G45" s="379">
        <v>166646.26582007151</v>
      </c>
      <c r="H45" s="380">
        <v>432035.02958999999</v>
      </c>
      <c r="I45" s="381">
        <v>1657.6325730000001</v>
      </c>
      <c r="J45" s="382">
        <f>SUM(H45:I45)</f>
        <v>433692.66216299997</v>
      </c>
      <c r="L45">
        <v>21403020230</v>
      </c>
      <c r="M45" t="s">
        <v>370</v>
      </c>
      <c r="N45">
        <f>H45/5280</f>
        <v>81.824816210227269</v>
      </c>
    </row>
    <row r="46" spans="1:14" x14ac:dyDescent="0.25">
      <c r="A46" s="177">
        <v>2</v>
      </c>
      <c r="B46" s="178" t="s">
        <v>371</v>
      </c>
      <c r="C46" s="178" t="s">
        <v>372</v>
      </c>
      <c r="D46" s="178" t="s">
        <v>373</v>
      </c>
      <c r="E46" s="179">
        <v>51760.066492990001</v>
      </c>
      <c r="F46" s="379">
        <v>2254668496.4351807</v>
      </c>
      <c r="G46" s="379">
        <v>305918.57307558332</v>
      </c>
      <c r="H46" s="380">
        <v>62753.275086000001</v>
      </c>
      <c r="I46" s="381">
        <v>5836.7524869999997</v>
      </c>
      <c r="J46" s="382">
        <f t="shared" ref="J46:J63" si="0">SUM(H46:I46)</f>
        <v>68590.027572999999</v>
      </c>
      <c r="M46" t="s">
        <v>370</v>
      </c>
      <c r="N46">
        <f t="shared" ref="N46:N64" si="1">H46/5280</f>
        <v>11.885089978409091</v>
      </c>
    </row>
    <row r="47" spans="1:14" x14ac:dyDescent="0.25">
      <c r="A47" s="177">
        <v>3</v>
      </c>
      <c r="B47" s="178" t="s">
        <v>374</v>
      </c>
      <c r="C47" s="178" t="s">
        <v>375</v>
      </c>
      <c r="D47" s="178" t="s">
        <v>376</v>
      </c>
      <c r="E47" s="179">
        <v>12495.0213155</v>
      </c>
      <c r="F47" s="379">
        <v>544283128.50299072</v>
      </c>
      <c r="G47" s="379">
        <v>150408.99057744848</v>
      </c>
      <c r="H47" s="380">
        <v>299699.67705699999</v>
      </c>
      <c r="I47" s="381">
        <v>3465.8017799999998</v>
      </c>
      <c r="J47" s="382">
        <f t="shared" si="0"/>
        <v>303165.47883699997</v>
      </c>
      <c r="M47" t="s">
        <v>370</v>
      </c>
      <c r="N47">
        <f t="shared" si="1"/>
        <v>56.761302472916668</v>
      </c>
    </row>
    <row r="48" spans="1:14" x14ac:dyDescent="0.25">
      <c r="A48" s="177">
        <v>4</v>
      </c>
      <c r="B48" s="178" t="s">
        <v>377</v>
      </c>
      <c r="C48" s="178" t="s">
        <v>378</v>
      </c>
      <c r="D48" s="178" t="s">
        <v>379</v>
      </c>
      <c r="E48" s="179">
        <v>10085.79896851</v>
      </c>
      <c r="F48" s="379">
        <v>439337403.06866455</v>
      </c>
      <c r="G48" s="379">
        <v>121085.87187479848</v>
      </c>
      <c r="H48" s="380">
        <v>35556.553312999997</v>
      </c>
      <c r="I48" s="381">
        <v>0</v>
      </c>
      <c r="J48" s="382">
        <f t="shared" si="0"/>
        <v>35556.553312999997</v>
      </c>
      <c r="M48" t="s">
        <v>370</v>
      </c>
      <c r="N48">
        <f t="shared" si="1"/>
        <v>6.7341957032196964</v>
      </c>
    </row>
    <row r="49" spans="1:14" x14ac:dyDescent="0.25">
      <c r="A49" s="177">
        <v>5</v>
      </c>
      <c r="B49" s="178" t="s">
        <v>380</v>
      </c>
      <c r="C49" s="178" t="s">
        <v>381</v>
      </c>
      <c r="D49" s="178" t="s">
        <v>382</v>
      </c>
      <c r="E49" s="179">
        <v>14851.856262490001</v>
      </c>
      <c r="F49" s="379">
        <v>646946858.79455566</v>
      </c>
      <c r="G49" s="379">
        <v>156552.44292653917</v>
      </c>
      <c r="H49" s="380">
        <v>52983.540439999997</v>
      </c>
      <c r="I49" s="381">
        <v>4001.9971070000001</v>
      </c>
      <c r="J49" s="382">
        <f t="shared" si="0"/>
        <v>56985.537547</v>
      </c>
      <c r="L49">
        <v>21403020233</v>
      </c>
      <c r="M49" t="s">
        <v>370</v>
      </c>
      <c r="N49">
        <f t="shared" si="1"/>
        <v>10.034761446969696</v>
      </c>
    </row>
    <row r="50" spans="1:14" x14ac:dyDescent="0.25">
      <c r="A50" s="177">
        <v>6</v>
      </c>
      <c r="B50" s="178" t="s">
        <v>383</v>
      </c>
      <c r="C50" s="178" t="s">
        <v>384</v>
      </c>
      <c r="D50" s="178" t="s">
        <v>385</v>
      </c>
      <c r="E50" s="179">
        <v>58655.055805360003</v>
      </c>
      <c r="F50" s="379">
        <v>2555014230.8839111</v>
      </c>
      <c r="G50" s="379">
        <v>302107.35971536196</v>
      </c>
      <c r="H50" s="380">
        <v>107246.672122</v>
      </c>
      <c r="I50" s="381">
        <v>5104.1738210000003</v>
      </c>
      <c r="J50" s="382">
        <f t="shared" si="0"/>
        <v>112350.84594300001</v>
      </c>
      <c r="L50">
        <v>21403050218</v>
      </c>
      <c r="M50" s="178" t="s">
        <v>384</v>
      </c>
      <c r="N50">
        <f t="shared" si="1"/>
        <v>20.311869720075759</v>
      </c>
    </row>
    <row r="51" spans="1:14" x14ac:dyDescent="0.25">
      <c r="A51" s="177">
        <v>7</v>
      </c>
      <c r="B51" s="178" t="s">
        <v>386</v>
      </c>
      <c r="C51" s="178" t="s">
        <v>387</v>
      </c>
      <c r="D51" s="178" t="s">
        <v>388</v>
      </c>
      <c r="E51" s="179">
        <v>15853.195028890001</v>
      </c>
      <c r="F51" s="379">
        <v>690565175.45861816</v>
      </c>
      <c r="G51" s="379">
        <v>182704.00311917896</v>
      </c>
      <c r="H51" s="380">
        <v>11350.879403999999</v>
      </c>
      <c r="I51" s="381">
        <v>1120.1486239999999</v>
      </c>
      <c r="J51" s="382">
        <f>SUM(H51:I51)</f>
        <v>12471.028027999999</v>
      </c>
      <c r="M51" t="s">
        <v>389</v>
      </c>
      <c r="N51">
        <f t="shared" si="1"/>
        <v>2.1497877659090907</v>
      </c>
    </row>
    <row r="52" spans="1:14" x14ac:dyDescent="0.25">
      <c r="A52" s="177">
        <v>8</v>
      </c>
      <c r="B52" s="178" t="s">
        <v>390</v>
      </c>
      <c r="C52" s="178" t="s">
        <v>391</v>
      </c>
      <c r="D52" s="178" t="s">
        <v>392</v>
      </c>
      <c r="E52" s="179">
        <v>14801.66179249</v>
      </c>
      <c r="F52" s="379">
        <v>644760387.68011475</v>
      </c>
      <c r="G52" s="379">
        <v>201541.52713044875</v>
      </c>
      <c r="H52" s="380">
        <v>116136.25636699999</v>
      </c>
      <c r="I52" s="381">
        <v>546.14014599999996</v>
      </c>
      <c r="J52" s="382">
        <f>SUM(H52:I52)</f>
        <v>116682.396513</v>
      </c>
      <c r="L52">
        <v>21403030242</v>
      </c>
      <c r="M52" t="s">
        <v>389</v>
      </c>
      <c r="N52">
        <f t="shared" si="1"/>
        <v>21.995503099810605</v>
      </c>
    </row>
    <row r="53" spans="1:14" x14ac:dyDescent="0.25">
      <c r="A53" s="177">
        <v>9</v>
      </c>
      <c r="B53" s="178" t="s">
        <v>393</v>
      </c>
      <c r="C53" s="178" t="s">
        <v>394</v>
      </c>
      <c r="D53" s="178" t="s">
        <v>395</v>
      </c>
      <c r="E53" s="179">
        <v>26971.024934640001</v>
      </c>
      <c r="F53" s="379">
        <v>1174857846.1525879</v>
      </c>
      <c r="G53" s="379">
        <v>211442.37557881302</v>
      </c>
      <c r="H53" s="383">
        <v>0</v>
      </c>
      <c r="I53" s="384">
        <v>0</v>
      </c>
      <c r="J53" s="382">
        <f t="shared" si="0"/>
        <v>0</v>
      </c>
      <c r="L53">
        <v>21403030251</v>
      </c>
      <c r="M53" t="s">
        <v>389</v>
      </c>
      <c r="N53">
        <f t="shared" si="1"/>
        <v>0</v>
      </c>
    </row>
    <row r="54" spans="1:14" x14ac:dyDescent="0.25">
      <c r="A54" s="177">
        <v>10</v>
      </c>
      <c r="B54" s="178" t="s">
        <v>396</v>
      </c>
      <c r="C54" s="178" t="s">
        <v>397</v>
      </c>
      <c r="D54" s="178" t="s">
        <v>398</v>
      </c>
      <c r="E54" s="179">
        <v>24694.330819229999</v>
      </c>
      <c r="F54" s="379">
        <v>1075685050.4862671</v>
      </c>
      <c r="G54" s="379">
        <v>211206.16271567455</v>
      </c>
      <c r="H54" s="380">
        <v>68420.322568999996</v>
      </c>
      <c r="I54" s="381">
        <v>1876.217537</v>
      </c>
      <c r="J54" s="382">
        <f t="shared" si="0"/>
        <v>70296.540106</v>
      </c>
      <c r="L54">
        <v>21403020237</v>
      </c>
      <c r="M54" t="s">
        <v>370</v>
      </c>
      <c r="N54">
        <f t="shared" si="1"/>
        <v>12.958394425946969</v>
      </c>
    </row>
    <row r="55" spans="1:14" x14ac:dyDescent="0.25">
      <c r="A55" s="177">
        <v>11</v>
      </c>
      <c r="B55" s="178" t="s">
        <v>399</v>
      </c>
      <c r="C55" s="178" t="s">
        <v>400</v>
      </c>
      <c r="D55" s="178" t="s">
        <v>401</v>
      </c>
      <c r="E55" s="179">
        <v>11243.76000556</v>
      </c>
      <c r="F55" s="379">
        <v>489778185.84350586</v>
      </c>
      <c r="G55" s="379">
        <v>101355.23118105135</v>
      </c>
      <c r="H55" s="385">
        <v>1813.8800180000001</v>
      </c>
      <c r="I55" s="381">
        <v>21156.450112999999</v>
      </c>
      <c r="J55" s="382">
        <f t="shared" si="0"/>
        <v>22970.330130999999</v>
      </c>
      <c r="M55" s="178" t="s">
        <v>384</v>
      </c>
      <c r="N55">
        <f t="shared" si="1"/>
        <v>0.34353788219696973</v>
      </c>
    </row>
    <row r="56" spans="1:14" x14ac:dyDescent="0.25">
      <c r="A56" s="177">
        <v>12</v>
      </c>
      <c r="B56" s="178" t="s">
        <v>402</v>
      </c>
      <c r="C56" s="178" t="s">
        <v>403</v>
      </c>
      <c r="D56" s="178" t="s">
        <v>404</v>
      </c>
      <c r="E56" s="179">
        <v>24135.27312278</v>
      </c>
      <c r="F56" s="379">
        <v>1051332497.2282715</v>
      </c>
      <c r="G56" s="379">
        <v>232155.33447050056</v>
      </c>
      <c r="H56" s="380">
        <v>530435.34765799996</v>
      </c>
      <c r="I56" s="381">
        <v>27817.949027999999</v>
      </c>
      <c r="J56" s="382">
        <f t="shared" si="0"/>
        <v>558253.29668599996</v>
      </c>
      <c r="M56" t="s">
        <v>370</v>
      </c>
      <c r="N56">
        <f t="shared" si="1"/>
        <v>100.46124008674242</v>
      </c>
    </row>
    <row r="57" spans="1:14" x14ac:dyDescent="0.25">
      <c r="A57" s="177">
        <v>13</v>
      </c>
      <c r="B57" s="178" t="s">
        <v>405</v>
      </c>
      <c r="C57" s="178" t="s">
        <v>406</v>
      </c>
      <c r="D57" s="178" t="s">
        <v>407</v>
      </c>
      <c r="E57" s="179">
        <v>34464.933709839999</v>
      </c>
      <c r="F57" s="379">
        <v>1501292512.3995972</v>
      </c>
      <c r="G57" s="379">
        <v>217669.68128636407</v>
      </c>
      <c r="H57" s="380">
        <v>30314.636279999999</v>
      </c>
      <c r="I57" s="381">
        <v>18145.468410000001</v>
      </c>
      <c r="J57" s="382">
        <f t="shared" si="0"/>
        <v>48460.10469</v>
      </c>
      <c r="M57" t="s">
        <v>370</v>
      </c>
      <c r="N57">
        <f t="shared" si="1"/>
        <v>5.741408386363636</v>
      </c>
    </row>
    <row r="58" spans="1:14" x14ac:dyDescent="0.25">
      <c r="A58" s="177">
        <v>14</v>
      </c>
      <c r="B58" s="178" t="s">
        <v>408</v>
      </c>
      <c r="C58" s="178" t="s">
        <v>409</v>
      </c>
      <c r="D58" s="178" t="s">
        <v>410</v>
      </c>
      <c r="E58" s="179">
        <v>123044.38325692</v>
      </c>
      <c r="F58" s="379">
        <v>5359813334.6717529</v>
      </c>
      <c r="G58" s="379">
        <v>431058.48445010837</v>
      </c>
      <c r="H58" s="383">
        <v>0</v>
      </c>
      <c r="I58" s="384">
        <v>0</v>
      </c>
      <c r="J58" s="382">
        <f t="shared" si="0"/>
        <v>0</v>
      </c>
      <c r="M58" t="s">
        <v>411</v>
      </c>
      <c r="N58">
        <f t="shared" si="1"/>
        <v>0</v>
      </c>
    </row>
    <row r="59" spans="1:14" x14ac:dyDescent="0.25">
      <c r="A59" s="177">
        <v>15</v>
      </c>
      <c r="B59" s="178" t="s">
        <v>412</v>
      </c>
      <c r="C59" s="178" t="s">
        <v>413</v>
      </c>
      <c r="D59" s="178" t="s">
        <v>414</v>
      </c>
      <c r="E59" s="179">
        <v>21659.19694261</v>
      </c>
      <c r="F59" s="379">
        <v>943474618.82012939</v>
      </c>
      <c r="G59" s="379">
        <v>161854.51561246117</v>
      </c>
      <c r="H59" s="383">
        <v>0</v>
      </c>
      <c r="I59" s="384">
        <v>0</v>
      </c>
      <c r="J59" s="382">
        <f t="shared" si="0"/>
        <v>0</v>
      </c>
      <c r="M59" t="s">
        <v>389</v>
      </c>
      <c r="N59">
        <f t="shared" si="1"/>
        <v>0</v>
      </c>
    </row>
    <row r="60" spans="1:14" x14ac:dyDescent="0.25">
      <c r="A60" s="177">
        <v>16</v>
      </c>
      <c r="B60" s="178" t="s">
        <v>415</v>
      </c>
      <c r="C60" s="178" t="s">
        <v>416</v>
      </c>
      <c r="D60" s="178" t="s">
        <v>417</v>
      </c>
      <c r="E60" s="179">
        <v>9967.0044864200008</v>
      </c>
      <c r="F60" s="379">
        <v>434162715.42816162</v>
      </c>
      <c r="G60" s="379">
        <v>152829.42253380542</v>
      </c>
      <c r="H60" s="380">
        <v>37023.938703</v>
      </c>
      <c r="I60" s="381">
        <v>25148.455110999999</v>
      </c>
      <c r="J60" s="382">
        <f t="shared" si="0"/>
        <v>62172.393813999995</v>
      </c>
      <c r="M60" t="s">
        <v>370</v>
      </c>
      <c r="N60">
        <f t="shared" si="1"/>
        <v>7.0121096028409093</v>
      </c>
    </row>
    <row r="61" spans="1:14" x14ac:dyDescent="0.25">
      <c r="A61" s="177">
        <v>17</v>
      </c>
      <c r="B61" s="178" t="s">
        <v>418</v>
      </c>
      <c r="C61" s="178" t="s">
        <v>419</v>
      </c>
      <c r="D61" s="178" t="s">
        <v>420</v>
      </c>
      <c r="E61" s="179">
        <v>30910.35933128</v>
      </c>
      <c r="F61" s="379">
        <v>1346455252.4719238</v>
      </c>
      <c r="G61" s="379">
        <v>258628.25872393633</v>
      </c>
      <c r="H61" s="383">
        <v>0</v>
      </c>
      <c r="I61" s="384">
        <v>0</v>
      </c>
      <c r="J61" s="382">
        <f t="shared" si="0"/>
        <v>0</v>
      </c>
      <c r="L61">
        <v>21403030250</v>
      </c>
      <c r="M61" t="s">
        <v>389</v>
      </c>
      <c r="N61">
        <f t="shared" si="1"/>
        <v>0</v>
      </c>
    </row>
    <row r="62" spans="1:14" x14ac:dyDescent="0.25">
      <c r="A62" s="177">
        <v>18</v>
      </c>
      <c r="B62" s="178" t="s">
        <v>421</v>
      </c>
      <c r="C62" s="178" t="s">
        <v>422</v>
      </c>
      <c r="D62" s="178" t="s">
        <v>423</v>
      </c>
      <c r="E62" s="179">
        <v>18661.54187506</v>
      </c>
      <c r="F62" s="379">
        <v>812896764.07757568</v>
      </c>
      <c r="G62" s="379">
        <v>162342.52548783625</v>
      </c>
      <c r="H62" s="380">
        <v>81787.218575999999</v>
      </c>
      <c r="I62" s="381">
        <v>6577.0116120000002</v>
      </c>
      <c r="J62" s="382">
        <f t="shared" si="0"/>
        <v>88364.230188000001</v>
      </c>
      <c r="M62" t="s">
        <v>424</v>
      </c>
      <c r="N62">
        <f t="shared" si="1"/>
        <v>15.490003518181817</v>
      </c>
    </row>
    <row r="63" spans="1:14" x14ac:dyDescent="0.25">
      <c r="A63" s="177">
        <v>19</v>
      </c>
      <c r="B63" s="178" t="s">
        <v>425</v>
      </c>
      <c r="C63" s="178" t="s">
        <v>426</v>
      </c>
      <c r="D63" s="178" t="s">
        <v>427</v>
      </c>
      <c r="E63" s="179">
        <v>202431.50368274</v>
      </c>
      <c r="F63" s="379">
        <v>8817916300.4196167</v>
      </c>
      <c r="G63" s="379">
        <v>493871.85856830736</v>
      </c>
      <c r="H63" s="383">
        <v>0</v>
      </c>
      <c r="I63" s="384">
        <v>0</v>
      </c>
      <c r="J63" s="382">
        <f t="shared" si="0"/>
        <v>0</v>
      </c>
      <c r="L63">
        <v>21403030259</v>
      </c>
      <c r="M63" t="s">
        <v>389</v>
      </c>
      <c r="N63">
        <f t="shared" si="1"/>
        <v>0</v>
      </c>
    </row>
    <row r="64" spans="1:14" x14ac:dyDescent="0.25">
      <c r="A64" s="177">
        <v>20</v>
      </c>
      <c r="B64" s="178" t="s">
        <v>428</v>
      </c>
      <c r="C64" s="178" t="s">
        <v>429</v>
      </c>
      <c r="D64" s="178" t="s">
        <v>430</v>
      </c>
      <c r="E64" s="179">
        <v>11643.323080710001</v>
      </c>
      <c r="F64" s="379">
        <v>507183153.39691162</v>
      </c>
      <c r="G64" s="379">
        <v>145067.32493570645</v>
      </c>
      <c r="H64" s="380">
        <v>242577.11478800001</v>
      </c>
      <c r="I64" s="381">
        <v>1362.22516</v>
      </c>
      <c r="J64" s="382">
        <f>SUM(H64:I64)</f>
        <v>243939.33994800001</v>
      </c>
      <c r="L64">
        <v>21403030240</v>
      </c>
      <c r="M64" t="s">
        <v>389</v>
      </c>
      <c r="N64">
        <f t="shared" si="1"/>
        <v>45.942635376515156</v>
      </c>
    </row>
    <row r="65" spans="1:10" x14ac:dyDescent="0.25">
      <c r="A65" t="s">
        <v>447</v>
      </c>
      <c r="F65" s="7"/>
      <c r="G65" s="7"/>
      <c r="H65" s="7"/>
      <c r="I65" s="7"/>
      <c r="J65" s="386">
        <f>SUMIF(M45:M64,M45,J45:J64)</f>
        <v>1637172.594729</v>
      </c>
    </row>
    <row r="66" spans="1:10" x14ac:dyDescent="0.25">
      <c r="J66" s="382"/>
    </row>
    <row r="67" spans="1:10" x14ac:dyDescent="0.25">
      <c r="A67" s="168" t="s">
        <v>306</v>
      </c>
      <c r="C67" s="156" t="s">
        <v>450</v>
      </c>
    </row>
    <row r="68" spans="1:10" x14ac:dyDescent="0.25">
      <c r="A68" t="s">
        <v>435</v>
      </c>
      <c r="B68" s="181">
        <v>1E-3</v>
      </c>
    </row>
    <row r="69" spans="1:10" x14ac:dyDescent="0.25">
      <c r="A69" t="s">
        <v>436</v>
      </c>
      <c r="B69" s="30">
        <f>B68*'Watershed Data'!B8</f>
        <v>24.521000000000001</v>
      </c>
    </row>
    <row r="70" spans="1:10" x14ac:dyDescent="0.25">
      <c r="A70" t="s">
        <v>437</v>
      </c>
      <c r="B70" s="182">
        <v>957</v>
      </c>
    </row>
    <row r="71" spans="1:10" x14ac:dyDescent="0.25">
      <c r="A71" t="s">
        <v>438</v>
      </c>
      <c r="B71" s="180">
        <v>0.05</v>
      </c>
    </row>
    <row r="72" spans="1:10" x14ac:dyDescent="0.25">
      <c r="A72" t="s">
        <v>440</v>
      </c>
      <c r="B72" s="180">
        <v>0.1</v>
      </c>
    </row>
    <row r="73" spans="1:10" x14ac:dyDescent="0.25">
      <c r="A73" t="s">
        <v>439</v>
      </c>
      <c r="B73" s="182">
        <v>150</v>
      </c>
    </row>
    <row r="74" spans="1:10" x14ac:dyDescent="0.25">
      <c r="A74" t="s">
        <v>441</v>
      </c>
      <c r="B74" s="174">
        <v>3300000</v>
      </c>
    </row>
    <row r="75" spans="1:10" x14ac:dyDescent="0.25">
      <c r="A75" t="s">
        <v>443</v>
      </c>
      <c r="B75" s="227">
        <f>1.38*10^-5</f>
        <v>1.38E-5</v>
      </c>
      <c r="D75" s="170" t="s">
        <v>575</v>
      </c>
    </row>
    <row r="76" spans="1:10" x14ac:dyDescent="0.25">
      <c r="A76" t="s">
        <v>326</v>
      </c>
      <c r="B76" s="33">
        <f>('Watershed Data'!B9*'Watershed Data'!B11*SewageData!B2*SewageData!B69+SewageData!B70*SewageData!B71*SewageData!B72*SewageData!B73*SewageData!B74)*SewageData!B75</f>
        <v>672243.05700000003</v>
      </c>
      <c r="C76" s="401">
        <v>672096.91720499983</v>
      </c>
      <c r="D76" s="170" t="s">
        <v>442</v>
      </c>
    </row>
    <row r="78" spans="1:10" x14ac:dyDescent="0.25">
      <c r="A78" s="168" t="s">
        <v>304</v>
      </c>
    </row>
    <row r="79" spans="1:10" x14ac:dyDescent="0.25">
      <c r="A79" s="156" t="s">
        <v>308</v>
      </c>
    </row>
    <row r="81" spans="1:4" x14ac:dyDescent="0.25">
      <c r="A81" s="168" t="s">
        <v>307</v>
      </c>
    </row>
    <row r="82" spans="1:4" x14ac:dyDescent="0.25">
      <c r="A82" s="198" t="s">
        <v>472</v>
      </c>
      <c r="B82" s="198" t="s">
        <v>445</v>
      </c>
      <c r="C82" s="198" t="s">
        <v>444</v>
      </c>
      <c r="D82" s="198" t="s">
        <v>446</v>
      </c>
    </row>
    <row r="83" spans="1:4" x14ac:dyDescent="0.25">
      <c r="A83" s="199">
        <v>1</v>
      </c>
      <c r="B83" s="199"/>
      <c r="C83" s="199"/>
      <c r="D83" s="200">
        <f>B83*C83</f>
        <v>0</v>
      </c>
    </row>
    <row r="84" spans="1:4" x14ac:dyDescent="0.25">
      <c r="A84" s="199">
        <f>1+A83</f>
        <v>2</v>
      </c>
      <c r="B84" s="199"/>
      <c r="C84" s="199"/>
      <c r="D84" s="200">
        <f t="shared" ref="D84:D102" si="2">B84*C84</f>
        <v>0</v>
      </c>
    </row>
    <row r="85" spans="1:4" x14ac:dyDescent="0.25">
      <c r="A85" s="199">
        <f t="shared" ref="A85:A104" si="3">1+A84</f>
        <v>3</v>
      </c>
      <c r="B85" s="199"/>
      <c r="C85" s="199"/>
      <c r="D85" s="200">
        <f t="shared" si="2"/>
        <v>0</v>
      </c>
    </row>
    <row r="86" spans="1:4" x14ac:dyDescent="0.25">
      <c r="A86" s="199">
        <f t="shared" si="3"/>
        <v>4</v>
      </c>
      <c r="B86" s="199"/>
      <c r="C86" s="199"/>
      <c r="D86" s="200">
        <f t="shared" si="2"/>
        <v>0</v>
      </c>
    </row>
    <row r="87" spans="1:4" x14ac:dyDescent="0.25">
      <c r="A87" s="199">
        <f t="shared" si="3"/>
        <v>5</v>
      </c>
      <c r="B87" s="199"/>
      <c r="C87" s="199"/>
      <c r="D87" s="200">
        <f t="shared" si="2"/>
        <v>0</v>
      </c>
    </row>
    <row r="88" spans="1:4" x14ac:dyDescent="0.25">
      <c r="A88" s="199">
        <f t="shared" si="3"/>
        <v>6</v>
      </c>
      <c r="B88" s="199"/>
      <c r="C88" s="199"/>
      <c r="D88" s="200">
        <f t="shared" si="2"/>
        <v>0</v>
      </c>
    </row>
    <row r="89" spans="1:4" x14ac:dyDescent="0.25">
      <c r="A89" s="199">
        <f t="shared" si="3"/>
        <v>7</v>
      </c>
      <c r="B89" s="199"/>
      <c r="C89" s="199"/>
      <c r="D89" s="200">
        <f t="shared" si="2"/>
        <v>0</v>
      </c>
    </row>
    <row r="90" spans="1:4" x14ac:dyDescent="0.25">
      <c r="A90" s="199">
        <f t="shared" si="3"/>
        <v>8</v>
      </c>
      <c r="B90" s="199"/>
      <c r="C90" s="199"/>
      <c r="D90" s="200">
        <f t="shared" si="2"/>
        <v>0</v>
      </c>
    </row>
    <row r="91" spans="1:4" x14ac:dyDescent="0.25">
      <c r="A91" s="199">
        <f t="shared" si="3"/>
        <v>9</v>
      </c>
      <c r="B91" s="199"/>
      <c r="C91" s="199"/>
      <c r="D91" s="200">
        <f t="shared" si="2"/>
        <v>0</v>
      </c>
    </row>
    <row r="92" spans="1:4" x14ac:dyDescent="0.25">
      <c r="A92" s="199">
        <f t="shared" si="3"/>
        <v>10</v>
      </c>
      <c r="B92" s="199"/>
      <c r="C92" s="199"/>
      <c r="D92" s="200">
        <f t="shared" si="2"/>
        <v>0</v>
      </c>
    </row>
    <row r="93" spans="1:4" x14ac:dyDescent="0.25">
      <c r="A93" s="199">
        <f t="shared" si="3"/>
        <v>11</v>
      </c>
      <c r="B93" s="199"/>
      <c r="C93" s="199"/>
      <c r="D93" s="200">
        <f t="shared" si="2"/>
        <v>0</v>
      </c>
    </row>
    <row r="94" spans="1:4" x14ac:dyDescent="0.25">
      <c r="A94" s="199">
        <f t="shared" si="3"/>
        <v>12</v>
      </c>
      <c r="B94" s="199"/>
      <c r="C94" s="199"/>
      <c r="D94" s="200">
        <f t="shared" si="2"/>
        <v>0</v>
      </c>
    </row>
    <row r="95" spans="1:4" x14ac:dyDescent="0.25">
      <c r="A95" s="199">
        <f t="shared" si="3"/>
        <v>13</v>
      </c>
      <c r="B95" s="199"/>
      <c r="C95" s="199"/>
      <c r="D95" s="200">
        <f t="shared" si="2"/>
        <v>0</v>
      </c>
    </row>
    <row r="96" spans="1:4" x14ac:dyDescent="0.25">
      <c r="A96" s="199">
        <f t="shared" si="3"/>
        <v>14</v>
      </c>
      <c r="B96" s="199"/>
      <c r="C96" s="199"/>
      <c r="D96" s="200">
        <f t="shared" si="2"/>
        <v>0</v>
      </c>
    </row>
    <row r="97" spans="1:4" x14ac:dyDescent="0.25">
      <c r="A97" s="199">
        <f t="shared" si="3"/>
        <v>15</v>
      </c>
      <c r="B97" s="199"/>
      <c r="C97" s="199"/>
      <c r="D97" s="200">
        <f t="shared" si="2"/>
        <v>0</v>
      </c>
    </row>
    <row r="98" spans="1:4" x14ac:dyDescent="0.25">
      <c r="A98" s="199">
        <f t="shared" si="3"/>
        <v>16</v>
      </c>
      <c r="B98" s="199"/>
      <c r="C98" s="199"/>
      <c r="D98" s="200">
        <f t="shared" si="2"/>
        <v>0</v>
      </c>
    </row>
    <row r="99" spans="1:4" x14ac:dyDescent="0.25">
      <c r="A99" s="199">
        <f t="shared" si="3"/>
        <v>17</v>
      </c>
      <c r="B99" s="199"/>
      <c r="C99" s="199"/>
      <c r="D99" s="200">
        <f t="shared" si="2"/>
        <v>0</v>
      </c>
    </row>
    <row r="100" spans="1:4" x14ac:dyDescent="0.25">
      <c r="A100" s="199">
        <f t="shared" si="3"/>
        <v>18</v>
      </c>
      <c r="B100" s="199"/>
      <c r="C100" s="199"/>
      <c r="D100" s="200">
        <f t="shared" si="2"/>
        <v>0</v>
      </c>
    </row>
    <row r="101" spans="1:4" x14ac:dyDescent="0.25">
      <c r="A101" s="199">
        <f t="shared" si="3"/>
        <v>19</v>
      </c>
      <c r="B101" s="199"/>
      <c r="C101" s="199"/>
      <c r="D101" s="200">
        <f t="shared" si="2"/>
        <v>0</v>
      </c>
    </row>
    <row r="102" spans="1:4" x14ac:dyDescent="0.25">
      <c r="A102" s="199">
        <f t="shared" si="3"/>
        <v>20</v>
      </c>
      <c r="B102" s="199"/>
      <c r="C102" s="199"/>
      <c r="D102" s="200">
        <f t="shared" si="2"/>
        <v>0</v>
      </c>
    </row>
    <row r="103" spans="1:4" x14ac:dyDescent="0.25">
      <c r="A103" s="199">
        <f t="shared" si="3"/>
        <v>21</v>
      </c>
      <c r="B103" s="199"/>
      <c r="C103" s="199"/>
      <c r="D103" s="200">
        <f>SUM(D83:D102)</f>
        <v>0</v>
      </c>
    </row>
    <row r="104" spans="1:4" x14ac:dyDescent="0.25">
      <c r="A104" s="199">
        <f t="shared" si="3"/>
        <v>22</v>
      </c>
      <c r="B104" s="199"/>
      <c r="C104" s="199"/>
      <c r="D104" s="200"/>
    </row>
    <row r="105" spans="1:4" s="189" customFormat="1" ht="15.75" thickBot="1" x14ac:dyDescent="0.3">
      <c r="A105" s="201"/>
      <c r="B105" s="199" t="s">
        <v>203</v>
      </c>
      <c r="C105" s="199"/>
      <c r="D105" s="202"/>
    </row>
  </sheetData>
  <dataValidations disablePrompts="1" count="3">
    <dataValidation type="list" allowBlank="1" showInputMessage="1" showErrorMessage="1" promptTitle="Select" prompt="Septic Management" sqref="B5" xr:uid="{00000000-0002-0000-0500-000000000000}">
      <formula1>Septic_Management</formula1>
    </dataValidation>
    <dataValidation type="list" allowBlank="1" showInputMessage="1" showErrorMessage="1" promptTitle="Select" prompt="Separation from Groundwater" sqref="B6" xr:uid="{00000000-0002-0000-0500-000001000000}">
      <formula1>Separation_from_GW</formula1>
    </dataValidation>
    <dataValidation type="list" allowBlank="1" showInputMessage="1" showErrorMessage="1" promptTitle="Select" prompt="Density (#/acre)" sqref="B7" xr:uid="{00000000-0002-0000-0500-000002000000}">
      <formula1>Density_NoPerAcre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 tint="0.39997558519241921"/>
  </sheetPr>
  <dimension ref="A1:BC148"/>
  <sheetViews>
    <sheetView zoomScale="85" zoomScaleNormal="85" workbookViewId="0">
      <pane xSplit="2" ySplit="2" topLeftCell="C57" activePane="bottomRight" state="frozen"/>
      <selection pane="topRight" activeCell="C1" sqref="C1"/>
      <selection pane="bottomLeft" activeCell="A3" sqref="A3"/>
      <selection pane="bottomRight" activeCell="H76" sqref="H76"/>
    </sheetView>
  </sheetViews>
  <sheetFormatPr defaultRowHeight="15" x14ac:dyDescent="0.25"/>
  <cols>
    <col min="1" max="1" width="13.7109375" customWidth="1"/>
    <col min="2" max="2" width="62.42578125" customWidth="1"/>
    <col min="3" max="14" width="12.7109375" customWidth="1"/>
    <col min="15" max="19" width="12.7109375" style="6" customWidth="1"/>
    <col min="20" max="20" width="8.7109375" style="6"/>
    <col min="21" max="21" width="9.140625" style="6" bestFit="1" customWidth="1"/>
    <col min="22" max="52" width="8.7109375" style="6"/>
  </cols>
  <sheetData>
    <row r="1" spans="1:54" ht="30" x14ac:dyDescent="0.25">
      <c r="C1" s="24" t="s">
        <v>63</v>
      </c>
      <c r="D1" s="24"/>
      <c r="E1" s="240" t="s">
        <v>502</v>
      </c>
      <c r="F1" s="24"/>
      <c r="G1" s="24" t="s">
        <v>283</v>
      </c>
      <c r="H1" s="24"/>
      <c r="I1" s="24" t="s">
        <v>64</v>
      </c>
      <c r="J1" s="24"/>
      <c r="K1" s="24" t="s">
        <v>282</v>
      </c>
      <c r="L1" s="24"/>
      <c r="M1" s="24" t="s">
        <v>284</v>
      </c>
      <c r="N1" s="24"/>
      <c r="O1" s="24" t="s">
        <v>285</v>
      </c>
      <c r="P1" s="1"/>
      <c r="R1" s="24" t="s">
        <v>582</v>
      </c>
      <c r="S1" s="1"/>
      <c r="BA1" s="6"/>
      <c r="BB1" s="6"/>
    </row>
    <row r="2" spans="1:54" s="13" customFormat="1" x14ac:dyDescent="0.25">
      <c r="A2" s="93" t="s">
        <v>514</v>
      </c>
      <c r="C2" s="67" t="s">
        <v>190</v>
      </c>
      <c r="D2" s="165" t="s">
        <v>191</v>
      </c>
      <c r="E2" s="67" t="s">
        <v>190</v>
      </c>
      <c r="F2" s="165" t="s">
        <v>191</v>
      </c>
      <c r="G2" s="67" t="s">
        <v>190</v>
      </c>
      <c r="H2" s="68" t="s">
        <v>191</v>
      </c>
      <c r="I2" s="67" t="s">
        <v>190</v>
      </c>
      <c r="J2" s="68" t="s">
        <v>191</v>
      </c>
      <c r="K2" s="67" t="s">
        <v>190</v>
      </c>
      <c r="L2" s="68" t="s">
        <v>191</v>
      </c>
      <c r="M2" s="67" t="s">
        <v>190</v>
      </c>
      <c r="N2" s="68" t="s">
        <v>191</v>
      </c>
      <c r="O2" s="67" t="s">
        <v>190</v>
      </c>
      <c r="P2" s="165" t="s">
        <v>191</v>
      </c>
      <c r="Q2" s="166"/>
      <c r="R2" s="67" t="s">
        <v>190</v>
      </c>
      <c r="S2" s="165" t="s">
        <v>191</v>
      </c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</row>
    <row r="3" spans="1:54" x14ac:dyDescent="0.25">
      <c r="A3" t="str">
        <f>+BMPs!C3</f>
        <v>AGRE</v>
      </c>
      <c r="B3" t="str">
        <f>+BMPs!D3</f>
        <v>Green Roof - Extensive</v>
      </c>
      <c r="C3" s="138"/>
      <c r="D3" s="139"/>
      <c r="E3" s="140"/>
      <c r="F3" s="141"/>
      <c r="G3" s="140"/>
      <c r="H3" s="260"/>
      <c r="I3" s="140"/>
      <c r="J3" s="260"/>
      <c r="K3" s="140"/>
      <c r="L3" s="260"/>
      <c r="M3" s="140"/>
      <c r="N3" s="260"/>
      <c r="O3" s="140"/>
      <c r="P3" s="141"/>
      <c r="R3" s="447">
        <f>G3+K3+M3</f>
        <v>0</v>
      </c>
      <c r="S3" s="447">
        <f>H3+L3+N3</f>
        <v>0</v>
      </c>
      <c r="BA3" s="6"/>
      <c r="BB3" s="6"/>
    </row>
    <row r="4" spans="1:54" x14ac:dyDescent="0.25">
      <c r="A4" t="str">
        <f>+BMPs!C4</f>
        <v>AGRI</v>
      </c>
      <c r="B4" t="str">
        <f>+BMPs!D4</f>
        <v>Green Roof - Intensive</v>
      </c>
      <c r="C4" s="140"/>
      <c r="D4" s="141"/>
      <c r="E4" s="140"/>
      <c r="F4" s="141"/>
      <c r="G4" s="140"/>
      <c r="H4" s="260"/>
      <c r="I4" s="140"/>
      <c r="J4" s="260"/>
      <c r="K4" s="140"/>
      <c r="L4" s="260"/>
      <c r="M4" s="140"/>
      <c r="N4" s="260"/>
      <c r="O4" s="140"/>
      <c r="P4" s="141"/>
      <c r="R4" s="447">
        <f t="shared" ref="R4:S44" si="0">G4+K4+M4</f>
        <v>0</v>
      </c>
      <c r="S4" s="447">
        <f t="shared" si="0"/>
        <v>0</v>
      </c>
      <c r="BA4" s="6"/>
      <c r="BB4" s="6"/>
    </row>
    <row r="5" spans="1:54" x14ac:dyDescent="0.25">
      <c r="A5" t="str">
        <f>+BMPs!C5</f>
        <v>APRP</v>
      </c>
      <c r="B5" t="str">
        <f>+BMPs!D5</f>
        <v>Permeable Pavement</v>
      </c>
      <c r="C5" s="140"/>
      <c r="D5" s="141"/>
      <c r="E5" s="140"/>
      <c r="F5" s="141"/>
      <c r="G5" s="140"/>
      <c r="H5" s="260"/>
      <c r="I5" s="140"/>
      <c r="J5" s="260"/>
      <c r="K5" s="140"/>
      <c r="L5" s="260"/>
      <c r="M5" s="140"/>
      <c r="N5" s="260"/>
      <c r="O5" s="140"/>
      <c r="P5" s="141"/>
      <c r="R5" s="447">
        <f t="shared" si="0"/>
        <v>0</v>
      </c>
      <c r="S5" s="447">
        <f t="shared" si="0"/>
        <v>0</v>
      </c>
      <c r="BA5" s="6"/>
      <c r="BB5" s="6"/>
    </row>
    <row r="6" spans="1:54" x14ac:dyDescent="0.25">
      <c r="A6" s="1" t="str">
        <f>+BMPs!C6</f>
        <v>ARTF</v>
      </c>
      <c r="B6" s="1" t="str">
        <f>+BMPs!D6</f>
        <v>Reinforced Turf</v>
      </c>
      <c r="C6" s="142"/>
      <c r="D6" s="102"/>
      <c r="E6" s="142"/>
      <c r="F6" s="102"/>
      <c r="G6" s="142"/>
      <c r="H6" s="261"/>
      <c r="I6" s="142"/>
      <c r="J6" s="261"/>
      <c r="K6" s="142"/>
      <c r="L6" s="261"/>
      <c r="M6" s="142"/>
      <c r="N6" s="261"/>
      <c r="O6" s="142"/>
      <c r="P6" s="102"/>
      <c r="R6" s="447">
        <f t="shared" si="0"/>
        <v>0</v>
      </c>
      <c r="S6" s="447">
        <f t="shared" si="0"/>
        <v>0</v>
      </c>
      <c r="BA6" s="6"/>
      <c r="BB6" s="6"/>
    </row>
    <row r="7" spans="1:54" x14ac:dyDescent="0.25">
      <c r="A7" t="str">
        <f>+BMPs!C7</f>
        <v>NDRR</v>
      </c>
      <c r="B7" t="str">
        <f>+BMPs!D7</f>
        <v>Disconnection of Rooftop Runoff</v>
      </c>
      <c r="C7" s="140"/>
      <c r="D7" s="141"/>
      <c r="E7" s="140"/>
      <c r="F7" s="141"/>
      <c r="G7" s="140"/>
      <c r="H7" s="260"/>
      <c r="I7" s="140"/>
      <c r="J7" s="260"/>
      <c r="K7" s="140"/>
      <c r="L7" s="260"/>
      <c r="M7" s="140"/>
      <c r="N7" s="260"/>
      <c r="O7" s="140"/>
      <c r="P7" s="141"/>
      <c r="R7" s="447">
        <f t="shared" si="0"/>
        <v>0</v>
      </c>
      <c r="S7" s="447">
        <f t="shared" si="0"/>
        <v>0</v>
      </c>
      <c r="BA7" s="6"/>
      <c r="BB7" s="6"/>
    </row>
    <row r="8" spans="1:54" x14ac:dyDescent="0.25">
      <c r="A8" t="str">
        <f>+BMPs!C8</f>
        <v>NDNR</v>
      </c>
      <c r="B8" t="str">
        <f>+BMPs!D8</f>
        <v>Disconnection of Non-Rooftop Runoff</v>
      </c>
      <c r="C8" s="140"/>
      <c r="D8" s="141"/>
      <c r="E8" s="140"/>
      <c r="F8" s="141"/>
      <c r="G8" s="140"/>
      <c r="H8" s="260"/>
      <c r="I8" s="140"/>
      <c r="J8" s="260"/>
      <c r="K8" s="140"/>
      <c r="L8" s="260"/>
      <c r="M8" s="140"/>
      <c r="N8" s="260"/>
      <c r="O8" s="140"/>
      <c r="P8" s="141"/>
      <c r="R8" s="447">
        <f t="shared" si="0"/>
        <v>0</v>
      </c>
      <c r="S8" s="447">
        <f t="shared" si="0"/>
        <v>0</v>
      </c>
      <c r="BA8" s="6"/>
      <c r="BB8" s="6"/>
    </row>
    <row r="9" spans="1:54" x14ac:dyDescent="0.25">
      <c r="A9" s="1" t="str">
        <f>+BMPs!C9</f>
        <v>NSCA</v>
      </c>
      <c r="B9" s="1" t="str">
        <f>+BMPs!D9</f>
        <v>Sheetflow to Conservation Areas</v>
      </c>
      <c r="C9" s="142"/>
      <c r="D9" s="102"/>
      <c r="E9" s="142"/>
      <c r="F9" s="102"/>
      <c r="G9" s="142"/>
      <c r="H9" s="261"/>
      <c r="I9" s="142"/>
      <c r="J9" s="261"/>
      <c r="K9" s="142"/>
      <c r="L9" s="261"/>
      <c r="M9" s="142"/>
      <c r="N9" s="261"/>
      <c r="O9" s="142"/>
      <c r="P9" s="102"/>
      <c r="R9" s="447">
        <f t="shared" si="0"/>
        <v>0</v>
      </c>
      <c r="S9" s="447">
        <f t="shared" si="0"/>
        <v>0</v>
      </c>
      <c r="BA9" s="6"/>
      <c r="BB9" s="6"/>
    </row>
    <row r="10" spans="1:54" x14ac:dyDescent="0.25">
      <c r="A10" t="str">
        <f>+BMPs!C10</f>
        <v>MRWH</v>
      </c>
      <c r="B10" t="str">
        <f>+BMPs!D10</f>
        <v>Rainwater Harvesting</v>
      </c>
      <c r="C10" s="140"/>
      <c r="D10" s="141"/>
      <c r="E10" s="140"/>
      <c r="F10" s="141"/>
      <c r="G10" s="485">
        <v>0.05</v>
      </c>
      <c r="H10" s="490">
        <v>0.05</v>
      </c>
      <c r="I10" s="140"/>
      <c r="J10" s="260"/>
      <c r="K10" s="140"/>
      <c r="L10" s="260"/>
      <c r="M10" s="140"/>
      <c r="N10" s="260"/>
      <c r="O10" s="140"/>
      <c r="P10" s="141"/>
      <c r="R10" s="447">
        <f t="shared" si="0"/>
        <v>0.05</v>
      </c>
      <c r="S10" s="447">
        <f t="shared" si="0"/>
        <v>0.05</v>
      </c>
      <c r="BA10" s="6"/>
      <c r="BB10" s="6"/>
    </row>
    <row r="11" spans="1:54" x14ac:dyDescent="0.25">
      <c r="A11" t="str">
        <f>+BMPs!C11</f>
        <v>MSGW</v>
      </c>
      <c r="B11" t="str">
        <f>+BMPs!D11</f>
        <v>Submerged Gravel Wetland</v>
      </c>
      <c r="C11" s="140"/>
      <c r="D11" s="141"/>
      <c r="E11" s="140"/>
      <c r="F11" s="141"/>
      <c r="G11" s="140"/>
      <c r="H11" s="260"/>
      <c r="I11" s="140"/>
      <c r="J11" s="260"/>
      <c r="K11" s="140"/>
      <c r="L11" s="260"/>
      <c r="M11" s="140"/>
      <c r="N11" s="260"/>
      <c r="O11" s="140"/>
      <c r="P11" s="141"/>
      <c r="R11" s="447">
        <f t="shared" si="0"/>
        <v>0</v>
      </c>
      <c r="S11" s="447">
        <f t="shared" si="0"/>
        <v>0</v>
      </c>
      <c r="BA11" s="6"/>
      <c r="BB11" s="6"/>
    </row>
    <row r="12" spans="1:54" x14ac:dyDescent="0.25">
      <c r="A12" t="str">
        <f>+BMPs!C12</f>
        <v>MILS</v>
      </c>
      <c r="B12" t="str">
        <f>+BMPs!D12</f>
        <v>Landscape Infiltration</v>
      </c>
      <c r="C12" s="140"/>
      <c r="D12" s="141"/>
      <c r="E12" s="140"/>
      <c r="F12" s="141"/>
      <c r="G12" s="140"/>
      <c r="H12" s="260"/>
      <c r="I12" s="140"/>
      <c r="J12" s="260"/>
      <c r="K12" s="140"/>
      <c r="L12" s="260"/>
      <c r="M12" s="140"/>
      <c r="N12" s="260"/>
      <c r="O12" s="140"/>
      <c r="P12" s="141"/>
      <c r="R12" s="447">
        <f t="shared" si="0"/>
        <v>0</v>
      </c>
      <c r="S12" s="447">
        <f t="shared" si="0"/>
        <v>0</v>
      </c>
      <c r="BA12" s="6"/>
      <c r="BB12" s="6"/>
    </row>
    <row r="13" spans="1:54" x14ac:dyDescent="0.25">
      <c r="A13" t="str">
        <f>+BMPs!C13</f>
        <v>MIBR</v>
      </c>
      <c r="B13" t="str">
        <f>+BMPs!D13</f>
        <v>Infiltration Berm</v>
      </c>
      <c r="C13" s="140"/>
      <c r="D13" s="141"/>
      <c r="E13" s="140"/>
      <c r="F13" s="141"/>
      <c r="G13" s="140"/>
      <c r="H13" s="260"/>
      <c r="I13" s="140"/>
      <c r="J13" s="260"/>
      <c r="K13" s="140"/>
      <c r="L13" s="260"/>
      <c r="M13" s="140"/>
      <c r="N13" s="260"/>
      <c r="O13" s="140"/>
      <c r="P13" s="141"/>
      <c r="R13" s="447">
        <f t="shared" si="0"/>
        <v>0</v>
      </c>
      <c r="S13" s="447">
        <f t="shared" si="0"/>
        <v>0</v>
      </c>
      <c r="BA13" s="6"/>
      <c r="BB13" s="6"/>
    </row>
    <row r="14" spans="1:54" x14ac:dyDescent="0.25">
      <c r="A14" t="str">
        <f>+BMPs!C14</f>
        <v>MIDW</v>
      </c>
      <c r="B14" t="str">
        <f>+BMPs!D14</f>
        <v>Dry Well</v>
      </c>
      <c r="C14" s="140"/>
      <c r="D14" s="141"/>
      <c r="E14" s="140"/>
      <c r="F14" s="141"/>
      <c r="G14" s="140"/>
      <c r="H14" s="260"/>
      <c r="I14" s="140"/>
      <c r="J14" s="260"/>
      <c r="K14" s="140"/>
      <c r="L14" s="260"/>
      <c r="M14" s="140"/>
      <c r="N14" s="260"/>
      <c r="O14" s="140"/>
      <c r="P14" s="141"/>
      <c r="R14" s="447">
        <f t="shared" si="0"/>
        <v>0</v>
      </c>
      <c r="S14" s="447">
        <f t="shared" si="0"/>
        <v>0</v>
      </c>
      <c r="BA14" s="6"/>
      <c r="BB14" s="6"/>
    </row>
    <row r="15" spans="1:54" x14ac:dyDescent="0.25">
      <c r="A15" t="str">
        <f>+BMPs!C15</f>
        <v>MMBR</v>
      </c>
      <c r="B15" t="str">
        <f>+BMPs!D15</f>
        <v>Micro-Bioretention</v>
      </c>
      <c r="C15" s="140"/>
      <c r="D15" s="141"/>
      <c r="E15" s="140"/>
      <c r="F15" s="141"/>
      <c r="G15" s="485">
        <v>4.42</v>
      </c>
      <c r="H15" s="490">
        <v>2.9699999999999998</v>
      </c>
      <c r="I15" s="485">
        <v>3.5</v>
      </c>
      <c r="J15" s="490">
        <v>2.2999999999999998</v>
      </c>
      <c r="K15" s="140"/>
      <c r="L15" s="260"/>
      <c r="M15" s="140"/>
      <c r="N15" s="260"/>
      <c r="O15" s="140"/>
      <c r="P15" s="141"/>
      <c r="R15" s="447">
        <f t="shared" si="0"/>
        <v>4.42</v>
      </c>
      <c r="S15" s="447">
        <f t="shared" si="0"/>
        <v>2.9699999999999998</v>
      </c>
      <c r="BA15" s="6"/>
      <c r="BB15" s="6"/>
    </row>
    <row r="16" spans="1:54" x14ac:dyDescent="0.25">
      <c r="A16" t="str">
        <f>+BMPs!C16</f>
        <v>MRNG</v>
      </c>
      <c r="B16" t="str">
        <f>+BMPs!D16</f>
        <v>Rain Gardens</v>
      </c>
      <c r="C16" s="140"/>
      <c r="D16" s="141"/>
      <c r="E16" s="140"/>
      <c r="F16" s="141"/>
      <c r="G16" s="140"/>
      <c r="H16" s="260"/>
      <c r="I16" s="140"/>
      <c r="J16" s="260"/>
      <c r="K16" s="140"/>
      <c r="L16" s="260"/>
      <c r="M16" s="140"/>
      <c r="N16" s="260"/>
      <c r="O16" s="140"/>
      <c r="P16" s="141"/>
      <c r="R16" s="447">
        <f t="shared" si="0"/>
        <v>0</v>
      </c>
      <c r="S16" s="447">
        <f t="shared" si="0"/>
        <v>0</v>
      </c>
      <c r="BA16" s="6"/>
      <c r="BB16" s="6"/>
    </row>
    <row r="17" spans="1:54" x14ac:dyDescent="0.25">
      <c r="A17" t="str">
        <f>+BMPs!C17</f>
        <v>MSWG</v>
      </c>
      <c r="B17" t="str">
        <f>+BMPs!D17</f>
        <v>Grass Swale</v>
      </c>
      <c r="C17" s="485">
        <v>10.568475679999999</v>
      </c>
      <c r="D17" s="486">
        <v>6.4008830000000003</v>
      </c>
      <c r="E17" s="140"/>
      <c r="F17" s="141"/>
      <c r="G17" s="140"/>
      <c r="H17" s="260"/>
      <c r="I17" s="140"/>
      <c r="J17" s="260"/>
      <c r="K17" s="140"/>
      <c r="L17" s="260"/>
      <c r="M17" s="485">
        <v>1.27</v>
      </c>
      <c r="N17" s="490">
        <v>0.3</v>
      </c>
      <c r="O17" s="140"/>
      <c r="P17" s="141"/>
      <c r="R17" s="447">
        <f t="shared" si="0"/>
        <v>1.27</v>
      </c>
      <c r="S17" s="447">
        <f t="shared" si="0"/>
        <v>0.3</v>
      </c>
      <c r="BA17" s="6"/>
      <c r="BB17" s="6"/>
    </row>
    <row r="18" spans="1:54" x14ac:dyDescent="0.25">
      <c r="A18" t="str">
        <f>+BMPs!C18</f>
        <v>MSWW</v>
      </c>
      <c r="B18" t="str">
        <f>+BMPs!D18</f>
        <v>Wet Swale</v>
      </c>
      <c r="C18" s="140"/>
      <c r="D18" s="141"/>
      <c r="E18" s="140"/>
      <c r="F18" s="141"/>
      <c r="G18" s="140"/>
      <c r="H18" s="260"/>
      <c r="I18" s="140"/>
      <c r="J18" s="260"/>
      <c r="K18" s="140"/>
      <c r="L18" s="260"/>
      <c r="M18" s="140"/>
      <c r="N18" s="260"/>
      <c r="O18" s="140"/>
      <c r="P18" s="141"/>
      <c r="R18" s="447">
        <f t="shared" si="0"/>
        <v>0</v>
      </c>
      <c r="S18" s="447">
        <f t="shared" si="0"/>
        <v>0</v>
      </c>
      <c r="BA18" s="6"/>
      <c r="BB18" s="6"/>
    </row>
    <row r="19" spans="1:54" x14ac:dyDescent="0.25">
      <c r="A19" t="str">
        <f>+BMPs!C19</f>
        <v>MSWB</v>
      </c>
      <c r="B19" t="str">
        <f>+BMPs!D19</f>
        <v>Bio-Swale</v>
      </c>
      <c r="C19" s="140"/>
      <c r="D19" s="141"/>
      <c r="E19" s="140"/>
      <c r="F19" s="141"/>
      <c r="G19" s="140"/>
      <c r="H19" s="260"/>
      <c r="I19" s="140"/>
      <c r="J19" s="260"/>
      <c r="K19" s="140">
        <v>6</v>
      </c>
      <c r="L19" s="260">
        <v>5.2</v>
      </c>
      <c r="M19" s="140"/>
      <c r="N19" s="260"/>
      <c r="O19" s="140"/>
      <c r="P19" s="141"/>
      <c r="R19" s="447">
        <f t="shared" si="0"/>
        <v>6</v>
      </c>
      <c r="S19" s="447">
        <f t="shared" si="0"/>
        <v>5.2</v>
      </c>
      <c r="BA19" s="6"/>
      <c r="BB19" s="6"/>
    </row>
    <row r="20" spans="1:54" x14ac:dyDescent="0.25">
      <c r="A20" s="1" t="str">
        <f>+BMPs!C20</f>
        <v>MENF</v>
      </c>
      <c r="B20" s="1" t="str">
        <f>+BMPs!D20</f>
        <v>Enhanced Filters</v>
      </c>
      <c r="C20" s="142"/>
      <c r="D20" s="102"/>
      <c r="E20" s="142"/>
      <c r="F20" s="102"/>
      <c r="G20" s="142"/>
      <c r="H20" s="261"/>
      <c r="I20" s="142"/>
      <c r="J20" s="261"/>
      <c r="K20" s="142"/>
      <c r="L20" s="261"/>
      <c r="M20" s="142"/>
      <c r="N20" s="261"/>
      <c r="O20" s="142"/>
      <c r="P20" s="102"/>
      <c r="R20" s="447">
        <f t="shared" si="0"/>
        <v>0</v>
      </c>
      <c r="S20" s="447">
        <f t="shared" si="0"/>
        <v>0</v>
      </c>
      <c r="BA20" s="6"/>
      <c r="BB20" s="6"/>
    </row>
    <row r="21" spans="1:54" x14ac:dyDescent="0.25">
      <c r="A21" t="str">
        <f>+BMPs!C21</f>
        <v>FBIO</v>
      </c>
      <c r="B21" t="str">
        <f>+BMPs!D21</f>
        <v>Bioretention</v>
      </c>
      <c r="C21" s="485">
        <v>51.179412239999998</v>
      </c>
      <c r="D21" s="486">
        <v>16.788667079999996</v>
      </c>
      <c r="E21" s="140"/>
      <c r="F21" s="141"/>
      <c r="G21" s="485">
        <v>6.4</v>
      </c>
      <c r="H21" s="490">
        <v>1.7</v>
      </c>
      <c r="I21" s="485">
        <v>6.4</v>
      </c>
      <c r="J21" s="490">
        <v>1.7</v>
      </c>
      <c r="K21" s="140"/>
      <c r="L21" s="260"/>
      <c r="M21" s="485">
        <v>2.33</v>
      </c>
      <c r="N21" s="490">
        <v>1.38</v>
      </c>
      <c r="O21" s="485">
        <v>270</v>
      </c>
      <c r="P21" s="486">
        <v>90</v>
      </c>
      <c r="Q21" s="6" t="s">
        <v>671</v>
      </c>
      <c r="R21" s="447">
        <f t="shared" si="0"/>
        <v>8.73</v>
      </c>
      <c r="S21" s="447">
        <f t="shared" si="0"/>
        <v>3.08</v>
      </c>
      <c r="U21" s="448">
        <f>+R15+R21</f>
        <v>13.15</v>
      </c>
      <c r="V21" s="448">
        <f t="shared" ref="V21" si="1">+S15+S21</f>
        <v>6.05</v>
      </c>
      <c r="BA21" s="6"/>
      <c r="BB21" s="6"/>
    </row>
    <row r="22" spans="1:54" x14ac:dyDescent="0.25">
      <c r="A22" t="str">
        <f>+BMPs!C22</f>
        <v>FSND</v>
      </c>
      <c r="B22" t="str">
        <f>+BMPs!D22</f>
        <v>Surface sand filter</v>
      </c>
      <c r="C22" s="485">
        <v>11.82386309</v>
      </c>
      <c r="D22" s="486">
        <v>4.3320148400000003</v>
      </c>
      <c r="E22" s="140"/>
      <c r="F22" s="141"/>
      <c r="G22" s="140"/>
      <c r="H22" s="260"/>
      <c r="I22" s="140"/>
      <c r="J22" s="260"/>
      <c r="K22" s="140">
        <v>9.84</v>
      </c>
      <c r="L22" s="260">
        <v>7.24</v>
      </c>
      <c r="M22" s="140"/>
      <c r="N22" s="260"/>
      <c r="O22" s="140"/>
      <c r="P22" s="141"/>
      <c r="Q22" s="6" t="s">
        <v>672</v>
      </c>
      <c r="R22" s="447">
        <f t="shared" si="0"/>
        <v>9.84</v>
      </c>
      <c r="S22" s="447">
        <f t="shared" si="0"/>
        <v>7.24</v>
      </c>
      <c r="BA22" s="6"/>
      <c r="BB22" s="6"/>
    </row>
    <row r="23" spans="1:54" x14ac:dyDescent="0.25">
      <c r="A23" t="str">
        <f>+BMPs!C23</f>
        <v>FUND</v>
      </c>
      <c r="B23" t="str">
        <f>+BMPs!D23</f>
        <v>Underground sand filter</v>
      </c>
      <c r="C23" s="140"/>
      <c r="D23" s="141"/>
      <c r="E23" s="140"/>
      <c r="F23" s="141"/>
      <c r="G23" s="140"/>
      <c r="H23" s="260"/>
      <c r="I23" s="140"/>
      <c r="J23" s="260"/>
      <c r="K23" s="140"/>
      <c r="L23" s="260"/>
      <c r="M23" s="140"/>
      <c r="N23" s="260"/>
      <c r="O23" s="140"/>
      <c r="P23" s="141"/>
      <c r="R23" s="447">
        <f t="shared" si="0"/>
        <v>0</v>
      </c>
      <c r="S23" s="447">
        <f t="shared" si="0"/>
        <v>0</v>
      </c>
      <c r="BA23" s="6"/>
      <c r="BB23" s="6"/>
    </row>
    <row r="24" spans="1:54" x14ac:dyDescent="0.25">
      <c r="A24" t="str">
        <f>+BMPs!C24</f>
        <v>FPER</v>
      </c>
      <c r="B24" t="str">
        <f>+BMPs!D24</f>
        <v>Perimeter (sand) filter</v>
      </c>
      <c r="C24" s="140"/>
      <c r="D24" s="141"/>
      <c r="E24" s="140"/>
      <c r="F24" s="141"/>
      <c r="G24" s="140"/>
      <c r="H24" s="260"/>
      <c r="I24" s="140"/>
      <c r="J24" s="260"/>
      <c r="K24" s="140"/>
      <c r="L24" s="260"/>
      <c r="M24" s="140"/>
      <c r="N24" s="260"/>
      <c r="O24" s="140"/>
      <c r="P24" s="141"/>
      <c r="R24" s="447">
        <f t="shared" si="0"/>
        <v>0</v>
      </c>
      <c r="S24" s="447">
        <f t="shared" si="0"/>
        <v>0</v>
      </c>
      <c r="BA24" s="6"/>
      <c r="BB24" s="6"/>
    </row>
    <row r="25" spans="1:54" x14ac:dyDescent="0.25">
      <c r="A25" t="str">
        <f>+BMPs!C25</f>
        <v>FORG</v>
      </c>
      <c r="B25" t="str">
        <f>+BMPs!D25</f>
        <v>Organic filter</v>
      </c>
      <c r="C25" s="140"/>
      <c r="D25" s="141"/>
      <c r="E25" s="140"/>
      <c r="F25" s="141"/>
      <c r="G25" s="140"/>
      <c r="H25" s="260"/>
      <c r="I25" s="140"/>
      <c r="J25" s="260"/>
      <c r="K25" s="140"/>
      <c r="L25" s="260"/>
      <c r="M25" s="140"/>
      <c r="N25" s="260"/>
      <c r="O25" s="140"/>
      <c r="P25" s="141"/>
      <c r="R25" s="447">
        <f t="shared" si="0"/>
        <v>0</v>
      </c>
      <c r="S25" s="447">
        <f t="shared" si="0"/>
        <v>0</v>
      </c>
      <c r="BA25" s="6"/>
      <c r="BB25" s="6"/>
    </row>
    <row r="26" spans="1:54" x14ac:dyDescent="0.25">
      <c r="A26" s="1" t="str">
        <f>+BMPs!C26</f>
        <v>--</v>
      </c>
      <c r="B26" s="1" t="str">
        <f>+BMPs!D26</f>
        <v>Other filtering</v>
      </c>
      <c r="C26" s="142"/>
      <c r="D26" s="102"/>
      <c r="E26" s="142"/>
      <c r="F26" s="102"/>
      <c r="G26" s="142"/>
      <c r="H26" s="261"/>
      <c r="I26" s="142"/>
      <c r="J26" s="261"/>
      <c r="K26" s="142"/>
      <c r="L26" s="261"/>
      <c r="M26" s="142"/>
      <c r="N26" s="261"/>
      <c r="O26" s="142"/>
      <c r="P26" s="102"/>
      <c r="R26" s="447">
        <f t="shared" si="0"/>
        <v>0</v>
      </c>
      <c r="S26" s="447">
        <f t="shared" si="0"/>
        <v>0</v>
      </c>
      <c r="BA26" s="6"/>
      <c r="BB26" s="6"/>
    </row>
    <row r="27" spans="1:54" x14ac:dyDescent="0.25">
      <c r="A27" t="str">
        <f>+BMPs!C27</f>
        <v>ODSW</v>
      </c>
      <c r="B27" t="str">
        <f>+BMPs!D27</f>
        <v>Dry swale</v>
      </c>
      <c r="C27" s="485">
        <v>1.76053445</v>
      </c>
      <c r="D27" s="486">
        <v>0.31867654000000001</v>
      </c>
      <c r="E27" s="140"/>
      <c r="F27" s="141"/>
      <c r="G27" s="140"/>
      <c r="H27" s="260"/>
      <c r="I27" s="140"/>
      <c r="J27" s="260"/>
      <c r="K27" s="140"/>
      <c r="L27" s="260"/>
      <c r="M27" s="140"/>
      <c r="N27" s="260"/>
      <c r="O27" s="485">
        <v>60</v>
      </c>
      <c r="P27" s="486">
        <v>20</v>
      </c>
      <c r="R27" s="447">
        <f>G27+K27+M27</f>
        <v>0</v>
      </c>
      <c r="S27" s="447">
        <f t="shared" si="0"/>
        <v>0</v>
      </c>
      <c r="BA27" s="6"/>
      <c r="BB27" s="6"/>
    </row>
    <row r="28" spans="1:54" x14ac:dyDescent="0.25">
      <c r="A28" s="1" t="str">
        <f>+BMPs!C28</f>
        <v>OWSW</v>
      </c>
      <c r="B28" s="1" t="str">
        <f>+BMPs!D28</f>
        <v>Wet swale</v>
      </c>
      <c r="C28" s="142"/>
      <c r="D28" s="102"/>
      <c r="E28" s="142"/>
      <c r="F28" s="102"/>
      <c r="G28" s="142"/>
      <c r="H28" s="261"/>
      <c r="I28" s="142"/>
      <c r="J28" s="261"/>
      <c r="K28" s="142"/>
      <c r="L28" s="261"/>
      <c r="M28" s="142"/>
      <c r="N28" s="261"/>
      <c r="O28" s="142"/>
      <c r="P28" s="102"/>
      <c r="R28" s="447">
        <f t="shared" si="0"/>
        <v>0</v>
      </c>
      <c r="S28" s="447">
        <f t="shared" si="0"/>
        <v>0</v>
      </c>
      <c r="BA28" s="6"/>
      <c r="BB28" s="6"/>
    </row>
    <row r="29" spans="1:54" x14ac:dyDescent="0.25">
      <c r="A29" t="str">
        <f>+BMPs!C29</f>
        <v>PWED</v>
      </c>
      <c r="B29" t="str">
        <f>+BMPs!D29</f>
        <v>Wet extended detention pond</v>
      </c>
      <c r="C29" s="485">
        <v>1931.5539822100004</v>
      </c>
      <c r="D29" s="486">
        <v>489.26524002000008</v>
      </c>
      <c r="E29" s="140"/>
      <c r="F29" s="141"/>
      <c r="G29" s="485">
        <v>209.98</v>
      </c>
      <c r="H29" s="490">
        <v>62.830000000000005</v>
      </c>
      <c r="I29" s="140"/>
      <c r="J29" s="260"/>
      <c r="K29" s="140">
        <v>853.6099999999999</v>
      </c>
      <c r="L29" s="260">
        <v>263.36899999999997</v>
      </c>
      <c r="M29" s="485">
        <v>248.89</v>
      </c>
      <c r="N29" s="490">
        <v>91.66</v>
      </c>
      <c r="O29" s="140"/>
      <c r="P29" s="141"/>
      <c r="R29" s="447">
        <f t="shared" si="0"/>
        <v>1312.48</v>
      </c>
      <c r="S29" s="447">
        <f t="shared" si="0"/>
        <v>417.85899999999992</v>
      </c>
      <c r="BA29" s="6"/>
      <c r="BB29" s="6"/>
    </row>
    <row r="30" spans="1:54" x14ac:dyDescent="0.25">
      <c r="A30" t="str">
        <f>+BMPs!C30</f>
        <v>PWET</v>
      </c>
      <c r="B30" t="str">
        <f>+BMPs!D30</f>
        <v>Wet pond</v>
      </c>
      <c r="C30" s="140"/>
      <c r="D30" s="141"/>
      <c r="E30" s="140"/>
      <c r="F30" s="141"/>
      <c r="G30" s="485">
        <v>58.2</v>
      </c>
      <c r="H30" s="490">
        <v>7.8</v>
      </c>
      <c r="I30" s="140"/>
      <c r="J30" s="260"/>
      <c r="K30" s="140">
        <v>102.16</v>
      </c>
      <c r="L30" s="260">
        <v>25.55</v>
      </c>
      <c r="M30" s="140"/>
      <c r="N30" s="260"/>
      <c r="O30" s="485">
        <v>1800</v>
      </c>
      <c r="P30" s="486">
        <v>600</v>
      </c>
      <c r="R30" s="447">
        <f t="shared" si="0"/>
        <v>160.36000000000001</v>
      </c>
      <c r="S30" s="447">
        <f t="shared" si="0"/>
        <v>33.35</v>
      </c>
      <c r="U30" s="448">
        <f>+R29+R30</f>
        <v>1472.8400000000001</v>
      </c>
      <c r="V30" s="448">
        <f>+S29+S30</f>
        <v>451.20899999999995</v>
      </c>
      <c r="BA30" s="6"/>
      <c r="BB30" s="6"/>
    </row>
    <row r="31" spans="1:54" x14ac:dyDescent="0.25">
      <c r="A31" t="str">
        <f>+BMPs!C31</f>
        <v>PMPS</v>
      </c>
      <c r="B31" t="str">
        <f>+BMPs!D31</f>
        <v>Multiple Pond Systems</v>
      </c>
      <c r="C31" s="140"/>
      <c r="D31" s="141"/>
      <c r="E31" s="140"/>
      <c r="F31" s="141"/>
      <c r="G31" s="140"/>
      <c r="H31" s="260"/>
      <c r="I31" s="140"/>
      <c r="J31" s="260"/>
      <c r="K31" s="140"/>
      <c r="L31" s="260"/>
      <c r="M31" s="140"/>
      <c r="N31" s="260"/>
      <c r="O31" s="140"/>
      <c r="P31" s="141"/>
      <c r="R31" s="447">
        <f t="shared" si="0"/>
        <v>0</v>
      </c>
      <c r="S31" s="447">
        <f t="shared" si="0"/>
        <v>0</v>
      </c>
      <c r="BA31" s="6"/>
      <c r="BB31" s="6"/>
    </row>
    <row r="32" spans="1:54" x14ac:dyDescent="0.25">
      <c r="A32" t="str">
        <f>+BMPs!C32</f>
        <v>PPKT</v>
      </c>
      <c r="B32" t="str">
        <f>+BMPs!D32</f>
        <v>Pocket pond</v>
      </c>
      <c r="C32" s="140"/>
      <c r="D32" s="141"/>
      <c r="E32" s="140"/>
      <c r="F32" s="141"/>
      <c r="G32" s="140"/>
      <c r="H32" s="260"/>
      <c r="I32" s="140"/>
      <c r="J32" s="260"/>
      <c r="K32" s="140"/>
      <c r="L32" s="260"/>
      <c r="M32" s="140"/>
      <c r="N32" s="260"/>
      <c r="O32" s="140"/>
      <c r="P32" s="141"/>
      <c r="R32" s="447">
        <f t="shared" si="0"/>
        <v>0</v>
      </c>
      <c r="S32" s="447">
        <f t="shared" si="0"/>
        <v>0</v>
      </c>
      <c r="BA32" s="6"/>
      <c r="BB32" s="6"/>
    </row>
    <row r="33" spans="1:54" x14ac:dyDescent="0.25">
      <c r="A33" s="1" t="str">
        <f>+BMPs!C33</f>
        <v>PMED</v>
      </c>
      <c r="B33" s="1" t="str">
        <f>+BMPs!D33</f>
        <v>Micropool extended detention pond</v>
      </c>
      <c r="C33" s="142"/>
      <c r="D33" s="102"/>
      <c r="E33" s="142"/>
      <c r="F33" s="102"/>
      <c r="G33" s="142"/>
      <c r="H33" s="261"/>
      <c r="I33" s="142"/>
      <c r="J33" s="261"/>
      <c r="K33" s="142"/>
      <c r="L33" s="261"/>
      <c r="M33" s="142"/>
      <c r="N33" s="261"/>
      <c r="O33" s="142"/>
      <c r="P33" s="102"/>
      <c r="R33" s="447">
        <f t="shared" si="0"/>
        <v>0</v>
      </c>
      <c r="S33" s="447">
        <f t="shared" si="0"/>
        <v>0</v>
      </c>
      <c r="BA33" s="6"/>
      <c r="BB33" s="6"/>
    </row>
    <row r="34" spans="1:54" x14ac:dyDescent="0.25">
      <c r="A34" t="str">
        <f>+BMPs!C34</f>
        <v>WSHW</v>
      </c>
      <c r="B34" t="str">
        <f>+BMPs!D34</f>
        <v>Shallow marsh</v>
      </c>
      <c r="C34" s="485">
        <v>549.29826429000002</v>
      </c>
      <c r="D34" s="486">
        <v>60.887433779999995</v>
      </c>
      <c r="E34" s="140"/>
      <c r="F34" s="141"/>
      <c r="G34" s="140"/>
      <c r="H34" s="260"/>
      <c r="I34" s="140"/>
      <c r="J34" s="260"/>
      <c r="K34" s="140"/>
      <c r="L34" s="260"/>
      <c r="M34" s="140"/>
      <c r="N34" s="260"/>
      <c r="O34" s="140"/>
      <c r="P34" s="141"/>
      <c r="R34" s="447">
        <f t="shared" si="0"/>
        <v>0</v>
      </c>
      <c r="S34" s="447">
        <f t="shared" si="0"/>
        <v>0</v>
      </c>
      <c r="BA34" s="6"/>
      <c r="BB34" s="6"/>
    </row>
    <row r="35" spans="1:54" x14ac:dyDescent="0.25">
      <c r="A35" t="str">
        <f>+BMPs!C35</f>
        <v>WEDW</v>
      </c>
      <c r="B35" t="str">
        <f>+BMPs!D35</f>
        <v>ED shallow wetland</v>
      </c>
      <c r="C35" s="140"/>
      <c r="D35" s="141"/>
      <c r="E35" s="140"/>
      <c r="F35" s="141"/>
      <c r="G35" s="140"/>
      <c r="H35" s="260"/>
      <c r="I35" s="140"/>
      <c r="J35" s="260"/>
      <c r="K35" s="140"/>
      <c r="L35" s="260"/>
      <c r="M35" s="140"/>
      <c r="N35" s="260"/>
      <c r="O35" s="140"/>
      <c r="P35" s="141"/>
      <c r="R35" s="447">
        <f t="shared" si="0"/>
        <v>0</v>
      </c>
      <c r="S35" s="447">
        <f t="shared" si="0"/>
        <v>0</v>
      </c>
      <c r="BA35" s="6"/>
      <c r="BB35" s="6"/>
    </row>
    <row r="36" spans="1:54" x14ac:dyDescent="0.25">
      <c r="A36" t="str">
        <f>+BMPs!C36</f>
        <v>WPWS</v>
      </c>
      <c r="B36" t="str">
        <f>+BMPs!D36</f>
        <v>Pond/wetland system</v>
      </c>
      <c r="C36" s="140"/>
      <c r="D36" s="141"/>
      <c r="E36" s="140"/>
      <c r="F36" s="141"/>
      <c r="G36" s="140"/>
      <c r="H36" s="260"/>
      <c r="I36" s="140"/>
      <c r="J36" s="260"/>
      <c r="K36" s="140"/>
      <c r="L36" s="260"/>
      <c r="M36" s="140"/>
      <c r="N36" s="260"/>
      <c r="O36" s="140"/>
      <c r="P36" s="141"/>
      <c r="R36" s="447">
        <f t="shared" si="0"/>
        <v>0</v>
      </c>
      <c r="S36" s="447">
        <f t="shared" si="0"/>
        <v>0</v>
      </c>
      <c r="BA36" s="6"/>
      <c r="BB36" s="6"/>
    </row>
    <row r="37" spans="1:54" x14ac:dyDescent="0.25">
      <c r="A37" s="1" t="str">
        <f>+BMPs!C37</f>
        <v>WPKT</v>
      </c>
      <c r="B37" s="1" t="str">
        <f>+BMPs!D37</f>
        <v>Pocket wetland</v>
      </c>
      <c r="C37" s="142"/>
      <c r="D37" s="102"/>
      <c r="E37" s="142"/>
      <c r="F37" s="102"/>
      <c r="G37" s="142"/>
      <c r="H37" s="261"/>
      <c r="I37" s="142"/>
      <c r="J37" s="261"/>
      <c r="K37" s="142"/>
      <c r="L37" s="261"/>
      <c r="M37" s="142"/>
      <c r="N37" s="261"/>
      <c r="O37" s="142"/>
      <c r="P37" s="102"/>
      <c r="R37" s="447">
        <f t="shared" si="0"/>
        <v>0</v>
      </c>
      <c r="S37" s="447">
        <f t="shared" si="0"/>
        <v>0</v>
      </c>
      <c r="BA37" s="6"/>
      <c r="BB37" s="6"/>
    </row>
    <row r="38" spans="1:54" x14ac:dyDescent="0.25">
      <c r="A38" t="str">
        <f>+BMPs!C38</f>
        <v>IBAS</v>
      </c>
      <c r="B38" t="str">
        <f>+BMPs!D38</f>
        <v>Infiltration basin</v>
      </c>
      <c r="C38" s="485">
        <v>114.21825875</v>
      </c>
      <c r="D38" s="486">
        <v>20.398169190000001</v>
      </c>
      <c r="E38" s="140"/>
      <c r="F38" s="141"/>
      <c r="G38" s="140"/>
      <c r="H38" s="260"/>
      <c r="I38" s="140"/>
      <c r="J38" s="260"/>
      <c r="K38" s="140"/>
      <c r="L38" s="260"/>
      <c r="M38" s="140"/>
      <c r="N38" s="260"/>
      <c r="O38" s="140"/>
      <c r="P38" s="141"/>
      <c r="R38" s="447">
        <f t="shared" si="0"/>
        <v>0</v>
      </c>
      <c r="S38" s="447">
        <f t="shared" si="0"/>
        <v>0</v>
      </c>
      <c r="BA38" s="6"/>
      <c r="BB38" s="6"/>
    </row>
    <row r="39" spans="1:54" x14ac:dyDescent="0.25">
      <c r="A39" s="1" t="str">
        <f>+BMPs!C39</f>
        <v>ITRN</v>
      </c>
      <c r="B39" s="1" t="str">
        <f>+BMPs!D39</f>
        <v>Infiltration trench</v>
      </c>
      <c r="C39" s="488">
        <v>198.90787388999993</v>
      </c>
      <c r="D39" s="489">
        <v>73.504459689999976</v>
      </c>
      <c r="E39" s="142"/>
      <c r="F39" s="102"/>
      <c r="G39" s="142"/>
      <c r="H39" s="261"/>
      <c r="I39" s="142"/>
      <c r="J39" s="261"/>
      <c r="K39" s="142"/>
      <c r="L39" s="261"/>
      <c r="M39" s="142"/>
      <c r="N39" s="261"/>
      <c r="O39" s="142"/>
      <c r="P39" s="102"/>
      <c r="R39" s="447">
        <f t="shared" si="0"/>
        <v>0</v>
      </c>
      <c r="S39" s="447">
        <f t="shared" si="0"/>
        <v>0</v>
      </c>
      <c r="BA39" s="6"/>
      <c r="BB39" s="6"/>
    </row>
    <row r="40" spans="1:54" x14ac:dyDescent="0.25">
      <c r="A40" t="str">
        <f>+BMPs!C40</f>
        <v>XDPD</v>
      </c>
      <c r="B40" t="str">
        <f>+BMPs!D40</f>
        <v>Dry pond</v>
      </c>
      <c r="C40" s="485">
        <v>765.57231410999998</v>
      </c>
      <c r="D40" s="486">
        <v>236.50722406000003</v>
      </c>
      <c r="E40" s="140"/>
      <c r="F40" s="141"/>
      <c r="G40" s="140"/>
      <c r="H40" s="260"/>
      <c r="I40" s="140"/>
      <c r="J40" s="260"/>
      <c r="K40" s="140"/>
      <c r="L40" s="260"/>
      <c r="M40" s="140"/>
      <c r="N40" s="260"/>
      <c r="O40" s="140"/>
      <c r="P40" s="141"/>
      <c r="R40" s="447">
        <f t="shared" si="0"/>
        <v>0</v>
      </c>
      <c r="S40" s="447">
        <f t="shared" si="0"/>
        <v>0</v>
      </c>
      <c r="BA40" s="6"/>
      <c r="BB40" s="6"/>
    </row>
    <row r="41" spans="1:54" x14ac:dyDescent="0.25">
      <c r="A41" t="str">
        <f>+BMPs!C41</f>
        <v>XDED</v>
      </c>
      <c r="B41" t="str">
        <f>+BMPs!D41</f>
        <v>Dry extended detention pond</v>
      </c>
      <c r="C41" s="485">
        <v>2337.7403694200007</v>
      </c>
      <c r="D41" s="486">
        <v>754.71397826999998</v>
      </c>
      <c r="E41" s="140"/>
      <c r="F41" s="141"/>
      <c r="G41" s="140"/>
      <c r="H41" s="260"/>
      <c r="I41" s="140"/>
      <c r="J41" s="260"/>
      <c r="K41" s="140"/>
      <c r="L41" s="260"/>
      <c r="M41" s="140"/>
      <c r="N41" s="260"/>
      <c r="O41" s="140"/>
      <c r="P41" s="141"/>
      <c r="R41" s="447">
        <f t="shared" si="0"/>
        <v>0</v>
      </c>
      <c r="S41" s="447">
        <f t="shared" si="0"/>
        <v>0</v>
      </c>
      <c r="BA41" s="6"/>
      <c r="BB41" s="6"/>
    </row>
    <row r="42" spans="1:54" x14ac:dyDescent="0.25">
      <c r="A42" t="str">
        <f>+BMPs!C42</f>
        <v>XFLD</v>
      </c>
      <c r="B42" t="str">
        <f>+BMPs!D42</f>
        <v>Flood Mgmt Area</v>
      </c>
      <c r="C42" s="140"/>
      <c r="D42" s="141"/>
      <c r="E42" s="140"/>
      <c r="F42" s="141"/>
      <c r="G42" s="140"/>
      <c r="H42" s="260"/>
      <c r="I42" s="140"/>
      <c r="J42" s="260"/>
      <c r="K42" s="140"/>
      <c r="L42" s="260"/>
      <c r="M42" s="140"/>
      <c r="N42" s="260"/>
      <c r="O42" s="140"/>
      <c r="P42" s="141"/>
      <c r="R42" s="447">
        <f t="shared" si="0"/>
        <v>0</v>
      </c>
      <c r="S42" s="447">
        <f t="shared" si="0"/>
        <v>0</v>
      </c>
      <c r="BA42" s="6"/>
      <c r="BB42" s="6"/>
    </row>
    <row r="43" spans="1:54" x14ac:dyDescent="0.25">
      <c r="A43" t="str">
        <f>+BMPs!C43</f>
        <v>XOGS</v>
      </c>
      <c r="B43" t="str">
        <f>+BMPs!D43</f>
        <v>Oil grit separator</v>
      </c>
      <c r="C43" s="485">
        <v>65.034952560000008</v>
      </c>
      <c r="D43" s="486">
        <v>39.787536080000002</v>
      </c>
      <c r="E43" s="140"/>
      <c r="F43" s="141"/>
      <c r="G43" s="140"/>
      <c r="H43" s="260"/>
      <c r="I43" s="140"/>
      <c r="J43" s="260"/>
      <c r="K43" s="140"/>
      <c r="L43" s="260"/>
      <c r="M43" s="140"/>
      <c r="N43" s="260"/>
      <c r="O43" s="140"/>
      <c r="P43" s="141"/>
      <c r="R43" s="447">
        <f t="shared" si="0"/>
        <v>0</v>
      </c>
      <c r="S43" s="447">
        <f t="shared" si="0"/>
        <v>0</v>
      </c>
      <c r="BA43" s="6"/>
      <c r="BB43" s="6"/>
    </row>
    <row r="44" spans="1:54" x14ac:dyDescent="0.25">
      <c r="A44" s="1" t="str">
        <f>+BMPs!C44</f>
        <v>XOTH</v>
      </c>
      <c r="B44" s="1" t="str">
        <f>+BMPs!D44</f>
        <v>Other</v>
      </c>
      <c r="C44" s="142"/>
      <c r="D44" s="102"/>
      <c r="E44" s="142"/>
      <c r="F44" s="102"/>
      <c r="G44" s="142"/>
      <c r="H44" s="261"/>
      <c r="I44" s="142"/>
      <c r="J44" s="261"/>
      <c r="K44" s="142"/>
      <c r="L44" s="261"/>
      <c r="M44" s="142"/>
      <c r="N44" s="261"/>
      <c r="O44" s="142"/>
      <c r="P44" s="102"/>
      <c r="R44" s="447">
        <f t="shared" si="0"/>
        <v>0</v>
      </c>
      <c r="S44" s="447">
        <f t="shared" si="0"/>
        <v>0</v>
      </c>
      <c r="BA44" s="6"/>
      <c r="BB44" s="6"/>
    </row>
    <row r="45" spans="1:54" s="5" customFormat="1" x14ac:dyDescent="0.25">
      <c r="B45" s="5" t="s">
        <v>513</v>
      </c>
      <c r="C45" s="263">
        <f>SUM(C3:C44)</f>
        <v>6037.6583006900009</v>
      </c>
      <c r="D45" s="263">
        <f t="shared" ref="D45:P45" si="2">SUM(D3:D44)</f>
        <v>1702.9042825500003</v>
      </c>
      <c r="E45" s="263">
        <f t="shared" si="2"/>
        <v>0</v>
      </c>
      <c r="F45" s="263">
        <f t="shared" si="2"/>
        <v>0</v>
      </c>
      <c r="G45" s="263">
        <f t="shared" si="2"/>
        <v>279.05</v>
      </c>
      <c r="H45" s="263">
        <f t="shared" si="2"/>
        <v>75.350000000000009</v>
      </c>
      <c r="I45" s="263">
        <f t="shared" si="2"/>
        <v>9.9</v>
      </c>
      <c r="J45" s="263">
        <f t="shared" si="2"/>
        <v>4</v>
      </c>
      <c r="K45" s="263">
        <f t="shared" si="2"/>
        <v>971.6099999999999</v>
      </c>
      <c r="L45" s="263">
        <f t="shared" si="2"/>
        <v>301.35899999999998</v>
      </c>
      <c r="M45" s="263">
        <f t="shared" si="2"/>
        <v>252.48999999999998</v>
      </c>
      <c r="N45" s="263">
        <f t="shared" si="2"/>
        <v>93.34</v>
      </c>
      <c r="O45" s="263">
        <f t="shared" si="2"/>
        <v>2130</v>
      </c>
      <c r="P45" s="263">
        <f t="shared" si="2"/>
        <v>710</v>
      </c>
      <c r="R45" s="449">
        <f>SUM(R3:R44)</f>
        <v>1503.15</v>
      </c>
      <c r="S45" s="449">
        <f>SUM(S3:S44)</f>
        <v>470.04899999999992</v>
      </c>
    </row>
    <row r="46" spans="1:54" s="5" customFormat="1" x14ac:dyDescent="0.25"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</row>
    <row r="47" spans="1:54" s="5" customFormat="1" x14ac:dyDescent="0.25">
      <c r="A47" s="285" t="s">
        <v>224</v>
      </c>
      <c r="C47" s="351"/>
      <c r="D47" s="351"/>
      <c r="E47" s="351"/>
      <c r="F47" s="351"/>
      <c r="G47" s="165" t="s">
        <v>190</v>
      </c>
      <c r="H47" s="68" t="s">
        <v>191</v>
      </c>
      <c r="I47" s="67" t="s">
        <v>190</v>
      </c>
      <c r="J47" s="68" t="s">
        <v>191</v>
      </c>
      <c r="K47" s="67" t="s">
        <v>190</v>
      </c>
      <c r="L47" s="68" t="s">
        <v>191</v>
      </c>
      <c r="M47" s="67" t="s">
        <v>190</v>
      </c>
      <c r="N47" s="68" t="s">
        <v>191</v>
      </c>
      <c r="O47" s="67" t="s">
        <v>190</v>
      </c>
      <c r="P47" s="165" t="s">
        <v>191</v>
      </c>
    </row>
    <row r="48" spans="1:54" x14ac:dyDescent="0.25">
      <c r="B48" t="str">
        <f>+BMPs!D47</f>
        <v>Riparian Buffer</v>
      </c>
      <c r="C48" s="263"/>
      <c r="D48" s="263"/>
      <c r="E48" s="263"/>
      <c r="F48" s="263"/>
      <c r="G48" s="141">
        <v>51.05</v>
      </c>
      <c r="H48" s="491" t="s">
        <v>562</v>
      </c>
      <c r="I48" s="140"/>
      <c r="J48" s="364"/>
      <c r="K48" s="140">
        <v>0</v>
      </c>
      <c r="L48" s="364"/>
      <c r="M48" s="140">
        <v>0</v>
      </c>
      <c r="N48" s="364"/>
      <c r="O48" s="140">
        <v>157.88999999999999</v>
      </c>
      <c r="P48" s="491" t="s">
        <v>562</v>
      </c>
      <c r="R48" s="447">
        <f t="shared" ref="R48" si="3">G48+K48+M48</f>
        <v>51.05</v>
      </c>
      <c r="S48" s="447"/>
      <c r="BA48" s="6"/>
      <c r="BB48" s="6"/>
    </row>
    <row r="49" spans="1:54" s="5" customFormat="1" x14ac:dyDescent="0.25">
      <c r="C49" s="263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3"/>
      <c r="P49" s="263"/>
    </row>
    <row r="50" spans="1:54" s="5" customFormat="1" x14ac:dyDescent="0.25">
      <c r="A50" s="285" t="s">
        <v>523</v>
      </c>
      <c r="C50" s="24" t="s">
        <v>63</v>
      </c>
      <c r="D50" s="24"/>
      <c r="E50" s="240" t="s">
        <v>502</v>
      </c>
      <c r="F50" s="24"/>
      <c r="G50" s="24" t="s">
        <v>283</v>
      </c>
      <c r="H50" s="24"/>
      <c r="I50" s="24" t="s">
        <v>64</v>
      </c>
      <c r="J50" s="24"/>
      <c r="K50" s="24" t="s">
        <v>282</v>
      </c>
      <c r="L50" s="24"/>
      <c r="M50" s="24" t="s">
        <v>284</v>
      </c>
      <c r="N50" s="24"/>
      <c r="O50" s="24" t="s">
        <v>285</v>
      </c>
      <c r="P50" s="1"/>
    </row>
    <row r="51" spans="1:54" s="5" customFormat="1" x14ac:dyDescent="0.25">
      <c r="A51" s="25"/>
      <c r="B51" s="25"/>
      <c r="C51" s="67" t="s">
        <v>190</v>
      </c>
      <c r="D51" s="165" t="s">
        <v>191</v>
      </c>
      <c r="E51" s="67" t="s">
        <v>190</v>
      </c>
      <c r="F51" s="165" t="s">
        <v>191</v>
      </c>
      <c r="G51" s="67" t="s">
        <v>190</v>
      </c>
      <c r="H51" s="68" t="s">
        <v>191</v>
      </c>
      <c r="I51" s="67" t="s">
        <v>190</v>
      </c>
      <c r="J51" s="68" t="s">
        <v>191</v>
      </c>
      <c r="K51" s="67" t="s">
        <v>190</v>
      </c>
      <c r="L51" s="68" t="s">
        <v>191</v>
      </c>
      <c r="M51" s="67" t="s">
        <v>190</v>
      </c>
      <c r="N51" s="68" t="s">
        <v>191</v>
      </c>
      <c r="O51" s="67" t="s">
        <v>190</v>
      </c>
      <c r="P51" s="165" t="s">
        <v>191</v>
      </c>
    </row>
    <row r="52" spans="1:54" x14ac:dyDescent="0.25">
      <c r="A52" s="290" t="str">
        <f>+BMPs!C51</f>
        <v>FPU</v>
      </c>
      <c r="B52" s="302" t="str">
        <f>+BMPs!D51</f>
        <v>Planting Trees / Forestation on Pervious Urban</v>
      </c>
      <c r="C52" s="487"/>
      <c r="D52" s="296">
        <v>0</v>
      </c>
      <c r="E52" s="363"/>
      <c r="F52" s="296"/>
      <c r="G52" s="487">
        <v>66.783024870000006</v>
      </c>
      <c r="H52" s="291"/>
      <c r="I52" s="487">
        <v>66.78</v>
      </c>
      <c r="J52" s="291"/>
      <c r="K52" s="138">
        <v>225.63267407000006</v>
      </c>
      <c r="L52" s="291"/>
      <c r="M52" s="138"/>
      <c r="N52" s="291"/>
      <c r="O52" s="487">
        <v>157.88999999999999</v>
      </c>
      <c r="P52" s="139"/>
      <c r="Q52" s="157"/>
      <c r="R52" s="447">
        <f t="shared" ref="R52" si="4">G52+K52+M52</f>
        <v>292.41569894000008</v>
      </c>
      <c r="S52" s="447">
        <f t="shared" ref="S52" si="5">H52+L52+N52</f>
        <v>0</v>
      </c>
      <c r="BA52" s="6"/>
      <c r="BB52" s="6"/>
    </row>
    <row r="53" spans="1:54" x14ac:dyDescent="0.25">
      <c r="A53" s="292" t="str">
        <f>+BMPs!C52</f>
        <v>IMPP</v>
      </c>
      <c r="B53" s="303" t="str">
        <f>+BMPs!D52</f>
        <v>Impervious Surface Elimination (to Pervious)</v>
      </c>
      <c r="C53" s="282" t="s">
        <v>675</v>
      </c>
      <c r="D53" s="260"/>
      <c r="E53" s="282"/>
      <c r="F53" s="364"/>
      <c r="G53" s="282"/>
      <c r="H53" s="260"/>
      <c r="I53" s="282" t="s">
        <v>674</v>
      </c>
      <c r="J53" s="260"/>
      <c r="K53" s="282"/>
      <c r="L53" s="260"/>
      <c r="M53" s="282"/>
      <c r="N53" s="260"/>
      <c r="O53" s="282"/>
      <c r="P53" s="141"/>
      <c r="BA53" s="6"/>
      <c r="BB53" s="6"/>
    </row>
    <row r="54" spans="1:54" x14ac:dyDescent="0.25">
      <c r="A54" s="292" t="str">
        <f>+BMPs!C53</f>
        <v>IMPF</v>
      </c>
      <c r="B54" s="303" t="str">
        <f>+BMPs!D53</f>
        <v>Impervious Surface Elimination (to Forest)</v>
      </c>
      <c r="C54" s="282"/>
      <c r="D54" s="260"/>
      <c r="E54" s="282"/>
      <c r="F54" s="364"/>
      <c r="G54" s="282"/>
      <c r="H54" s="260"/>
      <c r="I54" s="282"/>
      <c r="J54" s="260"/>
      <c r="K54" s="282"/>
      <c r="L54" s="260"/>
      <c r="M54" s="282"/>
      <c r="N54" s="260"/>
      <c r="O54" s="282"/>
      <c r="P54" s="141"/>
      <c r="Q54" s="157"/>
      <c r="BA54" s="6"/>
      <c r="BB54" s="6"/>
    </row>
    <row r="55" spans="1:54" x14ac:dyDescent="0.25">
      <c r="A55" s="292" t="str">
        <f>+BMPs!C54</f>
        <v>MSS</v>
      </c>
      <c r="B55" s="303" t="str">
        <f>+BMPs!D54</f>
        <v>Mechanical Street Sweeping</v>
      </c>
      <c r="C55" s="282"/>
      <c r="D55" s="260"/>
      <c r="E55" s="282"/>
      <c r="F55" s="364"/>
      <c r="G55" s="282"/>
      <c r="H55" s="260"/>
      <c r="I55" s="282"/>
      <c r="J55" s="260"/>
      <c r="K55" s="282"/>
      <c r="L55" s="260"/>
      <c r="M55" s="282"/>
      <c r="N55" s="260"/>
      <c r="O55" s="282"/>
      <c r="P55" s="141"/>
      <c r="BA55" s="6"/>
      <c r="BB55" s="6"/>
    </row>
    <row r="56" spans="1:54" x14ac:dyDescent="0.25">
      <c r="A56" s="292" t="str">
        <f>+BMPs!C55</f>
        <v>VSS</v>
      </c>
      <c r="B56" s="303" t="str">
        <f>+BMPs!D55</f>
        <v>Regen / Vacuum Street Sweeping</v>
      </c>
      <c r="C56" s="282"/>
      <c r="D56" s="260"/>
      <c r="E56" s="282"/>
      <c r="F56" s="364"/>
      <c r="G56" s="282"/>
      <c r="H56" s="260"/>
      <c r="I56" s="282"/>
      <c r="J56" s="260"/>
      <c r="K56" s="282"/>
      <c r="L56" s="260"/>
      <c r="M56" s="282"/>
      <c r="N56" s="260"/>
      <c r="O56" s="282"/>
      <c r="P56" s="141"/>
      <c r="BA56" s="6"/>
      <c r="BB56" s="6"/>
    </row>
    <row r="57" spans="1:54" s="2" customFormat="1" x14ac:dyDescent="0.25">
      <c r="A57" s="5"/>
      <c r="B57" s="304"/>
      <c r="C57" s="282"/>
      <c r="D57" s="295" t="s">
        <v>524</v>
      </c>
      <c r="F57" s="295"/>
      <c r="G57" s="282"/>
      <c r="H57" s="295" t="s">
        <v>524</v>
      </c>
      <c r="I57" s="282"/>
      <c r="J57" s="295" t="s">
        <v>524</v>
      </c>
      <c r="K57" s="282"/>
      <c r="L57" s="295" t="s">
        <v>524</v>
      </c>
      <c r="M57" s="282"/>
      <c r="N57" s="295" t="s">
        <v>524</v>
      </c>
      <c r="O57" s="282"/>
      <c r="P57" s="307" t="s">
        <v>524</v>
      </c>
      <c r="Q57" s="294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</row>
    <row r="58" spans="1:54" x14ac:dyDescent="0.25">
      <c r="A58" s="292" t="str">
        <f>+BMPs!C57</f>
        <v>STRE</v>
      </c>
      <c r="B58" s="303" t="str">
        <f>+BMPs!D57</f>
        <v>Stream Restoration</v>
      </c>
      <c r="C58" s="282" t="s">
        <v>675</v>
      </c>
      <c r="D58" s="490"/>
      <c r="E58" s="282"/>
      <c r="F58" s="364"/>
      <c r="G58" s="282"/>
      <c r="H58" s="490">
        <v>3908.8</v>
      </c>
      <c r="I58" s="282"/>
      <c r="J58" s="490">
        <v>3001</v>
      </c>
      <c r="K58" s="282"/>
      <c r="L58" s="260">
        <v>4436</v>
      </c>
      <c r="M58" s="282"/>
      <c r="N58" s="490">
        <v>2689</v>
      </c>
      <c r="O58" s="282"/>
      <c r="P58" s="486">
        <v>74400</v>
      </c>
      <c r="R58" s="447">
        <f t="shared" ref="R58" si="6">G58+K58+M58</f>
        <v>0</v>
      </c>
      <c r="S58" s="447">
        <f t="shared" ref="S58" si="7">H58+L58+N58</f>
        <v>11033.8</v>
      </c>
      <c r="BA58" s="6"/>
      <c r="BB58" s="6"/>
    </row>
    <row r="59" spans="1:54" x14ac:dyDescent="0.25">
      <c r="A59" s="292" t="str">
        <f>+BMPs!C58</f>
        <v>OUT</v>
      </c>
      <c r="B59" s="303" t="str">
        <f>+BMPs!D58</f>
        <v>Outfall Stabilization</v>
      </c>
      <c r="C59" s="282"/>
      <c r="D59" s="260"/>
      <c r="E59" s="282"/>
      <c r="F59" s="364"/>
      <c r="G59" s="282"/>
      <c r="H59" s="260"/>
      <c r="I59" s="282"/>
      <c r="J59" s="260" t="s">
        <v>674</v>
      </c>
      <c r="K59" s="282"/>
      <c r="L59" s="260"/>
      <c r="M59" s="282"/>
      <c r="N59" s="260"/>
      <c r="O59" s="282"/>
      <c r="P59" s="141"/>
      <c r="BA59" s="6"/>
      <c r="BB59" s="6"/>
    </row>
    <row r="60" spans="1:54" x14ac:dyDescent="0.25">
      <c r="A60" s="292" t="str">
        <f>+BMPs!C59</f>
        <v>SHST</v>
      </c>
      <c r="B60" s="303" t="str">
        <f>+BMPs!D59</f>
        <v>Shoreline Stabilization</v>
      </c>
      <c r="C60" s="282"/>
      <c r="D60" s="260"/>
      <c r="E60" s="282"/>
      <c r="F60" s="364"/>
      <c r="G60" s="282"/>
      <c r="H60" s="260"/>
      <c r="I60" s="282"/>
      <c r="J60" s="260"/>
      <c r="K60" s="282"/>
      <c r="L60" s="260"/>
      <c r="M60" s="282"/>
      <c r="N60" s="260"/>
      <c r="O60" s="282"/>
      <c r="P60" s="141"/>
      <c r="BA60" s="6"/>
      <c r="BB60" s="6"/>
    </row>
    <row r="61" spans="1:54" s="6" customFormat="1" x14ac:dyDescent="0.25">
      <c r="A61" s="292" t="str">
        <f>+BMPs!C60</f>
        <v>SDV</v>
      </c>
      <c r="B61" s="303" t="str">
        <f>+BMPs!D60</f>
        <v>Storm Drain Vacuuming</v>
      </c>
      <c r="C61" s="282"/>
      <c r="D61" s="260"/>
      <c r="E61" s="282"/>
      <c r="F61" s="364"/>
      <c r="G61" s="282"/>
      <c r="H61" s="260"/>
      <c r="I61" s="282"/>
      <c r="J61" s="260"/>
      <c r="K61" s="282"/>
      <c r="L61" s="260"/>
      <c r="M61" s="282"/>
      <c r="N61" s="260"/>
      <c r="O61" s="282"/>
      <c r="P61" s="141"/>
    </row>
    <row r="62" spans="1:54" x14ac:dyDescent="0.25">
      <c r="A62" s="292" t="str">
        <f>+BMPs!C61</f>
        <v>SPSC</v>
      </c>
      <c r="B62" s="303" t="str">
        <f>+BMPs!D61</f>
        <v>Step Pool Storm Conveyance</v>
      </c>
      <c r="C62" s="282"/>
      <c r="D62" s="260"/>
      <c r="E62" s="282"/>
      <c r="F62" s="364"/>
      <c r="G62" s="282"/>
      <c r="H62" s="260"/>
      <c r="I62" s="282"/>
      <c r="J62" s="260"/>
      <c r="K62" s="282"/>
      <c r="L62" s="260"/>
      <c r="M62" s="282"/>
      <c r="N62" s="260"/>
      <c r="O62" s="282"/>
      <c r="P62" s="141"/>
      <c r="BA62" s="6"/>
      <c r="BB62" s="6"/>
    </row>
    <row r="63" spans="1:54" s="2" customFormat="1" x14ac:dyDescent="0.25">
      <c r="A63" s="5"/>
      <c r="B63" s="304"/>
      <c r="C63" s="282"/>
      <c r="D63" s="295" t="s">
        <v>525</v>
      </c>
      <c r="E63" s="282"/>
      <c r="F63" s="295"/>
      <c r="G63" s="282"/>
      <c r="H63" s="295" t="s">
        <v>525</v>
      </c>
      <c r="I63" s="282"/>
      <c r="J63" s="295" t="s">
        <v>525</v>
      </c>
      <c r="K63" s="282"/>
      <c r="L63" s="295" t="s">
        <v>525</v>
      </c>
      <c r="M63" s="282"/>
      <c r="N63" s="295" t="s">
        <v>525</v>
      </c>
      <c r="O63" s="282"/>
      <c r="P63" s="307" t="s">
        <v>525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25">
      <c r="A64" s="293" t="str">
        <f>+BMPs!C63</f>
        <v>CBC</v>
      </c>
      <c r="B64" s="305" t="str">
        <f>+BMPs!D63</f>
        <v>Catch Basin Cleaning</v>
      </c>
      <c r="C64" s="297"/>
      <c r="D64" s="261"/>
      <c r="E64" s="297"/>
      <c r="F64" s="365"/>
      <c r="G64" s="297"/>
      <c r="H64" s="261"/>
      <c r="I64" s="297"/>
      <c r="J64" s="261"/>
      <c r="K64" s="297"/>
      <c r="L64" s="261"/>
      <c r="M64" s="297"/>
      <c r="N64" s="261"/>
      <c r="O64" s="297"/>
      <c r="P64" s="102"/>
      <c r="BA64" s="6"/>
      <c r="BB64" s="6"/>
    </row>
    <row r="65" spans="1:54" s="2" customFormat="1" x14ac:dyDescent="0.25">
      <c r="A65" s="5"/>
      <c r="C65" s="263"/>
      <c r="D65" s="263"/>
      <c r="E65" s="263"/>
      <c r="F65" s="263"/>
      <c r="G65" s="263"/>
      <c r="H65" s="263"/>
      <c r="I65" s="263"/>
      <c r="J65" s="263"/>
      <c r="K65" s="263"/>
      <c r="L65" s="263"/>
      <c r="M65" s="263"/>
      <c r="N65" s="263"/>
      <c r="O65" s="263"/>
      <c r="P65" s="263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25">
      <c r="B66" s="5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BA66" s="6"/>
      <c r="BB66" s="6"/>
    </row>
    <row r="67" spans="1:54" x14ac:dyDescent="0.25">
      <c r="A67" s="40" t="s">
        <v>517</v>
      </c>
      <c r="B67" s="5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BA67" s="6"/>
      <c r="BB67" s="6"/>
    </row>
    <row r="68" spans="1:54" ht="30" x14ac:dyDescent="0.25">
      <c r="A68" s="1"/>
      <c r="B68" s="286" t="s">
        <v>518</v>
      </c>
      <c r="C68" s="82" t="s">
        <v>526</v>
      </c>
      <c r="D68" s="288" t="s">
        <v>520</v>
      </c>
      <c r="E68" s="306"/>
      <c r="F68" s="288" t="s">
        <v>520</v>
      </c>
      <c r="G68" s="288"/>
      <c r="H68" s="288" t="s">
        <v>520</v>
      </c>
      <c r="I68" s="288"/>
      <c r="J68" s="288" t="s">
        <v>520</v>
      </c>
      <c r="K68" s="288"/>
      <c r="L68" s="288" t="s">
        <v>520</v>
      </c>
      <c r="M68" s="288"/>
      <c r="N68" s="288" t="s">
        <v>520</v>
      </c>
      <c r="O68" s="288"/>
      <c r="P68" s="288" t="s">
        <v>520</v>
      </c>
      <c r="Q68" s="191"/>
      <c r="BA68" s="6"/>
      <c r="BB68" s="6"/>
    </row>
    <row r="69" spans="1:54" x14ac:dyDescent="0.25">
      <c r="B69" s="5" t="str">
        <f>+'LandUse-LandCover'!B2</f>
        <v>Low Density Residential</v>
      </c>
      <c r="C69" s="143">
        <f>+'LandUse-LandCover'!F2</f>
        <v>12864.848</v>
      </c>
      <c r="D69" s="100"/>
      <c r="E69" s="250"/>
      <c r="F69" s="100"/>
      <c r="G69" s="104"/>
      <c r="H69" s="100"/>
      <c r="I69" s="104"/>
      <c r="J69" s="100"/>
      <c r="K69" s="104"/>
      <c r="L69" s="100"/>
      <c r="M69" s="104"/>
      <c r="N69" s="100"/>
      <c r="O69" s="104"/>
      <c r="P69" s="100"/>
      <c r="Q69" s="191"/>
      <c r="BA69" s="6"/>
      <c r="BB69" s="6"/>
    </row>
    <row r="70" spans="1:54" x14ac:dyDescent="0.25">
      <c r="B70" s="5" t="str">
        <f>+'LandUse-LandCover'!B3</f>
        <v>Medium Density Residential</v>
      </c>
      <c r="C70" s="143">
        <f>+'LandUse-LandCover'!F3</f>
        <v>2705.9279999999999</v>
      </c>
      <c r="D70" s="100"/>
      <c r="E70" s="250"/>
      <c r="F70" s="100"/>
      <c r="G70" s="104"/>
      <c r="H70" s="100"/>
      <c r="I70" s="104"/>
      <c r="J70" s="100"/>
      <c r="K70" s="104"/>
      <c r="L70" s="100"/>
      <c r="M70" s="104"/>
      <c r="N70" s="100"/>
      <c r="O70" s="104"/>
      <c r="P70" s="100"/>
      <c r="Q70" s="191"/>
      <c r="BA70" s="6"/>
      <c r="BB70" s="6"/>
    </row>
    <row r="71" spans="1:54" x14ac:dyDescent="0.25">
      <c r="B71" s="5" t="str">
        <f>+'LandUse-LandCover'!B4</f>
        <v>High Density Residential</v>
      </c>
      <c r="C71" s="143">
        <f>+'LandUse-LandCover'!F4</f>
        <v>79.448000000000008</v>
      </c>
      <c r="D71" s="100"/>
      <c r="E71" s="250"/>
      <c r="F71" s="100"/>
      <c r="G71" s="104"/>
      <c r="H71" s="100"/>
      <c r="I71" s="104"/>
      <c r="J71" s="100"/>
      <c r="K71" s="104"/>
      <c r="L71" s="100"/>
      <c r="M71" s="104"/>
      <c r="N71" s="100"/>
      <c r="O71" s="104"/>
      <c r="P71" s="100"/>
      <c r="Q71" s="191"/>
      <c r="BA71" s="6"/>
      <c r="BB71" s="6"/>
    </row>
    <row r="72" spans="1:54" x14ac:dyDescent="0.25">
      <c r="B72" s="5" t="str">
        <f>+'LandUse-LandCover'!B5</f>
        <v>Commercial</v>
      </c>
      <c r="C72" s="143">
        <f>+'LandUse-LandCover'!F5</f>
        <v>1235.1359999999997</v>
      </c>
      <c r="D72" s="100"/>
      <c r="E72" s="250"/>
      <c r="F72" s="100"/>
      <c r="G72" s="104"/>
      <c r="H72" s="100"/>
      <c r="I72" s="104"/>
      <c r="J72" s="100"/>
      <c r="K72" s="104"/>
      <c r="L72" s="100"/>
      <c r="M72" s="104"/>
      <c r="N72" s="100"/>
      <c r="O72" s="104"/>
      <c r="P72" s="100"/>
      <c r="Q72" s="191"/>
      <c r="BA72" s="6"/>
      <c r="BB72" s="6"/>
    </row>
    <row r="73" spans="1:54" x14ac:dyDescent="0.25">
      <c r="B73" s="5" t="str">
        <f>+'LandUse-LandCover'!B6</f>
        <v>Industrial</v>
      </c>
      <c r="C73" s="143">
        <f>+'LandUse-LandCover'!F6</f>
        <v>486.24799999999999</v>
      </c>
      <c r="D73" s="100"/>
      <c r="E73" s="250"/>
      <c r="F73" s="100"/>
      <c r="G73" s="104"/>
      <c r="H73" s="100"/>
      <c r="I73" s="104"/>
      <c r="J73" s="100"/>
      <c r="K73" s="104"/>
      <c r="L73" s="100"/>
      <c r="M73" s="104"/>
      <c r="N73" s="100"/>
      <c r="O73" s="104"/>
      <c r="P73" s="100"/>
      <c r="Q73" s="191"/>
      <c r="BA73" s="6"/>
      <c r="BB73" s="6"/>
    </row>
    <row r="74" spans="1:54" x14ac:dyDescent="0.25">
      <c r="B74" s="5" t="str">
        <f>+'LandUse-LandCover'!B7</f>
        <v>Institutional</v>
      </c>
      <c r="C74" s="143">
        <f>+'LandUse-LandCover'!F7</f>
        <v>460.82400000000013</v>
      </c>
      <c r="D74" s="100"/>
      <c r="E74" s="250"/>
      <c r="F74" s="100"/>
      <c r="G74" s="104"/>
      <c r="H74" s="100"/>
      <c r="I74" s="104"/>
      <c r="J74" s="100"/>
      <c r="K74" s="104"/>
      <c r="L74" s="100"/>
      <c r="M74" s="104"/>
      <c r="N74" s="100"/>
      <c r="O74" s="104"/>
      <c r="P74" s="100"/>
      <c r="Q74" s="191"/>
      <c r="BA74" s="6"/>
      <c r="BB74" s="6"/>
    </row>
    <row r="75" spans="1:54" x14ac:dyDescent="0.25">
      <c r="B75" s="5" t="str">
        <f>+'LandUse-LandCover'!B8</f>
        <v>Extractive</v>
      </c>
      <c r="C75" s="143">
        <f>+'LandUse-LandCover'!F8</f>
        <v>0</v>
      </c>
      <c r="D75" s="100"/>
      <c r="E75" s="250"/>
      <c r="F75" s="100"/>
      <c r="G75" s="104"/>
      <c r="H75" s="100"/>
      <c r="I75" s="104"/>
      <c r="J75" s="100"/>
      <c r="K75" s="104"/>
      <c r="L75" s="100"/>
      <c r="M75" s="104"/>
      <c r="N75" s="100"/>
      <c r="O75" s="104"/>
      <c r="P75" s="100"/>
      <c r="Q75" s="191"/>
      <c r="BA75" s="6"/>
      <c r="BB75" s="6"/>
    </row>
    <row r="76" spans="1:54" x14ac:dyDescent="0.25">
      <c r="B76" s="5" t="str">
        <f>+'LandUse-LandCover'!B9</f>
        <v>Open Urban Land</v>
      </c>
      <c r="C76" s="143">
        <f>+'LandUse-LandCover'!F9</f>
        <v>1139.048</v>
      </c>
      <c r="D76" s="100"/>
      <c r="E76" s="250"/>
      <c r="F76" s="100"/>
      <c r="G76" s="104"/>
      <c r="H76" s="100">
        <v>95.8</v>
      </c>
      <c r="I76" s="104"/>
      <c r="J76" s="100"/>
      <c r="K76" s="104"/>
      <c r="L76" s="100">
        <v>110</v>
      </c>
      <c r="M76" s="104"/>
      <c r="N76" s="494">
        <v>284.8</v>
      </c>
      <c r="O76" s="104"/>
      <c r="P76" s="100"/>
      <c r="Q76" s="191">
        <f>SUM(H76:P76)</f>
        <v>490.6</v>
      </c>
      <c r="R76" s="191"/>
      <c r="BA76" s="6"/>
      <c r="BB76" s="6"/>
    </row>
    <row r="77" spans="1:54" x14ac:dyDescent="0.25">
      <c r="B77" s="5" t="str">
        <f>+'LandUse-LandCover'!B10</f>
        <v>Transportation</v>
      </c>
      <c r="C77" s="143">
        <f>+'LandUse-LandCover'!F10</f>
        <v>0</v>
      </c>
      <c r="D77" s="100"/>
      <c r="E77" s="250"/>
      <c r="F77" s="100"/>
      <c r="G77" s="104"/>
      <c r="H77" s="100"/>
      <c r="I77" s="104"/>
      <c r="J77" s="100"/>
      <c r="K77" s="104"/>
      <c r="L77" s="100"/>
      <c r="M77" s="104"/>
      <c r="N77" s="100"/>
      <c r="O77" s="104"/>
      <c r="P77" s="100"/>
      <c r="Q77" s="191"/>
      <c r="BA77" s="6"/>
      <c r="BB77" s="6"/>
    </row>
    <row r="78" spans="1:54" x14ac:dyDescent="0.25">
      <c r="B78" s="5" t="str">
        <f>+'LandUse-LandCover'!B11</f>
        <v>Large Lot Subdivision (Ag)</v>
      </c>
      <c r="C78" s="143">
        <f>+'LandUse-LandCover'!F11</f>
        <v>0</v>
      </c>
      <c r="D78" s="100"/>
      <c r="E78" s="250"/>
      <c r="F78" s="100"/>
      <c r="G78" s="104"/>
      <c r="H78" s="100"/>
      <c r="I78" s="104"/>
      <c r="J78" s="100"/>
      <c r="K78" s="104"/>
      <c r="L78" s="100"/>
      <c r="M78" s="104"/>
      <c r="N78" s="100"/>
      <c r="O78" s="104"/>
      <c r="P78" s="100"/>
      <c r="Q78" s="191"/>
      <c r="BA78" s="6"/>
      <c r="BB78" s="6"/>
    </row>
    <row r="79" spans="1:54" x14ac:dyDescent="0.25">
      <c r="A79" s="1"/>
      <c r="B79" s="25" t="str">
        <f>+'LandUse-LandCover'!B12</f>
        <v>Large Lot Subdivision (Forest)</v>
      </c>
      <c r="C79" s="144">
        <f>+'LandUse-LandCover'!F12</f>
        <v>0</v>
      </c>
      <c r="D79" s="102"/>
      <c r="E79" s="306"/>
      <c r="F79" s="102"/>
      <c r="G79" s="288"/>
      <c r="H79" s="102"/>
      <c r="I79" s="288"/>
      <c r="J79" s="102"/>
      <c r="K79" s="288"/>
      <c r="L79" s="102"/>
      <c r="M79" s="288"/>
      <c r="N79" s="102"/>
      <c r="O79" s="288"/>
      <c r="P79" s="102"/>
      <c r="Q79" s="191"/>
      <c r="BA79" s="6"/>
      <c r="BB79" s="6"/>
    </row>
    <row r="80" spans="1:54" x14ac:dyDescent="0.25">
      <c r="E80" s="2"/>
      <c r="O80"/>
      <c r="P80"/>
      <c r="BA80" s="6"/>
      <c r="BB80" s="6"/>
    </row>
    <row r="81" spans="1:54" x14ac:dyDescent="0.25">
      <c r="O81"/>
      <c r="P81"/>
      <c r="BA81" s="6"/>
      <c r="BB81" s="6"/>
    </row>
    <row r="82" spans="1:54" s="160" customFormat="1" x14ac:dyDescent="0.25">
      <c r="A82" s="159" t="s">
        <v>297</v>
      </c>
      <c r="B82" s="159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</row>
    <row r="83" spans="1:54" x14ac:dyDescent="0.25">
      <c r="B83" t="s">
        <v>235</v>
      </c>
      <c r="D83" s="21">
        <v>0</v>
      </c>
      <c r="E83" s="21"/>
      <c r="F83" s="21"/>
      <c r="H83" s="21">
        <v>0</v>
      </c>
      <c r="J83" s="21">
        <v>0</v>
      </c>
      <c r="L83" s="21">
        <v>0.45</v>
      </c>
      <c r="N83" s="21">
        <v>0</v>
      </c>
      <c r="O83"/>
      <c r="P83" s="21">
        <v>0</v>
      </c>
      <c r="BA83" s="6"/>
      <c r="BB83" s="6"/>
    </row>
    <row r="87" spans="1:54" ht="18.75" x14ac:dyDescent="0.3">
      <c r="A87" s="185" t="s">
        <v>451</v>
      </c>
    </row>
    <row r="88" spans="1:54" s="160" customFormat="1" x14ac:dyDescent="0.25">
      <c r="A88" s="159" t="s">
        <v>303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</row>
    <row r="89" spans="1:54" s="6" customFormat="1" x14ac:dyDescent="0.25">
      <c r="A89" s="40"/>
      <c r="B89" s="6" t="s">
        <v>468</v>
      </c>
      <c r="D89" s="20" t="s">
        <v>462</v>
      </c>
      <c r="E89" s="2"/>
      <c r="F89" s="2"/>
      <c r="H89" s="423">
        <v>0</v>
      </c>
      <c r="I89" s="427"/>
      <c r="J89" s="423">
        <v>0</v>
      </c>
      <c r="K89" s="427"/>
      <c r="L89" s="423">
        <v>0</v>
      </c>
      <c r="M89" s="427"/>
      <c r="N89" s="423">
        <v>0.75</v>
      </c>
      <c r="O89" s="427"/>
      <c r="P89" s="423">
        <v>0.75</v>
      </c>
    </row>
    <row r="90" spans="1:54" x14ac:dyDescent="0.25">
      <c r="B90" t="s">
        <v>317</v>
      </c>
      <c r="C90" s="156"/>
      <c r="D90" s="20" t="s">
        <v>462</v>
      </c>
      <c r="E90" s="2"/>
      <c r="F90" s="2"/>
      <c r="H90" s="19">
        <v>0</v>
      </c>
      <c r="I90" s="397"/>
      <c r="J90" s="19">
        <v>0</v>
      </c>
      <c r="K90" s="397"/>
      <c r="L90" s="19">
        <v>0</v>
      </c>
      <c r="M90" s="397"/>
      <c r="N90" s="19">
        <v>0.35</v>
      </c>
      <c r="O90" s="397"/>
      <c r="P90" s="19">
        <v>0.4</v>
      </c>
      <c r="Q90" s="157"/>
      <c r="BA90" s="6"/>
      <c r="BB90" s="6"/>
    </row>
    <row r="91" spans="1:54" s="160" customFormat="1" x14ac:dyDescent="0.25">
      <c r="A91" s="159" t="s">
        <v>306</v>
      </c>
      <c r="B91" s="159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</row>
    <row r="92" spans="1:54" s="6" customFormat="1" x14ac:dyDescent="0.25">
      <c r="A92" s="186"/>
      <c r="B92" s="160" t="s">
        <v>464</v>
      </c>
      <c r="C92" s="160"/>
      <c r="D92" s="20" t="s">
        <v>462</v>
      </c>
      <c r="E92" s="2"/>
      <c r="F92" s="2"/>
      <c r="G92"/>
      <c r="H92" s="423">
        <v>0</v>
      </c>
      <c r="I92" s="427"/>
      <c r="J92" s="423">
        <v>0</v>
      </c>
      <c r="K92" s="427"/>
      <c r="L92" s="423">
        <v>0</v>
      </c>
      <c r="M92" s="427"/>
      <c r="N92" s="423">
        <v>1</v>
      </c>
      <c r="O92" s="427"/>
      <c r="P92" s="423">
        <v>1</v>
      </c>
    </row>
    <row r="93" spans="1:54" x14ac:dyDescent="0.25">
      <c r="A93" s="160"/>
      <c r="B93" s="160" t="s">
        <v>318</v>
      </c>
      <c r="C93" s="167"/>
      <c r="D93" s="20" t="s">
        <v>462</v>
      </c>
      <c r="E93" s="2"/>
      <c r="F93" s="2"/>
      <c r="H93" s="19">
        <v>0</v>
      </c>
      <c r="I93" s="397"/>
      <c r="J93" s="19">
        <v>0</v>
      </c>
      <c r="K93" s="397"/>
      <c r="L93" s="19">
        <v>0</v>
      </c>
      <c r="M93" s="397"/>
      <c r="N93" s="19">
        <v>0.5</v>
      </c>
      <c r="O93" s="397"/>
      <c r="P93" s="19">
        <v>0.5</v>
      </c>
      <c r="Q93" s="157"/>
      <c r="BA93" s="6"/>
      <c r="BB93" s="6"/>
    </row>
    <row r="94" spans="1:54" s="2" customFormat="1" x14ac:dyDescent="0.25">
      <c r="A94" s="5"/>
      <c r="B94" s="5"/>
      <c r="C94" s="294"/>
      <c r="H94" s="422"/>
      <c r="I94" s="422"/>
      <c r="J94" s="422"/>
      <c r="K94" s="422"/>
      <c r="L94" s="422"/>
      <c r="M94" s="422"/>
      <c r="N94" s="422"/>
      <c r="O94" s="422"/>
      <c r="P94" s="422"/>
      <c r="Q94" s="294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</row>
    <row r="95" spans="1:54" s="2" customFormat="1" x14ac:dyDescent="0.25">
      <c r="A95" s="5"/>
      <c r="B95" s="5"/>
      <c r="C95" s="294"/>
      <c r="H95" s="422"/>
      <c r="I95" s="422"/>
      <c r="J95" s="422"/>
      <c r="K95" s="422"/>
      <c r="L95" s="422"/>
      <c r="M95" s="422"/>
      <c r="N95" s="422"/>
      <c r="O95" s="422"/>
      <c r="P95" s="422"/>
      <c r="Q95" s="294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</row>
    <row r="96" spans="1:54" x14ac:dyDescent="0.25">
      <c r="A96" s="156" t="s">
        <v>452</v>
      </c>
      <c r="B96" s="156" t="s">
        <v>460</v>
      </c>
    </row>
    <row r="97" spans="1:55" x14ac:dyDescent="0.25">
      <c r="B97" s="156" t="s">
        <v>484</v>
      </c>
    </row>
    <row r="99" spans="1:55" x14ac:dyDescent="0.25">
      <c r="A99" s="168" t="s">
        <v>307</v>
      </c>
    </row>
    <row r="100" spans="1:55" s="206" customFormat="1" x14ac:dyDescent="0.25">
      <c r="A100" s="204"/>
      <c r="B100" s="513" t="s">
        <v>63</v>
      </c>
      <c r="C100" s="513"/>
      <c r="D100" s="513"/>
      <c r="E100" s="513" t="s">
        <v>283</v>
      </c>
      <c r="F100" s="513"/>
      <c r="G100" s="513"/>
      <c r="H100" s="513" t="s">
        <v>64</v>
      </c>
      <c r="I100" s="513"/>
      <c r="J100" s="513"/>
      <c r="K100" s="514" t="s">
        <v>282</v>
      </c>
      <c r="L100" s="515"/>
      <c r="M100" s="516"/>
      <c r="N100" s="513" t="s">
        <v>284</v>
      </c>
      <c r="O100" s="513"/>
      <c r="P100" s="513"/>
      <c r="Q100" s="513" t="s">
        <v>285</v>
      </c>
      <c r="R100" s="513"/>
      <c r="S100" s="513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  <c r="AS100" s="205"/>
      <c r="AT100" s="205"/>
      <c r="AU100" s="205"/>
      <c r="AV100" s="205"/>
      <c r="AW100" s="205"/>
      <c r="AX100" s="205"/>
      <c r="AY100" s="205"/>
      <c r="AZ100" s="205"/>
      <c r="BA100" s="205"/>
      <c r="BB100" s="205"/>
      <c r="BC100" s="205"/>
    </row>
    <row r="101" spans="1:55" x14ac:dyDescent="0.25">
      <c r="A101" t="s">
        <v>473</v>
      </c>
      <c r="C101" s="170" t="s">
        <v>485</v>
      </c>
      <c r="D101" s="209" t="s">
        <v>462</v>
      </c>
      <c r="F101" s="170" t="s">
        <v>485</v>
      </c>
      <c r="G101" s="209">
        <f>-G148</f>
        <v>-15649.2</v>
      </c>
      <c r="I101" s="170" t="s">
        <v>485</v>
      </c>
      <c r="J101" s="209">
        <f>-I148</f>
        <v>0</v>
      </c>
      <c r="L101" s="170" t="s">
        <v>485</v>
      </c>
      <c r="M101" s="209">
        <f>-K148</f>
        <v>0</v>
      </c>
      <c r="O101" s="170" t="s">
        <v>485</v>
      </c>
      <c r="P101" s="308">
        <f>-M148</f>
        <v>0</v>
      </c>
      <c r="R101" s="170" t="s">
        <v>485</v>
      </c>
      <c r="S101" s="209">
        <f>O148</f>
        <v>0</v>
      </c>
    </row>
    <row r="102" spans="1:55" x14ac:dyDescent="0.25">
      <c r="A102" s="198" t="s">
        <v>472</v>
      </c>
      <c r="B102" s="198" t="s">
        <v>445</v>
      </c>
      <c r="C102" s="198" t="s">
        <v>444</v>
      </c>
      <c r="D102" s="198" t="s">
        <v>446</v>
      </c>
      <c r="E102" s="198" t="s">
        <v>445</v>
      </c>
      <c r="F102" s="198" t="s">
        <v>444</v>
      </c>
      <c r="G102" s="198" t="s">
        <v>446</v>
      </c>
      <c r="H102" s="198" t="s">
        <v>445</v>
      </c>
      <c r="I102" s="198" t="s">
        <v>444</v>
      </c>
      <c r="J102" s="198" t="s">
        <v>446</v>
      </c>
      <c r="K102" s="198" t="s">
        <v>445</v>
      </c>
      <c r="L102" s="198" t="s">
        <v>444</v>
      </c>
      <c r="M102" s="198" t="s">
        <v>446</v>
      </c>
      <c r="N102" s="198" t="s">
        <v>445</v>
      </c>
      <c r="O102" s="198" t="s">
        <v>444</v>
      </c>
      <c r="P102" s="309" t="s">
        <v>446</v>
      </c>
      <c r="Q102" s="175" t="s">
        <v>445</v>
      </c>
      <c r="R102" s="312" t="s">
        <v>444</v>
      </c>
      <c r="S102" s="198" t="s">
        <v>446</v>
      </c>
    </row>
    <row r="103" spans="1:55" x14ac:dyDescent="0.25">
      <c r="A103" s="207">
        <f>SewageData!A83</f>
        <v>1</v>
      </c>
      <c r="B103" s="207">
        <f>SewageData!B83</f>
        <v>0</v>
      </c>
      <c r="C103" s="207">
        <f>SewageData!C83</f>
        <v>0</v>
      </c>
      <c r="D103" s="200">
        <f>B103*C103</f>
        <v>0</v>
      </c>
      <c r="E103" s="199"/>
      <c r="F103" s="199"/>
      <c r="G103" s="200">
        <f>E103*F103</f>
        <v>0</v>
      </c>
      <c r="H103" s="199"/>
      <c r="I103" s="199"/>
      <c r="J103" s="200">
        <f>H103*I103</f>
        <v>0</v>
      </c>
      <c r="K103" s="199"/>
      <c r="L103" s="199"/>
      <c r="M103" s="200">
        <f>K103*L103</f>
        <v>0</v>
      </c>
      <c r="N103" s="199"/>
      <c r="O103" s="199"/>
      <c r="P103" s="310">
        <f>N103*O103</f>
        <v>0</v>
      </c>
      <c r="Q103" s="182"/>
      <c r="R103" s="313"/>
      <c r="S103" s="200">
        <f>Q103*R103</f>
        <v>0</v>
      </c>
    </row>
    <row r="104" spans="1:55" x14ac:dyDescent="0.25">
      <c r="A104" s="207">
        <f>SewageData!A84</f>
        <v>2</v>
      </c>
      <c r="B104" s="207">
        <f>SewageData!B84</f>
        <v>0</v>
      </c>
      <c r="C104" s="207">
        <f>SewageData!C84</f>
        <v>0</v>
      </c>
      <c r="D104" s="200">
        <f t="shared" ref="D104:D122" si="8">B104*C104</f>
        <v>0</v>
      </c>
      <c r="E104" s="199"/>
      <c r="F104" s="199"/>
      <c r="G104" s="200">
        <f t="shared" ref="G104:G122" si="9">E104*F104</f>
        <v>0</v>
      </c>
      <c r="H104" s="199"/>
      <c r="I104" s="199"/>
      <c r="J104" s="200">
        <f t="shared" ref="J104:J122" si="10">H104*I104</f>
        <v>0</v>
      </c>
      <c r="K104" s="199"/>
      <c r="L104" s="199"/>
      <c r="M104" s="200">
        <f t="shared" ref="M104:M122" si="11">K104*L104</f>
        <v>0</v>
      </c>
      <c r="N104" s="199"/>
      <c r="O104" s="199"/>
      <c r="P104" s="310">
        <f t="shared" ref="P104:P122" si="12">N104*O104</f>
        <v>0</v>
      </c>
      <c r="Q104" s="182"/>
      <c r="R104" s="313"/>
      <c r="S104" s="200">
        <f t="shared" ref="S104:S122" si="13">Q104*R104</f>
        <v>0</v>
      </c>
    </row>
    <row r="105" spans="1:55" x14ac:dyDescent="0.25">
      <c r="A105" s="207">
        <f>SewageData!A85</f>
        <v>3</v>
      </c>
      <c r="B105" s="207">
        <f>SewageData!B85</f>
        <v>0</v>
      </c>
      <c r="C105" s="207">
        <f>SewageData!C85</f>
        <v>0</v>
      </c>
      <c r="D105" s="200">
        <f t="shared" si="8"/>
        <v>0</v>
      </c>
      <c r="E105" s="199"/>
      <c r="F105" s="199"/>
      <c r="G105" s="200">
        <f>E105*F105</f>
        <v>0</v>
      </c>
      <c r="H105" s="199"/>
      <c r="I105" s="199"/>
      <c r="J105" s="200">
        <f t="shared" si="10"/>
        <v>0</v>
      </c>
      <c r="K105" s="199"/>
      <c r="L105" s="199"/>
      <c r="M105" s="200">
        <f t="shared" si="11"/>
        <v>0</v>
      </c>
      <c r="N105" s="199"/>
      <c r="O105" s="199"/>
      <c r="P105" s="310">
        <f t="shared" si="12"/>
        <v>0</v>
      </c>
      <c r="Q105" s="182"/>
      <c r="R105" s="313"/>
      <c r="S105" s="200">
        <f t="shared" si="13"/>
        <v>0</v>
      </c>
    </row>
    <row r="106" spans="1:55" x14ac:dyDescent="0.25">
      <c r="A106" s="207">
        <f>SewageData!A86</f>
        <v>4</v>
      </c>
      <c r="B106" s="207">
        <f>SewageData!B86</f>
        <v>0</v>
      </c>
      <c r="C106" s="207">
        <f>SewageData!C86</f>
        <v>0</v>
      </c>
      <c r="D106" s="200">
        <f t="shared" si="8"/>
        <v>0</v>
      </c>
      <c r="E106" s="199"/>
      <c r="F106" s="199"/>
      <c r="G106" s="200">
        <f t="shared" si="9"/>
        <v>0</v>
      </c>
      <c r="H106" s="199"/>
      <c r="I106" s="199"/>
      <c r="J106" s="200">
        <f t="shared" si="10"/>
        <v>0</v>
      </c>
      <c r="K106" s="199"/>
      <c r="L106" s="199"/>
      <c r="M106" s="200">
        <f t="shared" si="11"/>
        <v>0</v>
      </c>
      <c r="N106" s="199"/>
      <c r="O106" s="199"/>
      <c r="P106" s="310">
        <f t="shared" si="12"/>
        <v>0</v>
      </c>
      <c r="Q106" s="182"/>
      <c r="R106" s="313"/>
      <c r="S106" s="200">
        <f t="shared" si="13"/>
        <v>0</v>
      </c>
    </row>
    <row r="107" spans="1:55" x14ac:dyDescent="0.25">
      <c r="A107" s="207">
        <f>SewageData!A87</f>
        <v>5</v>
      </c>
      <c r="B107" s="207">
        <f>SewageData!B87</f>
        <v>0</v>
      </c>
      <c r="C107" s="207">
        <f>SewageData!C87</f>
        <v>0</v>
      </c>
      <c r="D107" s="200">
        <f t="shared" si="8"/>
        <v>0</v>
      </c>
      <c r="E107" s="199"/>
      <c r="F107" s="199"/>
      <c r="G107" s="200">
        <f t="shared" si="9"/>
        <v>0</v>
      </c>
      <c r="H107" s="199"/>
      <c r="I107" s="199"/>
      <c r="J107" s="200">
        <f t="shared" si="10"/>
        <v>0</v>
      </c>
      <c r="K107" s="199"/>
      <c r="L107" s="199"/>
      <c r="M107" s="200">
        <f t="shared" si="11"/>
        <v>0</v>
      </c>
      <c r="N107" s="199"/>
      <c r="O107" s="199"/>
      <c r="P107" s="310">
        <f t="shared" si="12"/>
        <v>0</v>
      </c>
      <c r="Q107" s="182"/>
      <c r="R107" s="313"/>
      <c r="S107" s="200">
        <f t="shared" si="13"/>
        <v>0</v>
      </c>
    </row>
    <row r="108" spans="1:55" x14ac:dyDescent="0.25">
      <c r="A108" s="207">
        <f>SewageData!A88</f>
        <v>6</v>
      </c>
      <c r="B108" s="207">
        <f>SewageData!B88</f>
        <v>0</v>
      </c>
      <c r="C108" s="207">
        <f>SewageData!C88</f>
        <v>0</v>
      </c>
      <c r="D108" s="200">
        <f t="shared" si="8"/>
        <v>0</v>
      </c>
      <c r="E108" s="199"/>
      <c r="F108" s="199"/>
      <c r="G108" s="200">
        <f t="shared" si="9"/>
        <v>0</v>
      </c>
      <c r="H108" s="199"/>
      <c r="I108" s="199"/>
      <c r="J108" s="200">
        <f t="shared" si="10"/>
        <v>0</v>
      </c>
      <c r="K108" s="199"/>
      <c r="L108" s="199"/>
      <c r="M108" s="200">
        <f t="shared" si="11"/>
        <v>0</v>
      </c>
      <c r="N108" s="199"/>
      <c r="O108" s="199"/>
      <c r="P108" s="310">
        <f t="shared" si="12"/>
        <v>0</v>
      </c>
      <c r="Q108" s="182"/>
      <c r="R108" s="313"/>
      <c r="S108" s="200">
        <f t="shared" si="13"/>
        <v>0</v>
      </c>
    </row>
    <row r="109" spans="1:55" x14ac:dyDescent="0.25">
      <c r="A109" s="207">
        <f>SewageData!A89</f>
        <v>7</v>
      </c>
      <c r="B109" s="207">
        <f>SewageData!B89</f>
        <v>0</v>
      </c>
      <c r="C109" s="207">
        <f>SewageData!C89</f>
        <v>0</v>
      </c>
      <c r="D109" s="200">
        <f t="shared" si="8"/>
        <v>0</v>
      </c>
      <c r="E109" s="199"/>
      <c r="F109" s="199"/>
      <c r="G109" s="200">
        <f t="shared" si="9"/>
        <v>0</v>
      </c>
      <c r="H109" s="199"/>
      <c r="I109" s="199"/>
      <c r="J109" s="200">
        <f t="shared" si="10"/>
        <v>0</v>
      </c>
      <c r="K109" s="199"/>
      <c r="L109" s="199"/>
      <c r="M109" s="200">
        <f t="shared" si="11"/>
        <v>0</v>
      </c>
      <c r="N109" s="199"/>
      <c r="O109" s="199"/>
      <c r="P109" s="310">
        <f t="shared" si="12"/>
        <v>0</v>
      </c>
      <c r="Q109" s="182"/>
      <c r="R109" s="313"/>
      <c r="S109" s="200">
        <f t="shared" si="13"/>
        <v>0</v>
      </c>
    </row>
    <row r="110" spans="1:55" x14ac:dyDescent="0.25">
      <c r="A110" s="207">
        <f>SewageData!A90</f>
        <v>8</v>
      </c>
      <c r="B110" s="207">
        <f>SewageData!B90</f>
        <v>0</v>
      </c>
      <c r="C110" s="207">
        <f>SewageData!C90</f>
        <v>0</v>
      </c>
      <c r="D110" s="200">
        <f t="shared" si="8"/>
        <v>0</v>
      </c>
      <c r="E110" s="199"/>
      <c r="F110" s="199"/>
      <c r="G110" s="200">
        <f t="shared" si="9"/>
        <v>0</v>
      </c>
      <c r="H110" s="199"/>
      <c r="I110" s="199"/>
      <c r="J110" s="200">
        <f t="shared" si="10"/>
        <v>0</v>
      </c>
      <c r="K110" s="199"/>
      <c r="L110" s="199"/>
      <c r="M110" s="200">
        <f t="shared" si="11"/>
        <v>0</v>
      </c>
      <c r="N110" s="199"/>
      <c r="O110" s="199"/>
      <c r="P110" s="310">
        <f t="shared" si="12"/>
        <v>0</v>
      </c>
      <c r="Q110" s="182"/>
      <c r="R110" s="313"/>
      <c r="S110" s="200">
        <f t="shared" si="13"/>
        <v>0</v>
      </c>
    </row>
    <row r="111" spans="1:55" x14ac:dyDescent="0.25">
      <c r="A111" s="207">
        <f>SewageData!A91</f>
        <v>9</v>
      </c>
      <c r="B111" s="207">
        <f>SewageData!B91</f>
        <v>0</v>
      </c>
      <c r="C111" s="207">
        <f>SewageData!C91</f>
        <v>0</v>
      </c>
      <c r="D111" s="200">
        <f t="shared" si="8"/>
        <v>0</v>
      </c>
      <c r="E111" s="199"/>
      <c r="F111" s="199"/>
      <c r="G111" s="200">
        <f t="shared" si="9"/>
        <v>0</v>
      </c>
      <c r="H111" s="199"/>
      <c r="I111" s="199"/>
      <c r="J111" s="200">
        <f t="shared" si="10"/>
        <v>0</v>
      </c>
      <c r="K111" s="199"/>
      <c r="L111" s="199"/>
      <c r="M111" s="200">
        <f t="shared" si="11"/>
        <v>0</v>
      </c>
      <c r="N111" s="199"/>
      <c r="O111" s="199"/>
      <c r="P111" s="310">
        <f t="shared" si="12"/>
        <v>0</v>
      </c>
      <c r="Q111" s="182"/>
      <c r="R111" s="313"/>
      <c r="S111" s="200">
        <f t="shared" si="13"/>
        <v>0</v>
      </c>
    </row>
    <row r="112" spans="1:55" x14ac:dyDescent="0.25">
      <c r="A112" s="207">
        <f>SewageData!A92</f>
        <v>10</v>
      </c>
      <c r="B112" s="207">
        <f>SewageData!B92</f>
        <v>0</v>
      </c>
      <c r="C112" s="207">
        <f>SewageData!C92</f>
        <v>0</v>
      </c>
      <c r="D112" s="200">
        <f t="shared" si="8"/>
        <v>0</v>
      </c>
      <c r="E112" s="199"/>
      <c r="F112" s="199"/>
      <c r="G112" s="200">
        <f t="shared" si="9"/>
        <v>0</v>
      </c>
      <c r="H112" s="199"/>
      <c r="I112" s="199"/>
      <c r="J112" s="200">
        <f t="shared" si="10"/>
        <v>0</v>
      </c>
      <c r="K112" s="199"/>
      <c r="L112" s="199"/>
      <c r="M112" s="200">
        <f t="shared" si="11"/>
        <v>0</v>
      </c>
      <c r="N112" s="199"/>
      <c r="O112" s="199"/>
      <c r="P112" s="310">
        <f t="shared" si="12"/>
        <v>0</v>
      </c>
      <c r="Q112" s="182"/>
      <c r="R112" s="313"/>
      <c r="S112" s="200">
        <f t="shared" si="13"/>
        <v>0</v>
      </c>
    </row>
    <row r="113" spans="1:19" x14ac:dyDescent="0.25">
      <c r="A113" s="207">
        <f>SewageData!A93</f>
        <v>11</v>
      </c>
      <c r="B113" s="207">
        <f>SewageData!B93</f>
        <v>0</v>
      </c>
      <c r="C113" s="207">
        <f>SewageData!C93</f>
        <v>0</v>
      </c>
      <c r="D113" s="200">
        <f t="shared" si="8"/>
        <v>0</v>
      </c>
      <c r="E113" s="199"/>
      <c r="F113" s="199"/>
      <c r="G113" s="200">
        <f t="shared" si="9"/>
        <v>0</v>
      </c>
      <c r="H113" s="199"/>
      <c r="I113" s="199"/>
      <c r="J113" s="200">
        <f t="shared" si="10"/>
        <v>0</v>
      </c>
      <c r="K113" s="199"/>
      <c r="L113" s="199"/>
      <c r="M113" s="200">
        <f t="shared" si="11"/>
        <v>0</v>
      </c>
      <c r="N113" s="199"/>
      <c r="O113" s="199"/>
      <c r="P113" s="310">
        <f t="shared" si="12"/>
        <v>0</v>
      </c>
      <c r="Q113" s="182"/>
      <c r="R113" s="313"/>
      <c r="S113" s="200">
        <f t="shared" si="13"/>
        <v>0</v>
      </c>
    </row>
    <row r="114" spans="1:19" x14ac:dyDescent="0.25">
      <c r="A114" s="207">
        <f>SewageData!A94</f>
        <v>12</v>
      </c>
      <c r="B114" s="207">
        <f>SewageData!B94</f>
        <v>0</v>
      </c>
      <c r="C114" s="207">
        <f>SewageData!C94</f>
        <v>0</v>
      </c>
      <c r="D114" s="200">
        <f t="shared" si="8"/>
        <v>0</v>
      </c>
      <c r="E114" s="199"/>
      <c r="F114" s="199"/>
      <c r="G114" s="200">
        <f t="shared" si="9"/>
        <v>0</v>
      </c>
      <c r="H114" s="199"/>
      <c r="I114" s="199"/>
      <c r="J114" s="200">
        <f t="shared" si="10"/>
        <v>0</v>
      </c>
      <c r="K114" s="199"/>
      <c r="L114" s="199"/>
      <c r="M114" s="200">
        <f t="shared" si="11"/>
        <v>0</v>
      </c>
      <c r="N114" s="199"/>
      <c r="O114" s="199"/>
      <c r="P114" s="310">
        <f t="shared" si="12"/>
        <v>0</v>
      </c>
      <c r="Q114" s="182"/>
      <c r="R114" s="313"/>
      <c r="S114" s="200">
        <f t="shared" si="13"/>
        <v>0</v>
      </c>
    </row>
    <row r="115" spans="1:19" x14ac:dyDescent="0.25">
      <c r="A115" s="207">
        <f>SewageData!A95</f>
        <v>13</v>
      </c>
      <c r="B115" s="207">
        <f>SewageData!B95</f>
        <v>0</v>
      </c>
      <c r="C115" s="207">
        <f>SewageData!C95</f>
        <v>0</v>
      </c>
      <c r="D115" s="200">
        <f t="shared" si="8"/>
        <v>0</v>
      </c>
      <c r="E115" s="199"/>
      <c r="F115" s="199"/>
      <c r="G115" s="200">
        <f t="shared" si="9"/>
        <v>0</v>
      </c>
      <c r="H115" s="199"/>
      <c r="I115" s="199"/>
      <c r="J115" s="200">
        <f t="shared" si="10"/>
        <v>0</v>
      </c>
      <c r="K115" s="199"/>
      <c r="L115" s="199"/>
      <c r="M115" s="200">
        <f t="shared" si="11"/>
        <v>0</v>
      </c>
      <c r="N115" s="199"/>
      <c r="O115" s="199"/>
      <c r="P115" s="310">
        <f t="shared" si="12"/>
        <v>0</v>
      </c>
      <c r="Q115" s="182"/>
      <c r="R115" s="313"/>
      <c r="S115" s="200">
        <f t="shared" si="13"/>
        <v>0</v>
      </c>
    </row>
    <row r="116" spans="1:19" x14ac:dyDescent="0.25">
      <c r="A116" s="207">
        <f>SewageData!A96</f>
        <v>14</v>
      </c>
      <c r="B116" s="207">
        <f>SewageData!B96</f>
        <v>0</v>
      </c>
      <c r="C116" s="207">
        <f>SewageData!C96</f>
        <v>0</v>
      </c>
      <c r="D116" s="200">
        <f t="shared" si="8"/>
        <v>0</v>
      </c>
      <c r="E116" s="199"/>
      <c r="F116" s="199"/>
      <c r="G116" s="200">
        <f t="shared" si="9"/>
        <v>0</v>
      </c>
      <c r="H116" s="199"/>
      <c r="I116" s="199"/>
      <c r="J116" s="200">
        <f t="shared" si="10"/>
        <v>0</v>
      </c>
      <c r="K116" s="199"/>
      <c r="L116" s="199"/>
      <c r="M116" s="200">
        <f t="shared" si="11"/>
        <v>0</v>
      </c>
      <c r="N116" s="199"/>
      <c r="O116" s="199"/>
      <c r="P116" s="310">
        <f t="shared" si="12"/>
        <v>0</v>
      </c>
      <c r="Q116" s="182"/>
      <c r="R116" s="313"/>
      <c r="S116" s="200">
        <f t="shared" si="13"/>
        <v>0</v>
      </c>
    </row>
    <row r="117" spans="1:19" x14ac:dyDescent="0.25">
      <c r="A117" s="207">
        <f>SewageData!A97</f>
        <v>15</v>
      </c>
      <c r="B117" s="207">
        <f>SewageData!B97</f>
        <v>0</v>
      </c>
      <c r="C117" s="207">
        <f>SewageData!C97</f>
        <v>0</v>
      </c>
      <c r="D117" s="200">
        <f t="shared" si="8"/>
        <v>0</v>
      </c>
      <c r="E117" s="199"/>
      <c r="F117" s="199"/>
      <c r="G117" s="200">
        <f t="shared" si="9"/>
        <v>0</v>
      </c>
      <c r="H117" s="199"/>
      <c r="I117" s="199"/>
      <c r="J117" s="200">
        <f t="shared" si="10"/>
        <v>0</v>
      </c>
      <c r="K117" s="199"/>
      <c r="L117" s="199"/>
      <c r="M117" s="200">
        <f t="shared" si="11"/>
        <v>0</v>
      </c>
      <c r="N117" s="199"/>
      <c r="O117" s="199"/>
      <c r="P117" s="310">
        <f t="shared" si="12"/>
        <v>0</v>
      </c>
      <c r="Q117" s="182"/>
      <c r="R117" s="313"/>
      <c r="S117" s="200">
        <f t="shared" si="13"/>
        <v>0</v>
      </c>
    </row>
    <row r="118" spans="1:19" x14ac:dyDescent="0.25">
      <c r="A118" s="207">
        <f>SewageData!A98</f>
        <v>16</v>
      </c>
      <c r="B118" s="207">
        <f>SewageData!B98</f>
        <v>0</v>
      </c>
      <c r="C118" s="207">
        <f>SewageData!C98</f>
        <v>0</v>
      </c>
      <c r="D118" s="200">
        <f t="shared" si="8"/>
        <v>0</v>
      </c>
      <c r="E118" s="199"/>
      <c r="F118" s="199"/>
      <c r="G118" s="200">
        <f t="shared" si="9"/>
        <v>0</v>
      </c>
      <c r="H118" s="199"/>
      <c r="I118" s="199"/>
      <c r="J118" s="200">
        <f t="shared" si="10"/>
        <v>0</v>
      </c>
      <c r="K118" s="199"/>
      <c r="L118" s="199"/>
      <c r="M118" s="200">
        <f t="shared" si="11"/>
        <v>0</v>
      </c>
      <c r="N118" s="199"/>
      <c r="O118" s="199"/>
      <c r="P118" s="310">
        <f t="shared" si="12"/>
        <v>0</v>
      </c>
      <c r="Q118" s="182"/>
      <c r="R118" s="313"/>
      <c r="S118" s="200">
        <f t="shared" si="13"/>
        <v>0</v>
      </c>
    </row>
    <row r="119" spans="1:19" x14ac:dyDescent="0.25">
      <c r="A119" s="207">
        <f>SewageData!A99</f>
        <v>17</v>
      </c>
      <c r="B119" s="207">
        <f>SewageData!B99</f>
        <v>0</v>
      </c>
      <c r="C119" s="207">
        <f>SewageData!C99</f>
        <v>0</v>
      </c>
      <c r="D119" s="200">
        <f t="shared" si="8"/>
        <v>0</v>
      </c>
      <c r="E119" s="199"/>
      <c r="F119" s="199"/>
      <c r="G119" s="200">
        <f t="shared" si="9"/>
        <v>0</v>
      </c>
      <c r="H119" s="199"/>
      <c r="I119" s="199"/>
      <c r="J119" s="200">
        <f t="shared" si="10"/>
        <v>0</v>
      </c>
      <c r="K119" s="199"/>
      <c r="L119" s="199"/>
      <c r="M119" s="200">
        <f t="shared" si="11"/>
        <v>0</v>
      </c>
      <c r="N119" s="199"/>
      <c r="O119" s="199"/>
      <c r="P119" s="310">
        <f t="shared" si="12"/>
        <v>0</v>
      </c>
      <c r="Q119" s="182"/>
      <c r="R119" s="313"/>
      <c r="S119" s="200">
        <f t="shared" si="13"/>
        <v>0</v>
      </c>
    </row>
    <row r="120" spans="1:19" x14ac:dyDescent="0.25">
      <c r="A120" s="207">
        <f>SewageData!A100</f>
        <v>18</v>
      </c>
      <c r="B120" s="207">
        <f>SewageData!B100</f>
        <v>0</v>
      </c>
      <c r="C120" s="207">
        <f>SewageData!C100</f>
        <v>0</v>
      </c>
      <c r="D120" s="200">
        <f t="shared" si="8"/>
        <v>0</v>
      </c>
      <c r="E120" s="199"/>
      <c r="F120" s="199"/>
      <c r="G120" s="200">
        <f t="shared" si="9"/>
        <v>0</v>
      </c>
      <c r="H120" s="199"/>
      <c r="I120" s="199"/>
      <c r="J120" s="200">
        <f t="shared" si="10"/>
        <v>0</v>
      </c>
      <c r="K120" s="199"/>
      <c r="L120" s="199"/>
      <c r="M120" s="200">
        <f t="shared" si="11"/>
        <v>0</v>
      </c>
      <c r="N120" s="199"/>
      <c r="O120" s="199"/>
      <c r="P120" s="310">
        <f t="shared" si="12"/>
        <v>0</v>
      </c>
      <c r="Q120" s="182"/>
      <c r="R120" s="313"/>
      <c r="S120" s="200">
        <f t="shared" si="13"/>
        <v>0</v>
      </c>
    </row>
    <row r="121" spans="1:19" x14ac:dyDescent="0.25">
      <c r="A121" s="207">
        <f>SewageData!A101</f>
        <v>19</v>
      </c>
      <c r="B121" s="207">
        <f>SewageData!B101</f>
        <v>0</v>
      </c>
      <c r="C121" s="207">
        <f>SewageData!C101</f>
        <v>0</v>
      </c>
      <c r="D121" s="200">
        <f t="shared" si="8"/>
        <v>0</v>
      </c>
      <c r="E121" s="199"/>
      <c r="F121" s="199"/>
      <c r="G121" s="200">
        <f t="shared" si="9"/>
        <v>0</v>
      </c>
      <c r="H121" s="199"/>
      <c r="I121" s="199"/>
      <c r="J121" s="200">
        <f t="shared" si="10"/>
        <v>0</v>
      </c>
      <c r="K121" s="199"/>
      <c r="L121" s="199"/>
      <c r="M121" s="200">
        <f t="shared" si="11"/>
        <v>0</v>
      </c>
      <c r="N121" s="199"/>
      <c r="O121" s="199"/>
      <c r="P121" s="310">
        <f t="shared" si="12"/>
        <v>0</v>
      </c>
      <c r="Q121" s="182"/>
      <c r="R121" s="313"/>
      <c r="S121" s="200">
        <f t="shared" si="13"/>
        <v>0</v>
      </c>
    </row>
    <row r="122" spans="1:19" x14ac:dyDescent="0.25">
      <c r="A122" s="207">
        <f>SewageData!A102</f>
        <v>20</v>
      </c>
      <c r="B122" s="207">
        <f>SewageData!B102</f>
        <v>0</v>
      </c>
      <c r="C122" s="207">
        <f>SewageData!C102</f>
        <v>0</v>
      </c>
      <c r="D122" s="200">
        <f t="shared" si="8"/>
        <v>0</v>
      </c>
      <c r="E122" s="199"/>
      <c r="F122" s="199"/>
      <c r="G122" s="200">
        <f t="shared" si="9"/>
        <v>0</v>
      </c>
      <c r="H122" s="199"/>
      <c r="I122" s="199"/>
      <c r="J122" s="200">
        <f t="shared" si="10"/>
        <v>0</v>
      </c>
      <c r="K122" s="199"/>
      <c r="L122" s="199"/>
      <c r="M122" s="200">
        <f t="shared" si="11"/>
        <v>0</v>
      </c>
      <c r="N122" s="199"/>
      <c r="O122" s="199"/>
      <c r="P122" s="310">
        <f t="shared" si="12"/>
        <v>0</v>
      </c>
      <c r="Q122" s="182"/>
      <c r="R122" s="313"/>
      <c r="S122" s="200">
        <f t="shared" si="13"/>
        <v>0</v>
      </c>
    </row>
    <row r="123" spans="1:19" x14ac:dyDescent="0.25">
      <c r="A123" s="207">
        <f>SewageData!A103</f>
        <v>21</v>
      </c>
      <c r="B123" s="207">
        <f>SewageData!B103</f>
        <v>0</v>
      </c>
      <c r="C123" s="207">
        <f>SewageData!C103</f>
        <v>0</v>
      </c>
      <c r="D123" s="200">
        <f>SUM(D103:D122)</f>
        <v>0</v>
      </c>
      <c r="E123" s="199"/>
      <c r="F123" s="199"/>
      <c r="G123" s="200">
        <f>SUM(G103:G122)</f>
        <v>0</v>
      </c>
      <c r="H123" s="199"/>
      <c r="I123" s="199"/>
      <c r="J123" s="200">
        <f>SUM(J103:J122)</f>
        <v>0</v>
      </c>
      <c r="K123" s="199"/>
      <c r="L123" s="199"/>
      <c r="M123" s="200">
        <f>SUM(M103:M122)</f>
        <v>0</v>
      </c>
      <c r="N123" s="199"/>
      <c r="O123" s="199"/>
      <c r="P123" s="310">
        <f>SUM(P103:P122)</f>
        <v>0</v>
      </c>
      <c r="Q123" s="182"/>
      <c r="R123" s="313"/>
      <c r="S123" s="200">
        <f>SUM(S103:S122)</f>
        <v>0</v>
      </c>
    </row>
    <row r="124" spans="1:19" x14ac:dyDescent="0.25">
      <c r="A124" s="207">
        <f>SewageData!A104</f>
        <v>22</v>
      </c>
      <c r="B124" s="207">
        <f>SewageData!B104</f>
        <v>0</v>
      </c>
      <c r="C124" s="207">
        <f>SewageData!C104</f>
        <v>0</v>
      </c>
      <c r="D124" s="200">
        <f>SUM(D104:D123)</f>
        <v>0</v>
      </c>
      <c r="E124" s="199"/>
      <c r="F124" s="199"/>
      <c r="G124" s="200">
        <f>SUM(G104:G123)</f>
        <v>0</v>
      </c>
      <c r="H124" s="199"/>
      <c r="I124" s="199"/>
      <c r="J124" s="200">
        <f>SUM(J104:J123)</f>
        <v>0</v>
      </c>
      <c r="K124" s="199"/>
      <c r="L124" s="199"/>
      <c r="M124" s="200">
        <f>SUM(M104:M123)</f>
        <v>0</v>
      </c>
      <c r="N124" s="199"/>
      <c r="O124" s="199"/>
      <c r="P124" s="310">
        <f>SUM(P104:P123)</f>
        <v>0</v>
      </c>
      <c r="Q124" s="182"/>
      <c r="R124" s="313"/>
      <c r="S124" s="200">
        <f>SUM(S104:S123)</f>
        <v>0</v>
      </c>
    </row>
    <row r="125" spans="1:19" x14ac:dyDescent="0.25">
      <c r="A125" s="302"/>
      <c r="C125" s="203" t="s">
        <v>203</v>
      </c>
      <c r="D125" s="202">
        <f>SUM(D103:D124)</f>
        <v>0</v>
      </c>
      <c r="F125" s="203" t="s">
        <v>203</v>
      </c>
      <c r="G125" s="202">
        <f>SUM(G101,G103:G124)</f>
        <v>-15649.2</v>
      </c>
      <c r="I125" s="203" t="s">
        <v>203</v>
      </c>
      <c r="J125" s="202">
        <f>SUM(J101,J103:J124)</f>
        <v>0</v>
      </c>
      <c r="L125" s="203" t="s">
        <v>203</v>
      </c>
      <c r="M125" s="202">
        <f>SUM(M101,M103:M124)</f>
        <v>0</v>
      </c>
      <c r="O125" s="203" t="s">
        <v>203</v>
      </c>
      <c r="P125" s="311">
        <f>SUM(P101,P103:P124)</f>
        <v>0</v>
      </c>
      <c r="R125" s="314" t="s">
        <v>203</v>
      </c>
      <c r="S125" s="202">
        <f>SUM(S101,S103:S124)</f>
        <v>0</v>
      </c>
    </row>
    <row r="126" spans="1:19" x14ac:dyDescent="0.25">
      <c r="A126" s="6"/>
    </row>
    <row r="127" spans="1:19" x14ac:dyDescent="0.25">
      <c r="E127" s="52"/>
      <c r="F127" s="52"/>
      <c r="G127" s="52"/>
    </row>
    <row r="128" spans="1:19" x14ac:dyDescent="0.25">
      <c r="A128" s="168" t="s">
        <v>231</v>
      </c>
      <c r="C128" s="7" t="s">
        <v>63</v>
      </c>
      <c r="G128" s="7" t="s">
        <v>283</v>
      </c>
      <c r="I128" s="7" t="s">
        <v>302</v>
      </c>
      <c r="K128" s="7" t="s">
        <v>282</v>
      </c>
      <c r="M128" s="7" t="s">
        <v>284</v>
      </c>
      <c r="O128" s="7" t="s">
        <v>285</v>
      </c>
      <c r="P128"/>
      <c r="Q128"/>
      <c r="R128"/>
    </row>
    <row r="129" spans="1:52" x14ac:dyDescent="0.25">
      <c r="A129" t="s">
        <v>170</v>
      </c>
      <c r="C129" s="7"/>
      <c r="G129" s="7"/>
      <c r="I129" s="7"/>
      <c r="K129" s="7"/>
      <c r="M129" s="7"/>
      <c r="O129" s="7"/>
      <c r="Q129"/>
      <c r="R129"/>
    </row>
    <row r="130" spans="1:52" x14ac:dyDescent="0.25">
      <c r="B130" t="s">
        <v>474</v>
      </c>
      <c r="C130" s="97" t="s">
        <v>573</v>
      </c>
      <c r="G130" s="97" t="s">
        <v>573</v>
      </c>
      <c r="H130" s="413"/>
      <c r="I130" s="97" t="s">
        <v>573</v>
      </c>
      <c r="J130" s="413"/>
      <c r="K130" s="97" t="s">
        <v>573</v>
      </c>
      <c r="L130" s="413"/>
      <c r="M130" s="97" t="s">
        <v>573</v>
      </c>
      <c r="N130" s="413"/>
      <c r="O130" s="97" t="s">
        <v>573</v>
      </c>
      <c r="Q130"/>
      <c r="R130"/>
      <c r="AY130"/>
      <c r="AZ130"/>
    </row>
    <row r="131" spans="1:52" x14ac:dyDescent="0.25">
      <c r="B131" t="s">
        <v>235</v>
      </c>
      <c r="C131" s="242">
        <v>1</v>
      </c>
      <c r="G131" s="242">
        <v>1</v>
      </c>
      <c r="H131" s="413"/>
      <c r="I131" s="242">
        <v>1</v>
      </c>
      <c r="J131" s="413"/>
      <c r="K131" s="242">
        <v>1</v>
      </c>
      <c r="L131" s="413"/>
      <c r="M131" s="242">
        <v>1</v>
      </c>
      <c r="N131" s="413"/>
      <c r="O131" s="242">
        <v>1</v>
      </c>
      <c r="Q131"/>
      <c r="R131"/>
    </row>
    <row r="132" spans="1:52" x14ac:dyDescent="0.25">
      <c r="B132" t="s">
        <v>234</v>
      </c>
      <c r="C132" s="242">
        <f>0</f>
        <v>0</v>
      </c>
      <c r="D132" s="8"/>
      <c r="E132" s="8"/>
      <c r="F132" s="8"/>
      <c r="G132" s="414">
        <f>+H132/SewageData!$B$9</f>
        <v>0.30416890320271961</v>
      </c>
      <c r="H132" s="419">
        <v>3400</v>
      </c>
      <c r="I132" s="414">
        <f>+J132/SewageData!$B$9</f>
        <v>0</v>
      </c>
      <c r="J132" s="419"/>
      <c r="K132" s="414">
        <f>+L132/SewageData!$B$9</f>
        <v>0</v>
      </c>
      <c r="L132" s="419"/>
      <c r="M132" s="414">
        <f>+N132/SewageData!$B$9</f>
        <v>0</v>
      </c>
      <c r="N132" s="419"/>
      <c r="O132" s="414">
        <f>+P132/SewageData!$B$9</f>
        <v>0</v>
      </c>
      <c r="P132" s="419"/>
      <c r="Q132" s="387"/>
      <c r="R132"/>
    </row>
    <row r="133" spans="1:52" s="2" customFormat="1" x14ac:dyDescent="0.25">
      <c r="A133" s="2" t="s">
        <v>475</v>
      </c>
      <c r="C133" s="238"/>
      <c r="G133" s="238"/>
      <c r="H133" s="3"/>
      <c r="I133" s="238"/>
      <c r="J133" s="3"/>
      <c r="K133" s="238"/>
      <c r="L133" s="3"/>
      <c r="M133" s="238"/>
      <c r="N133" s="3"/>
      <c r="O133" s="238"/>
      <c r="P133" s="3"/>
      <c r="Q133" s="387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52" x14ac:dyDescent="0.25">
      <c r="B134" t="s">
        <v>474</v>
      </c>
      <c r="C134" s="97" t="s">
        <v>573</v>
      </c>
      <c r="G134" s="97" t="s">
        <v>573</v>
      </c>
      <c r="H134" s="413"/>
      <c r="I134" s="97" t="s">
        <v>573</v>
      </c>
      <c r="J134" s="413"/>
      <c r="K134" s="97" t="s">
        <v>573</v>
      </c>
      <c r="L134" s="413"/>
      <c r="M134" s="97" t="s">
        <v>573</v>
      </c>
      <c r="N134" s="413"/>
      <c r="O134" s="97" t="s">
        <v>573</v>
      </c>
      <c r="P134" s="413"/>
      <c r="Q134" s="2"/>
      <c r="R134"/>
    </row>
    <row r="135" spans="1:52" x14ac:dyDescent="0.25">
      <c r="B135" t="s">
        <v>476</v>
      </c>
      <c r="C135" s="242">
        <v>1</v>
      </c>
      <c r="G135" s="242">
        <v>1</v>
      </c>
      <c r="H135" s="413"/>
      <c r="I135" s="242">
        <v>1</v>
      </c>
      <c r="J135" s="413"/>
      <c r="K135" s="242">
        <v>1</v>
      </c>
      <c r="L135" s="413"/>
      <c r="M135" s="242">
        <v>1</v>
      </c>
      <c r="N135" s="413"/>
      <c r="O135" s="242">
        <v>1</v>
      </c>
      <c r="P135" s="413"/>
      <c r="Q135" s="2"/>
      <c r="R135"/>
    </row>
    <row r="136" spans="1:52" x14ac:dyDescent="0.25">
      <c r="B136" t="s">
        <v>234</v>
      </c>
      <c r="C136" s="280" t="s">
        <v>462</v>
      </c>
      <c r="G136" s="264">
        <f>+H136/11178</f>
        <v>1.9681517266058328E-3</v>
      </c>
      <c r="H136" s="418">
        <v>22</v>
      </c>
      <c r="I136" s="264">
        <f>+J136/11178</f>
        <v>0</v>
      </c>
      <c r="J136" s="418"/>
      <c r="K136" s="264">
        <f>+L136/11178</f>
        <v>0</v>
      </c>
      <c r="L136" s="420"/>
      <c r="M136" s="264">
        <f>+N136/11178</f>
        <v>0</v>
      </c>
      <c r="N136" s="418"/>
      <c r="O136" s="264">
        <f>+P136/11178</f>
        <v>0</v>
      </c>
      <c r="P136" s="418"/>
      <c r="Q136" s="390"/>
      <c r="R136"/>
    </row>
    <row r="137" spans="1:52" s="2" customFormat="1" x14ac:dyDescent="0.25">
      <c r="A137" s="2" t="s">
        <v>486</v>
      </c>
      <c r="C137" s="388"/>
      <c r="G137" s="389"/>
      <c r="H137" s="3"/>
      <c r="I137" s="389"/>
      <c r="J137" s="3"/>
      <c r="K137" s="389"/>
      <c r="L137" s="3"/>
      <c r="M137" s="389"/>
      <c r="N137" s="3"/>
      <c r="O137" s="389"/>
      <c r="P137" s="3"/>
      <c r="Q137" s="390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52" x14ac:dyDescent="0.25">
      <c r="B138" t="s">
        <v>474</v>
      </c>
      <c r="C138" s="97" t="s">
        <v>573</v>
      </c>
      <c r="G138" s="97" t="s">
        <v>573</v>
      </c>
      <c r="H138" s="413"/>
      <c r="I138" s="97" t="s">
        <v>573</v>
      </c>
      <c r="J138" s="413"/>
      <c r="K138" s="97" t="s">
        <v>573</v>
      </c>
      <c r="L138" s="413"/>
      <c r="M138" s="97" t="s">
        <v>573</v>
      </c>
      <c r="N138" s="413"/>
      <c r="O138" s="97" t="s">
        <v>573</v>
      </c>
      <c r="P138" s="413"/>
      <c r="Q138" s="2"/>
      <c r="R138"/>
    </row>
    <row r="139" spans="1:52" x14ac:dyDescent="0.25">
      <c r="B139" t="s">
        <v>476</v>
      </c>
      <c r="C139" s="242">
        <v>1</v>
      </c>
      <c r="G139" s="242">
        <v>1</v>
      </c>
      <c r="H139" s="413"/>
      <c r="I139" s="242">
        <v>1</v>
      </c>
      <c r="J139" s="413"/>
      <c r="K139" s="242">
        <v>1</v>
      </c>
      <c r="L139" s="413"/>
      <c r="M139" s="242">
        <v>1</v>
      </c>
      <c r="N139" s="413"/>
      <c r="O139" s="242">
        <v>1</v>
      </c>
      <c r="P139" s="413"/>
      <c r="Q139" s="2"/>
      <c r="R139"/>
    </row>
    <row r="140" spans="1:52" x14ac:dyDescent="0.25">
      <c r="B140" t="s">
        <v>477</v>
      </c>
      <c r="C140" s="280" t="s">
        <v>462</v>
      </c>
      <c r="G140" s="264">
        <f>+H140/11178</f>
        <v>7.5147611379495442E-3</v>
      </c>
      <c r="H140" s="418">
        <v>84</v>
      </c>
      <c r="I140" s="264">
        <f>+J140/11178</f>
        <v>0</v>
      </c>
      <c r="J140" s="418"/>
      <c r="K140" s="264">
        <f>+L140/11178</f>
        <v>0</v>
      </c>
      <c r="L140" s="418"/>
      <c r="M140" s="264">
        <f>+N140/11178</f>
        <v>0</v>
      </c>
      <c r="N140" s="418"/>
      <c r="O140" s="264">
        <f>+P140/11178</f>
        <v>0</v>
      </c>
      <c r="P140" s="418"/>
      <c r="Q140" s="390"/>
      <c r="R140"/>
    </row>
    <row r="141" spans="1:52" x14ac:dyDescent="0.25">
      <c r="B141" t="s">
        <v>478</v>
      </c>
      <c r="C141" s="7"/>
      <c r="G141" s="7"/>
      <c r="H141" s="413"/>
      <c r="I141" s="7"/>
      <c r="J141" s="413"/>
      <c r="K141" s="7"/>
      <c r="L141" s="413"/>
      <c r="M141" s="7"/>
      <c r="N141" s="413"/>
      <c r="O141" s="7"/>
      <c r="P141" s="413"/>
      <c r="Q141" s="5"/>
      <c r="R141" s="157"/>
    </row>
    <row r="142" spans="1:52" x14ac:dyDescent="0.25">
      <c r="A142" s="2" t="s">
        <v>487</v>
      </c>
      <c r="C142" s="7"/>
      <c r="G142" s="7"/>
      <c r="H142" s="413"/>
      <c r="I142" s="7"/>
      <c r="J142" s="413"/>
      <c r="K142" s="7"/>
      <c r="L142" s="413"/>
      <c r="M142" s="7"/>
      <c r="N142" s="413"/>
      <c r="O142" s="7"/>
      <c r="P142" s="413"/>
      <c r="Q142" s="5"/>
      <c r="R142" s="157"/>
    </row>
    <row r="143" spans="1:52" x14ac:dyDescent="0.25">
      <c r="A143" s="2"/>
      <c r="B143" t="s">
        <v>481</v>
      </c>
      <c r="C143" s="237">
        <v>0</v>
      </c>
      <c r="G143" s="265">
        <f>(C44+G44)/SewageData!$B$9</f>
        <v>0</v>
      </c>
      <c r="H143" s="413"/>
      <c r="I143" s="265">
        <f>(C44+G44+I44)/SewageData!$B$9</f>
        <v>0</v>
      </c>
      <c r="J143" s="413"/>
      <c r="K143" s="265">
        <f>(C44+G44+I44+K44)/SewageData!$B$9</f>
        <v>0</v>
      </c>
      <c r="L143" s="413"/>
      <c r="M143" s="265">
        <f>(C44+I44+G44+K44+M44)/SewageData!$B$9</f>
        <v>0</v>
      </c>
      <c r="N143" s="413"/>
      <c r="O143" s="265">
        <f>(C44+G44+I44+K44+M44+O44)/SewageData!$B$9</f>
        <v>0</v>
      </c>
      <c r="P143" s="413"/>
      <c r="Q143" s="5"/>
      <c r="R143" s="157"/>
    </row>
    <row r="144" spans="1:52" x14ac:dyDescent="0.25">
      <c r="B144" t="s">
        <v>319</v>
      </c>
      <c r="C144" s="237" t="s">
        <v>462</v>
      </c>
      <c r="G144" s="281">
        <f>+H144</f>
        <v>6</v>
      </c>
      <c r="H144" s="418">
        <v>6</v>
      </c>
      <c r="I144" s="415">
        <f>+J144</f>
        <v>0</v>
      </c>
      <c r="J144" s="418"/>
      <c r="K144" s="415">
        <f>+L144</f>
        <v>0</v>
      </c>
      <c r="L144" s="418"/>
      <c r="M144" s="415">
        <f>+N144</f>
        <v>0</v>
      </c>
      <c r="N144" s="418"/>
      <c r="O144" s="415">
        <f>+P144</f>
        <v>0</v>
      </c>
      <c r="P144" s="418"/>
      <c r="Q144" s="434"/>
      <c r="R144" s="157"/>
    </row>
    <row r="145" spans="2:18" x14ac:dyDescent="0.25">
      <c r="B145" t="s">
        <v>479</v>
      </c>
      <c r="C145" s="242" t="s">
        <v>462</v>
      </c>
      <c r="G145" s="242">
        <v>0.5</v>
      </c>
      <c r="H145" s="413"/>
      <c r="I145" s="242">
        <v>0.5</v>
      </c>
      <c r="J145" s="413"/>
      <c r="K145" s="242">
        <v>0.5</v>
      </c>
      <c r="L145" s="413"/>
      <c r="M145" s="242">
        <v>0.5</v>
      </c>
      <c r="N145" s="413"/>
      <c r="O145" s="242">
        <v>0.5</v>
      </c>
      <c r="Q145" s="5"/>
      <c r="R145" s="157"/>
    </row>
    <row r="146" spans="2:18" x14ac:dyDescent="0.25">
      <c r="B146" t="s">
        <v>480</v>
      </c>
      <c r="C146" s="242" t="s">
        <v>462</v>
      </c>
      <c r="G146" s="242">
        <v>0.5</v>
      </c>
      <c r="H146" s="413"/>
      <c r="I146" s="242">
        <v>0.5</v>
      </c>
      <c r="J146" s="413"/>
      <c r="K146" s="242">
        <v>0.5</v>
      </c>
      <c r="L146" s="413"/>
      <c r="M146" s="242">
        <v>0.5</v>
      </c>
      <c r="N146" s="413"/>
      <c r="O146" s="242">
        <v>0.5</v>
      </c>
      <c r="Q146" s="5"/>
      <c r="R146" s="157"/>
    </row>
    <row r="147" spans="2:18" x14ac:dyDescent="0.25">
      <c r="B147" t="s">
        <v>482</v>
      </c>
      <c r="C147" s="266">
        <v>1</v>
      </c>
      <c r="G147" s="266">
        <v>1</v>
      </c>
      <c r="H147" s="413"/>
      <c r="I147" s="266">
        <v>1</v>
      </c>
      <c r="J147" s="413"/>
      <c r="K147" s="266">
        <v>1</v>
      </c>
      <c r="L147" s="413"/>
      <c r="M147" s="266">
        <v>1</v>
      </c>
      <c r="N147" s="413"/>
      <c r="O147" s="266">
        <v>1</v>
      </c>
      <c r="Q147" s="5"/>
      <c r="R147" s="157"/>
    </row>
    <row r="148" spans="2:18" x14ac:dyDescent="0.25">
      <c r="B148" t="s">
        <v>320</v>
      </c>
      <c r="C148" s="237">
        <f>(0*SewageData!$B$8)/(MAX(SewageData!$B$10,0.001)*(10^-1))</f>
        <v>0</v>
      </c>
      <c r="G148" s="267">
        <f>(G144*SewageData!$B$8)/(MAX(SewageData!$B$9,0.001))*(10^-G147)</f>
        <v>15649.2</v>
      </c>
      <c r="H148" s="413"/>
      <c r="I148" s="267">
        <f>(I144*SewageData!$B$8)/(MAX(SewageData!$B$9,0.001))*(10^-1)</f>
        <v>0</v>
      </c>
      <c r="J148" s="413"/>
      <c r="K148" s="267">
        <f>(K144*SewageData!$B$8)/(MAX(SewageData!$B$9,0.001))*(10^-1)</f>
        <v>0</v>
      </c>
      <c r="L148" s="413"/>
      <c r="M148" s="267">
        <f>(M144*SewageData!$B$8)/(MAX(SewageData!$B$9,0.001))*(10^-1)</f>
        <v>0</v>
      </c>
      <c r="N148" s="413"/>
      <c r="O148" s="267">
        <f>(O144*SewageData!$B$8)/(MAX(SewageData!$B$9,0.001))*(10^-1)</f>
        <v>0</v>
      </c>
      <c r="Q148" s="387"/>
      <c r="R148"/>
    </row>
  </sheetData>
  <mergeCells count="6">
    <mergeCell ref="Q100:S100"/>
    <mergeCell ref="B100:D100"/>
    <mergeCell ref="E100:G100"/>
    <mergeCell ref="H100:J100"/>
    <mergeCell ref="K100:M100"/>
    <mergeCell ref="N100:P100"/>
  </mergeCells>
  <conditionalFormatting sqref="C135">
    <cfRule type="cellIs" dxfId="18" priority="31" stopIfTrue="1" operator="equal">
      <formula>"Enter Value"</formula>
    </cfRule>
  </conditionalFormatting>
  <conditionalFormatting sqref="G135">
    <cfRule type="cellIs" dxfId="17" priority="29" stopIfTrue="1" operator="equal">
      <formula>"Enter Value"</formula>
    </cfRule>
  </conditionalFormatting>
  <conditionalFormatting sqref="I135">
    <cfRule type="cellIs" dxfId="16" priority="16" stopIfTrue="1" operator="equal">
      <formula>"Enter Value"</formula>
    </cfRule>
  </conditionalFormatting>
  <conditionalFormatting sqref="K135">
    <cfRule type="cellIs" dxfId="15" priority="15" stopIfTrue="1" operator="equal">
      <formula>"Enter Value"</formula>
    </cfRule>
  </conditionalFormatting>
  <conditionalFormatting sqref="M135">
    <cfRule type="cellIs" dxfId="14" priority="14" stopIfTrue="1" operator="equal">
      <formula>"Enter Value"</formula>
    </cfRule>
  </conditionalFormatting>
  <conditionalFormatting sqref="O135">
    <cfRule type="cellIs" dxfId="13" priority="13" stopIfTrue="1" operator="equal">
      <formula>"Enter Value"</formula>
    </cfRule>
  </conditionalFormatting>
  <conditionalFormatting sqref="C131">
    <cfRule type="cellIs" dxfId="12" priority="12" stopIfTrue="1" operator="equal">
      <formula>"Enter Value"</formula>
    </cfRule>
  </conditionalFormatting>
  <conditionalFormatting sqref="G131">
    <cfRule type="cellIs" dxfId="11" priority="11" stopIfTrue="1" operator="equal">
      <formula>"Enter Value"</formula>
    </cfRule>
  </conditionalFormatting>
  <conditionalFormatting sqref="I131">
    <cfRule type="cellIs" dxfId="10" priority="10" stopIfTrue="1" operator="equal">
      <formula>"Enter Value"</formula>
    </cfRule>
  </conditionalFormatting>
  <conditionalFormatting sqref="K131">
    <cfRule type="cellIs" dxfId="9" priority="9" stopIfTrue="1" operator="equal">
      <formula>"Enter Value"</formula>
    </cfRule>
  </conditionalFormatting>
  <conditionalFormatting sqref="M131">
    <cfRule type="cellIs" dxfId="8" priority="8" stopIfTrue="1" operator="equal">
      <formula>"Enter Value"</formula>
    </cfRule>
  </conditionalFormatting>
  <conditionalFormatting sqref="O131">
    <cfRule type="cellIs" dxfId="7" priority="7" stopIfTrue="1" operator="equal">
      <formula>"Enter Value"</formula>
    </cfRule>
  </conditionalFormatting>
  <conditionalFormatting sqref="C139">
    <cfRule type="cellIs" dxfId="6" priority="6" stopIfTrue="1" operator="equal">
      <formula>"Enter Value"</formula>
    </cfRule>
  </conditionalFormatting>
  <conditionalFormatting sqref="G139">
    <cfRule type="cellIs" dxfId="5" priority="5" stopIfTrue="1" operator="equal">
      <formula>"Enter Value"</formula>
    </cfRule>
  </conditionalFormatting>
  <conditionalFormatting sqref="I139">
    <cfRule type="cellIs" dxfId="4" priority="4" stopIfTrue="1" operator="equal">
      <formula>"Enter Value"</formula>
    </cfRule>
  </conditionalFormatting>
  <conditionalFormatting sqref="K139">
    <cfRule type="cellIs" dxfId="3" priority="3" stopIfTrue="1" operator="equal">
      <formula>"Enter Value"</formula>
    </cfRule>
  </conditionalFormatting>
  <conditionalFormatting sqref="M139">
    <cfRule type="cellIs" dxfId="2" priority="2" stopIfTrue="1" operator="equal">
      <formula>"Enter Value"</formula>
    </cfRule>
  </conditionalFormatting>
  <conditionalFormatting sqref="O139">
    <cfRule type="cellIs" dxfId="1" priority="1" stopIfTrue="1" operator="equal">
      <formula>"Enter Value"</formula>
    </cfRule>
  </conditionalFormatting>
  <dataValidations xWindow="861" yWindow="1298" count="1">
    <dataValidation allowBlank="1" showInputMessage="1" showErrorMessage="1" promptTitle="Based on Media Type" prompt="Televsion = 40%_x000a_Radio = 25%_x000a_Newspaper = 30%_x000a_Billboard = 13%_x000a_Brochure = 8%_x000a_Workshop = 7%" sqref="O135 C135 I135 G135 M135 K135 O131 C131 I131 G131 M131 K131 O139 C139 I139 G139 M139 K139" xr:uid="{00000000-0002-0000-0600-000000000000}"/>
  </dataValidations>
  <pageMargins left="0.7" right="0.7" top="0.75" bottom="0.75" header="0.3" footer="0.3"/>
  <pageSetup scale="5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0" tint="-0.249977111117893"/>
  </sheetPr>
  <dimension ref="A1:M49"/>
  <sheetViews>
    <sheetView workbookViewId="0">
      <selection activeCell="B42" sqref="B42"/>
    </sheetView>
  </sheetViews>
  <sheetFormatPr defaultRowHeight="15" x14ac:dyDescent="0.25"/>
  <cols>
    <col min="1" max="1" width="18.85546875" customWidth="1"/>
    <col min="2" max="2" width="27.5703125" bestFit="1" customWidth="1"/>
    <col min="3" max="3" width="11.42578125" customWidth="1"/>
    <col min="4" max="4" width="12.28515625" customWidth="1"/>
    <col min="5" max="5" width="10.140625" style="2" customWidth="1"/>
    <col min="6" max="7" width="10.85546875" customWidth="1"/>
    <col min="8" max="8" width="17.140625" customWidth="1"/>
    <col min="9" max="9" width="18.42578125" customWidth="1"/>
    <col min="11" max="11" width="11.5703125" bestFit="1" customWidth="1"/>
    <col min="17" max="17" width="19" bestFit="1" customWidth="1"/>
    <col min="18" max="18" width="9.85546875" bestFit="1" customWidth="1"/>
  </cols>
  <sheetData>
    <row r="1" spans="1:11" s="13" customFormat="1" ht="43.5" customHeight="1" x14ac:dyDescent="0.25">
      <c r="A1" s="15" t="s">
        <v>46</v>
      </c>
      <c r="B1" s="12"/>
      <c r="C1" s="12" t="str">
        <f>+'LandUse-LandCover'!C1</f>
        <v>Land Cover</v>
      </c>
      <c r="D1" s="79" t="str">
        <f>+'LandUse-LandCover'!D1</f>
        <v>Area (ac)</v>
      </c>
      <c r="E1" s="82" t="s">
        <v>60</v>
      </c>
      <c r="F1" s="24" t="s">
        <v>241</v>
      </c>
      <c r="G1" s="24" t="s">
        <v>242</v>
      </c>
      <c r="H1" s="24" t="s">
        <v>685</v>
      </c>
      <c r="I1" s="24" t="s">
        <v>243</v>
      </c>
    </row>
    <row r="2" spans="1:11" x14ac:dyDescent="0.25">
      <c r="A2" s="27">
        <f>+'LandUse-LandCover'!A2</f>
        <v>11</v>
      </c>
      <c r="B2" s="27" t="str">
        <f>+'LandUse-LandCover'!B2</f>
        <v>Low Density Residential</v>
      </c>
      <c r="C2" s="27"/>
      <c r="D2" s="143">
        <f>+'LandUse-LandCover'!D2</f>
        <v>18147.78</v>
      </c>
      <c r="E2" s="80">
        <f>SUMPRODUCT('Watershed Data'!$D$23:$F$23,'LandUse-LandCover'!J2:L2)</f>
        <v>0.25688388536485252</v>
      </c>
      <c r="F2" s="80">
        <f>+'Watershed Data'!$B$2*0.9*E2</f>
        <v>9.3842252162634292</v>
      </c>
      <c r="G2" s="80">
        <f t="shared" ref="G2:G26" si="0">+F2*D2/12</f>
        <v>14191.904557933427</v>
      </c>
      <c r="H2" s="80">
        <f>0.00103*F2*'LandUse-LandCover'!G2</f>
        <v>80.660700212609868</v>
      </c>
      <c r="I2" s="123">
        <f>+H2*'LandUse-LandCover'!D2</f>
        <v>1463812.6421043971</v>
      </c>
      <c r="K2" s="8"/>
    </row>
    <row r="3" spans="1:11" x14ac:dyDescent="0.25">
      <c r="A3" s="27">
        <f>+'LandUse-LandCover'!A3</f>
        <v>12</v>
      </c>
      <c r="B3" s="27" t="str">
        <f>+'LandUse-LandCover'!B3</f>
        <v>Medium Density Residential</v>
      </c>
      <c r="C3" s="27"/>
      <c r="D3" s="143">
        <f>+'LandUse-LandCover'!D3</f>
        <v>4480.45</v>
      </c>
      <c r="E3" s="80">
        <f>SUMPRODUCT('Watershed Data'!$D$23:$F$23,'LandUse-LandCover'!J3:L3)</f>
        <v>0.35952119280823103</v>
      </c>
      <c r="F3" s="80">
        <f>+'Watershed Data'!$B$2*0.9*E3</f>
        <v>13.133668694477489</v>
      </c>
      <c r="G3" s="80">
        <f t="shared" si="0"/>
        <v>4903.7288251809723</v>
      </c>
      <c r="H3" s="80">
        <f>0.00103*F3*'LandUse-LandCover'!G3</f>
        <v>112.88847921307709</v>
      </c>
      <c r="I3" s="123">
        <f>+H3*'LandUse-LandCover'!D3</f>
        <v>505791.1866902312</v>
      </c>
      <c r="K3" s="8"/>
    </row>
    <row r="4" spans="1:11" x14ac:dyDescent="0.25">
      <c r="A4" s="27">
        <f>+'LandUse-LandCover'!A4</f>
        <v>13</v>
      </c>
      <c r="B4" s="27" t="str">
        <f>+'LandUse-LandCover'!B4</f>
        <v>High Density Residential</v>
      </c>
      <c r="C4" s="27"/>
      <c r="D4" s="143">
        <f>+'LandUse-LandCover'!D4</f>
        <v>178.28</v>
      </c>
      <c r="E4" s="80">
        <f>SUMPRODUCT('Watershed Data'!$D$23:$F$23,'LandUse-LandCover'!J4:L4)</f>
        <v>0.51433391373982507</v>
      </c>
      <c r="F4" s="80">
        <f>+'Watershed Data'!$B$2*0.9*E4</f>
        <v>18.789132202829553</v>
      </c>
      <c r="G4" s="80">
        <f t="shared" si="0"/>
        <v>279.14387409337104</v>
      </c>
      <c r="H4" s="80">
        <f>0.00103*F4*'LandUse-LandCover'!G4</f>
        <v>161.49916747959102</v>
      </c>
      <c r="I4" s="123">
        <f>+H4*'LandUse-LandCover'!D4</f>
        <v>28792.071578261486</v>
      </c>
      <c r="K4" s="8"/>
    </row>
    <row r="5" spans="1:11" x14ac:dyDescent="0.25">
      <c r="A5" s="27">
        <f>+'LandUse-LandCover'!A5</f>
        <v>14</v>
      </c>
      <c r="B5" s="27" t="str">
        <f>+'LandUse-LandCover'!B5</f>
        <v>Commercial</v>
      </c>
      <c r="C5" s="27"/>
      <c r="D5" s="143">
        <f>+'LandUse-LandCover'!D5</f>
        <v>2514.9299999999998</v>
      </c>
      <c r="E5" s="80">
        <f>SUMPRODUCT('Watershed Data'!$D$23:$F$23,'LandUse-LandCover'!J5:L5)</f>
        <v>0.46985200833331026</v>
      </c>
      <c r="F5" s="80">
        <f>+'Watershed Data'!$B$2*0.9*E5</f>
        <v>17.164163716424159</v>
      </c>
      <c r="G5" s="80">
        <f t="shared" si="0"/>
        <v>3597.222521278884</v>
      </c>
      <c r="H5" s="80">
        <f>0.00103*F5*'LandUse-LandCover'!G5</f>
        <v>76.020081100042603</v>
      </c>
      <c r="I5" s="123">
        <f>+H5*'LandUse-LandCover'!D5</f>
        <v>191185.18256093014</v>
      </c>
      <c r="K5" s="8"/>
    </row>
    <row r="6" spans="1:11" x14ac:dyDescent="0.25">
      <c r="A6" s="27">
        <f>+'LandUse-LandCover'!A6</f>
        <v>15</v>
      </c>
      <c r="B6" s="27" t="str">
        <f>+'LandUse-LandCover'!B6</f>
        <v>Industrial</v>
      </c>
      <c r="C6" s="27"/>
      <c r="D6" s="143">
        <f>+'LandUse-LandCover'!D6</f>
        <v>863.83</v>
      </c>
      <c r="E6" s="80">
        <f>SUMPRODUCT('Watershed Data'!$D$23:$F$23,'LandUse-LandCover'!J6:L6)</f>
        <v>0.39965907707292142</v>
      </c>
      <c r="F6" s="80">
        <f>+'Watershed Data'!$B$2*0.9*E6</f>
        <v>14.599945744550896</v>
      </c>
      <c r="G6" s="80">
        <f t="shared" si="0"/>
        <v>1050.9892610429499</v>
      </c>
      <c r="H6" s="80">
        <f>0.00103*F6*'LandUse-LandCover'!G6</f>
        <v>37.594860292218563</v>
      </c>
      <c r="I6" s="123">
        <f>+H6*'LandUse-LandCover'!D6</f>
        <v>32475.568166227164</v>
      </c>
      <c r="K6" s="8"/>
    </row>
    <row r="7" spans="1:11" x14ac:dyDescent="0.25">
      <c r="A7" s="27">
        <f>+'LandUse-LandCover'!A7</f>
        <v>16</v>
      </c>
      <c r="B7" s="27" t="str">
        <f>+'LandUse-LandCover'!B7</f>
        <v>Institutional</v>
      </c>
      <c r="C7" s="27"/>
      <c r="D7" s="143">
        <f>+'LandUse-LandCover'!D7</f>
        <v>756.95</v>
      </c>
      <c r="E7" s="80">
        <f>SUMPRODUCT('Watershed Data'!$D$23:$F$23,'LandUse-LandCover'!J7:L7)</f>
        <v>0.35477875547325749</v>
      </c>
      <c r="F7" s="80">
        <f>+'Watershed Data'!$B$2*0.9*E7</f>
        <v>12.960422716193571</v>
      </c>
      <c r="G7" s="80">
        <f t="shared" si="0"/>
        <v>817.53266458522705</v>
      </c>
      <c r="H7" s="80">
        <f>0.00103*F7*'LandUse-LandCover'!G7</f>
        <v>57.401712210021337</v>
      </c>
      <c r="I7" s="123">
        <f>+H7*'LandUse-LandCover'!D7</f>
        <v>43450.22605737565</v>
      </c>
      <c r="K7" s="8"/>
    </row>
    <row r="8" spans="1:11" x14ac:dyDescent="0.25">
      <c r="A8" s="27">
        <f>+'LandUse-LandCover'!A8</f>
        <v>17</v>
      </c>
      <c r="B8" s="27" t="str">
        <f>+'LandUse-LandCover'!B8</f>
        <v>Extractive</v>
      </c>
      <c r="C8" s="27"/>
      <c r="D8" s="143">
        <f>+'LandUse-LandCover'!D8</f>
        <v>0</v>
      </c>
      <c r="E8" s="80">
        <f>SUMPRODUCT('Watershed Data'!$D$23:$F$23,'LandUse-LandCover'!J8:L8)</f>
        <v>3.2519224153256948E-2</v>
      </c>
      <c r="F8" s="80">
        <f>+'Watershed Data'!$B$2*0.9*E8</f>
        <v>1.1879597775426298</v>
      </c>
      <c r="G8" s="80">
        <f t="shared" si="0"/>
        <v>0</v>
      </c>
      <c r="H8" s="80">
        <f>0.00103*F8*'LandUse-LandCover'!G8</f>
        <v>0</v>
      </c>
      <c r="I8" s="123">
        <f>+H8*'LandUse-LandCover'!D8</f>
        <v>0</v>
      </c>
      <c r="K8" s="8"/>
    </row>
    <row r="9" spans="1:11" x14ac:dyDescent="0.25">
      <c r="A9" s="27">
        <f>+'LandUse-LandCover'!A9</f>
        <v>18</v>
      </c>
      <c r="B9" s="27" t="str">
        <f>+'LandUse-LandCover'!B9</f>
        <v>Open Urban Land</v>
      </c>
      <c r="C9" s="27"/>
      <c r="D9" s="143">
        <f>+'LandUse-LandCover'!D9</f>
        <v>1511.24</v>
      </c>
      <c r="E9" s="92">
        <f>SUMPRODUCT('Watershed Data'!$D$23:$F$23,'LandUse-LandCover'!J9:L9)</f>
        <v>0.21304901172751317</v>
      </c>
      <c r="F9" s="92">
        <f>+'Watershed Data'!$B$2*0.9*E9</f>
        <v>7.7828934474177851</v>
      </c>
      <c r="G9" s="92">
        <f t="shared" si="0"/>
        <v>980.15165778963774</v>
      </c>
      <c r="H9" s="92">
        <f>0.00103*F9*'LandUse-LandCover'!G9</f>
        <v>57.717937806050294</v>
      </c>
      <c r="I9" s="124">
        <f>+H9*'LandUse-LandCover'!D9</f>
        <v>87225.656330015452</v>
      </c>
      <c r="J9" s="6"/>
      <c r="K9" s="8"/>
    </row>
    <row r="10" spans="1:11" x14ac:dyDescent="0.25">
      <c r="A10" s="27">
        <f>+'LandUse-LandCover'!A10</f>
        <v>80</v>
      </c>
      <c r="B10" s="27" t="str">
        <f>+'LandUse-LandCover'!B10</f>
        <v>Transportation</v>
      </c>
      <c r="C10" s="27"/>
      <c r="D10" s="143">
        <f>+'LandUse-LandCover'!D10</f>
        <v>0</v>
      </c>
      <c r="E10" s="92">
        <f>SUMPRODUCT('Watershed Data'!$D$23:$F$23,'LandUse-LandCover'!J10:L10)</f>
        <v>0</v>
      </c>
      <c r="F10" s="92">
        <f>+'Watershed Data'!$B$2*0.9*SUMPRODUCT('Watershed Data'!$D$23:$F$23,'LandUse-LandCover'!J10:L10)</f>
        <v>0</v>
      </c>
      <c r="G10" s="92">
        <f>+F10*D10/12</f>
        <v>0</v>
      </c>
      <c r="H10" s="92">
        <f>0.00103*F10*'LandUse-LandCover'!G10</f>
        <v>0</v>
      </c>
      <c r="I10" s="124">
        <f>+H10*'LandUse-LandCover'!D10</f>
        <v>0</v>
      </c>
      <c r="J10" s="6"/>
    </row>
    <row r="11" spans="1:11" x14ac:dyDescent="0.25">
      <c r="A11" s="27">
        <f>+'LandUse-LandCover'!A11</f>
        <v>191</v>
      </c>
      <c r="B11" s="27" t="str">
        <f>+'LandUse-LandCover'!B11</f>
        <v>Large Lot Subdivision (Ag)</v>
      </c>
      <c r="C11" s="27"/>
      <c r="D11" s="143">
        <f>+'LandUse-LandCover'!D11</f>
        <v>0</v>
      </c>
      <c r="E11" s="92">
        <f>SUMPRODUCT('Watershed Data'!$D$23:$F$23,'LandUse-LandCover'!J11:L11)</f>
        <v>0.16778751446615753</v>
      </c>
      <c r="F11" s="92">
        <f>+'Watershed Data'!$B$2*0.9*E11</f>
        <v>6.1294456909632018</v>
      </c>
      <c r="G11" s="92">
        <f t="shared" si="0"/>
        <v>0</v>
      </c>
      <c r="H11" s="92">
        <f>0.00103*F11*'LandUse-LandCover'!G11</f>
        <v>52.684731019820568</v>
      </c>
      <c r="I11" s="124">
        <f>+H11*'LandUse-LandCover'!D11</f>
        <v>0</v>
      </c>
      <c r="J11" s="6"/>
      <c r="K11" s="8"/>
    </row>
    <row r="12" spans="1:11" x14ac:dyDescent="0.25">
      <c r="A12" s="29">
        <f>+'LandUse-LandCover'!A12</f>
        <v>192</v>
      </c>
      <c r="B12" s="29" t="str">
        <f>+'LandUse-LandCover'!B12</f>
        <v>Large Lot Subdivision (Forest)</v>
      </c>
      <c r="C12" s="29"/>
      <c r="D12" s="144">
        <f>+'LandUse-LandCover'!D12</f>
        <v>0</v>
      </c>
      <c r="E12" s="81">
        <f>SUMPRODUCT('Watershed Data'!$D$23:$F$23,'LandUse-LandCover'!J12:L12)</f>
        <v>0.1846960507552701</v>
      </c>
      <c r="F12" s="81">
        <f>+'Watershed Data'!$B$2*0.9*E12</f>
        <v>6.7471314301407732</v>
      </c>
      <c r="G12" s="81">
        <f t="shared" si="0"/>
        <v>0</v>
      </c>
      <c r="H12" s="81">
        <f>0.00103*F12*'LandUse-LandCover'!G12</f>
        <v>57.993956138060504</v>
      </c>
      <c r="I12" s="125">
        <f>+H12*'LandUse-LandCover'!D12</f>
        <v>0</v>
      </c>
      <c r="K12" s="113"/>
    </row>
    <row r="13" spans="1:11" x14ac:dyDescent="0.25">
      <c r="A13" s="27">
        <f>+'LandUse-LandCover'!A13</f>
        <v>21</v>
      </c>
      <c r="B13" s="27" t="str">
        <f>+'LandUse-LandCover'!B13</f>
        <v>Cropland</v>
      </c>
      <c r="C13" s="27" t="str">
        <f>+'LandUse-LandCover'!C13</f>
        <v>Rural</v>
      </c>
      <c r="D13" s="143">
        <f>+'LandUse-LandCover'!D13</f>
        <v>1212</v>
      </c>
      <c r="F13" s="80">
        <f>+'Watershed Data'!$B$2*0.9*HLOOKUP(C13,'Watershed Data'!$D$17:$I$23,7,FALSE)</f>
        <v>1.1879597775426298</v>
      </c>
      <c r="G13" s="80">
        <f t="shared" si="0"/>
        <v>119.98393753180561</v>
      </c>
      <c r="H13" s="126">
        <f>+'LandUse-LandCover'!H13</f>
        <v>39</v>
      </c>
      <c r="I13" s="123">
        <f>+H13*D13</f>
        <v>47268</v>
      </c>
    </row>
    <row r="14" spans="1:11" x14ac:dyDescent="0.25">
      <c r="A14" s="27">
        <f>+'LandUse-LandCover'!A14</f>
        <v>22</v>
      </c>
      <c r="B14" s="27" t="str">
        <f>+'LandUse-LandCover'!B14</f>
        <v>Pasture</v>
      </c>
      <c r="C14" s="27" t="str">
        <f>+'LandUse-LandCover'!C14</f>
        <v>Rural</v>
      </c>
      <c r="D14" s="143">
        <f>+'LandUse-LandCover'!D14</f>
        <v>0</v>
      </c>
      <c r="F14" s="80">
        <f>+'Watershed Data'!$B$2*0.9*HLOOKUP(C14,'Watershed Data'!$D$17:$I$23,7,FALSE)</f>
        <v>1.1879597775426298</v>
      </c>
      <c r="G14" s="80">
        <f t="shared" si="0"/>
        <v>0</v>
      </c>
      <c r="H14" s="126">
        <f>+'LandUse-LandCover'!H14</f>
        <v>39</v>
      </c>
      <c r="I14" s="123">
        <f>+H14*'LandUse-LandCover'!D14</f>
        <v>0</v>
      </c>
    </row>
    <row r="15" spans="1:11" x14ac:dyDescent="0.25">
      <c r="A15" s="27">
        <f>+'LandUse-LandCover'!A15</f>
        <v>23</v>
      </c>
      <c r="B15" s="27" t="str">
        <f>+'LandUse-LandCover'!B15</f>
        <v>Orchards/Vineyards</v>
      </c>
      <c r="C15" s="27" t="str">
        <f>+'LandUse-LandCover'!C15</f>
        <v>Rural</v>
      </c>
      <c r="D15" s="143">
        <f>+'LandUse-LandCover'!D15</f>
        <v>0</v>
      </c>
      <c r="F15" s="80">
        <f>+'Watershed Data'!$B$2*0.9*HLOOKUP(C15,'Watershed Data'!$D$17:$I$23,7,FALSE)</f>
        <v>1.1879597775426298</v>
      </c>
      <c r="G15" s="80">
        <f t="shared" si="0"/>
        <v>0</v>
      </c>
      <c r="H15" s="126">
        <f>+'LandUse-LandCover'!H15</f>
        <v>39</v>
      </c>
      <c r="I15" s="123">
        <f>+H15*'LandUse-LandCover'!D15</f>
        <v>0</v>
      </c>
    </row>
    <row r="16" spans="1:11" x14ac:dyDescent="0.25">
      <c r="A16" s="27">
        <f>+'LandUse-LandCover'!A16</f>
        <v>241</v>
      </c>
      <c r="B16" s="27" t="str">
        <f>+'LandUse-LandCover'!B16</f>
        <v>Feeding Operations</v>
      </c>
      <c r="C16" s="27" t="str">
        <f>+'LandUse-LandCover'!C16</f>
        <v>Rural</v>
      </c>
      <c r="D16" s="143">
        <f>+'LandUse-LandCover'!D16</f>
        <v>0</v>
      </c>
      <c r="F16" s="80">
        <f>+'Watershed Data'!$B$2*0.9*HLOOKUP(C16,'Watershed Data'!$D$17:$I$23,7,FALSE)</f>
        <v>1.1879597775426298</v>
      </c>
      <c r="G16" s="80">
        <f t="shared" si="0"/>
        <v>0</v>
      </c>
      <c r="H16" s="126">
        <f>+'LandUse-LandCover'!H16</f>
        <v>39</v>
      </c>
      <c r="I16" s="123">
        <f>+H16*'LandUse-LandCover'!D16</f>
        <v>0</v>
      </c>
    </row>
    <row r="17" spans="1:11" x14ac:dyDescent="0.25">
      <c r="A17" s="27">
        <f>+'LandUse-LandCover'!A17</f>
        <v>242</v>
      </c>
      <c r="B17" s="27" t="str">
        <f>+'LandUse-LandCover'!B17</f>
        <v>Agricultural Building</v>
      </c>
      <c r="C17" s="27" t="str">
        <f>+'LandUse-LandCover'!C17</f>
        <v>Rural</v>
      </c>
      <c r="D17" s="143">
        <f>+'LandUse-LandCover'!D17</f>
        <v>0</v>
      </c>
      <c r="F17" s="80">
        <f>+'Watershed Data'!$B$2*0.9*HLOOKUP(C17,'Watershed Data'!$D$17:$I$23,7,FALSE)</f>
        <v>1.1879597775426298</v>
      </c>
      <c r="G17" s="80">
        <f t="shared" si="0"/>
        <v>0</v>
      </c>
      <c r="H17" s="126">
        <f>+'LandUse-LandCover'!H17</f>
        <v>39</v>
      </c>
      <c r="I17" s="123">
        <f>+H17*'LandUse-LandCover'!D17</f>
        <v>0</v>
      </c>
    </row>
    <row r="18" spans="1:11" x14ac:dyDescent="0.25">
      <c r="A18" s="27">
        <f>+'LandUse-LandCover'!A18</f>
        <v>25</v>
      </c>
      <c r="B18" s="27" t="str">
        <f>+'LandUse-LandCover'!B18</f>
        <v>Row and Garden Crops</v>
      </c>
      <c r="C18" s="27" t="str">
        <f>+'LandUse-LandCover'!C18</f>
        <v>Rural</v>
      </c>
      <c r="D18" s="143">
        <f>+'LandUse-LandCover'!D18</f>
        <v>0</v>
      </c>
      <c r="F18" s="80">
        <f>+'Watershed Data'!$B$2*0.9*HLOOKUP(C18,'Watershed Data'!$D$17:$I$23,7,FALSE)</f>
        <v>1.1879597775426298</v>
      </c>
      <c r="G18" s="80">
        <f t="shared" si="0"/>
        <v>0</v>
      </c>
      <c r="H18" s="126">
        <f>+'LandUse-LandCover'!H18</f>
        <v>39</v>
      </c>
      <c r="I18" s="123">
        <f>+H18*'LandUse-LandCover'!D18</f>
        <v>0</v>
      </c>
    </row>
    <row r="19" spans="1:11" x14ac:dyDescent="0.25">
      <c r="A19" s="27">
        <f>+'LandUse-LandCover'!A19</f>
        <v>41</v>
      </c>
      <c r="B19" s="27" t="str">
        <f>+'LandUse-LandCover'!B19</f>
        <v>Deciduous Forest</v>
      </c>
      <c r="C19" s="27" t="str">
        <f>+'LandUse-LandCover'!C19</f>
        <v>Forest</v>
      </c>
      <c r="D19" s="143">
        <f>+'LandUse-LandCover'!D19</f>
        <v>0</v>
      </c>
      <c r="F19" s="80">
        <f>+'Watershed Data'!$B$2*0.9*HLOOKUP(C19,'Watershed Data'!$D$17:$I$23,7,FALSE)</f>
        <v>1.1879597775426298</v>
      </c>
      <c r="G19" s="80">
        <f t="shared" si="0"/>
        <v>0</v>
      </c>
      <c r="H19" s="126">
        <f>+'LandUse-LandCover'!H19</f>
        <v>12</v>
      </c>
      <c r="I19" s="123">
        <f>+H19*'LandUse-LandCover'!D19</f>
        <v>0</v>
      </c>
    </row>
    <row r="20" spans="1:11" x14ac:dyDescent="0.25">
      <c r="A20" s="27">
        <f>+'LandUse-LandCover'!A20</f>
        <v>42</v>
      </c>
      <c r="B20" s="27" t="str">
        <f>+'LandUse-LandCover'!B20</f>
        <v>Evergreen Forest</v>
      </c>
      <c r="C20" s="27" t="str">
        <f>+'LandUse-LandCover'!C20</f>
        <v>Forest</v>
      </c>
      <c r="D20" s="143">
        <f>+'LandUse-LandCover'!D20</f>
        <v>0</v>
      </c>
      <c r="F20" s="80">
        <f>+'Watershed Data'!$B$2*0.9*HLOOKUP(C20,'Watershed Data'!$D$17:$I$23,7,FALSE)</f>
        <v>1.1879597775426298</v>
      </c>
      <c r="G20" s="80">
        <f t="shared" si="0"/>
        <v>0</v>
      </c>
      <c r="H20" s="126">
        <f>+'LandUse-LandCover'!H20</f>
        <v>12</v>
      </c>
      <c r="I20" s="123">
        <f>+H20*'LandUse-LandCover'!D20</f>
        <v>0</v>
      </c>
    </row>
    <row r="21" spans="1:11" x14ac:dyDescent="0.25">
      <c r="A21" s="27">
        <f>+'LandUse-LandCover'!A21</f>
        <v>43</v>
      </c>
      <c r="B21" s="27" t="str">
        <f>+'LandUse-LandCover'!B21</f>
        <v>Mixed Forest</v>
      </c>
      <c r="C21" s="27" t="str">
        <f>+'LandUse-LandCover'!C21</f>
        <v>Forest</v>
      </c>
      <c r="D21" s="143">
        <f>+'LandUse-LandCover'!D21</f>
        <v>0</v>
      </c>
      <c r="F21" s="80">
        <f>+'Watershed Data'!$B$2*0.9*HLOOKUP(C21,'Watershed Data'!$D$17:$I$23,7,FALSE)</f>
        <v>1.1879597775426298</v>
      </c>
      <c r="G21" s="80">
        <f t="shared" si="0"/>
        <v>0</v>
      </c>
      <c r="H21" s="126">
        <f>+'LandUse-LandCover'!H21</f>
        <v>12</v>
      </c>
      <c r="I21" s="123">
        <f>+H21*'LandUse-LandCover'!D21</f>
        <v>0</v>
      </c>
    </row>
    <row r="22" spans="1:11" x14ac:dyDescent="0.25">
      <c r="A22" s="27">
        <f>+'LandUse-LandCover'!A22</f>
        <v>44</v>
      </c>
      <c r="B22" s="27" t="str">
        <f>+'LandUse-LandCover'!B22</f>
        <v>Brush</v>
      </c>
      <c r="C22" s="27" t="str">
        <f>+'LandUse-LandCover'!C22</f>
        <v>Forest</v>
      </c>
      <c r="D22" s="143">
        <f>+'LandUse-LandCover'!D22</f>
        <v>0</v>
      </c>
      <c r="F22" s="80">
        <f>+'Watershed Data'!$B$2*0.9*HLOOKUP(C22,'Watershed Data'!$D$17:$I$23,7,FALSE)</f>
        <v>1.1879597775426298</v>
      </c>
      <c r="G22" s="80">
        <f t="shared" si="0"/>
        <v>0</v>
      </c>
      <c r="H22" s="126">
        <f>+'LandUse-LandCover'!H22</f>
        <v>12</v>
      </c>
      <c r="I22" s="123">
        <f>+H22*'LandUse-LandCover'!D22</f>
        <v>0</v>
      </c>
    </row>
    <row r="23" spans="1:11" x14ac:dyDescent="0.25">
      <c r="A23" s="27">
        <f>+'LandUse-LandCover'!A23</f>
        <v>50</v>
      </c>
      <c r="B23" s="27" t="str">
        <f>+'LandUse-LandCover'!B23</f>
        <v>Water</v>
      </c>
      <c r="C23" s="27" t="str">
        <f>+'LandUse-LandCover'!C23</f>
        <v>Water</v>
      </c>
      <c r="D23" s="143">
        <f>+'LandUse-LandCover'!D23</f>
        <v>0</v>
      </c>
      <c r="F23" s="80">
        <f>+'Watershed Data'!$B$2*0.9*HLOOKUP(C23,'Watershed Data'!$D$17:$I$23,7,FALSE)</f>
        <v>36.536342749090565</v>
      </c>
      <c r="G23" s="80">
        <f t="shared" si="0"/>
        <v>0</v>
      </c>
      <c r="H23" s="126">
        <f>+'LandUse-LandCover'!H23</f>
        <v>0</v>
      </c>
      <c r="I23" s="123">
        <f>+H23*'LandUse-LandCover'!D23</f>
        <v>0</v>
      </c>
    </row>
    <row r="24" spans="1:11" x14ac:dyDescent="0.25">
      <c r="A24" s="27">
        <f>+'LandUse-LandCover'!A24</f>
        <v>60</v>
      </c>
      <c r="B24" s="27" t="str">
        <f>+'LandUse-LandCover'!B24</f>
        <v>Wetlands</v>
      </c>
      <c r="C24" s="27" t="str">
        <f>+'LandUse-LandCover'!C24</f>
        <v>Forest</v>
      </c>
      <c r="D24" s="143">
        <f>+'LandUse-LandCover'!D24</f>
        <v>0</v>
      </c>
      <c r="F24" s="80">
        <f>+'Watershed Data'!$B$2*0.9*HLOOKUP(C24,'Watershed Data'!$D$17:$I$23,7,FALSE)</f>
        <v>1.1879597775426298</v>
      </c>
      <c r="G24" s="80">
        <f t="shared" si="0"/>
        <v>0</v>
      </c>
      <c r="H24" s="126">
        <f>+'LandUse-LandCover'!H24</f>
        <v>39</v>
      </c>
      <c r="I24" s="123">
        <f>+H24*'LandUse-LandCover'!D24</f>
        <v>0</v>
      </c>
    </row>
    <row r="25" spans="1:11" x14ac:dyDescent="0.25">
      <c r="A25" s="27">
        <f>+'LandUse-LandCover'!A25</f>
        <v>72</v>
      </c>
      <c r="B25" s="27" t="str">
        <f>+'LandUse-LandCover'!B25</f>
        <v>Bare Rock</v>
      </c>
      <c r="C25" s="27"/>
      <c r="D25" s="143">
        <f>+'LandUse-LandCover'!D25</f>
        <v>0</v>
      </c>
      <c r="F25" s="80"/>
      <c r="G25" s="80">
        <f t="shared" si="0"/>
        <v>0</v>
      </c>
      <c r="H25" s="126">
        <f>+'LandUse-LandCover'!H25</f>
        <v>0</v>
      </c>
      <c r="I25" s="123">
        <f>+H25*'LandUse-LandCover'!D25</f>
        <v>0</v>
      </c>
    </row>
    <row r="26" spans="1:11" x14ac:dyDescent="0.25">
      <c r="A26" s="29">
        <f>+'LandUse-LandCover'!A26</f>
        <v>73</v>
      </c>
      <c r="B26" s="29" t="str">
        <f>+'LandUse-LandCover'!B26</f>
        <v>Bare Ground</v>
      </c>
      <c r="C26" s="29" t="str">
        <f>+'LandUse-LandCover'!C26</f>
        <v>Active Constr</v>
      </c>
      <c r="D26" s="144">
        <f>+'LandUse-LandCover'!D26</f>
        <v>176.06754999999998</v>
      </c>
      <c r="E26" s="25"/>
      <c r="F26" s="81">
        <f>+'Watershed Data'!$B$2*0.9*HLOOKUP(C26,'Watershed Data'!$D$17:$I$23,7,FALSE)</f>
        <v>18.268171374545283</v>
      </c>
      <c r="G26" s="81">
        <f t="shared" si="0"/>
        <v>268.03601474136002</v>
      </c>
      <c r="H26" s="127">
        <f>+'LandUse-LandCover'!H26</f>
        <v>0</v>
      </c>
      <c r="I26" s="125">
        <f>+H26*'LandUse-LandCover'!D26</f>
        <v>0</v>
      </c>
    </row>
    <row r="28" spans="1:11" x14ac:dyDescent="0.25">
      <c r="A28" t="s">
        <v>208</v>
      </c>
    </row>
    <row r="29" spans="1:11" x14ac:dyDescent="0.25">
      <c r="A29" t="s">
        <v>209</v>
      </c>
      <c r="I29" s="33">
        <f>SUM(I2:I12)</f>
        <v>2352732.5334874382</v>
      </c>
      <c r="K29" s="65"/>
    </row>
    <row r="30" spans="1:11" x14ac:dyDescent="0.25">
      <c r="A30" t="s">
        <v>19</v>
      </c>
      <c r="I30" s="33">
        <f>SUM(I19:I22)</f>
        <v>0</v>
      </c>
      <c r="K30" s="65"/>
    </row>
    <row r="31" spans="1:11" x14ac:dyDescent="0.25">
      <c r="A31" t="s">
        <v>210</v>
      </c>
      <c r="G31" s="7"/>
      <c r="I31" s="33">
        <f>SUM(I13:I18)+I24+I26</f>
        <v>47268</v>
      </c>
      <c r="K31" s="65"/>
    </row>
    <row r="32" spans="1:11" x14ac:dyDescent="0.25">
      <c r="A32" t="s">
        <v>211</v>
      </c>
      <c r="G32" s="7"/>
      <c r="I32" s="33">
        <f>+I23</f>
        <v>0</v>
      </c>
      <c r="K32" s="65"/>
    </row>
    <row r="33" spans="1:13" x14ac:dyDescent="0.25">
      <c r="A33" t="s">
        <v>56</v>
      </c>
      <c r="I33" s="64"/>
      <c r="K33" s="65"/>
    </row>
    <row r="34" spans="1:13" x14ac:dyDescent="0.25">
      <c r="A34" t="s">
        <v>207</v>
      </c>
      <c r="I34" s="33">
        <f>SUM(I29:I32)</f>
        <v>2400000.5334874382</v>
      </c>
      <c r="K34" s="64"/>
      <c r="L34" s="64"/>
      <c r="M34" s="64"/>
    </row>
    <row r="36" spans="1:13" x14ac:dyDescent="0.25">
      <c r="A36" t="s">
        <v>295</v>
      </c>
      <c r="B36" s="7" t="s">
        <v>511</v>
      </c>
    </row>
    <row r="37" spans="1:13" x14ac:dyDescent="0.25">
      <c r="A37" t="s">
        <v>303</v>
      </c>
      <c r="B37" s="64">
        <f>SewageData!B41</f>
        <v>1476468</v>
      </c>
      <c r="I37" s="33">
        <f>SewageData!B41</f>
        <v>1476468</v>
      </c>
    </row>
    <row r="38" spans="1:13" x14ac:dyDescent="0.25">
      <c r="A38" t="s">
        <v>305</v>
      </c>
      <c r="B38" s="64"/>
      <c r="C38" s="156" t="s">
        <v>309</v>
      </c>
      <c r="I38" s="33"/>
    </row>
    <row r="39" spans="1:13" x14ac:dyDescent="0.25">
      <c r="A39" t="s">
        <v>231</v>
      </c>
      <c r="B39" s="64">
        <f>SewageData!B19</f>
        <v>421683.3432</v>
      </c>
      <c r="C39" s="156"/>
      <c r="I39" s="33">
        <f>SewageData!B19</f>
        <v>421683.3432</v>
      </c>
    </row>
    <row r="40" spans="1:13" x14ac:dyDescent="0.25">
      <c r="A40" t="s">
        <v>306</v>
      </c>
      <c r="B40" s="64">
        <f>SewageData!B76</f>
        <v>672243.05700000003</v>
      </c>
      <c r="C40" s="156"/>
      <c r="I40" s="33">
        <f>SewageData!B76</f>
        <v>672243.05700000003</v>
      </c>
    </row>
    <row r="41" spans="1:13" x14ac:dyDescent="0.25">
      <c r="A41" t="s">
        <v>307</v>
      </c>
      <c r="B41" s="64">
        <f>SewageData!D105</f>
        <v>0</v>
      </c>
      <c r="C41" s="156"/>
      <c r="I41" s="33">
        <f>SewageData!D105</f>
        <v>0</v>
      </c>
    </row>
    <row r="42" spans="1:13" ht="15.75" thickBot="1" x14ac:dyDescent="0.3">
      <c r="A42" s="154" t="s">
        <v>512</v>
      </c>
      <c r="B42" s="173">
        <f>SUM(B37:B41)</f>
        <v>2570394.4002</v>
      </c>
      <c r="C42" s="154"/>
      <c r="D42" s="154"/>
      <c r="E42" s="155"/>
      <c r="F42" s="154"/>
      <c r="G42" s="154"/>
      <c r="H42" s="154"/>
      <c r="I42" s="391">
        <f>SUM(I36:I40)</f>
        <v>2570394.4002</v>
      </c>
    </row>
    <row r="43" spans="1:13" ht="15.75" thickTop="1" x14ac:dyDescent="0.25"/>
    <row r="44" spans="1:13" x14ac:dyDescent="0.25">
      <c r="A44" t="s">
        <v>461</v>
      </c>
    </row>
    <row r="45" spans="1:13" x14ac:dyDescent="0.25">
      <c r="A45" t="s">
        <v>304</v>
      </c>
    </row>
    <row r="46" spans="1:13" x14ac:dyDescent="0.25">
      <c r="A46" t="s">
        <v>432</v>
      </c>
    </row>
    <row r="47" spans="1:13" x14ac:dyDescent="0.25">
      <c r="A47" t="s">
        <v>433</v>
      </c>
    </row>
    <row r="48" spans="1:13" x14ac:dyDescent="0.25">
      <c r="A48" t="s">
        <v>305</v>
      </c>
    </row>
    <row r="49" spans="1:1" x14ac:dyDescent="0.25">
      <c r="A49" t="s">
        <v>434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0" tint="-0.249977111117893"/>
  </sheetPr>
  <dimension ref="A1:O116"/>
  <sheetViews>
    <sheetView topLeftCell="A31" zoomScaleNormal="100" workbookViewId="0">
      <selection activeCell="E109" sqref="E109"/>
    </sheetView>
  </sheetViews>
  <sheetFormatPr defaultRowHeight="15" x14ac:dyDescent="0.25"/>
  <cols>
    <col min="2" max="2" width="48" customWidth="1"/>
    <col min="4" max="4" width="17.140625" customWidth="1"/>
    <col min="5" max="5" width="17.85546875" customWidth="1"/>
    <col min="6" max="6" width="13.28515625" bestFit="1" customWidth="1"/>
    <col min="7" max="7" width="14.42578125" customWidth="1"/>
    <col min="8" max="8" width="32.42578125" customWidth="1"/>
    <col min="12" max="12" width="12.28515625" bestFit="1" customWidth="1"/>
    <col min="13" max="13" width="13.5703125" bestFit="1" customWidth="1"/>
  </cols>
  <sheetData>
    <row r="1" spans="1:13" x14ac:dyDescent="0.25">
      <c r="A1" s="9" t="str">
        <f>+BMPs!C2</f>
        <v>Code</v>
      </c>
      <c r="B1" s="9" t="str">
        <f>+BMPs!D2</f>
        <v>Description</v>
      </c>
      <c r="C1" s="63" t="s">
        <v>190</v>
      </c>
      <c r="D1" s="63" t="s">
        <v>191</v>
      </c>
      <c r="E1" s="63" t="s">
        <v>239</v>
      </c>
      <c r="F1" s="77" t="str">
        <f>+BMPs!E2</f>
        <v>Removal Rate</v>
      </c>
      <c r="G1" s="85" t="str">
        <f>+BMPs!F2</f>
        <v>Runoff Redux</v>
      </c>
      <c r="I1" s="63" t="s">
        <v>190</v>
      </c>
      <c r="J1" s="63" t="s">
        <v>191</v>
      </c>
      <c r="K1" s="63" t="s">
        <v>239</v>
      </c>
      <c r="L1" s="77" t="s">
        <v>192</v>
      </c>
      <c r="M1" s="85" t="s">
        <v>498</v>
      </c>
    </row>
    <row r="2" spans="1:13" x14ac:dyDescent="0.25">
      <c r="A2" t="str">
        <f>+BMPs!C3</f>
        <v>AGRE</v>
      </c>
      <c r="B2" t="str">
        <f>+BMPs!D3</f>
        <v>Green Roof - Extensive</v>
      </c>
      <c r="C2" s="143">
        <f>+Scenarios!C3</f>
        <v>0</v>
      </c>
      <c r="D2" s="143">
        <f>+Scenarios!D3</f>
        <v>0</v>
      </c>
      <c r="E2" s="99">
        <f t="shared" ref="E2:E43" si="0">IFERROR(C2-D2,"")</f>
        <v>0</v>
      </c>
      <c r="F2" s="76" t="str">
        <f>IF(BMPs!E3=0,"",BMPs!E3)</f>
        <v/>
      </c>
      <c r="G2" s="76">
        <f>+BMPs!F3</f>
        <v>0.6</v>
      </c>
      <c r="H2" s="262"/>
      <c r="I2" s="116" t="str">
        <f>IF(Scenarios!E3=0, " ",Scenarios!E3)</f>
        <v xml:space="preserve"> </v>
      </c>
      <c r="J2" s="116" t="str">
        <f>IF(Scenarios!F3=0, " ",Scenarios!F3)</f>
        <v xml:space="preserve"> </v>
      </c>
      <c r="K2" s="30"/>
      <c r="L2" s="76" t="str">
        <f>IF(BMPs!E3=0,"",BMPs!E3)</f>
        <v/>
      </c>
      <c r="M2" s="76">
        <f>+BMPs!F3</f>
        <v>0.6</v>
      </c>
    </row>
    <row r="3" spans="1:13" x14ac:dyDescent="0.25">
      <c r="A3" t="str">
        <f>+BMPs!C4</f>
        <v>AGRI</v>
      </c>
      <c r="B3" t="str">
        <f>+BMPs!D4</f>
        <v>Green Roof - Intensive</v>
      </c>
      <c r="C3" s="143">
        <f>+Scenarios!C4</f>
        <v>0</v>
      </c>
      <c r="D3" s="143">
        <f>+Scenarios!D4</f>
        <v>0</v>
      </c>
      <c r="E3" s="99">
        <f t="shared" si="0"/>
        <v>0</v>
      </c>
      <c r="F3" s="76" t="str">
        <f>IF(BMPs!E4=0,"",BMPs!E4)</f>
        <v/>
      </c>
      <c r="G3" s="76">
        <f>+BMPs!F4</f>
        <v>0.6</v>
      </c>
      <c r="H3" s="262"/>
      <c r="I3" s="116" t="str">
        <f>IF(Scenarios!E4=0, " ",Scenarios!E4)</f>
        <v xml:space="preserve"> </v>
      </c>
      <c r="J3" s="116" t="str">
        <f>IF(Scenarios!F4=0, " ",Scenarios!F4)</f>
        <v xml:space="preserve"> </v>
      </c>
      <c r="K3" s="30"/>
      <c r="L3" s="76" t="str">
        <f>IF(BMPs!E4=0,"",BMPs!E4)</f>
        <v/>
      </c>
      <c r="M3" s="76">
        <f>+BMPs!F4</f>
        <v>0.6</v>
      </c>
    </row>
    <row r="4" spans="1:13" x14ac:dyDescent="0.25">
      <c r="A4" t="str">
        <f>+BMPs!C5</f>
        <v>APRP</v>
      </c>
      <c r="B4" t="str">
        <f>+BMPs!D5</f>
        <v>Permeable Pavement</v>
      </c>
      <c r="C4" s="143">
        <f>+Scenarios!C5</f>
        <v>0</v>
      </c>
      <c r="D4" s="143">
        <f>+Scenarios!D5</f>
        <v>0</v>
      </c>
      <c r="E4" s="99">
        <f t="shared" si="0"/>
        <v>0</v>
      </c>
      <c r="F4" s="76" t="str">
        <f>IF(BMPs!E5=0,"",BMPs!E5)</f>
        <v/>
      </c>
      <c r="G4" s="76">
        <f>+BMPs!F5</f>
        <v>0.75</v>
      </c>
      <c r="H4" s="262"/>
      <c r="I4" s="116" t="str">
        <f>IF(Scenarios!E5=0, " ",Scenarios!E5)</f>
        <v xml:space="preserve"> </v>
      </c>
      <c r="J4" s="116" t="str">
        <f>IF(Scenarios!F5=0, " ",Scenarios!F5)</f>
        <v xml:space="preserve"> </v>
      </c>
      <c r="K4" s="30"/>
      <c r="L4" s="76" t="str">
        <f>IF(BMPs!E5=0,"",BMPs!E5)</f>
        <v/>
      </c>
      <c r="M4" s="76">
        <f>+BMPs!F5</f>
        <v>0.75</v>
      </c>
    </row>
    <row r="5" spans="1:13" x14ac:dyDescent="0.25">
      <c r="A5" t="str">
        <f>+BMPs!C6</f>
        <v>ARTF</v>
      </c>
      <c r="B5" t="str">
        <f>+BMPs!D6</f>
        <v>Reinforced Turf</v>
      </c>
      <c r="C5" s="143">
        <f>+Scenarios!C6</f>
        <v>0</v>
      </c>
      <c r="D5" s="143">
        <f>+Scenarios!D6</f>
        <v>0</v>
      </c>
      <c r="E5" s="99">
        <f t="shared" si="0"/>
        <v>0</v>
      </c>
      <c r="F5" s="76" t="str">
        <f>IF(BMPs!E6=0,"",BMPs!E6)</f>
        <v/>
      </c>
      <c r="G5" s="76">
        <f>+BMPs!F6</f>
        <v>0.75</v>
      </c>
      <c r="H5" s="262"/>
      <c r="I5" s="116" t="str">
        <f>IF(Scenarios!E6=0, " ",Scenarios!E6)</f>
        <v xml:space="preserve"> </v>
      </c>
      <c r="J5" s="116" t="str">
        <f>IF(Scenarios!F6=0, " ",Scenarios!F6)</f>
        <v xml:space="preserve"> </v>
      </c>
      <c r="K5" s="30"/>
      <c r="L5" s="76" t="str">
        <f>IF(BMPs!E6=0,"",BMPs!E6)</f>
        <v/>
      </c>
      <c r="M5" s="76">
        <f>+BMPs!F6</f>
        <v>0.75</v>
      </c>
    </row>
    <row r="6" spans="1:13" x14ac:dyDescent="0.25">
      <c r="A6" t="str">
        <f>+BMPs!C7</f>
        <v>NDRR</v>
      </c>
      <c r="B6" t="str">
        <f>+BMPs!D7</f>
        <v>Disconnection of Rooftop Runoff</v>
      </c>
      <c r="C6" s="143">
        <f>+Scenarios!C7</f>
        <v>0</v>
      </c>
      <c r="D6" s="143">
        <f>+Scenarios!D7</f>
        <v>0</v>
      </c>
      <c r="E6" s="99">
        <f t="shared" si="0"/>
        <v>0</v>
      </c>
      <c r="F6" s="76" t="str">
        <f>IF(BMPs!E7=0,"",BMPs!E7)</f>
        <v/>
      </c>
      <c r="G6" s="76">
        <f>+BMPs!F7</f>
        <v>0.5</v>
      </c>
      <c r="H6" s="262"/>
      <c r="I6" s="116" t="str">
        <f>IF(Scenarios!E7=0, " ",Scenarios!E7)</f>
        <v xml:space="preserve"> </v>
      </c>
      <c r="J6" s="116" t="str">
        <f>IF(Scenarios!F7=0, " ",Scenarios!F7)</f>
        <v xml:space="preserve"> </v>
      </c>
      <c r="K6" s="30"/>
      <c r="L6" s="76" t="str">
        <f>IF(BMPs!E7=0,"",BMPs!E7)</f>
        <v/>
      </c>
      <c r="M6" s="76">
        <f>+BMPs!F7</f>
        <v>0.5</v>
      </c>
    </row>
    <row r="7" spans="1:13" x14ac:dyDescent="0.25">
      <c r="A7" t="str">
        <f>+BMPs!C8</f>
        <v>NDNR</v>
      </c>
      <c r="B7" t="str">
        <f>+BMPs!D8</f>
        <v>Disconnection of Non-Rooftop Runoff</v>
      </c>
      <c r="C7" s="143">
        <f>+Scenarios!C8</f>
        <v>0</v>
      </c>
      <c r="D7" s="143">
        <f>+Scenarios!D8</f>
        <v>0</v>
      </c>
      <c r="E7" s="99">
        <f t="shared" si="0"/>
        <v>0</v>
      </c>
      <c r="F7" s="76" t="str">
        <f>IF(BMPs!E8=0,"",BMPs!E8)</f>
        <v/>
      </c>
      <c r="G7" s="76">
        <f>+BMPs!F8</f>
        <v>0.5</v>
      </c>
      <c r="H7" s="262"/>
      <c r="I7" s="116" t="str">
        <f>IF(Scenarios!E8=0, " ",Scenarios!E8)</f>
        <v xml:space="preserve"> </v>
      </c>
      <c r="J7" s="116" t="str">
        <f>IF(Scenarios!F8=0, " ",Scenarios!F8)</f>
        <v xml:space="preserve"> </v>
      </c>
      <c r="K7" s="30"/>
      <c r="L7" s="76" t="str">
        <f>IF(BMPs!E8=0,"",BMPs!E8)</f>
        <v/>
      </c>
      <c r="M7" s="76">
        <f>+BMPs!F8</f>
        <v>0.5</v>
      </c>
    </row>
    <row r="8" spans="1:13" x14ac:dyDescent="0.25">
      <c r="A8" t="str">
        <f>+BMPs!C9</f>
        <v>NSCA</v>
      </c>
      <c r="B8" t="str">
        <f>+BMPs!D9</f>
        <v>Sheetflow to Conservation Areas</v>
      </c>
      <c r="C8" s="143">
        <f>+Scenarios!C9</f>
        <v>0</v>
      </c>
      <c r="D8" s="143">
        <f>+Scenarios!D9</f>
        <v>0</v>
      </c>
      <c r="E8" s="99">
        <f t="shared" si="0"/>
        <v>0</v>
      </c>
      <c r="F8" s="76" t="str">
        <f>IF(BMPs!E9=0,"",BMPs!E9)</f>
        <v/>
      </c>
      <c r="G8" s="76">
        <f>+BMPs!F9</f>
        <v>0.75</v>
      </c>
      <c r="H8" s="262"/>
      <c r="I8" s="116" t="str">
        <f>IF(Scenarios!E9=0, " ",Scenarios!E9)</f>
        <v xml:space="preserve"> </v>
      </c>
      <c r="J8" s="116" t="str">
        <f>IF(Scenarios!F9=0, " ",Scenarios!F9)</f>
        <v xml:space="preserve"> </v>
      </c>
      <c r="K8" s="30"/>
      <c r="L8" s="76" t="str">
        <f>IF(BMPs!E9=0,"",BMPs!E9)</f>
        <v/>
      </c>
      <c r="M8" s="76">
        <f>+BMPs!F9</f>
        <v>0.75</v>
      </c>
    </row>
    <row r="9" spans="1:13" x14ac:dyDescent="0.25">
      <c r="A9" t="str">
        <f>+BMPs!C10</f>
        <v>MRWH</v>
      </c>
      <c r="B9" t="str">
        <f>+BMPs!D10</f>
        <v>Rainwater Harvesting</v>
      </c>
      <c r="C9" s="143">
        <f>+Scenarios!C10</f>
        <v>0</v>
      </c>
      <c r="D9" s="143">
        <f>+Scenarios!D10</f>
        <v>0</v>
      </c>
      <c r="E9" s="99">
        <f t="shared" si="0"/>
        <v>0</v>
      </c>
      <c r="F9" s="76" t="str">
        <f>IF(BMPs!E10=0,"",BMPs!E10)</f>
        <v/>
      </c>
      <c r="G9" s="76">
        <f>+BMPs!F10</f>
        <v>0.4</v>
      </c>
      <c r="H9" s="262"/>
      <c r="I9" s="116" t="str">
        <f>IF(Scenarios!E10=0, " ",Scenarios!E10)</f>
        <v xml:space="preserve"> </v>
      </c>
      <c r="J9" s="116" t="str">
        <f>IF(Scenarios!F10=0, " ",Scenarios!F10)</f>
        <v xml:space="preserve"> </v>
      </c>
      <c r="K9" s="30"/>
      <c r="L9" s="76" t="str">
        <f>IF(BMPs!E10=0,"",BMPs!E10)</f>
        <v/>
      </c>
      <c r="M9" s="76">
        <f>+BMPs!F10</f>
        <v>0.4</v>
      </c>
    </row>
    <row r="10" spans="1:13" x14ac:dyDescent="0.25">
      <c r="A10" t="str">
        <f>+BMPs!C11</f>
        <v>MSGW</v>
      </c>
      <c r="B10" t="str">
        <f>+BMPs!D11</f>
        <v>Submerged Gravel Wetland</v>
      </c>
      <c r="C10" s="143">
        <f>+Scenarios!C11</f>
        <v>0</v>
      </c>
      <c r="D10" s="143">
        <f>+Scenarios!D11</f>
        <v>0</v>
      </c>
      <c r="E10" s="99">
        <f t="shared" si="0"/>
        <v>0</v>
      </c>
      <c r="F10" s="76" t="str">
        <f>IF(BMPs!E11=0,"",BMPs!E11)</f>
        <v/>
      </c>
      <c r="G10" s="76">
        <f>+BMPs!F11</f>
        <v>0</v>
      </c>
      <c r="H10" s="262"/>
      <c r="I10" s="116" t="str">
        <f>IF(Scenarios!E11=0, " ",Scenarios!E11)</f>
        <v xml:space="preserve"> </v>
      </c>
      <c r="J10" s="116" t="str">
        <f>IF(Scenarios!F11=0, " ",Scenarios!F11)</f>
        <v xml:space="preserve"> </v>
      </c>
      <c r="K10" s="30"/>
      <c r="L10" s="76" t="str">
        <f>IF(BMPs!E11=0,"",BMPs!E11)</f>
        <v/>
      </c>
      <c r="M10" s="76">
        <f>+BMPs!F11</f>
        <v>0</v>
      </c>
    </row>
    <row r="11" spans="1:13" x14ac:dyDescent="0.25">
      <c r="A11" t="str">
        <f>+BMPs!C12</f>
        <v>MILS</v>
      </c>
      <c r="B11" t="str">
        <f>+BMPs!D12</f>
        <v>Landscape Infiltration</v>
      </c>
      <c r="C11" s="143">
        <f>+Scenarios!C12</f>
        <v>0</v>
      </c>
      <c r="D11" s="143">
        <f>+Scenarios!D12</f>
        <v>0</v>
      </c>
      <c r="E11" s="99">
        <f t="shared" si="0"/>
        <v>0</v>
      </c>
      <c r="F11" s="76">
        <f>IF(BMPs!E12=0,"",BMPs!E12)</f>
        <v>0.85</v>
      </c>
      <c r="G11" s="76">
        <f>+BMPs!F12</f>
        <v>0.9</v>
      </c>
      <c r="H11" s="262"/>
      <c r="I11" s="116" t="str">
        <f>IF(Scenarios!E12=0, " ",Scenarios!E12)</f>
        <v xml:space="preserve"> </v>
      </c>
      <c r="J11" s="116" t="str">
        <f>IF(Scenarios!F12=0, " ",Scenarios!F12)</f>
        <v xml:space="preserve"> </v>
      </c>
      <c r="K11" s="30"/>
      <c r="L11" s="76">
        <f>IF(BMPs!E12=0,"",BMPs!E12)</f>
        <v>0.85</v>
      </c>
      <c r="M11" s="76">
        <f>+BMPs!F12</f>
        <v>0.9</v>
      </c>
    </row>
    <row r="12" spans="1:13" x14ac:dyDescent="0.25">
      <c r="A12" t="str">
        <f>+BMPs!C13</f>
        <v>MIBR</v>
      </c>
      <c r="B12" t="str">
        <f>+BMPs!D13</f>
        <v>Infiltration Berm</v>
      </c>
      <c r="C12" s="143">
        <f>+Scenarios!C13</f>
        <v>0</v>
      </c>
      <c r="D12" s="143">
        <f>+Scenarios!D13</f>
        <v>0</v>
      </c>
      <c r="E12" s="99">
        <f t="shared" si="0"/>
        <v>0</v>
      </c>
      <c r="F12" s="76">
        <f>IF(BMPs!E13=0,"",BMPs!E13)</f>
        <v>0.85</v>
      </c>
      <c r="G12" s="76">
        <f>+BMPs!F13</f>
        <v>0.9</v>
      </c>
      <c r="H12" s="262"/>
      <c r="I12" s="116" t="str">
        <f>IF(Scenarios!E13=0, " ",Scenarios!E13)</f>
        <v xml:space="preserve"> </v>
      </c>
      <c r="J12" s="116" t="str">
        <f>IF(Scenarios!F13=0, " ",Scenarios!F13)</f>
        <v xml:space="preserve"> </v>
      </c>
      <c r="K12" s="30"/>
      <c r="L12" s="76">
        <f>IF(BMPs!E13=0,"",BMPs!E13)</f>
        <v>0.85</v>
      </c>
      <c r="M12" s="76">
        <f>+BMPs!F13</f>
        <v>0.9</v>
      </c>
    </row>
    <row r="13" spans="1:13" x14ac:dyDescent="0.25">
      <c r="A13" t="str">
        <f>+BMPs!C14</f>
        <v>MIDW</v>
      </c>
      <c r="B13" t="str">
        <f>+BMPs!D14</f>
        <v>Dry Well</v>
      </c>
      <c r="C13" s="143">
        <f>+Scenarios!C14</f>
        <v>0</v>
      </c>
      <c r="D13" s="143">
        <f>+Scenarios!D14</f>
        <v>0</v>
      </c>
      <c r="E13" s="99">
        <f t="shared" si="0"/>
        <v>0</v>
      </c>
      <c r="F13" s="76">
        <f>IF(BMPs!E14=0,"",BMPs!E14)</f>
        <v>0.85</v>
      </c>
      <c r="G13" s="76">
        <f>+BMPs!F14</f>
        <v>0.9</v>
      </c>
      <c r="H13" s="262"/>
      <c r="I13" s="116" t="str">
        <f>IF(Scenarios!E14=0, " ",Scenarios!E14)</f>
        <v xml:space="preserve"> </v>
      </c>
      <c r="J13" s="116" t="str">
        <f>IF(Scenarios!F14=0, " ",Scenarios!F14)</f>
        <v xml:space="preserve"> </v>
      </c>
      <c r="K13" s="30"/>
      <c r="L13" s="76">
        <f>IF(BMPs!E14=0,"",BMPs!E14)</f>
        <v>0.85</v>
      </c>
      <c r="M13" s="76">
        <f>+BMPs!F14</f>
        <v>0.9</v>
      </c>
    </row>
    <row r="14" spans="1:13" x14ac:dyDescent="0.25">
      <c r="A14" t="str">
        <f>+BMPs!C15</f>
        <v>MMBR</v>
      </c>
      <c r="B14" t="str">
        <f>+BMPs!D15</f>
        <v>Micro-Bioretention</v>
      </c>
      <c r="C14" s="143">
        <f>+Scenarios!C15</f>
        <v>0</v>
      </c>
      <c r="D14" s="143">
        <f>+Scenarios!D15</f>
        <v>0</v>
      </c>
      <c r="E14" s="99">
        <f t="shared" si="0"/>
        <v>0</v>
      </c>
      <c r="F14" s="76">
        <f>IF(BMPs!E15=0,"",BMPs!E15)</f>
        <v>0.5</v>
      </c>
      <c r="G14" s="76">
        <f>+BMPs!F15</f>
        <v>0.8</v>
      </c>
      <c r="H14" s="262"/>
      <c r="I14" s="116" t="str">
        <f>IF(Scenarios!E15=0, " ",Scenarios!E15)</f>
        <v xml:space="preserve"> </v>
      </c>
      <c r="J14" s="116" t="str">
        <f>IF(Scenarios!F15=0, " ",Scenarios!F15)</f>
        <v xml:space="preserve"> </v>
      </c>
      <c r="K14" s="30"/>
      <c r="L14" s="76">
        <f>IF(BMPs!E15=0,"",BMPs!E15)</f>
        <v>0.5</v>
      </c>
      <c r="M14" s="76">
        <f>+BMPs!F15</f>
        <v>0.8</v>
      </c>
    </row>
    <row r="15" spans="1:13" x14ac:dyDescent="0.25">
      <c r="A15" t="str">
        <f>+BMPs!C16</f>
        <v>MRNG</v>
      </c>
      <c r="B15" t="str">
        <f>+BMPs!D16</f>
        <v>Rain Gardens</v>
      </c>
      <c r="C15" s="143">
        <f>+Scenarios!C16</f>
        <v>0</v>
      </c>
      <c r="D15" s="143">
        <f>+Scenarios!D16</f>
        <v>0</v>
      </c>
      <c r="E15" s="99">
        <f t="shared" si="0"/>
        <v>0</v>
      </c>
      <c r="F15" s="76">
        <f>IF(BMPs!E16=0,"",BMPs!E16)</f>
        <v>0.5</v>
      </c>
      <c r="G15" s="76">
        <f>+BMPs!F16</f>
        <v>0.8</v>
      </c>
      <c r="H15" s="262"/>
      <c r="I15" s="116" t="str">
        <f>IF(Scenarios!E16=0, " ",Scenarios!E16)</f>
        <v xml:space="preserve"> </v>
      </c>
      <c r="J15" s="116" t="str">
        <f>IF(Scenarios!F16=0, " ",Scenarios!F16)</f>
        <v xml:space="preserve"> </v>
      </c>
      <c r="K15" s="30"/>
      <c r="L15" s="76">
        <f>IF(BMPs!E16=0,"",BMPs!E16)</f>
        <v>0.5</v>
      </c>
      <c r="M15" s="76">
        <f>+BMPs!F16</f>
        <v>0.8</v>
      </c>
    </row>
    <row r="16" spans="1:13" x14ac:dyDescent="0.25">
      <c r="A16" t="str">
        <f>+BMPs!C17</f>
        <v>MSWG</v>
      </c>
      <c r="B16" t="str">
        <f>+BMPs!D17</f>
        <v>Grass Swale</v>
      </c>
      <c r="C16" s="143">
        <f>+Scenarios!C17</f>
        <v>10.568475679999999</v>
      </c>
      <c r="D16" s="143">
        <f>+Scenarios!D17</f>
        <v>6.4008830000000003</v>
      </c>
      <c r="E16" s="99">
        <f t="shared" si="0"/>
        <v>4.1675926799999985</v>
      </c>
      <c r="F16" s="76" t="str">
        <f>IF(BMPs!E17=0,"",BMPs!E17)</f>
        <v/>
      </c>
      <c r="G16" s="76">
        <f>+BMPs!F17</f>
        <v>0.2</v>
      </c>
      <c r="H16" s="262"/>
      <c r="I16" s="116" t="str">
        <f>IF(Scenarios!E17=0, " ",Scenarios!E17)</f>
        <v xml:space="preserve"> </v>
      </c>
      <c r="J16" s="116" t="str">
        <f>IF(Scenarios!F17=0, " ",Scenarios!F17)</f>
        <v xml:space="preserve"> </v>
      </c>
      <c r="K16" s="30"/>
      <c r="L16" s="76" t="str">
        <f>IF(BMPs!E17=0,"",BMPs!E17)</f>
        <v/>
      </c>
      <c r="M16" s="76">
        <f>+BMPs!F17</f>
        <v>0.2</v>
      </c>
    </row>
    <row r="17" spans="1:13" x14ac:dyDescent="0.25">
      <c r="A17" t="str">
        <f>+BMPs!C18</f>
        <v>MSWW</v>
      </c>
      <c r="B17" t="str">
        <f>+BMPs!D18</f>
        <v>Wet Swale</v>
      </c>
      <c r="C17" s="143">
        <f>+Scenarios!C18</f>
        <v>0</v>
      </c>
      <c r="D17" s="143">
        <f>+Scenarios!D18</f>
        <v>0</v>
      </c>
      <c r="E17" s="99">
        <f t="shared" si="0"/>
        <v>0</v>
      </c>
      <c r="F17" s="76" t="str">
        <f>IF(BMPs!E18=0,"",BMPs!E18)</f>
        <v/>
      </c>
      <c r="G17" s="76">
        <f>+BMPs!F18</f>
        <v>0</v>
      </c>
      <c r="H17" s="262"/>
      <c r="I17" s="116" t="str">
        <f>IF(Scenarios!E18=0, " ",Scenarios!E18)</f>
        <v xml:space="preserve"> </v>
      </c>
      <c r="J17" s="116" t="str">
        <f>IF(Scenarios!F18=0, " ",Scenarios!F18)</f>
        <v xml:space="preserve"> </v>
      </c>
      <c r="K17" s="30"/>
      <c r="L17" s="76" t="str">
        <f>IF(BMPs!E18=0,"",BMPs!E18)</f>
        <v/>
      </c>
      <c r="M17" s="76">
        <f>+BMPs!F18</f>
        <v>0</v>
      </c>
    </row>
    <row r="18" spans="1:13" x14ac:dyDescent="0.25">
      <c r="A18" t="str">
        <f>+BMPs!C19</f>
        <v>MSWB</v>
      </c>
      <c r="B18" t="str">
        <f>+BMPs!D19</f>
        <v>Bio-Swale</v>
      </c>
      <c r="C18" s="143">
        <f>+Scenarios!C19</f>
        <v>0</v>
      </c>
      <c r="D18" s="143">
        <f>+Scenarios!D19</f>
        <v>0</v>
      </c>
      <c r="E18" s="99">
        <f t="shared" si="0"/>
        <v>0</v>
      </c>
      <c r="F18" s="76" t="str">
        <f>IF(BMPs!E19=0,"",BMPs!E19)</f>
        <v/>
      </c>
      <c r="G18" s="76">
        <f>+BMPs!F19</f>
        <v>0.6</v>
      </c>
      <c r="H18" s="262"/>
      <c r="I18" s="116" t="str">
        <f>IF(Scenarios!E19=0, " ",Scenarios!E19)</f>
        <v xml:space="preserve"> </v>
      </c>
      <c r="J18" s="116" t="str">
        <f>IF(Scenarios!F19=0, " ",Scenarios!F19)</f>
        <v xml:space="preserve"> </v>
      </c>
      <c r="K18" s="30"/>
      <c r="L18" s="76" t="str">
        <f>IF(BMPs!E19=0,"",BMPs!E19)</f>
        <v/>
      </c>
      <c r="M18" s="76">
        <f>+BMPs!F19</f>
        <v>0.6</v>
      </c>
    </row>
    <row r="19" spans="1:13" x14ac:dyDescent="0.25">
      <c r="A19" t="str">
        <f>+BMPs!C20</f>
        <v>MENF</v>
      </c>
      <c r="B19" t="str">
        <f>+BMPs!D20</f>
        <v>Enhanced Filters</v>
      </c>
      <c r="C19" s="143">
        <f>+Scenarios!C20</f>
        <v>0</v>
      </c>
      <c r="D19" s="143">
        <f>+Scenarios!D20</f>
        <v>0</v>
      </c>
      <c r="E19" s="99">
        <f t="shared" si="0"/>
        <v>0</v>
      </c>
      <c r="F19" s="76" t="str">
        <f>IF(BMPs!E20=0,"",BMPs!E20)</f>
        <v/>
      </c>
      <c r="G19" s="76">
        <f>+BMPs!F20</f>
        <v>0</v>
      </c>
      <c r="H19" s="262"/>
      <c r="I19" s="116" t="str">
        <f>IF(Scenarios!E20=0, " ",Scenarios!E20)</f>
        <v xml:space="preserve"> </v>
      </c>
      <c r="J19" s="116" t="str">
        <f>IF(Scenarios!F20=0, " ",Scenarios!F20)</f>
        <v xml:space="preserve"> </v>
      </c>
      <c r="K19" s="30"/>
      <c r="L19" s="76" t="str">
        <f>IF(BMPs!E20=0,"",BMPs!E20)</f>
        <v/>
      </c>
      <c r="M19" s="76">
        <f>+BMPs!F20</f>
        <v>0</v>
      </c>
    </row>
    <row r="20" spans="1:13" x14ac:dyDescent="0.25">
      <c r="A20" t="str">
        <f>+BMPs!C21</f>
        <v>FBIO</v>
      </c>
      <c r="B20" t="str">
        <f>+BMPs!D21</f>
        <v>Bioretention</v>
      </c>
      <c r="C20" s="143">
        <f>+Scenarios!C21</f>
        <v>51.179412239999998</v>
      </c>
      <c r="D20" s="143">
        <f>+Scenarios!D21</f>
        <v>16.788667079999996</v>
      </c>
      <c r="E20" s="99">
        <f t="shared" si="0"/>
        <v>34.390745160000002</v>
      </c>
      <c r="F20" s="76">
        <f>IF(BMPs!E21=0,"",BMPs!E21)</f>
        <v>0.5</v>
      </c>
      <c r="G20" s="76">
        <f>+BMPs!F21</f>
        <v>0.8</v>
      </c>
      <c r="H20" s="262"/>
      <c r="I20" s="116" t="str">
        <f>IF(Scenarios!E21=0, " ",Scenarios!E21)</f>
        <v xml:space="preserve"> </v>
      </c>
      <c r="J20" s="116" t="str">
        <f>IF(Scenarios!F21=0, " ",Scenarios!F21)</f>
        <v xml:space="preserve"> </v>
      </c>
      <c r="K20" s="30"/>
      <c r="L20" s="76">
        <f>IF(BMPs!E21=0,"",BMPs!E21)</f>
        <v>0.5</v>
      </c>
      <c r="M20" s="76">
        <f>+BMPs!F21</f>
        <v>0.8</v>
      </c>
    </row>
    <row r="21" spans="1:13" x14ac:dyDescent="0.25">
      <c r="A21" t="str">
        <f>+BMPs!C22</f>
        <v>FSND</v>
      </c>
      <c r="B21" t="str">
        <f>+BMPs!D22</f>
        <v>Surface sand filter</v>
      </c>
      <c r="C21" s="143">
        <f>+Scenarios!C22</f>
        <v>11.82386309</v>
      </c>
      <c r="D21" s="143">
        <f>+Scenarios!D22</f>
        <v>4.3320148400000003</v>
      </c>
      <c r="E21" s="99">
        <f t="shared" si="0"/>
        <v>7.4918482499999994</v>
      </c>
      <c r="F21" s="76">
        <f>IF(BMPs!E22=0,"",BMPs!E22)</f>
        <v>0.8</v>
      </c>
      <c r="G21" s="76">
        <f>+BMPs!F22</f>
        <v>0</v>
      </c>
      <c r="H21" s="262"/>
      <c r="I21" s="116" t="str">
        <f>IF(Scenarios!E22=0, " ",Scenarios!E22)</f>
        <v xml:space="preserve"> </v>
      </c>
      <c r="J21" s="116" t="str">
        <f>IF(Scenarios!F22=0, " ",Scenarios!F22)</f>
        <v xml:space="preserve"> </v>
      </c>
      <c r="K21" s="30"/>
      <c r="L21" s="76">
        <f>IF(BMPs!E22=0,"",BMPs!E22)</f>
        <v>0.8</v>
      </c>
      <c r="M21" s="76">
        <f>+BMPs!F22</f>
        <v>0</v>
      </c>
    </row>
    <row r="22" spans="1:13" x14ac:dyDescent="0.25">
      <c r="A22" t="str">
        <f>+BMPs!C23</f>
        <v>FUND</v>
      </c>
      <c r="B22" t="str">
        <f>+BMPs!D23</f>
        <v>Underground sand filter</v>
      </c>
      <c r="C22" s="143">
        <f>+Scenarios!C23</f>
        <v>0</v>
      </c>
      <c r="D22" s="143">
        <f>+Scenarios!D23</f>
        <v>0</v>
      </c>
      <c r="E22" s="99">
        <f t="shared" si="0"/>
        <v>0</v>
      </c>
      <c r="F22" s="76">
        <f>IF(BMPs!E23=0,"",BMPs!E23)</f>
        <v>0.8</v>
      </c>
      <c r="G22" s="76">
        <f>+BMPs!F23</f>
        <v>0</v>
      </c>
      <c r="H22" s="262"/>
      <c r="I22" s="116" t="str">
        <f>IF(Scenarios!E23=0, " ",Scenarios!E23)</f>
        <v xml:space="preserve"> </v>
      </c>
      <c r="J22" s="116" t="str">
        <f>IF(Scenarios!F23=0, " ",Scenarios!F23)</f>
        <v xml:space="preserve"> </v>
      </c>
      <c r="K22" s="30"/>
      <c r="L22" s="76">
        <f>IF(BMPs!E23=0,"",BMPs!E23)</f>
        <v>0.8</v>
      </c>
      <c r="M22" s="76">
        <f>+BMPs!F23</f>
        <v>0</v>
      </c>
    </row>
    <row r="23" spans="1:13" x14ac:dyDescent="0.25">
      <c r="A23" t="str">
        <f>+BMPs!C24</f>
        <v>FPER</v>
      </c>
      <c r="B23" t="str">
        <f>+BMPs!D24</f>
        <v>Perimeter (sand) filter</v>
      </c>
      <c r="C23" s="143">
        <f>+Scenarios!C24</f>
        <v>0</v>
      </c>
      <c r="D23" s="143">
        <f>+Scenarios!D24</f>
        <v>0</v>
      </c>
      <c r="E23" s="99">
        <f t="shared" si="0"/>
        <v>0</v>
      </c>
      <c r="F23" s="76">
        <f>IF(BMPs!E24=0,"",BMPs!E24)</f>
        <v>0.8</v>
      </c>
      <c r="G23" s="76">
        <f>+BMPs!F24</f>
        <v>0</v>
      </c>
      <c r="H23" s="262"/>
      <c r="I23" s="116" t="str">
        <f>IF(Scenarios!E24=0, " ",Scenarios!E24)</f>
        <v xml:space="preserve"> </v>
      </c>
      <c r="J23" s="116" t="str">
        <f>IF(Scenarios!F24=0, " ",Scenarios!F24)</f>
        <v xml:space="preserve"> </v>
      </c>
      <c r="K23" s="30"/>
      <c r="L23" s="76">
        <f>IF(BMPs!E24=0,"",BMPs!E24)</f>
        <v>0.8</v>
      </c>
      <c r="M23" s="76">
        <f>+BMPs!F24</f>
        <v>0</v>
      </c>
    </row>
    <row r="24" spans="1:13" x14ac:dyDescent="0.25">
      <c r="A24" t="str">
        <f>+BMPs!C25</f>
        <v>FORG</v>
      </c>
      <c r="B24" t="str">
        <f>+BMPs!D25</f>
        <v>Organic filter</v>
      </c>
      <c r="C24" s="143">
        <f>+Scenarios!C25</f>
        <v>0</v>
      </c>
      <c r="D24" s="143">
        <f>+Scenarios!D25</f>
        <v>0</v>
      </c>
      <c r="E24" s="99">
        <f t="shared" si="0"/>
        <v>0</v>
      </c>
      <c r="F24" s="76">
        <f>IF(BMPs!E25=0,"",BMPs!E25)</f>
        <v>0.8</v>
      </c>
      <c r="G24" s="76">
        <f>+BMPs!F25</f>
        <v>0</v>
      </c>
      <c r="H24" s="262"/>
      <c r="I24" s="116" t="str">
        <f>IF(Scenarios!E25=0, " ",Scenarios!E25)</f>
        <v xml:space="preserve"> </v>
      </c>
      <c r="J24" s="116" t="str">
        <f>IF(Scenarios!F25=0, " ",Scenarios!F25)</f>
        <v xml:space="preserve"> </v>
      </c>
      <c r="K24" s="30"/>
      <c r="L24" s="76">
        <f>IF(BMPs!E25=0,"",BMPs!E25)</f>
        <v>0.8</v>
      </c>
      <c r="M24" s="76">
        <f>+BMPs!F25</f>
        <v>0</v>
      </c>
    </row>
    <row r="25" spans="1:13" x14ac:dyDescent="0.25">
      <c r="A25" t="str">
        <f>+BMPs!C26</f>
        <v>--</v>
      </c>
      <c r="B25" t="str">
        <f>+BMPs!D26</f>
        <v>Other filtering</v>
      </c>
      <c r="C25" s="143">
        <f>+Scenarios!C26</f>
        <v>0</v>
      </c>
      <c r="D25" s="143">
        <f>+Scenarios!D26</f>
        <v>0</v>
      </c>
      <c r="E25" s="99">
        <f t="shared" si="0"/>
        <v>0</v>
      </c>
      <c r="F25" s="76" t="str">
        <f>IF(BMPs!E26=0,"",BMPs!E26)</f>
        <v/>
      </c>
      <c r="G25" s="76">
        <f>+BMPs!F26</f>
        <v>0</v>
      </c>
      <c r="H25" s="262"/>
      <c r="I25" s="116" t="str">
        <f>IF(Scenarios!E26=0, " ",Scenarios!E26)</f>
        <v xml:space="preserve"> </v>
      </c>
      <c r="J25" s="116" t="str">
        <f>IF(Scenarios!F26=0, " ",Scenarios!F26)</f>
        <v xml:space="preserve"> </v>
      </c>
      <c r="K25" s="30"/>
      <c r="L25" s="76" t="str">
        <f>IF(BMPs!E26=0,"",BMPs!E26)</f>
        <v/>
      </c>
      <c r="M25" s="76">
        <f>+BMPs!F26</f>
        <v>0</v>
      </c>
    </row>
    <row r="26" spans="1:13" x14ac:dyDescent="0.25">
      <c r="A26" t="str">
        <f>+BMPs!C27</f>
        <v>ODSW</v>
      </c>
      <c r="B26" t="str">
        <f>+BMPs!D27</f>
        <v>Dry swale</v>
      </c>
      <c r="C26" s="143">
        <f>+Scenarios!C27</f>
        <v>1.76053445</v>
      </c>
      <c r="D26" s="143">
        <f>+Scenarios!D27</f>
        <v>0.31867654000000001</v>
      </c>
      <c r="E26" s="99">
        <f t="shared" si="0"/>
        <v>1.44185791</v>
      </c>
      <c r="F26" s="76" t="str">
        <f>IF(BMPs!E27=0,"",BMPs!E27)</f>
        <v/>
      </c>
      <c r="G26" s="76">
        <f>+BMPs!F27</f>
        <v>0.6</v>
      </c>
      <c r="H26" s="262"/>
      <c r="I26" s="116" t="str">
        <f>IF(Scenarios!E27=0, " ",Scenarios!E27)</f>
        <v xml:space="preserve"> </v>
      </c>
      <c r="J26" s="116" t="str">
        <f>IF(Scenarios!F27=0, " ",Scenarios!F27)</f>
        <v xml:space="preserve"> </v>
      </c>
      <c r="K26" s="30"/>
      <c r="L26" s="76" t="str">
        <f>IF(BMPs!E27=0,"",BMPs!E27)</f>
        <v/>
      </c>
      <c r="M26" s="76">
        <f>+BMPs!F27</f>
        <v>0.6</v>
      </c>
    </row>
    <row r="27" spans="1:13" x14ac:dyDescent="0.25">
      <c r="A27" t="str">
        <f>+BMPs!C28</f>
        <v>OWSW</v>
      </c>
      <c r="B27" t="str">
        <f>+BMPs!D28</f>
        <v>Wet swale</v>
      </c>
      <c r="C27" s="143">
        <f>+Scenarios!C28</f>
        <v>0</v>
      </c>
      <c r="D27" s="143">
        <f>+Scenarios!D28</f>
        <v>0</v>
      </c>
      <c r="E27" s="99">
        <f t="shared" si="0"/>
        <v>0</v>
      </c>
      <c r="F27" s="76" t="str">
        <f>IF(BMPs!E28=0,"",BMPs!E28)</f>
        <v/>
      </c>
      <c r="G27" s="76">
        <f>+BMPs!F28</f>
        <v>0</v>
      </c>
      <c r="H27" s="262"/>
      <c r="I27" s="116" t="str">
        <f>IF(Scenarios!E28=0, " ",Scenarios!E28)</f>
        <v xml:space="preserve"> </v>
      </c>
      <c r="J27" s="116" t="str">
        <f>IF(Scenarios!F28=0, " ",Scenarios!F28)</f>
        <v xml:space="preserve"> </v>
      </c>
      <c r="K27" s="30"/>
      <c r="L27" s="76" t="str">
        <f>IF(BMPs!E28=0,"",BMPs!E28)</f>
        <v/>
      </c>
      <c r="M27" s="76">
        <f>+BMPs!F28</f>
        <v>0</v>
      </c>
    </row>
    <row r="28" spans="1:13" x14ac:dyDescent="0.25">
      <c r="A28" t="str">
        <f>+BMPs!C29</f>
        <v>PWED</v>
      </c>
      <c r="B28" t="str">
        <f>+BMPs!D29</f>
        <v>Wet extended detention pond</v>
      </c>
      <c r="C28" s="143">
        <f>+Scenarios!C29</f>
        <v>1931.5539822100004</v>
      </c>
      <c r="D28" s="143">
        <f>+Scenarios!D29</f>
        <v>489.26524002000008</v>
      </c>
      <c r="E28" s="99">
        <f>IFERROR(C28-D28,"")</f>
        <v>1442.2887421900004</v>
      </c>
      <c r="F28" s="76">
        <f>IF(BMPs!E29=0,"",BMPs!E29)</f>
        <v>0.7</v>
      </c>
      <c r="G28" s="76">
        <f>+BMPs!F29</f>
        <v>0</v>
      </c>
      <c r="H28" s="262"/>
      <c r="I28" s="116" t="str">
        <f>IF(Scenarios!E29=0, " ",Scenarios!E29)</f>
        <v xml:space="preserve"> </v>
      </c>
      <c r="J28" s="116" t="str">
        <f>IF(Scenarios!F29=0, " ",Scenarios!F29)</f>
        <v xml:space="preserve"> </v>
      </c>
      <c r="K28" s="30"/>
      <c r="L28" s="76">
        <f>IF(BMPs!E29=0,"",BMPs!E29)</f>
        <v>0.7</v>
      </c>
      <c r="M28" s="76">
        <f>+BMPs!F29</f>
        <v>0</v>
      </c>
    </row>
    <row r="29" spans="1:13" x14ac:dyDescent="0.25">
      <c r="A29" t="str">
        <f>+BMPs!C30</f>
        <v>PWET</v>
      </c>
      <c r="B29" t="str">
        <f>+BMPs!D30</f>
        <v>Wet pond</v>
      </c>
      <c r="C29" s="143">
        <f>+Scenarios!C30</f>
        <v>0</v>
      </c>
      <c r="D29" s="143">
        <f>+Scenarios!D30</f>
        <v>0</v>
      </c>
      <c r="E29" s="99">
        <f t="shared" si="0"/>
        <v>0</v>
      </c>
      <c r="F29" s="76">
        <f>IF(BMPs!E30=0,"",BMPs!E30)</f>
        <v>0.7</v>
      </c>
      <c r="G29" s="76">
        <f>+BMPs!F30</f>
        <v>0</v>
      </c>
      <c r="H29" s="262"/>
      <c r="I29" s="116" t="str">
        <f>IF(Scenarios!E30=0, " ",Scenarios!E30)</f>
        <v xml:space="preserve"> </v>
      </c>
      <c r="J29" s="116" t="str">
        <f>IF(Scenarios!F30=0, " ",Scenarios!F30)</f>
        <v xml:space="preserve"> </v>
      </c>
      <c r="K29" s="30"/>
      <c r="L29" s="76">
        <f>IF(BMPs!E30=0,"",BMPs!E30)</f>
        <v>0.7</v>
      </c>
      <c r="M29" s="76">
        <f>+BMPs!F30</f>
        <v>0</v>
      </c>
    </row>
    <row r="30" spans="1:13" x14ac:dyDescent="0.25">
      <c r="A30" t="str">
        <f>+BMPs!C31</f>
        <v>PMPS</v>
      </c>
      <c r="B30" t="str">
        <f>+BMPs!D31</f>
        <v>Multiple Pond Systems</v>
      </c>
      <c r="C30" s="143">
        <f>+Scenarios!C31</f>
        <v>0</v>
      </c>
      <c r="D30" s="143">
        <f>+Scenarios!D31</f>
        <v>0</v>
      </c>
      <c r="E30" s="99">
        <f t="shared" si="0"/>
        <v>0</v>
      </c>
      <c r="F30" s="76">
        <f>IF(BMPs!E31=0,"",BMPs!E31)</f>
        <v>0.7</v>
      </c>
      <c r="G30" s="76">
        <f>+BMPs!F31</f>
        <v>0</v>
      </c>
      <c r="H30" s="262"/>
      <c r="I30" s="116" t="str">
        <f>IF(Scenarios!E31=0, " ",Scenarios!E31)</f>
        <v xml:space="preserve"> </v>
      </c>
      <c r="J30" s="116" t="str">
        <f>IF(Scenarios!F31=0, " ",Scenarios!F31)</f>
        <v xml:space="preserve"> </v>
      </c>
      <c r="K30" s="30"/>
      <c r="L30" s="76">
        <f>IF(BMPs!E31=0,"",BMPs!E31)</f>
        <v>0.7</v>
      </c>
      <c r="M30" s="76">
        <f>+BMPs!F31</f>
        <v>0</v>
      </c>
    </row>
    <row r="31" spans="1:13" x14ac:dyDescent="0.25">
      <c r="A31" t="str">
        <f>+BMPs!C32</f>
        <v>PPKT</v>
      </c>
      <c r="B31" t="str">
        <f>+BMPs!D32</f>
        <v>Pocket pond</v>
      </c>
      <c r="C31" s="143">
        <f>+Scenarios!C32</f>
        <v>0</v>
      </c>
      <c r="D31" s="143">
        <f>+Scenarios!D32</f>
        <v>0</v>
      </c>
      <c r="E31" s="99">
        <f t="shared" si="0"/>
        <v>0</v>
      </c>
      <c r="F31" s="76">
        <f>IF(BMPs!E32=0,"",BMPs!E32)</f>
        <v>0.7</v>
      </c>
      <c r="G31" s="76">
        <f>+BMPs!F32</f>
        <v>0</v>
      </c>
      <c r="H31" s="262"/>
      <c r="I31" s="116" t="str">
        <f>IF(Scenarios!E32=0, " ",Scenarios!E32)</f>
        <v xml:space="preserve"> </v>
      </c>
      <c r="J31" s="116" t="str">
        <f>IF(Scenarios!F32=0, " ",Scenarios!F32)</f>
        <v xml:space="preserve"> </v>
      </c>
      <c r="K31" s="30"/>
      <c r="L31" s="76">
        <f>IF(BMPs!E32=0,"",BMPs!E32)</f>
        <v>0.7</v>
      </c>
      <c r="M31" s="76">
        <f>+BMPs!F32</f>
        <v>0</v>
      </c>
    </row>
    <row r="32" spans="1:13" x14ac:dyDescent="0.25">
      <c r="A32" t="str">
        <f>+BMPs!C33</f>
        <v>PMED</v>
      </c>
      <c r="B32" t="str">
        <f>+BMPs!D33</f>
        <v>Micropool extended detention pond</v>
      </c>
      <c r="C32" s="143">
        <f>+Scenarios!C33</f>
        <v>0</v>
      </c>
      <c r="D32" s="143">
        <f>+Scenarios!D33</f>
        <v>0</v>
      </c>
      <c r="E32" s="99">
        <f t="shared" si="0"/>
        <v>0</v>
      </c>
      <c r="F32" s="76">
        <f>IF(BMPs!E33=0,"",BMPs!E33)</f>
        <v>0.7</v>
      </c>
      <c r="G32" s="76">
        <f>+BMPs!F33</f>
        <v>0</v>
      </c>
      <c r="H32" s="262"/>
      <c r="I32" s="116" t="str">
        <f>IF(Scenarios!E33=0, " ",Scenarios!E33)</f>
        <v xml:space="preserve"> </v>
      </c>
      <c r="J32" s="116" t="str">
        <f>IF(Scenarios!F33=0, " ",Scenarios!F33)</f>
        <v xml:space="preserve"> </v>
      </c>
      <c r="K32" s="30"/>
      <c r="L32" s="76">
        <f>IF(BMPs!E33=0,"",BMPs!E33)</f>
        <v>0.7</v>
      </c>
      <c r="M32" s="76">
        <f>+BMPs!F33</f>
        <v>0</v>
      </c>
    </row>
    <row r="33" spans="1:13" x14ac:dyDescent="0.25">
      <c r="A33" t="str">
        <f>+BMPs!C34</f>
        <v>WSHW</v>
      </c>
      <c r="B33" t="str">
        <f>+BMPs!D34</f>
        <v>Shallow marsh</v>
      </c>
      <c r="C33" s="143">
        <f>+Scenarios!C34</f>
        <v>549.29826429000002</v>
      </c>
      <c r="D33" s="143">
        <f>+Scenarios!D34</f>
        <v>60.887433779999995</v>
      </c>
      <c r="E33" s="99">
        <f t="shared" si="0"/>
        <v>488.41083051000004</v>
      </c>
      <c r="F33" s="76">
        <f>IF(BMPs!E34=0,"",BMPs!E34)</f>
        <v>0.8</v>
      </c>
      <c r="G33" s="76">
        <f>+BMPs!F34</f>
        <v>0</v>
      </c>
      <c r="H33" s="262"/>
      <c r="I33" s="116" t="str">
        <f>IF(Scenarios!E34=0, " ",Scenarios!E34)</f>
        <v xml:space="preserve"> </v>
      </c>
      <c r="J33" s="116" t="str">
        <f>IF(Scenarios!F34=0, " ",Scenarios!F34)</f>
        <v xml:space="preserve"> </v>
      </c>
      <c r="K33" s="30"/>
      <c r="L33" s="76">
        <f>IF(BMPs!E34=0,"",BMPs!E34)</f>
        <v>0.8</v>
      </c>
      <c r="M33" s="76">
        <f>+BMPs!F34</f>
        <v>0</v>
      </c>
    </row>
    <row r="34" spans="1:13" x14ac:dyDescent="0.25">
      <c r="A34" t="str">
        <f>+BMPs!C35</f>
        <v>WEDW</v>
      </c>
      <c r="B34" t="str">
        <f>+BMPs!D35</f>
        <v>ED shallow wetland</v>
      </c>
      <c r="C34" s="143">
        <f>+Scenarios!C35</f>
        <v>0</v>
      </c>
      <c r="D34" s="143">
        <f>+Scenarios!D35</f>
        <v>0</v>
      </c>
      <c r="E34" s="99">
        <f t="shared" si="0"/>
        <v>0</v>
      </c>
      <c r="F34" s="76">
        <f>IF(BMPs!E35=0,"",BMPs!E35)</f>
        <v>0.8</v>
      </c>
      <c r="G34" s="76">
        <f>+BMPs!F35</f>
        <v>0</v>
      </c>
      <c r="H34" s="262"/>
      <c r="I34" s="116" t="str">
        <f>IF(Scenarios!E35=0, " ",Scenarios!E35)</f>
        <v xml:space="preserve"> </v>
      </c>
      <c r="J34" s="116" t="str">
        <f>IF(Scenarios!F35=0, " ",Scenarios!F35)</f>
        <v xml:space="preserve"> </v>
      </c>
      <c r="K34" s="30"/>
      <c r="L34" s="76">
        <f>IF(BMPs!E35=0,"",BMPs!E35)</f>
        <v>0.8</v>
      </c>
      <c r="M34" s="76">
        <f>+BMPs!F35</f>
        <v>0</v>
      </c>
    </row>
    <row r="35" spans="1:13" x14ac:dyDescent="0.25">
      <c r="A35" t="str">
        <f>+BMPs!C36</f>
        <v>WPWS</v>
      </c>
      <c r="B35" t="str">
        <f>+BMPs!D36</f>
        <v>Pond/wetland system</v>
      </c>
      <c r="C35" s="143">
        <f>+Scenarios!C36</f>
        <v>0</v>
      </c>
      <c r="D35" s="143">
        <f>+Scenarios!D36</f>
        <v>0</v>
      </c>
      <c r="E35" s="99">
        <f t="shared" si="0"/>
        <v>0</v>
      </c>
      <c r="F35" s="76">
        <f>IF(BMPs!E36=0,"",BMPs!E36)</f>
        <v>0.8</v>
      </c>
      <c r="G35" s="76">
        <f>+BMPs!F36</f>
        <v>0</v>
      </c>
      <c r="H35" s="262"/>
      <c r="I35" s="116" t="str">
        <f>IF(Scenarios!E36=0, " ",Scenarios!E36)</f>
        <v xml:space="preserve"> </v>
      </c>
      <c r="J35" s="116" t="str">
        <f>IF(Scenarios!F36=0, " ",Scenarios!F36)</f>
        <v xml:space="preserve"> </v>
      </c>
      <c r="K35" s="30"/>
      <c r="L35" s="76">
        <f>IF(BMPs!E36=0,"",BMPs!E36)</f>
        <v>0.8</v>
      </c>
      <c r="M35" s="76">
        <f>+BMPs!F36</f>
        <v>0</v>
      </c>
    </row>
    <row r="36" spans="1:13" x14ac:dyDescent="0.25">
      <c r="A36" t="str">
        <f>+BMPs!C37</f>
        <v>WPKT</v>
      </c>
      <c r="B36" t="str">
        <f>+BMPs!D37</f>
        <v>Pocket wetland</v>
      </c>
      <c r="C36" s="143">
        <f>+Scenarios!C37</f>
        <v>0</v>
      </c>
      <c r="D36" s="143">
        <f>+Scenarios!D37</f>
        <v>0</v>
      </c>
      <c r="E36" s="99">
        <f t="shared" si="0"/>
        <v>0</v>
      </c>
      <c r="F36" s="76">
        <f>IF(BMPs!E37=0,"",BMPs!E37)</f>
        <v>0.8</v>
      </c>
      <c r="G36" s="76">
        <f>+BMPs!F37</f>
        <v>0</v>
      </c>
      <c r="H36" s="262"/>
      <c r="I36" s="116" t="str">
        <f>IF(Scenarios!E37=0, " ",Scenarios!E37)</f>
        <v xml:space="preserve"> </v>
      </c>
      <c r="J36" s="116" t="str">
        <f>IF(Scenarios!F37=0, " ",Scenarios!F37)</f>
        <v xml:space="preserve"> </v>
      </c>
      <c r="K36" s="30"/>
      <c r="L36" s="76">
        <f>IF(BMPs!E37=0,"",BMPs!E37)</f>
        <v>0.8</v>
      </c>
      <c r="M36" s="76">
        <f>+BMPs!F37</f>
        <v>0</v>
      </c>
    </row>
    <row r="37" spans="1:13" x14ac:dyDescent="0.25">
      <c r="A37" t="str">
        <f>+BMPs!C38</f>
        <v>IBAS</v>
      </c>
      <c r="B37" t="str">
        <f>+BMPs!D38</f>
        <v>Infiltration basin</v>
      </c>
      <c r="C37" s="143">
        <f>+Scenarios!C38</f>
        <v>114.21825875</v>
      </c>
      <c r="D37" s="143">
        <f>+Scenarios!D38</f>
        <v>20.398169190000001</v>
      </c>
      <c r="E37" s="99">
        <f t="shared" si="0"/>
        <v>93.82008956</v>
      </c>
      <c r="F37" s="76">
        <f>IF(BMPs!E38=0,"",BMPs!E38)</f>
        <v>0.85</v>
      </c>
      <c r="G37" s="76">
        <f>+BMPs!F38</f>
        <v>0.9</v>
      </c>
      <c r="H37" s="262"/>
      <c r="I37" s="116" t="str">
        <f>IF(Scenarios!E38=0, " ",Scenarios!E38)</f>
        <v xml:space="preserve"> </v>
      </c>
      <c r="J37" s="116" t="str">
        <f>IF(Scenarios!F38=0, " ",Scenarios!F38)</f>
        <v xml:space="preserve"> </v>
      </c>
      <c r="K37" s="30"/>
      <c r="L37" s="76">
        <f>IF(BMPs!E38=0,"",BMPs!E38)</f>
        <v>0.85</v>
      </c>
      <c r="M37" s="76">
        <f>+BMPs!F38</f>
        <v>0.9</v>
      </c>
    </row>
    <row r="38" spans="1:13" x14ac:dyDescent="0.25">
      <c r="A38" t="str">
        <f>+BMPs!C39</f>
        <v>ITRN</v>
      </c>
      <c r="B38" t="str">
        <f>+BMPs!D39</f>
        <v>Infiltration trench</v>
      </c>
      <c r="C38" s="143">
        <f>+Scenarios!C39</f>
        <v>198.90787388999993</v>
      </c>
      <c r="D38" s="143">
        <f>+Scenarios!D39</f>
        <v>73.504459689999976</v>
      </c>
      <c r="E38" s="99">
        <f t="shared" si="0"/>
        <v>125.40341419999996</v>
      </c>
      <c r="F38" s="76">
        <f>IF(BMPs!E39=0,"",BMPs!E39)</f>
        <v>0.85</v>
      </c>
      <c r="G38" s="76">
        <f>+BMPs!F39</f>
        <v>0.9</v>
      </c>
      <c r="H38" s="262"/>
      <c r="I38" s="116" t="str">
        <f>IF(Scenarios!E39=0, " ",Scenarios!E39)</f>
        <v xml:space="preserve"> </v>
      </c>
      <c r="J38" s="116" t="str">
        <f>IF(Scenarios!F39=0, " ",Scenarios!F39)</f>
        <v xml:space="preserve"> </v>
      </c>
      <c r="K38" s="30"/>
      <c r="L38" s="76">
        <f>IF(BMPs!E39=0,"",BMPs!E39)</f>
        <v>0.85</v>
      </c>
      <c r="M38" s="76">
        <f>+BMPs!F39</f>
        <v>0.9</v>
      </c>
    </row>
    <row r="39" spans="1:13" x14ac:dyDescent="0.25">
      <c r="A39" t="str">
        <f>+BMPs!C40</f>
        <v>XDPD</v>
      </c>
      <c r="B39" t="str">
        <f>+BMPs!D40</f>
        <v>Dry pond</v>
      </c>
      <c r="C39" s="143">
        <f>+Scenarios!C40</f>
        <v>765.57231410999998</v>
      </c>
      <c r="D39" s="143">
        <f>+Scenarios!D40</f>
        <v>236.50722406000003</v>
      </c>
      <c r="E39" s="99">
        <f t="shared" si="0"/>
        <v>529.06509004999998</v>
      </c>
      <c r="F39" s="76" t="str">
        <f>IF(BMPs!E40=0,"",BMPs!E40)</f>
        <v/>
      </c>
      <c r="G39" s="76">
        <f>+BMPs!F40</f>
        <v>0</v>
      </c>
      <c r="H39" s="262"/>
      <c r="I39" s="116" t="str">
        <f>IF(Scenarios!E40=0, " ",Scenarios!E40)</f>
        <v xml:space="preserve"> </v>
      </c>
      <c r="J39" s="116" t="str">
        <f>IF(Scenarios!F40=0, " ",Scenarios!F40)</f>
        <v xml:space="preserve"> </v>
      </c>
      <c r="K39" s="30"/>
      <c r="L39" s="76" t="str">
        <f>IF(BMPs!E40=0,"",BMPs!E40)</f>
        <v/>
      </c>
      <c r="M39" s="76">
        <f>+BMPs!F40</f>
        <v>0</v>
      </c>
    </row>
    <row r="40" spans="1:13" x14ac:dyDescent="0.25">
      <c r="A40" t="str">
        <f>+BMPs!C41</f>
        <v>XDED</v>
      </c>
      <c r="B40" t="str">
        <f>+BMPs!D41</f>
        <v>Dry extended detention pond</v>
      </c>
      <c r="C40" s="143">
        <f>+Scenarios!C41</f>
        <v>2337.7403694200007</v>
      </c>
      <c r="D40" s="143">
        <f>+Scenarios!D41</f>
        <v>754.71397826999998</v>
      </c>
      <c r="E40" s="99">
        <f t="shared" si="0"/>
        <v>1583.0263911500006</v>
      </c>
      <c r="F40" s="76" t="str">
        <f>IF(BMPs!E41=0,"",BMPs!E41)</f>
        <v/>
      </c>
      <c r="G40" s="76">
        <f>+BMPs!F41</f>
        <v>0.15</v>
      </c>
      <c r="H40" s="262"/>
      <c r="I40" s="116" t="str">
        <f>IF(Scenarios!E41=0, " ",Scenarios!E41)</f>
        <v xml:space="preserve"> </v>
      </c>
      <c r="J40" s="116" t="str">
        <f>IF(Scenarios!F41=0, " ",Scenarios!F41)</f>
        <v xml:space="preserve"> </v>
      </c>
      <c r="K40" s="30"/>
      <c r="L40" s="76" t="str">
        <f>IF(BMPs!E41=0,"",BMPs!E41)</f>
        <v/>
      </c>
      <c r="M40" s="76">
        <f>+BMPs!F41</f>
        <v>0.15</v>
      </c>
    </row>
    <row r="41" spans="1:13" x14ac:dyDescent="0.25">
      <c r="A41" t="str">
        <f>+BMPs!C42</f>
        <v>XFLD</v>
      </c>
      <c r="B41" t="str">
        <f>+BMPs!D42</f>
        <v>Flood Mgmt Area</v>
      </c>
      <c r="C41" s="143">
        <f>+Scenarios!C42</f>
        <v>0</v>
      </c>
      <c r="D41" s="143">
        <f>+Scenarios!D42</f>
        <v>0</v>
      </c>
      <c r="E41" s="99">
        <f t="shared" si="0"/>
        <v>0</v>
      </c>
      <c r="F41" s="76" t="str">
        <f>IF(BMPs!E42=0,"",BMPs!E42)</f>
        <v/>
      </c>
      <c r="G41" s="76">
        <f>+BMPs!F42</f>
        <v>0</v>
      </c>
      <c r="H41" s="262"/>
      <c r="I41" s="116" t="str">
        <f>IF(Scenarios!E42=0, " ",Scenarios!E42)</f>
        <v xml:space="preserve"> </v>
      </c>
      <c r="J41" s="116" t="str">
        <f>IF(Scenarios!F42=0, " ",Scenarios!F42)</f>
        <v xml:space="preserve"> </v>
      </c>
      <c r="K41" s="30"/>
      <c r="L41" s="76" t="str">
        <f>IF(BMPs!E42=0,"",BMPs!E42)</f>
        <v/>
      </c>
      <c r="M41" s="76">
        <f>+BMPs!F42</f>
        <v>0</v>
      </c>
    </row>
    <row r="42" spans="1:13" x14ac:dyDescent="0.25">
      <c r="A42" t="str">
        <f>+BMPs!C43</f>
        <v>XOGS</v>
      </c>
      <c r="B42" t="str">
        <f>+BMPs!D43</f>
        <v>Oil grit separator</v>
      </c>
      <c r="C42" s="143">
        <f>+Scenarios!C43</f>
        <v>65.034952560000008</v>
      </c>
      <c r="D42" s="143">
        <f>+Scenarios!D43</f>
        <v>39.787536080000002</v>
      </c>
      <c r="E42" s="99">
        <f t="shared" si="0"/>
        <v>25.247416480000005</v>
      </c>
      <c r="F42" s="76" t="str">
        <f>IF(BMPs!E43=0,"",BMPs!E43)</f>
        <v/>
      </c>
      <c r="G42" s="76">
        <f>+BMPs!F43</f>
        <v>0</v>
      </c>
      <c r="H42" s="262"/>
      <c r="I42" s="116" t="str">
        <f>IF(Scenarios!E43=0, " ",Scenarios!E43)</f>
        <v xml:space="preserve"> </v>
      </c>
      <c r="J42" s="116" t="str">
        <f>IF(Scenarios!F43=0, " ",Scenarios!F43)</f>
        <v xml:space="preserve"> </v>
      </c>
      <c r="K42" s="30"/>
      <c r="L42" s="76" t="str">
        <f>IF(BMPs!E43=0,"",BMPs!E43)</f>
        <v/>
      </c>
      <c r="M42" s="76">
        <f>+BMPs!F43</f>
        <v>0</v>
      </c>
    </row>
    <row r="43" spans="1:13" x14ac:dyDescent="0.25">
      <c r="A43" t="str">
        <f>+BMPs!C44</f>
        <v>XOTH</v>
      </c>
      <c r="B43" t="str">
        <f>+BMPs!D44</f>
        <v>Other</v>
      </c>
      <c r="C43" s="143">
        <f>+Scenarios!C44</f>
        <v>0</v>
      </c>
      <c r="D43" s="143">
        <f>+Scenarios!D44</f>
        <v>0</v>
      </c>
      <c r="E43" s="99">
        <f t="shared" si="0"/>
        <v>0</v>
      </c>
      <c r="F43" s="76" t="str">
        <f>IF(BMPs!E44=0,"",BMPs!E44)</f>
        <v/>
      </c>
      <c r="G43" s="76">
        <f>+BMPs!F44</f>
        <v>0.5</v>
      </c>
      <c r="H43" s="262"/>
      <c r="I43" s="251">
        <v>1E-3</v>
      </c>
      <c r="J43" s="116" t="str">
        <f>IF(Scenarios!F44=0, " ",Scenarios!F44)</f>
        <v xml:space="preserve"> </v>
      </c>
      <c r="K43" s="30"/>
      <c r="L43" s="76" t="str">
        <f>IF(BMPs!E44=0,"",BMPs!E44)</f>
        <v/>
      </c>
      <c r="M43" s="76">
        <f>+BMPs!F44</f>
        <v>0.5</v>
      </c>
    </row>
    <row r="44" spans="1:13" x14ac:dyDescent="0.25">
      <c r="B44" s="63" t="s">
        <v>203</v>
      </c>
      <c r="C44" s="99">
        <f>SUM(C2:C43)</f>
        <v>6037.6583006900009</v>
      </c>
      <c r="D44" s="99">
        <f>SUM(D2:D43)</f>
        <v>1702.9042825500003</v>
      </c>
      <c r="E44" s="99">
        <f>SUM(E2:E43)</f>
        <v>4334.7540181400009</v>
      </c>
      <c r="F44" s="76"/>
      <c r="G44" s="76"/>
      <c r="I44" s="30">
        <f>SUM(I2:I43)</f>
        <v>1E-3</v>
      </c>
      <c r="J44" s="30">
        <f>SUM(J2:J43)</f>
        <v>0</v>
      </c>
      <c r="K44" s="30">
        <f>+I44-J44</f>
        <v>1E-3</v>
      </c>
      <c r="L44" s="76"/>
      <c r="M44" s="76"/>
    </row>
    <row r="45" spans="1:13" s="2" customFormat="1" x14ac:dyDescent="0.25">
      <c r="E45" s="78" t="s">
        <v>245</v>
      </c>
      <c r="F45" s="36">
        <f>SUMPRODUCT(C2:C43,F2:F43)/SUM(C2:C43)</f>
        <v>0.34661325700989681</v>
      </c>
      <c r="G45" s="36">
        <f>SUMPRODUCT(C2:C43,G2:G43)/SUM(C2:C43)</f>
        <v>0.11206134674923184</v>
      </c>
      <c r="H45" s="2" t="s">
        <v>252</v>
      </c>
      <c r="K45" s="78" t="s">
        <v>245</v>
      </c>
      <c r="L45" s="36">
        <f>SUMPRODUCT(I2:I43,L2:L43)/SUM(I2:I43)</f>
        <v>0</v>
      </c>
      <c r="M45" s="86">
        <f>SUMPRODUCT(I2:I43,M2:M43)/SUM(I2:I43)</f>
        <v>0.5</v>
      </c>
    </row>
    <row r="46" spans="1:13" s="2" customFormat="1" x14ac:dyDescent="0.25">
      <c r="E46" s="78" t="s">
        <v>246</v>
      </c>
      <c r="F46" s="86"/>
      <c r="G46" s="89">
        <f>1-G45</f>
        <v>0.88793865325076815</v>
      </c>
      <c r="K46" s="78" t="s">
        <v>246</v>
      </c>
      <c r="L46" s="86"/>
      <c r="M46" s="89">
        <f>1-M45</f>
        <v>0.5</v>
      </c>
    </row>
    <row r="47" spans="1:13" s="2" customFormat="1" x14ac:dyDescent="0.25">
      <c r="C47"/>
      <c r="D47"/>
      <c r="E47" s="7" t="s">
        <v>247</v>
      </c>
      <c r="F47"/>
      <c r="G47" s="39">
        <f>+F45*G46+G45</f>
        <v>0.41983265537746201</v>
      </c>
      <c r="I47"/>
      <c r="J47"/>
      <c r="K47" s="7" t="s">
        <v>247</v>
      </c>
      <c r="L47"/>
      <c r="M47" s="39">
        <f>+L45*M46+M45</f>
        <v>0.5</v>
      </c>
    </row>
    <row r="48" spans="1:13" s="2" customFormat="1" x14ac:dyDescent="0.25">
      <c r="C48"/>
      <c r="D48"/>
      <c r="E48" s="7" t="s">
        <v>219</v>
      </c>
      <c r="F48"/>
      <c r="G48" s="36">
        <f>((+D44*'Watershed Data'!D23)+(E44*'Watershed Data'!E23))/(('LandUse-LandCover'!E28*'Watershed Data'!D23)+'LandUse-LandCover'!F28*'Watershed Data'!E23)</f>
        <v>0.29923589303450759</v>
      </c>
      <c r="H48" s="2" t="s">
        <v>272</v>
      </c>
      <c r="I48"/>
      <c r="J48"/>
      <c r="K48" s="7" t="s">
        <v>219</v>
      </c>
      <c r="L48"/>
      <c r="M48" s="36">
        <f>((+J44*'Watershed Data'!D23)+(K44*'Watershed Data'!E23))/(('LandUse-LandCover'!E28*'Watershed Data'!D23)+'LandUse-LandCover'!F28*'Watershed Data'!E23)</f>
        <v>2.4209350740461347E-8</v>
      </c>
    </row>
    <row r="49" spans="1:13" s="2" customFormat="1" x14ac:dyDescent="0.25">
      <c r="C49"/>
      <c r="D49"/>
      <c r="E49" s="7" t="s">
        <v>251</v>
      </c>
      <c r="F49"/>
      <c r="G49" s="89">
        <f>+G48*BMPs!M6*BMPs!M8*BMPs!M12</f>
        <v>0.29085728802954142</v>
      </c>
      <c r="H49" s="2" t="s">
        <v>273</v>
      </c>
      <c r="I49"/>
      <c r="J49"/>
      <c r="K49" s="7" t="s">
        <v>251</v>
      </c>
      <c r="L49"/>
      <c r="M49" s="89">
        <f>+M48*BMPs!M6*BMPs!M8*BMPs!M12</f>
        <v>2.3531488919728432E-8</v>
      </c>
    </row>
    <row r="50" spans="1:13" s="2" customFormat="1" x14ac:dyDescent="0.25">
      <c r="C50"/>
      <c r="D50"/>
      <c r="E50" s="7" t="s">
        <v>250</v>
      </c>
      <c r="F50"/>
      <c r="G50" s="89">
        <f>+G49*G47</f>
        <v>0.12211138756932967</v>
      </c>
      <c r="I50"/>
      <c r="J50"/>
      <c r="K50" s="7" t="s">
        <v>250</v>
      </c>
      <c r="L50"/>
      <c r="M50" s="89">
        <f>+M49*M47</f>
        <v>1.1765744459864216E-8</v>
      </c>
    </row>
    <row r="51" spans="1:13" s="2" customFormat="1" x14ac:dyDescent="0.25">
      <c r="C51"/>
      <c r="D51"/>
      <c r="E51" s="7" t="s">
        <v>248</v>
      </c>
      <c r="F51"/>
      <c r="G51" s="33">
        <f>+SUM(Loads!I2:I12)</f>
        <v>2352732.5334874382</v>
      </c>
      <c r="H51" s="253"/>
      <c r="I51"/>
      <c r="J51"/>
      <c r="K51" s="7" t="s">
        <v>248</v>
      </c>
      <c r="L51"/>
      <c r="M51" s="33">
        <f>+SUM(Loads!I2:I12)</f>
        <v>2352732.5334874382</v>
      </c>
    </row>
    <row r="52" spans="1:13" s="2" customFormat="1" x14ac:dyDescent="0.25">
      <c r="C52"/>
      <c r="D52"/>
      <c r="E52" s="7" t="s">
        <v>249</v>
      </c>
      <c r="F52"/>
      <c r="G52" s="35">
        <f>+G51*G50</f>
        <v>287295.43424365547</v>
      </c>
      <c r="H52" s="90"/>
      <c r="I52"/>
      <c r="J52"/>
      <c r="K52" s="7" t="s">
        <v>249</v>
      </c>
      <c r="L52"/>
      <c r="M52" s="35">
        <f>+M51*M50</f>
        <v>2.7681649771422127E-2</v>
      </c>
    </row>
    <row r="53" spans="1:13" s="2" customFormat="1" x14ac:dyDescent="0.25">
      <c r="E53" s="238"/>
      <c r="G53" s="298"/>
      <c r="H53" s="90"/>
      <c r="K53" s="238"/>
      <c r="M53" s="298"/>
    </row>
    <row r="54" spans="1:13" s="2" customFormat="1" ht="30" x14ac:dyDescent="0.25">
      <c r="A54" s="339" t="s">
        <v>187</v>
      </c>
      <c r="B54" s="340"/>
      <c r="C54" s="341"/>
      <c r="D54" s="342" t="s">
        <v>528</v>
      </c>
      <c r="E54" s="343" t="s">
        <v>519</v>
      </c>
      <c r="F54" s="344"/>
      <c r="G54" s="341" t="s">
        <v>249</v>
      </c>
      <c r="H54" s="90"/>
      <c r="K54" s="238"/>
      <c r="M54" s="298"/>
    </row>
    <row r="55" spans="1:13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0"/>
      <c r="D55" s="494">
        <f>+Scenarios!C52</f>
        <v>0</v>
      </c>
      <c r="E55" s="320">
        <f>+BMPs!I51</f>
        <v>51.303181256300434</v>
      </c>
      <c r="F55" s="118"/>
      <c r="G55" s="316">
        <f t="shared" ref="G55:G67" si="1">+E55*D55</f>
        <v>0</v>
      </c>
      <c r="H55" s="90"/>
      <c r="K55" s="238"/>
      <c r="M55" s="298"/>
    </row>
    <row r="56" spans="1:13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0"/>
      <c r="D56" s="143">
        <f>+Scenarios!D53</f>
        <v>0</v>
      </c>
      <c r="E56" s="320">
        <f>+BMPs!I52</f>
        <v>286.34052096597577</v>
      </c>
      <c r="F56" s="118"/>
      <c r="G56" s="316">
        <f t="shared" si="1"/>
        <v>0</v>
      </c>
      <c r="H56" s="90"/>
      <c r="K56" s="238"/>
      <c r="M56" s="298"/>
    </row>
    <row r="57" spans="1:13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0"/>
      <c r="D57" s="143">
        <f>+Scenarios!D54</f>
        <v>0</v>
      </c>
      <c r="E57" s="320">
        <f>+BMPs!I53</f>
        <v>286.34052096597577</v>
      </c>
      <c r="F57" s="118"/>
      <c r="G57" s="316">
        <f t="shared" si="1"/>
        <v>0</v>
      </c>
      <c r="H57" s="90"/>
      <c r="K57" s="238"/>
      <c r="M57" s="298"/>
    </row>
    <row r="58" spans="1:13" s="2" customFormat="1" x14ac:dyDescent="0.25">
      <c r="A58" s="2" t="str">
        <f>BMPs!C54</f>
        <v>MSS</v>
      </c>
      <c r="B58" s="2" t="str">
        <f>BMPs!D54</f>
        <v>Mechanical Street Sweeping</v>
      </c>
      <c r="C58" s="250"/>
      <c r="D58" s="143">
        <f>+Scenarios!D55</f>
        <v>0</v>
      </c>
      <c r="E58" s="320">
        <f>+BMPs!I54</f>
        <v>0</v>
      </c>
      <c r="F58" s="118"/>
      <c r="G58" s="316">
        <f t="shared" si="1"/>
        <v>0</v>
      </c>
      <c r="H58" s="90"/>
      <c r="K58" s="238"/>
      <c r="M58" s="298"/>
    </row>
    <row r="59" spans="1:13" s="2" customFormat="1" x14ac:dyDescent="0.25">
      <c r="A59" s="2" t="str">
        <f>BMPs!C55</f>
        <v>VSS</v>
      </c>
      <c r="B59" s="2" t="str">
        <f>BMPs!D55</f>
        <v>Regen / Vacuum Street Sweeping</v>
      </c>
      <c r="C59" s="250"/>
      <c r="D59" s="143">
        <f>+Scenarios!D56</f>
        <v>0</v>
      </c>
      <c r="E59" s="320">
        <f>+BMPs!I55</f>
        <v>0</v>
      </c>
      <c r="F59" s="118"/>
      <c r="G59" s="316">
        <f t="shared" si="1"/>
        <v>0</v>
      </c>
      <c r="H59" s="90"/>
      <c r="K59" s="238"/>
      <c r="M59" s="298"/>
    </row>
    <row r="60" spans="1:13" s="2" customFormat="1" x14ac:dyDescent="0.25">
      <c r="E60" s="321"/>
      <c r="F60" s="298"/>
      <c r="G60" s="316">
        <f t="shared" si="1"/>
        <v>0</v>
      </c>
      <c r="H60" s="90"/>
      <c r="K60" s="238"/>
      <c r="M60" s="298"/>
    </row>
    <row r="61" spans="1:13" s="5" customFormat="1" x14ac:dyDescent="0.25">
      <c r="A61" s="2" t="str">
        <f>BMPs!C57</f>
        <v>STRE</v>
      </c>
      <c r="B61" s="2" t="str">
        <f>BMPs!D57</f>
        <v>Stream Restoration</v>
      </c>
      <c r="C61" s="250"/>
      <c r="D61" s="494">
        <f>+Scenarios!D58</f>
        <v>0</v>
      </c>
      <c r="E61" s="228">
        <f>BMPs!E58</f>
        <v>0</v>
      </c>
      <c r="F61" s="118"/>
      <c r="G61" s="316">
        <f t="shared" si="1"/>
        <v>0</v>
      </c>
      <c r="K61" s="299"/>
      <c r="M61" s="301"/>
    </row>
    <row r="62" spans="1:13" s="5" customFormat="1" x14ac:dyDescent="0.25">
      <c r="A62" s="2" t="str">
        <f>BMPs!C58</f>
        <v>OUT</v>
      </c>
      <c r="B62" s="2" t="str">
        <f>BMPs!D58</f>
        <v>Outfall Stabilization</v>
      </c>
      <c r="C62" s="250"/>
      <c r="D62" s="143">
        <f>+Scenarios!D59</f>
        <v>0</v>
      </c>
      <c r="E62" s="228">
        <f>BMPs!E59</f>
        <v>0</v>
      </c>
      <c r="F62" s="118"/>
      <c r="G62" s="316">
        <f t="shared" si="1"/>
        <v>0</v>
      </c>
      <c r="H62" s="299"/>
      <c r="I62" s="299"/>
      <c r="J62" s="263"/>
      <c r="K62" s="300"/>
    </row>
    <row r="63" spans="1:13" s="5" customFormat="1" x14ac:dyDescent="0.25">
      <c r="A63" s="2" t="str">
        <f>BMPs!C59</f>
        <v>SHST</v>
      </c>
      <c r="B63" s="2" t="str">
        <f>BMPs!D59</f>
        <v>Shoreline Stabilization</v>
      </c>
      <c r="C63" s="250"/>
      <c r="D63" s="143">
        <f>+Scenarios!D60</f>
        <v>0</v>
      </c>
      <c r="E63" s="228">
        <f>BMPs!E60</f>
        <v>0</v>
      </c>
      <c r="F63" s="118"/>
      <c r="G63" s="316">
        <f t="shared" si="1"/>
        <v>0</v>
      </c>
      <c r="H63" s="299"/>
      <c r="I63" s="299"/>
      <c r="J63" s="263"/>
      <c r="K63" s="300"/>
    </row>
    <row r="64" spans="1:13" s="5" customFormat="1" x14ac:dyDescent="0.25">
      <c r="A64" s="2" t="str">
        <f>BMPs!C60</f>
        <v>SDV</v>
      </c>
      <c r="B64" s="2" t="str">
        <f>BMPs!D60</f>
        <v>Storm Drain Vacuuming</v>
      </c>
      <c r="C64" s="250"/>
      <c r="D64" s="143">
        <f>+Scenarios!D61</f>
        <v>0</v>
      </c>
      <c r="E64" s="228">
        <f>BMPs!E61</f>
        <v>0</v>
      </c>
      <c r="F64" s="118"/>
      <c r="G64" s="316">
        <f t="shared" si="1"/>
        <v>0</v>
      </c>
      <c r="H64" s="299"/>
      <c r="I64" s="299"/>
      <c r="J64" s="263"/>
      <c r="K64" s="300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0"/>
      <c r="D65" s="143">
        <f>+Scenarios!D62</f>
        <v>0</v>
      </c>
      <c r="E65" s="228">
        <f>BMPs!E63</f>
        <v>0</v>
      </c>
      <c r="F65" s="118"/>
      <c r="G65" s="316">
        <f t="shared" si="1"/>
        <v>0</v>
      </c>
      <c r="H65" s="299"/>
      <c r="I65" s="299"/>
      <c r="J65" s="263"/>
      <c r="K65" s="300"/>
    </row>
    <row r="66" spans="1:11" s="5" customFormat="1" x14ac:dyDescent="0.25">
      <c r="A66" s="2"/>
      <c r="B66" s="2"/>
      <c r="C66" s="283"/>
      <c r="E66" s="322"/>
      <c r="H66" s="299"/>
      <c r="I66" s="299"/>
      <c r="J66" s="263"/>
      <c r="K66" s="300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0"/>
      <c r="D67" s="143">
        <f>+Scenarios!D64</f>
        <v>0</v>
      </c>
      <c r="E67" s="320">
        <f>BMPs!E46</f>
        <v>0</v>
      </c>
      <c r="F67" s="118"/>
      <c r="G67" s="319">
        <f t="shared" si="1"/>
        <v>0</v>
      </c>
      <c r="H67" s="299"/>
      <c r="I67" s="299"/>
      <c r="J67" s="263"/>
      <c r="K67" s="300"/>
    </row>
    <row r="68" spans="1:11" s="5" customFormat="1" x14ac:dyDescent="0.25">
      <c r="A68" s="2"/>
      <c r="B68" s="2"/>
      <c r="C68" s="283"/>
      <c r="G68" s="318">
        <f>SUM(G55:G65)</f>
        <v>0</v>
      </c>
      <c r="H68" s="299"/>
      <c r="I68" s="299"/>
      <c r="J68" s="263"/>
      <c r="K68" s="300"/>
    </row>
    <row r="69" spans="1:11" s="5" customFormat="1" x14ac:dyDescent="0.25">
      <c r="A69" s="2"/>
      <c r="B69" s="2"/>
      <c r="C69" s="283"/>
      <c r="G69" s="301"/>
      <c r="H69" s="299"/>
      <c r="I69" s="299"/>
      <c r="J69" s="263"/>
      <c r="K69" s="300"/>
    </row>
    <row r="70" spans="1:11" s="5" customFormat="1" x14ac:dyDescent="0.25">
      <c r="A70" s="2"/>
      <c r="B70" s="2"/>
      <c r="C70" s="283"/>
      <c r="G70" s="301"/>
      <c r="H70" s="299"/>
      <c r="I70" s="299"/>
      <c r="J70" s="263"/>
      <c r="K70" s="300"/>
    </row>
    <row r="71" spans="1:11" s="5" customFormat="1" x14ac:dyDescent="0.25">
      <c r="A71" s="249" t="str">
        <f>+Scenarios!A67</f>
        <v>Urban Downsizing to Forest</v>
      </c>
      <c r="B71" s="162"/>
      <c r="C71" s="347"/>
      <c r="D71" s="162"/>
      <c r="E71" s="162"/>
      <c r="F71" s="162"/>
      <c r="G71" s="162"/>
      <c r="H71" s="299"/>
      <c r="I71" s="299"/>
      <c r="J71" s="263"/>
      <c r="K71" s="300"/>
    </row>
    <row r="72" spans="1:11" s="5" customFormat="1" ht="30" x14ac:dyDescent="0.25">
      <c r="A72" s="25"/>
      <c r="B72" s="345" t="str">
        <f>+Scenarios!B68</f>
        <v>Land Use</v>
      </c>
      <c r="C72" s="346"/>
      <c r="D72" s="345" t="s">
        <v>527</v>
      </c>
      <c r="E72" s="317" t="s">
        <v>519</v>
      </c>
      <c r="F72" s="25"/>
      <c r="G72" s="323" t="s">
        <v>249</v>
      </c>
      <c r="H72" s="299"/>
      <c r="I72" s="299"/>
      <c r="J72" s="263"/>
      <c r="K72" s="300"/>
    </row>
    <row r="73" spans="1:11" s="5" customFormat="1" x14ac:dyDescent="0.25">
      <c r="A73" s="2"/>
      <c r="B73" s="2" t="str">
        <f>+Scenarios!B69</f>
        <v>Low Density Residential</v>
      </c>
      <c r="C73" s="283"/>
      <c r="D73" s="289">
        <f>Scenarios!D69</f>
        <v>0</v>
      </c>
      <c r="E73" s="287">
        <f>+Loads!H2-Loads!$H$19</f>
        <v>68.660700212609868</v>
      </c>
      <c r="G73" s="316">
        <f t="shared" ref="G73:G83" si="2">+E73*D73</f>
        <v>0</v>
      </c>
      <c r="H73" s="299"/>
      <c r="I73" s="299"/>
      <c r="J73" s="263"/>
      <c r="K73" s="300"/>
    </row>
    <row r="74" spans="1:11" s="5" customFormat="1" x14ac:dyDescent="0.25">
      <c r="A74" s="2"/>
      <c r="B74" s="2" t="str">
        <f>+Scenarios!B70</f>
        <v>Medium Density Residential</v>
      </c>
      <c r="C74" s="283"/>
      <c r="D74" s="289">
        <f>Scenarios!D70</f>
        <v>0</v>
      </c>
      <c r="E74" s="287">
        <f>+Loads!H3-Loads!$H$19</f>
        <v>100.88847921307709</v>
      </c>
      <c r="G74" s="316">
        <f t="shared" si="2"/>
        <v>0</v>
      </c>
      <c r="H74" s="299"/>
      <c r="I74" s="299"/>
      <c r="J74" s="263"/>
      <c r="K74" s="300"/>
    </row>
    <row r="75" spans="1:11" s="5" customFormat="1" x14ac:dyDescent="0.25">
      <c r="A75" s="2"/>
      <c r="B75" s="2" t="str">
        <f>+Scenarios!B71</f>
        <v>High Density Residential</v>
      </c>
      <c r="C75" s="283"/>
      <c r="D75" s="289">
        <f>Scenarios!D71</f>
        <v>0</v>
      </c>
      <c r="E75" s="287">
        <f>+Loads!H4-Loads!$H$19</f>
        <v>149.49916747959102</v>
      </c>
      <c r="G75" s="316">
        <f t="shared" si="2"/>
        <v>0</v>
      </c>
      <c r="H75" s="299"/>
      <c r="I75" s="299"/>
      <c r="J75" s="263"/>
      <c r="K75" s="300"/>
    </row>
    <row r="76" spans="1:11" s="5" customFormat="1" x14ac:dyDescent="0.25">
      <c r="A76" s="2"/>
      <c r="B76" s="2" t="str">
        <f>+Scenarios!B72</f>
        <v>Commercial</v>
      </c>
      <c r="C76" s="283"/>
      <c r="D76" s="289">
        <f>Scenarios!D72</f>
        <v>0</v>
      </c>
      <c r="E76" s="287">
        <f>+Loads!H5-Loads!$H$19</f>
        <v>64.020081100042603</v>
      </c>
      <c r="G76" s="316">
        <f t="shared" si="2"/>
        <v>0</v>
      </c>
      <c r="H76" s="299"/>
      <c r="I76" s="299"/>
      <c r="J76" s="263"/>
      <c r="K76" s="300"/>
    </row>
    <row r="77" spans="1:11" s="5" customFormat="1" x14ac:dyDescent="0.25">
      <c r="A77" s="2"/>
      <c r="B77" s="2" t="str">
        <f>+Scenarios!B73</f>
        <v>Industrial</v>
      </c>
      <c r="C77" s="283"/>
      <c r="D77" s="289">
        <f>Scenarios!D73</f>
        <v>0</v>
      </c>
      <c r="E77" s="287">
        <f>+Loads!H6-Loads!$H$19</f>
        <v>25.594860292218563</v>
      </c>
      <c r="G77" s="316">
        <f t="shared" si="2"/>
        <v>0</v>
      </c>
      <c r="H77" s="299"/>
      <c r="I77" s="299"/>
      <c r="J77" s="263"/>
      <c r="K77" s="300"/>
    </row>
    <row r="78" spans="1:11" s="5" customFormat="1" x14ac:dyDescent="0.25">
      <c r="A78" s="2"/>
      <c r="B78" s="2" t="str">
        <f>+Scenarios!B74</f>
        <v>Institutional</v>
      </c>
      <c r="C78" s="283"/>
      <c r="D78" s="289">
        <f>Scenarios!D74</f>
        <v>0</v>
      </c>
      <c r="E78" s="287">
        <f>+Loads!H7-Loads!$H$19</f>
        <v>45.401712210021337</v>
      </c>
      <c r="G78" s="316">
        <f t="shared" si="2"/>
        <v>0</v>
      </c>
      <c r="H78" s="299"/>
      <c r="I78" s="299"/>
      <c r="J78" s="263"/>
      <c r="K78" s="300"/>
    </row>
    <row r="79" spans="1:11" s="5" customFormat="1" x14ac:dyDescent="0.25">
      <c r="A79" s="2"/>
      <c r="B79" s="2" t="str">
        <f>+Scenarios!B75</f>
        <v>Extractive</v>
      </c>
      <c r="C79" s="283"/>
      <c r="D79" s="289">
        <f>Scenarios!D75</f>
        <v>0</v>
      </c>
      <c r="E79" s="287"/>
      <c r="G79" s="316">
        <f t="shared" si="2"/>
        <v>0</v>
      </c>
      <c r="H79" s="299"/>
      <c r="I79" s="299"/>
      <c r="J79" s="263"/>
      <c r="K79" s="300"/>
    </row>
    <row r="80" spans="1:11" s="5" customFormat="1" x14ac:dyDescent="0.25">
      <c r="A80" s="2"/>
      <c r="B80" s="2" t="str">
        <f>+Scenarios!B76</f>
        <v>Open Urban Land</v>
      </c>
      <c r="C80" s="283"/>
      <c r="D80" s="289">
        <f>Scenarios!D76</f>
        <v>0</v>
      </c>
      <c r="E80" s="287">
        <f>+Loads!H9-Loads!$H$19</f>
        <v>45.717937806050294</v>
      </c>
      <c r="G80" s="316">
        <f t="shared" si="2"/>
        <v>0</v>
      </c>
      <c r="H80" s="299"/>
      <c r="I80" s="299"/>
      <c r="J80" s="263"/>
      <c r="K80" s="300"/>
    </row>
    <row r="81" spans="1:15" s="5" customFormat="1" x14ac:dyDescent="0.25">
      <c r="A81" s="2"/>
      <c r="B81" s="2" t="str">
        <f>+Scenarios!B77</f>
        <v>Transportation</v>
      </c>
      <c r="C81" s="283"/>
      <c r="D81" s="289">
        <f>Scenarios!D77</f>
        <v>0</v>
      </c>
      <c r="E81" s="287"/>
      <c r="G81" s="316">
        <f t="shared" si="2"/>
        <v>0</v>
      </c>
      <c r="H81" s="299"/>
      <c r="I81" s="299"/>
      <c r="J81" s="263"/>
      <c r="K81" s="300"/>
    </row>
    <row r="82" spans="1:15" s="5" customFormat="1" x14ac:dyDescent="0.25">
      <c r="A82" s="2"/>
      <c r="B82" s="2" t="str">
        <f>+Scenarios!B78</f>
        <v>Large Lot Subdivision (Ag)</v>
      </c>
      <c r="C82" s="283"/>
      <c r="D82" s="289">
        <f>Scenarios!D78</f>
        <v>0</v>
      </c>
      <c r="E82" s="287">
        <f>+Loads!H11-Loads!$H$19</f>
        <v>40.684731019820568</v>
      </c>
      <c r="G82" s="316">
        <f t="shared" si="2"/>
        <v>0</v>
      </c>
      <c r="H82" s="299"/>
      <c r="I82" s="299"/>
      <c r="J82" s="263"/>
      <c r="K82" s="300"/>
    </row>
    <row r="83" spans="1:15" s="5" customFormat="1" x14ac:dyDescent="0.25">
      <c r="A83" s="2"/>
      <c r="B83" s="2" t="str">
        <f>+Scenarios!B79</f>
        <v>Large Lot Subdivision (Forest)</v>
      </c>
      <c r="C83" s="283"/>
      <c r="D83" s="289">
        <f>Scenarios!D79</f>
        <v>0</v>
      </c>
      <c r="E83" s="287">
        <f>+Loads!H12-Loads!$H$19</f>
        <v>45.993956138060504</v>
      </c>
      <c r="G83" s="319">
        <f t="shared" si="2"/>
        <v>0</v>
      </c>
      <c r="H83" s="299"/>
      <c r="I83" s="299"/>
      <c r="J83" s="263"/>
      <c r="K83" s="300"/>
    </row>
    <row r="84" spans="1:15" s="5" customFormat="1" x14ac:dyDescent="0.25">
      <c r="B84" s="2"/>
      <c r="C84" s="283"/>
      <c r="G84" s="318">
        <f>SUM(G73:G83)</f>
        <v>0</v>
      </c>
      <c r="H84" s="299"/>
      <c r="I84" s="299"/>
      <c r="J84" s="263"/>
      <c r="K84" s="300"/>
    </row>
    <row r="85" spans="1:15" ht="15.75" x14ac:dyDescent="0.25">
      <c r="A85" s="158" t="s">
        <v>312</v>
      </c>
      <c r="D85" s="269"/>
      <c r="H85" s="7"/>
      <c r="I85" s="7"/>
      <c r="J85" s="104"/>
      <c r="K85" s="16"/>
      <c r="M85" s="2"/>
      <c r="N85" s="2"/>
      <c r="O85" s="2"/>
    </row>
    <row r="86" spans="1:15" s="5" customFormat="1" x14ac:dyDescent="0.25">
      <c r="B86" s="2"/>
      <c r="C86" s="283"/>
      <c r="G86" s="301"/>
      <c r="H86" s="299"/>
      <c r="I86" s="299"/>
      <c r="J86" s="263"/>
      <c r="K86" s="300"/>
    </row>
    <row r="87" spans="1:15" x14ac:dyDescent="0.25">
      <c r="A87" s="159" t="s">
        <v>297</v>
      </c>
      <c r="B87" s="159"/>
      <c r="C87" s="160"/>
      <c r="D87" s="160"/>
      <c r="E87" s="156"/>
      <c r="J87" s="104"/>
      <c r="K87" s="16"/>
      <c r="M87" s="2"/>
      <c r="N87" s="2"/>
      <c r="O87" s="2"/>
    </row>
    <row r="88" spans="1:15" x14ac:dyDescent="0.25">
      <c r="B88" t="s">
        <v>567</v>
      </c>
      <c r="D88" s="33">
        <f>+SewageData!B28</f>
        <v>10</v>
      </c>
      <c r="E88" s="156"/>
      <c r="J88" s="104"/>
      <c r="K88" s="16"/>
      <c r="M88" s="2"/>
      <c r="N88" s="2"/>
      <c r="O88" s="2"/>
    </row>
    <row r="89" spans="1:15" x14ac:dyDescent="0.25">
      <c r="B89" t="s">
        <v>234</v>
      </c>
      <c r="D89" s="20">
        <v>0.6</v>
      </c>
      <c r="E89" s="156"/>
      <c r="J89" s="104"/>
      <c r="K89" s="16"/>
      <c r="M89" s="2"/>
      <c r="N89" s="2"/>
      <c r="O89" s="2"/>
    </row>
    <row r="90" spans="1:15" x14ac:dyDescent="0.25">
      <c r="B90" t="s">
        <v>235</v>
      </c>
      <c r="D90" s="27">
        <f>Scenarios!J79</f>
        <v>0</v>
      </c>
      <c r="E90" s="156"/>
      <c r="H90" s="7"/>
      <c r="J90" s="104"/>
      <c r="K90" s="16"/>
      <c r="M90" s="2"/>
      <c r="N90" s="2"/>
      <c r="O90" s="2"/>
    </row>
    <row r="91" spans="1:15" x14ac:dyDescent="0.25">
      <c r="B91" t="s">
        <v>249</v>
      </c>
      <c r="D91" s="33">
        <f>+D88*D89*D90</f>
        <v>0</v>
      </c>
      <c r="E91" s="156"/>
      <c r="H91" s="16"/>
      <c r="J91" s="104"/>
      <c r="K91" s="16"/>
      <c r="M91" s="2"/>
      <c r="N91" s="2"/>
      <c r="O91" s="2"/>
    </row>
    <row r="92" spans="1:15" s="6" customFormat="1" ht="15.75" thickBot="1" x14ac:dyDescent="0.3">
      <c r="A92" s="193"/>
      <c r="B92" s="194"/>
      <c r="C92" s="194"/>
      <c r="D92" s="268"/>
      <c r="H92" s="190"/>
      <c r="I92" s="190"/>
      <c r="J92" s="191"/>
      <c r="K92" s="192"/>
      <c r="M92" s="5"/>
      <c r="N92" s="5"/>
      <c r="O92" s="5"/>
    </row>
    <row r="93" spans="1:15" ht="15.75" thickTop="1" x14ac:dyDescent="0.25">
      <c r="A93" s="159" t="s">
        <v>303</v>
      </c>
      <c r="B93" s="160"/>
      <c r="C93" s="160"/>
      <c r="D93" s="270"/>
      <c r="E93" s="156"/>
      <c r="J93" s="104"/>
      <c r="K93" s="16"/>
      <c r="M93" s="2"/>
      <c r="N93" s="2"/>
      <c r="O93" s="2"/>
    </row>
    <row r="94" spans="1:15" x14ac:dyDescent="0.25">
      <c r="A94" s="40"/>
      <c r="B94" s="5" t="s">
        <v>580</v>
      </c>
      <c r="C94" s="6"/>
      <c r="D94" s="430">
        <f>SewageData!B41</f>
        <v>1476468</v>
      </c>
      <c r="E94" s="156"/>
      <c r="J94" s="104"/>
      <c r="K94" s="16"/>
      <c r="M94" s="2"/>
      <c r="N94" s="2"/>
      <c r="O94" s="2"/>
    </row>
    <row r="95" spans="1:15" x14ac:dyDescent="0.25">
      <c r="B95" s="6" t="s">
        <v>468</v>
      </c>
      <c r="C95" s="156"/>
      <c r="D95" s="271" t="str">
        <f>Scenarios!D89</f>
        <v>NA</v>
      </c>
      <c r="E95" s="156" t="s">
        <v>467</v>
      </c>
      <c r="J95" s="104"/>
      <c r="K95" s="16"/>
      <c r="M95" s="2"/>
      <c r="N95" s="2"/>
      <c r="O95" s="2"/>
    </row>
    <row r="96" spans="1:15" x14ac:dyDescent="0.25">
      <c r="B96" t="s">
        <v>317</v>
      </c>
      <c r="C96" s="156"/>
      <c r="D96" s="272" t="str">
        <f>Scenarios!D90</f>
        <v>NA</v>
      </c>
      <c r="E96" s="156"/>
      <c r="F96" s="170" t="s">
        <v>469</v>
      </c>
      <c r="J96" s="104"/>
      <c r="K96" s="16"/>
      <c r="M96" s="2"/>
      <c r="N96" s="2"/>
      <c r="O96" s="2"/>
    </row>
    <row r="97" spans="1:15" x14ac:dyDescent="0.25">
      <c r="B97" t="s">
        <v>471</v>
      </c>
      <c r="C97" s="156"/>
      <c r="D97" s="273">
        <f>SewageData!B41</f>
        <v>1476468</v>
      </c>
      <c r="E97" s="156"/>
      <c r="F97" s="2"/>
      <c r="J97" s="104"/>
      <c r="K97" s="16"/>
      <c r="M97" s="2"/>
      <c r="N97" s="2"/>
      <c r="O97" s="2"/>
    </row>
    <row r="98" spans="1:15" x14ac:dyDescent="0.25">
      <c r="B98" t="s">
        <v>249</v>
      </c>
      <c r="C98" s="167"/>
      <c r="D98" s="426">
        <f>D94-D97</f>
        <v>0</v>
      </c>
      <c r="E98" s="156"/>
      <c r="F98" s="2"/>
      <c r="J98" s="104"/>
      <c r="K98" s="16"/>
      <c r="M98" s="2"/>
      <c r="N98" s="2"/>
      <c r="O98" s="2"/>
    </row>
    <row r="99" spans="1:15" x14ac:dyDescent="0.25">
      <c r="A99" s="159" t="s">
        <v>313</v>
      </c>
      <c r="B99" s="160"/>
      <c r="C99" s="160"/>
      <c r="D99" s="270"/>
      <c r="E99" s="156"/>
      <c r="J99" s="104"/>
      <c r="K99" s="16"/>
      <c r="M99" s="2"/>
      <c r="N99" s="2"/>
      <c r="O99" s="2"/>
    </row>
    <row r="100" spans="1:15" x14ac:dyDescent="0.25">
      <c r="A100" s="40"/>
      <c r="B100" s="5" t="s">
        <v>488</v>
      </c>
      <c r="C100" s="6"/>
      <c r="D100" s="274">
        <f>SewageData!B8</f>
        <v>291544596</v>
      </c>
      <c r="E100" s="156"/>
      <c r="F100" t="s">
        <v>491</v>
      </c>
      <c r="J100" s="104"/>
      <c r="K100" s="16"/>
      <c r="M100" s="2"/>
      <c r="N100" s="2"/>
      <c r="O100" s="2"/>
    </row>
    <row r="101" spans="1:15" x14ac:dyDescent="0.25">
      <c r="A101" s="40"/>
      <c r="B101" s="5" t="s">
        <v>489</v>
      </c>
      <c r="C101" s="6"/>
      <c r="D101" s="275">
        <f>(SewageData!B9*SewageData!B14)*(1-IF(Scenarios!C130="yes",Scenarios!C131*Scenarios!C132,0))/MAX((SewageData!B9),0.001)</f>
        <v>0.19999999999999998</v>
      </c>
      <c r="E101" s="156"/>
      <c r="F101" t="s">
        <v>492</v>
      </c>
      <c r="J101" s="104"/>
      <c r="K101" s="16"/>
      <c r="M101" s="2"/>
      <c r="N101" s="2"/>
      <c r="O101" s="2"/>
    </row>
    <row r="102" spans="1:15" x14ac:dyDescent="0.25">
      <c r="A102" s="40"/>
      <c r="B102" t="s">
        <v>331</v>
      </c>
      <c r="C102" s="6"/>
      <c r="D102" s="276">
        <f>SewageData!B12</f>
        <v>4.8309178743961352E-2</v>
      </c>
      <c r="E102" s="156"/>
      <c r="F102" t="s">
        <v>491</v>
      </c>
      <c r="J102" s="104"/>
      <c r="K102" s="16"/>
      <c r="M102" s="2"/>
      <c r="N102" s="2"/>
      <c r="O102" s="2"/>
    </row>
    <row r="103" spans="1:15" x14ac:dyDescent="0.25">
      <c r="B103" t="s">
        <v>471</v>
      </c>
      <c r="D103" s="439">
        <f>(D100*D101*(SewageData!B16*(1-D102)*SewageData!B17+SewageData!B15*D102*SewageData!B18))</f>
        <v>421683.34319999994</v>
      </c>
      <c r="E103" s="156" t="s">
        <v>483</v>
      </c>
      <c r="H103" s="16"/>
      <c r="J103" s="104"/>
      <c r="K103" s="16"/>
      <c r="M103" s="2"/>
      <c r="N103" s="2"/>
      <c r="O103" s="2"/>
    </row>
    <row r="104" spans="1:15" x14ac:dyDescent="0.25">
      <c r="B104" t="s">
        <v>249</v>
      </c>
      <c r="D104" s="412">
        <f>SewageData!B19-D103</f>
        <v>0</v>
      </c>
      <c r="E104" s="156"/>
      <c r="H104" s="16"/>
      <c r="J104" s="104"/>
      <c r="K104" s="16"/>
      <c r="M104" s="2"/>
      <c r="N104" s="2"/>
      <c r="O104" s="2"/>
    </row>
    <row r="105" spans="1:15" x14ac:dyDescent="0.25">
      <c r="A105" s="159" t="s">
        <v>306</v>
      </c>
      <c r="B105" s="159"/>
      <c r="C105" s="160"/>
      <c r="D105" s="270"/>
      <c r="E105" s="156"/>
      <c r="J105" s="104"/>
      <c r="K105" s="16"/>
      <c r="M105" s="2"/>
      <c r="N105" s="2"/>
      <c r="O105" s="2"/>
    </row>
    <row r="106" spans="1:15" x14ac:dyDescent="0.25">
      <c r="A106" s="159"/>
      <c r="B106" s="186" t="s">
        <v>578</v>
      </c>
      <c r="C106" s="160"/>
      <c r="D106" s="279">
        <f>SewageData!B76</f>
        <v>672243.05700000003</v>
      </c>
      <c r="E106" s="156"/>
      <c r="J106" s="104"/>
      <c r="K106" s="16"/>
      <c r="M106" s="2"/>
      <c r="N106" s="2"/>
      <c r="O106" s="2"/>
    </row>
    <row r="107" spans="1:15" x14ac:dyDescent="0.25">
      <c r="A107" s="186"/>
      <c r="B107" s="160" t="s">
        <v>464</v>
      </c>
      <c r="C107" s="160"/>
      <c r="D107" s="277"/>
      <c r="E107" s="156"/>
      <c r="F107" s="5"/>
      <c r="J107" s="104"/>
      <c r="K107" s="16"/>
      <c r="M107" s="2"/>
      <c r="N107" s="2"/>
      <c r="O107" s="2"/>
    </row>
    <row r="108" spans="1:15" x14ac:dyDescent="0.25">
      <c r="A108" s="160"/>
      <c r="B108" s="160" t="s">
        <v>318</v>
      </c>
      <c r="C108" s="167"/>
      <c r="D108" s="278"/>
      <c r="E108" s="156"/>
      <c r="F108" s="170" t="s">
        <v>470</v>
      </c>
      <c r="J108" s="104"/>
      <c r="K108" s="16"/>
      <c r="M108" s="2"/>
      <c r="N108" s="2"/>
      <c r="O108" s="2"/>
    </row>
    <row r="109" spans="1:15" x14ac:dyDescent="0.25">
      <c r="A109" s="160"/>
      <c r="B109" s="160" t="s">
        <v>471</v>
      </c>
      <c r="C109" s="167"/>
      <c r="D109" s="426">
        <f>SewageData!B76-IF((Scenarios!J93*Scenarios!J92)&gt;0,(SewageData!B76*Scenarios!J93*Scenarios!J92),0)</f>
        <v>672243.05700000003</v>
      </c>
      <c r="E109" s="156" t="s">
        <v>466</v>
      </c>
      <c r="F109" s="170" t="s">
        <v>579</v>
      </c>
      <c r="J109" s="104"/>
      <c r="K109" s="16"/>
      <c r="M109" s="2"/>
      <c r="N109" s="2"/>
      <c r="O109" s="2"/>
    </row>
    <row r="110" spans="1:15" x14ac:dyDescent="0.25">
      <c r="A110" s="160"/>
      <c r="B110" t="s">
        <v>249</v>
      </c>
      <c r="C110" s="167"/>
      <c r="D110" s="426">
        <f>D106-D109</f>
        <v>0</v>
      </c>
      <c r="E110" s="156"/>
      <c r="F110" s="170"/>
      <c r="J110" s="104"/>
      <c r="K110" s="16"/>
      <c r="M110" s="2"/>
      <c r="N110" s="2"/>
      <c r="O110" s="2"/>
    </row>
    <row r="111" spans="1:15" x14ac:dyDescent="0.25">
      <c r="A111" s="159" t="s">
        <v>307</v>
      </c>
      <c r="B111" s="159"/>
      <c r="C111" s="160"/>
      <c r="D111" s="270"/>
      <c r="E111" s="156"/>
      <c r="J111" s="104"/>
      <c r="K111" s="16"/>
      <c r="M111" s="2"/>
      <c r="N111" s="2"/>
      <c r="O111" s="2"/>
    </row>
    <row r="112" spans="1:15" ht="15.75" thickBot="1" x14ac:dyDescent="0.3">
      <c r="A112" s="5"/>
      <c r="B112" s="160" t="s">
        <v>449</v>
      </c>
      <c r="C112" s="167"/>
      <c r="D112" s="279">
        <f>Scenarios!D125</f>
        <v>0</v>
      </c>
      <c r="E112" s="156"/>
      <c r="J112" s="104"/>
      <c r="K112" s="16"/>
      <c r="M112" s="2"/>
      <c r="N112" s="2"/>
      <c r="O112" s="2"/>
    </row>
    <row r="113" spans="1:15" ht="16.5" thickTop="1" thickBot="1" x14ac:dyDescent="0.3">
      <c r="A113" s="442"/>
      <c r="B113" s="440" t="s">
        <v>581</v>
      </c>
      <c r="C113" s="406"/>
      <c r="D113" s="441">
        <f>+D92+D98+D104+D110+D112</f>
        <v>0</v>
      </c>
      <c r="E113" s="156"/>
      <c r="J113" s="104"/>
      <c r="K113" s="16"/>
      <c r="M113" s="2"/>
      <c r="N113" s="2"/>
      <c r="O113" s="2"/>
    </row>
    <row r="114" spans="1:15" ht="15.75" thickTop="1" x14ac:dyDescent="0.25">
      <c r="A114" s="5"/>
      <c r="B114" s="5"/>
      <c r="C114" s="294"/>
      <c r="D114" s="408"/>
      <c r="E114" s="156"/>
      <c r="F114" s="2"/>
      <c r="J114" s="104"/>
      <c r="K114" s="16"/>
      <c r="M114" s="2"/>
      <c r="N114" s="2"/>
      <c r="O114" s="2"/>
    </row>
    <row r="115" spans="1:15" x14ac:dyDescent="0.25">
      <c r="A115" s="5"/>
      <c r="B115" s="5"/>
      <c r="C115" s="294"/>
      <c r="D115" s="408"/>
      <c r="E115" s="156"/>
      <c r="F115" s="2"/>
      <c r="J115" s="104"/>
      <c r="K115" s="16"/>
      <c r="M115" s="2"/>
      <c r="N115" s="2"/>
      <c r="O115" s="2"/>
    </row>
    <row r="116" spans="1:15" x14ac:dyDescent="0.25">
      <c r="A116" s="5"/>
      <c r="B116" s="442"/>
      <c r="C116" s="5"/>
      <c r="D116" s="5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Metadata</vt:lpstr>
      <vt:lpstr>QC_Notes</vt:lpstr>
      <vt:lpstr>LandUse-LandCover</vt:lpstr>
      <vt:lpstr>Watershed Data</vt:lpstr>
      <vt:lpstr>BMPs</vt:lpstr>
      <vt:lpstr>SewageData</vt:lpstr>
      <vt:lpstr>Scenarios</vt:lpstr>
      <vt:lpstr>Loads</vt:lpstr>
      <vt:lpstr>Baseline</vt:lpstr>
      <vt:lpstr>Completed</vt:lpstr>
      <vt:lpstr>Permit</vt:lpstr>
      <vt:lpstr>Programmed</vt:lpstr>
      <vt:lpstr>Identified</vt:lpstr>
      <vt:lpstr>Potential</vt:lpstr>
      <vt:lpstr>Summary-Loads</vt:lpstr>
      <vt:lpstr>Summary-Reductions</vt:lpstr>
      <vt:lpstr>Density_NoPerAcre</vt:lpstr>
      <vt:lpstr>Management_Value</vt:lpstr>
      <vt:lpstr>'Summary-Loads'!Print_Area</vt:lpstr>
      <vt:lpstr>Separation_from_GW</vt:lpstr>
      <vt:lpstr>Septic_Management</vt:lpstr>
      <vt:lpstr>Soil_Type</vt:lpstr>
    </vt:vector>
  </TitlesOfParts>
  <Company>KCI Technologies,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Frost</dc:creator>
  <cp:lastModifiedBy>mcamp</cp:lastModifiedBy>
  <cp:lastPrinted>2019-11-14T21:07:54Z</cp:lastPrinted>
  <dcterms:created xsi:type="dcterms:W3CDTF">2019-05-28T21:01:56Z</dcterms:created>
  <dcterms:modified xsi:type="dcterms:W3CDTF">2021-06-18T14:57:17Z</dcterms:modified>
</cp:coreProperties>
</file>