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2017\171701239.33\Engr\Modeling\2018_WTM\models_QC-fix\"/>
    </mc:Choice>
  </mc:AlternateContent>
  <bookViews>
    <workbookView xWindow="80" yWindow="230" windowWidth="19440" windowHeight="10430" tabRatio="866" firstSheet="4" activeTab="8"/>
  </bookViews>
  <sheets>
    <sheet name="Metadata" sheetId="13" r:id="rId1"/>
    <sheet name="Primary Sources" sheetId="1" r:id="rId2"/>
    <sheet name="Secondary Sources" sheetId="2" r:id="rId3"/>
    <sheet name="Existing Management Practices" sheetId="3" r:id="rId4"/>
    <sheet name="Existing Loads" sheetId="6" r:id="rId5"/>
    <sheet name="Stream Restoration Worksheet" sheetId="11" r:id="rId6"/>
    <sheet name="Retrofit Worksheet" sheetId="5" r:id="rId7"/>
    <sheet name="Bacteria Summary" sheetId="12" r:id="rId8"/>
    <sheet name="Future Management Practices" sheetId="4" r:id="rId9"/>
    <sheet name="Loads with Future Practices" sheetId="7" r:id="rId10"/>
    <sheet name="New Development" sheetId="9" r:id="rId11"/>
    <sheet name="Loads With New Development" sheetId="10" r:id="rId12"/>
  </sheets>
  <calcPr calcId="162913"/>
</workbook>
</file>

<file path=xl/calcChain.xml><?xml version="1.0" encoding="utf-8"?>
<calcChain xmlns="http://schemas.openxmlformats.org/spreadsheetml/2006/main">
  <c r="F366" i="4" l="1"/>
  <c r="F136" i="2"/>
  <c r="E100" i="9"/>
  <c r="AX78" i="5"/>
  <c r="AZ78" i="5"/>
  <c r="F367" i="4"/>
  <c r="C19" i="2" l="1"/>
  <c r="D52" i="1" l="1"/>
  <c r="E52" i="1" s="1"/>
  <c r="E32" i="1"/>
  <c r="E23" i="1"/>
  <c r="E22" i="1"/>
  <c r="E15" i="1"/>
  <c r="E13" i="1"/>
  <c r="E12" i="1"/>
  <c r="E11" i="1"/>
  <c r="C127" i="3" l="1"/>
  <c r="C136" i="3"/>
  <c r="AR23" i="5" l="1"/>
  <c r="AS23" i="5"/>
  <c r="AT23" i="5"/>
  <c r="AU23" i="5"/>
  <c r="AV23" i="5"/>
  <c r="AW23" i="5"/>
  <c r="AX23" i="5"/>
  <c r="AR24" i="5"/>
  <c r="AS24" i="5"/>
  <c r="AT24" i="5"/>
  <c r="AU24" i="5"/>
  <c r="AV24" i="5"/>
  <c r="AW24" i="5"/>
  <c r="AX24" i="5"/>
  <c r="AR25" i="5"/>
  <c r="AS25" i="5"/>
  <c r="AT25" i="5"/>
  <c r="AU25" i="5"/>
  <c r="AV25" i="5"/>
  <c r="AW25" i="5"/>
  <c r="AX25" i="5"/>
  <c r="AR26" i="5"/>
  <c r="AS26" i="5"/>
  <c r="AT26" i="5"/>
  <c r="AU26" i="5"/>
  <c r="AV26" i="5"/>
  <c r="AW26" i="5"/>
  <c r="AX26" i="5"/>
  <c r="AR27" i="5"/>
  <c r="AS27" i="5"/>
  <c r="AT27" i="5"/>
  <c r="AU27" i="5"/>
  <c r="AV27" i="5"/>
  <c r="AW27" i="5"/>
  <c r="AX27" i="5"/>
  <c r="AR28" i="5"/>
  <c r="AS28" i="5"/>
  <c r="AT28" i="5"/>
  <c r="AU28" i="5"/>
  <c r="AV28" i="5"/>
  <c r="AW28" i="5"/>
  <c r="AX28" i="5"/>
  <c r="AR29" i="5"/>
  <c r="AS29" i="5"/>
  <c r="AT29" i="5"/>
  <c r="AU29" i="5"/>
  <c r="AV29" i="5"/>
  <c r="AW29" i="5"/>
  <c r="AX29" i="5"/>
  <c r="AR30" i="5"/>
  <c r="AS30" i="5"/>
  <c r="AT30" i="5"/>
  <c r="AU30" i="5"/>
  <c r="AV30" i="5"/>
  <c r="AW30" i="5"/>
  <c r="AX30" i="5"/>
  <c r="AR31" i="5"/>
  <c r="AS31" i="5"/>
  <c r="AT31" i="5"/>
  <c r="AU31" i="5"/>
  <c r="AV31" i="5"/>
  <c r="AW31" i="5"/>
  <c r="AX31" i="5"/>
  <c r="AR32" i="5"/>
  <c r="AS32" i="5"/>
  <c r="AT32" i="5"/>
  <c r="AU32" i="5"/>
  <c r="AV32" i="5"/>
  <c r="AW32" i="5"/>
  <c r="AX32" i="5"/>
  <c r="AR33" i="5"/>
  <c r="AS33" i="5"/>
  <c r="AT33" i="5"/>
  <c r="AU33" i="5"/>
  <c r="AV33" i="5"/>
  <c r="AW33" i="5"/>
  <c r="AX33" i="5"/>
  <c r="AR34" i="5"/>
  <c r="AS34" i="5"/>
  <c r="AT34" i="5"/>
  <c r="AU34" i="5"/>
  <c r="AV34" i="5"/>
  <c r="AW34" i="5"/>
  <c r="AX34" i="5"/>
  <c r="AR35" i="5"/>
  <c r="AS35" i="5"/>
  <c r="AT35" i="5"/>
  <c r="AU35" i="5"/>
  <c r="AV35" i="5"/>
  <c r="AW35" i="5"/>
  <c r="AX35" i="5"/>
  <c r="AR36" i="5"/>
  <c r="AS36" i="5"/>
  <c r="AT36" i="5"/>
  <c r="AU36" i="5"/>
  <c r="AV36" i="5"/>
  <c r="AW36" i="5"/>
  <c r="AX36" i="5"/>
  <c r="AR37" i="5"/>
  <c r="AS37" i="5"/>
  <c r="AT37" i="5"/>
  <c r="AU37" i="5"/>
  <c r="AV37" i="5"/>
  <c r="AW37" i="5"/>
  <c r="AX37" i="5"/>
  <c r="AR38" i="5"/>
  <c r="AS38" i="5"/>
  <c r="AT38" i="5"/>
  <c r="AU38" i="5"/>
  <c r="AV38" i="5"/>
  <c r="AW38" i="5"/>
  <c r="AX38" i="5"/>
  <c r="AR39" i="5"/>
  <c r="AS39" i="5"/>
  <c r="AT39" i="5"/>
  <c r="AU39" i="5"/>
  <c r="AV39" i="5"/>
  <c r="AW39" i="5"/>
  <c r="AX39" i="5"/>
  <c r="AR40" i="5"/>
  <c r="AS40" i="5"/>
  <c r="AT40" i="5"/>
  <c r="AU40" i="5"/>
  <c r="AV40" i="5"/>
  <c r="AW40" i="5"/>
  <c r="AX40" i="5"/>
  <c r="AR41" i="5"/>
  <c r="AS41" i="5"/>
  <c r="AT41" i="5"/>
  <c r="AU41" i="5"/>
  <c r="AV41" i="5"/>
  <c r="AW41" i="5"/>
  <c r="AX41" i="5"/>
  <c r="AR42" i="5"/>
  <c r="AS42" i="5"/>
  <c r="AT42" i="5"/>
  <c r="AU42" i="5"/>
  <c r="AV42" i="5"/>
  <c r="AW42" i="5"/>
  <c r="AX42" i="5"/>
  <c r="AR43" i="5"/>
  <c r="AS43" i="5"/>
  <c r="AT43" i="5"/>
  <c r="AU43" i="5"/>
  <c r="AV43" i="5"/>
  <c r="AW43" i="5"/>
  <c r="AX43" i="5"/>
  <c r="AR44" i="5"/>
  <c r="AS44" i="5"/>
  <c r="AT44" i="5"/>
  <c r="AU44" i="5"/>
  <c r="AV44" i="5"/>
  <c r="AW44" i="5"/>
  <c r="AX44" i="5"/>
  <c r="AR45" i="5"/>
  <c r="AS45" i="5"/>
  <c r="AT45" i="5"/>
  <c r="AU45" i="5"/>
  <c r="AV45" i="5"/>
  <c r="AW45" i="5"/>
  <c r="AX45" i="5"/>
  <c r="AR46" i="5"/>
  <c r="AS46" i="5"/>
  <c r="AT46" i="5"/>
  <c r="AU46" i="5"/>
  <c r="AV46" i="5"/>
  <c r="AW46" i="5"/>
  <c r="AX46" i="5"/>
  <c r="AX22" i="5" l="1"/>
  <c r="AT22" i="5"/>
  <c r="AW22" i="5"/>
  <c r="AS22" i="5"/>
  <c r="AV22" i="5"/>
  <c r="AR22" i="5"/>
  <c r="AU22" i="5"/>
  <c r="C18" i="2" l="1"/>
  <c r="E53" i="1" l="1"/>
  <c r="D53" i="1"/>
  <c r="C74" i="1" l="1"/>
  <c r="AY83" i="5"/>
  <c r="AX83" i="5"/>
  <c r="AW83" i="5"/>
  <c r="AV83" i="5"/>
  <c r="AU83" i="5"/>
  <c r="AT83" i="5"/>
  <c r="AS83" i="5"/>
  <c r="AR83" i="5"/>
  <c r="AQ83" i="5"/>
  <c r="AP83" i="5"/>
  <c r="AY82" i="5"/>
  <c r="AX82" i="5"/>
  <c r="AW82" i="5"/>
  <c r="AV82" i="5"/>
  <c r="AU82" i="5"/>
  <c r="AT82" i="5"/>
  <c r="AS82" i="5"/>
  <c r="AR82" i="5"/>
  <c r="AQ82" i="5"/>
  <c r="AP82" i="5"/>
  <c r="AY81" i="5"/>
  <c r="AX81" i="5"/>
  <c r="AW81" i="5"/>
  <c r="AV81" i="5"/>
  <c r="AU81" i="5"/>
  <c r="AT81" i="5"/>
  <c r="AS81" i="5"/>
  <c r="AR81" i="5"/>
  <c r="AQ81" i="5"/>
  <c r="AP81" i="5"/>
  <c r="AY80" i="5"/>
  <c r="AX80" i="5"/>
  <c r="AW80" i="5"/>
  <c r="AV80" i="5"/>
  <c r="AU80" i="5"/>
  <c r="AT80" i="5"/>
  <c r="AS80" i="5"/>
  <c r="AR80" i="5"/>
  <c r="AQ80" i="5"/>
  <c r="AP80" i="5"/>
  <c r="AY79" i="5"/>
  <c r="AX79" i="5"/>
  <c r="AW79" i="5"/>
  <c r="AV79" i="5"/>
  <c r="AU79" i="5"/>
  <c r="AT79" i="5"/>
  <c r="AS79" i="5"/>
  <c r="AR79" i="5"/>
  <c r="AQ79" i="5"/>
  <c r="AP79" i="5"/>
  <c r="AY78" i="5"/>
  <c r="AW78" i="5"/>
  <c r="AV78" i="5"/>
  <c r="AU78" i="5"/>
  <c r="AT78" i="5"/>
  <c r="AS78" i="5"/>
  <c r="AR78" i="5"/>
  <c r="AQ78" i="5"/>
  <c r="AP78" i="5"/>
  <c r="AY77" i="5"/>
  <c r="AX77" i="5"/>
  <c r="AW77" i="5"/>
  <c r="AV77" i="5"/>
  <c r="AU77" i="5"/>
  <c r="AT77" i="5"/>
  <c r="AS77" i="5"/>
  <c r="AR77" i="5"/>
  <c r="AQ77" i="5"/>
  <c r="AP77" i="5"/>
  <c r="AY76" i="5"/>
  <c r="AX76" i="5"/>
  <c r="AW76" i="5"/>
  <c r="AV76" i="5"/>
  <c r="AU76" i="5"/>
  <c r="AT76" i="5"/>
  <c r="AS76" i="5"/>
  <c r="AR76" i="5"/>
  <c r="AQ76" i="5"/>
  <c r="AP76" i="5"/>
  <c r="AY75" i="5"/>
  <c r="AX75" i="5"/>
  <c r="AW75" i="5"/>
  <c r="AV75" i="5"/>
  <c r="AU75" i="5"/>
  <c r="AT75" i="5"/>
  <c r="AS75" i="5"/>
  <c r="AR75" i="5"/>
  <c r="AQ75" i="5"/>
  <c r="AP75" i="5"/>
  <c r="AY74" i="5"/>
  <c r="AX74" i="5"/>
  <c r="AW74" i="5"/>
  <c r="AV74" i="5"/>
  <c r="AU74" i="5"/>
  <c r="AT74" i="5"/>
  <c r="AS74" i="5"/>
  <c r="AR74" i="5"/>
  <c r="AQ74" i="5"/>
  <c r="AP74" i="5"/>
  <c r="AY73" i="5"/>
  <c r="AX73" i="5"/>
  <c r="AW73" i="5"/>
  <c r="AV73" i="5"/>
  <c r="AU73" i="5"/>
  <c r="AT73" i="5"/>
  <c r="AS73" i="5"/>
  <c r="AR73" i="5"/>
  <c r="AQ73" i="5"/>
  <c r="AP73" i="5"/>
  <c r="AZ73" i="5" s="1"/>
  <c r="BA73" i="5" l="1"/>
  <c r="AZ74" i="5"/>
  <c r="C56" i="4" s="1"/>
  <c r="AZ76" i="5"/>
  <c r="AZ80" i="5"/>
  <c r="AZ82" i="5"/>
  <c r="BA82" i="5" s="1"/>
  <c r="AZ75" i="5"/>
  <c r="C105" i="3" s="1"/>
  <c r="AZ77" i="5"/>
  <c r="AZ79" i="5"/>
  <c r="AZ81" i="5"/>
  <c r="BA81" i="5" s="1"/>
  <c r="AZ83" i="5"/>
  <c r="BA83" i="5" s="1"/>
  <c r="BA75" i="5"/>
  <c r="BA74" i="5"/>
  <c r="BA76" i="5"/>
  <c r="BA80" i="5"/>
  <c r="BA77" i="5" l="1"/>
  <c r="D129" i="4"/>
  <c r="BA78" i="5"/>
  <c r="C246" i="4"/>
  <c r="BA79" i="5"/>
  <c r="C256" i="4"/>
  <c r="G7" i="11"/>
  <c r="G8" i="11"/>
  <c r="G9" i="11"/>
  <c r="G10" i="11"/>
  <c r="D10" i="11"/>
  <c r="AP59" i="5"/>
  <c r="AZ59" i="5" s="1"/>
  <c r="BA59" i="5" s="1"/>
  <c r="AP57" i="5"/>
  <c r="AQ57" i="5"/>
  <c r="AR57" i="5"/>
  <c r="AS57" i="5"/>
  <c r="AT57" i="5"/>
  <c r="AU57" i="5"/>
  <c r="AV57" i="5"/>
  <c r="AW57" i="5"/>
  <c r="AX57" i="5"/>
  <c r="AY57" i="5"/>
  <c r="AP58" i="5"/>
  <c r="AZ58" i="5" s="1"/>
  <c r="AQ58" i="5"/>
  <c r="AR58" i="5"/>
  <c r="AS58" i="5"/>
  <c r="AT58" i="5"/>
  <c r="AU58" i="5"/>
  <c r="AV58" i="5"/>
  <c r="AW58" i="5"/>
  <c r="AX58" i="5"/>
  <c r="AY58" i="5"/>
  <c r="AQ59" i="5"/>
  <c r="AR59" i="5"/>
  <c r="AS59" i="5"/>
  <c r="AT59" i="5"/>
  <c r="AU59" i="5"/>
  <c r="AV59" i="5"/>
  <c r="AW59" i="5"/>
  <c r="AX59" i="5"/>
  <c r="AY59" i="5"/>
  <c r="AP60" i="5"/>
  <c r="AQ60" i="5"/>
  <c r="AR60" i="5"/>
  <c r="AS60" i="5"/>
  <c r="AT60" i="5"/>
  <c r="AU60" i="5"/>
  <c r="AV60" i="5"/>
  <c r="AW60" i="5"/>
  <c r="AX60" i="5"/>
  <c r="AY60" i="5"/>
  <c r="AP61" i="5"/>
  <c r="AQ61" i="5"/>
  <c r="AR61" i="5"/>
  <c r="AS61" i="5"/>
  <c r="AT61" i="5"/>
  <c r="AU61" i="5"/>
  <c r="AV61" i="5"/>
  <c r="AW61" i="5"/>
  <c r="AX61" i="5"/>
  <c r="AY61" i="5"/>
  <c r="AP62" i="5"/>
  <c r="AQ62" i="5"/>
  <c r="AR62" i="5"/>
  <c r="AS62" i="5"/>
  <c r="AT62" i="5"/>
  <c r="AU62" i="5"/>
  <c r="AV62" i="5"/>
  <c r="AZ62" i="5" s="1"/>
  <c r="BA62" i="5" s="1"/>
  <c r="AW62" i="5"/>
  <c r="AX62" i="5"/>
  <c r="AY62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AP66" i="5"/>
  <c r="AQ66" i="5"/>
  <c r="AR66" i="5"/>
  <c r="AS66" i="5"/>
  <c r="AT66" i="5"/>
  <c r="AU66" i="5"/>
  <c r="AV66" i="5"/>
  <c r="AW66" i="5"/>
  <c r="AX66" i="5"/>
  <c r="AY66" i="5"/>
  <c r="AZ66" i="5"/>
  <c r="AP67" i="5"/>
  <c r="AQ67" i="5"/>
  <c r="AR67" i="5"/>
  <c r="AS67" i="5"/>
  <c r="AT67" i="5"/>
  <c r="AZ67" i="5" s="1"/>
  <c r="BA67" i="5" s="1"/>
  <c r="AU67" i="5"/>
  <c r="AV67" i="5"/>
  <c r="AW67" i="5"/>
  <c r="AX67" i="5"/>
  <c r="AY67" i="5"/>
  <c r="AP68" i="5"/>
  <c r="AQ68" i="5"/>
  <c r="AR68" i="5"/>
  <c r="AS68" i="5"/>
  <c r="AT68" i="5"/>
  <c r="AU68" i="5"/>
  <c r="AV68" i="5"/>
  <c r="AW68" i="5"/>
  <c r="AX68" i="5"/>
  <c r="AY68" i="5"/>
  <c r="AP69" i="5"/>
  <c r="AQ69" i="5"/>
  <c r="AR69" i="5"/>
  <c r="AS69" i="5"/>
  <c r="AT69" i="5"/>
  <c r="AU69" i="5"/>
  <c r="AV69" i="5"/>
  <c r="AW69" i="5"/>
  <c r="AX69" i="5"/>
  <c r="AY69" i="5"/>
  <c r="AP70" i="5"/>
  <c r="AQ70" i="5"/>
  <c r="AR70" i="5"/>
  <c r="AS70" i="5"/>
  <c r="AT70" i="5"/>
  <c r="AU70" i="5"/>
  <c r="AV70" i="5"/>
  <c r="AW70" i="5"/>
  <c r="AX70" i="5"/>
  <c r="AY70" i="5"/>
  <c r="AP71" i="5"/>
  <c r="AQ71" i="5"/>
  <c r="AR71" i="5"/>
  <c r="AS71" i="5"/>
  <c r="AT71" i="5"/>
  <c r="AU71" i="5"/>
  <c r="AV71" i="5"/>
  <c r="AW71" i="5"/>
  <c r="AX71" i="5"/>
  <c r="AY71" i="5"/>
  <c r="AP72" i="5"/>
  <c r="AQ72" i="5"/>
  <c r="AR72" i="5"/>
  <c r="AS72" i="5"/>
  <c r="AT72" i="5"/>
  <c r="AU72" i="5"/>
  <c r="AV72" i="5"/>
  <c r="AW72" i="5"/>
  <c r="AX72" i="5"/>
  <c r="AY72" i="5"/>
  <c r="AZ69" i="5" l="1"/>
  <c r="D5" i="11" s="1"/>
  <c r="BA58" i="5"/>
  <c r="AZ68" i="5"/>
  <c r="BA68" i="5" s="1"/>
  <c r="AZ61" i="5"/>
  <c r="BA61" i="5" s="1"/>
  <c r="AZ71" i="5"/>
  <c r="AZ70" i="5"/>
  <c r="BA70" i="5" s="1"/>
  <c r="AZ57" i="5"/>
  <c r="BA57" i="5" s="1"/>
  <c r="D4" i="11"/>
  <c r="BA66" i="5"/>
  <c r="BA71" i="5"/>
  <c r="AZ72" i="5"/>
  <c r="D8" i="11" s="1"/>
  <c r="AZ60" i="5"/>
  <c r="D7" i="11"/>
  <c r="BA69" i="5"/>
  <c r="D6" i="11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R47" i="5"/>
  <c r="AS47" i="5"/>
  <c r="AT47" i="5"/>
  <c r="AU47" i="5"/>
  <c r="AV47" i="5"/>
  <c r="AW47" i="5"/>
  <c r="AX47" i="5"/>
  <c r="AY47" i="5"/>
  <c r="AR48" i="5"/>
  <c r="AS48" i="5"/>
  <c r="AT48" i="5"/>
  <c r="AU48" i="5"/>
  <c r="AV48" i="5"/>
  <c r="AW48" i="5"/>
  <c r="AX48" i="5"/>
  <c r="AY48" i="5"/>
  <c r="AR49" i="5"/>
  <c r="AS49" i="5"/>
  <c r="AT49" i="5"/>
  <c r="AU49" i="5"/>
  <c r="AV49" i="5"/>
  <c r="AW49" i="5"/>
  <c r="AX49" i="5"/>
  <c r="AY49" i="5"/>
  <c r="AR50" i="5"/>
  <c r="AS50" i="5"/>
  <c r="AT50" i="5"/>
  <c r="AU50" i="5"/>
  <c r="AV50" i="5"/>
  <c r="AW50" i="5"/>
  <c r="AX50" i="5"/>
  <c r="AY50" i="5"/>
  <c r="AR51" i="5"/>
  <c r="AS51" i="5"/>
  <c r="AT51" i="5"/>
  <c r="AU51" i="5"/>
  <c r="AV51" i="5"/>
  <c r="AW51" i="5"/>
  <c r="AX51" i="5"/>
  <c r="AY51" i="5"/>
  <c r="AR52" i="5"/>
  <c r="AS52" i="5"/>
  <c r="AT52" i="5"/>
  <c r="AU52" i="5"/>
  <c r="AV52" i="5"/>
  <c r="AW52" i="5"/>
  <c r="AX52" i="5"/>
  <c r="AY52" i="5"/>
  <c r="AR53" i="5"/>
  <c r="AS53" i="5"/>
  <c r="AT53" i="5"/>
  <c r="AU53" i="5"/>
  <c r="AV53" i="5"/>
  <c r="AW53" i="5"/>
  <c r="AX53" i="5"/>
  <c r="AY53" i="5"/>
  <c r="AR54" i="5"/>
  <c r="AS54" i="5"/>
  <c r="AT54" i="5"/>
  <c r="AU54" i="5"/>
  <c r="AV54" i="5"/>
  <c r="AW54" i="5"/>
  <c r="AX54" i="5"/>
  <c r="AY54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D130" i="3"/>
  <c r="C130" i="3"/>
  <c r="D128" i="3"/>
  <c r="C128" i="3"/>
  <c r="D131" i="3"/>
  <c r="C131" i="3"/>
  <c r="D129" i="3"/>
  <c r="C129" i="3"/>
  <c r="D125" i="3"/>
  <c r="C125" i="3"/>
  <c r="D127" i="3"/>
  <c r="D136" i="3"/>
  <c r="BA72" i="5" l="1"/>
  <c r="D9" i="11"/>
  <c r="BA60" i="5"/>
  <c r="D132" i="3"/>
  <c r="C132" i="3"/>
  <c r="D135" i="3"/>
  <c r="C135" i="3"/>
  <c r="G5" i="11" l="1"/>
  <c r="G6" i="11"/>
  <c r="G4" i="11"/>
  <c r="AZ50" i="5" l="1"/>
  <c r="BA50" i="5" s="1"/>
  <c r="AZ51" i="5"/>
  <c r="BA51" i="5" s="1"/>
  <c r="AZ52" i="5"/>
  <c r="BA52" i="5" s="1"/>
  <c r="AZ53" i="5"/>
  <c r="AQ53" i="5"/>
  <c r="AP54" i="5"/>
  <c r="AZ54" i="5" s="1"/>
  <c r="AQ54" i="5"/>
  <c r="AP55" i="5"/>
  <c r="AQ55" i="5"/>
  <c r="AR55" i="5"/>
  <c r="AS55" i="5"/>
  <c r="AT55" i="5"/>
  <c r="AU55" i="5"/>
  <c r="AV55" i="5"/>
  <c r="AW55" i="5"/>
  <c r="AX55" i="5"/>
  <c r="AY55" i="5"/>
  <c r="AP56" i="5"/>
  <c r="AQ56" i="5"/>
  <c r="AR56" i="5"/>
  <c r="AS56" i="5"/>
  <c r="AT56" i="5"/>
  <c r="AU56" i="5"/>
  <c r="AV56" i="5"/>
  <c r="AW56" i="5"/>
  <c r="AX56" i="5"/>
  <c r="AY56" i="5"/>
  <c r="BI22" i="5"/>
  <c r="BH22" i="5"/>
  <c r="BG22" i="5"/>
  <c r="BF22" i="5"/>
  <c r="BE22" i="5"/>
  <c r="BD22" i="5"/>
  <c r="AZ37" i="5"/>
  <c r="C37" i="5" s="1"/>
  <c r="AZ38" i="5"/>
  <c r="C38" i="5" s="1"/>
  <c r="AZ39" i="5"/>
  <c r="C39" i="5" s="1"/>
  <c r="AZ40" i="5"/>
  <c r="BA40" i="5" s="1"/>
  <c r="AZ41" i="5"/>
  <c r="AZ42" i="5"/>
  <c r="BA42" i="5" s="1"/>
  <c r="AZ43" i="5"/>
  <c r="AZ44" i="5"/>
  <c r="BA44" i="5" s="1"/>
  <c r="AZ45" i="5"/>
  <c r="AZ46" i="5"/>
  <c r="BA46" i="5" s="1"/>
  <c r="AZ47" i="5"/>
  <c r="AZ48" i="5"/>
  <c r="BA48" i="5" s="1"/>
  <c r="BA53" i="5" l="1"/>
  <c r="BA38" i="5"/>
  <c r="D38" i="5" s="1"/>
  <c r="AZ55" i="5"/>
  <c r="BA55" i="5" s="1"/>
  <c r="BA37" i="5"/>
  <c r="D37" i="5" s="1"/>
  <c r="AZ56" i="5"/>
  <c r="BA56" i="5" s="1"/>
  <c r="BA54" i="5"/>
  <c r="BA45" i="5"/>
  <c r="BA41" i="5"/>
  <c r="BA47" i="5"/>
  <c r="BA43" i="5"/>
  <c r="BA39" i="5"/>
  <c r="D39" i="5" s="1"/>
  <c r="AZ49" i="5"/>
  <c r="BA49" i="5" s="1"/>
  <c r="AY26" i="5"/>
  <c r="AQ26" i="5"/>
  <c r="AP26" i="5"/>
  <c r="AY25" i="5"/>
  <c r="AQ25" i="5"/>
  <c r="AP25" i="5"/>
  <c r="AY24" i="5"/>
  <c r="AQ24" i="5"/>
  <c r="AP24" i="5"/>
  <c r="AY23" i="5"/>
  <c r="AQ23" i="5"/>
  <c r="AP23" i="5"/>
  <c r="BM22" i="5"/>
  <c r="BL22" i="5"/>
  <c r="BK22" i="5"/>
  <c r="BJ22" i="5"/>
  <c r="AP22" i="5" l="1"/>
  <c r="AY22" i="5"/>
  <c r="AQ22" i="5"/>
  <c r="AZ27" i="5"/>
  <c r="AZ29" i="5"/>
  <c r="AZ31" i="5"/>
  <c r="AZ33" i="5"/>
  <c r="AZ35" i="5"/>
  <c r="AZ28" i="5"/>
  <c r="AZ30" i="5"/>
  <c r="AZ32" i="5"/>
  <c r="AZ34" i="5"/>
  <c r="AZ36" i="5"/>
  <c r="C286" i="4" l="1"/>
  <c r="C269" i="4"/>
  <c r="C276" i="4"/>
  <c r="C263" i="4"/>
  <c r="BA36" i="5"/>
  <c r="D36" i="5" s="1"/>
  <c r="C36" i="5"/>
  <c r="BA28" i="5"/>
  <c r="D28" i="5" s="1"/>
  <c r="C28" i="5"/>
  <c r="BA29" i="5"/>
  <c r="D29" i="5" s="1"/>
  <c r="C29" i="5"/>
  <c r="BA34" i="5"/>
  <c r="D34" i="5" s="1"/>
  <c r="C34" i="5"/>
  <c r="BA35" i="5"/>
  <c r="D35" i="5" s="1"/>
  <c r="C35" i="5"/>
  <c r="BA27" i="5"/>
  <c r="D27" i="5" s="1"/>
  <c r="C27" i="5"/>
  <c r="BA32" i="5"/>
  <c r="D32" i="5" s="1"/>
  <c r="C32" i="5"/>
  <c r="BA33" i="5"/>
  <c r="D33" i="5" s="1"/>
  <c r="C33" i="5"/>
  <c r="BA30" i="5"/>
  <c r="D30" i="5" s="1"/>
  <c r="C30" i="5"/>
  <c r="BA31" i="5"/>
  <c r="D31" i="5" s="1"/>
  <c r="C31" i="5"/>
  <c r="C56" i="5" l="1"/>
  <c r="C49" i="1"/>
  <c r="B10" i="12"/>
  <c r="F17" i="1" l="1"/>
  <c r="C73" i="12" l="1"/>
  <c r="C80" i="12"/>
  <c r="C81" i="12"/>
  <c r="C82" i="12"/>
  <c r="C83" i="12"/>
  <c r="C66" i="12"/>
  <c r="C67" i="5"/>
  <c r="D67" i="5"/>
  <c r="E67" i="5"/>
  <c r="F67" i="5"/>
  <c r="G67" i="5"/>
  <c r="H67" i="5" s="1"/>
  <c r="I67" i="5"/>
  <c r="J67" i="5" s="1"/>
  <c r="C73" i="5"/>
  <c r="D73" i="5"/>
  <c r="E73" i="5"/>
  <c r="F73" i="5"/>
  <c r="G73" i="5"/>
  <c r="H73" i="5" s="1"/>
  <c r="I73" i="5"/>
  <c r="J73" i="5" s="1"/>
  <c r="I68" i="5"/>
  <c r="J68" i="5" s="1"/>
  <c r="I69" i="5"/>
  <c r="J69" i="5" s="1"/>
  <c r="I70" i="5"/>
  <c r="I71" i="5"/>
  <c r="J71" i="5" s="1"/>
  <c r="I74" i="5"/>
  <c r="J74" i="5" s="1"/>
  <c r="I75" i="5"/>
  <c r="J75" i="5" s="1"/>
  <c r="I76" i="5"/>
  <c r="J76" i="5" s="1"/>
  <c r="I77" i="5"/>
  <c r="J77" i="5" s="1"/>
  <c r="I78" i="5"/>
  <c r="J78" i="5" s="1"/>
  <c r="I79" i="5"/>
  <c r="J79" i="5" s="1"/>
  <c r="I81" i="5"/>
  <c r="J81" i="5" s="1"/>
  <c r="I82" i="5"/>
  <c r="J82" i="5" s="1"/>
  <c r="I83" i="5"/>
  <c r="J83" i="5" s="1"/>
  <c r="I84" i="5"/>
  <c r="J84" i="5" s="1"/>
  <c r="I85" i="5"/>
  <c r="J85" i="5" s="1"/>
  <c r="G85" i="5"/>
  <c r="H85" i="5" s="1"/>
  <c r="G84" i="5"/>
  <c r="H84" i="5" s="1"/>
  <c r="G83" i="5"/>
  <c r="H83" i="5" s="1"/>
  <c r="G82" i="5"/>
  <c r="H82" i="5" s="1"/>
  <c r="G81" i="5"/>
  <c r="H81" i="5" s="1"/>
  <c r="G79" i="5"/>
  <c r="H79" i="5" s="1"/>
  <c r="G78" i="5"/>
  <c r="H78" i="5" s="1"/>
  <c r="G77" i="5"/>
  <c r="H77" i="5" s="1"/>
  <c r="G76" i="5"/>
  <c r="H76" i="5" s="1"/>
  <c r="G75" i="5"/>
  <c r="H75" i="5" s="1"/>
  <c r="G74" i="5"/>
  <c r="G71" i="5"/>
  <c r="H71" i="5" s="1"/>
  <c r="G70" i="5"/>
  <c r="G69" i="5"/>
  <c r="H69" i="5" s="1"/>
  <c r="G68" i="5"/>
  <c r="H68" i="5" s="1"/>
  <c r="F85" i="5"/>
  <c r="F84" i="5"/>
  <c r="F83" i="5"/>
  <c r="F82" i="5"/>
  <c r="F81" i="5"/>
  <c r="F79" i="5"/>
  <c r="F78" i="5"/>
  <c r="F77" i="5"/>
  <c r="F76" i="5"/>
  <c r="F75" i="5"/>
  <c r="F74" i="5"/>
  <c r="F71" i="5"/>
  <c r="F70" i="5"/>
  <c r="F69" i="5"/>
  <c r="F68" i="5"/>
  <c r="E85" i="5"/>
  <c r="D85" i="5"/>
  <c r="C85" i="5"/>
  <c r="E84" i="5"/>
  <c r="D84" i="5"/>
  <c r="C84" i="5"/>
  <c r="E83" i="5"/>
  <c r="D83" i="5"/>
  <c r="C83" i="5"/>
  <c r="E82" i="5"/>
  <c r="D82" i="5"/>
  <c r="C82" i="5"/>
  <c r="E81" i="5"/>
  <c r="D81" i="5"/>
  <c r="C81" i="5"/>
  <c r="E79" i="5"/>
  <c r="D79" i="5"/>
  <c r="C79" i="5"/>
  <c r="E78" i="5"/>
  <c r="D78" i="5"/>
  <c r="C78" i="5"/>
  <c r="E77" i="5"/>
  <c r="D77" i="5"/>
  <c r="C77" i="5"/>
  <c r="H90" i="5" s="1"/>
  <c r="E76" i="5"/>
  <c r="D76" i="5"/>
  <c r="C76" i="5"/>
  <c r="E75" i="5"/>
  <c r="D75" i="5"/>
  <c r="C75" i="5"/>
  <c r="E74" i="5"/>
  <c r="D74" i="5"/>
  <c r="C74" i="5"/>
  <c r="E71" i="5"/>
  <c r="D71" i="5"/>
  <c r="C71" i="5"/>
  <c r="E70" i="5"/>
  <c r="D70" i="5"/>
  <c r="C70" i="5"/>
  <c r="E69" i="5"/>
  <c r="D69" i="5"/>
  <c r="C69" i="5"/>
  <c r="E68" i="5"/>
  <c r="D68" i="5"/>
  <c r="C68" i="5"/>
  <c r="H91" i="5" s="1"/>
  <c r="B67" i="5"/>
  <c r="B197" i="4" s="1"/>
  <c r="B68" i="5"/>
  <c r="B69" i="5"/>
  <c r="B70" i="5"/>
  <c r="B200" i="4" s="1"/>
  <c r="B71" i="5"/>
  <c r="B201" i="4" s="1"/>
  <c r="A71" i="12" s="1"/>
  <c r="B202" i="4"/>
  <c r="B72" i="5"/>
  <c r="B203" i="4" s="1"/>
  <c r="A73" i="12" s="1"/>
  <c r="B73" i="5"/>
  <c r="B204" i="4" s="1"/>
  <c r="B74" i="5"/>
  <c r="B205" i="4" s="1"/>
  <c r="A75" i="12" s="1"/>
  <c r="B75" i="5"/>
  <c r="B206" i="4" s="1"/>
  <c r="A76" i="12" s="1"/>
  <c r="B76" i="5"/>
  <c r="B207" i="4" s="1"/>
  <c r="A77" i="12" s="1"/>
  <c r="B77" i="5"/>
  <c r="B208" i="4" s="1"/>
  <c r="B78" i="5"/>
  <c r="B209" i="4" s="1"/>
  <c r="B79" i="5"/>
  <c r="B210" i="4" s="1"/>
  <c r="A80" i="12" s="1"/>
  <c r="B80" i="5"/>
  <c r="B211" i="4" s="1"/>
  <c r="A81" i="12" s="1"/>
  <c r="B81" i="5"/>
  <c r="B212" i="4" s="1"/>
  <c r="A82" i="12" s="1"/>
  <c r="B82" i="5"/>
  <c r="B213" i="4" s="1"/>
  <c r="A83" i="12" s="1"/>
  <c r="B83" i="5"/>
  <c r="B214" i="4" s="1"/>
  <c r="B84" i="5"/>
  <c r="B215" i="4" s="1"/>
  <c r="A85" i="12" s="1"/>
  <c r="B85" i="5"/>
  <c r="B216" i="4" s="1"/>
  <c r="B66" i="5"/>
  <c r="D141" i="3"/>
  <c r="F142" i="3" s="1"/>
  <c r="C141" i="3"/>
  <c r="F141" i="3" s="1"/>
  <c r="E137" i="3"/>
  <c r="B217" i="4"/>
  <c r="B198" i="4"/>
  <c r="A68" i="12" s="1"/>
  <c r="C85" i="3"/>
  <c r="C177" i="3" s="1"/>
  <c r="C79" i="1"/>
  <c r="D56" i="1"/>
  <c r="N38" i="9"/>
  <c r="S38" i="9" s="1"/>
  <c r="M38" i="9"/>
  <c r="R38" i="9" s="1"/>
  <c r="L38" i="9"/>
  <c r="Q38" i="9" s="1"/>
  <c r="K38" i="9"/>
  <c r="P38" i="9" s="1"/>
  <c r="C38" i="9"/>
  <c r="B38" i="9"/>
  <c r="E16" i="9"/>
  <c r="F21" i="1"/>
  <c r="F16" i="9" s="1"/>
  <c r="D74" i="1"/>
  <c r="C32" i="3"/>
  <c r="I24" i="5" s="1"/>
  <c r="J24" i="5" s="1"/>
  <c r="F74" i="1"/>
  <c r="J16" i="9"/>
  <c r="I16" i="9"/>
  <c r="H16" i="9"/>
  <c r="F22" i="1"/>
  <c r="F23" i="1"/>
  <c r="F24" i="1"/>
  <c r="F20" i="9" s="1"/>
  <c r="F25" i="1"/>
  <c r="F21" i="9" s="1"/>
  <c r="G16" i="9"/>
  <c r="C16" i="9"/>
  <c r="B16" i="9"/>
  <c r="E15" i="9"/>
  <c r="J15" i="9"/>
  <c r="I15" i="9"/>
  <c r="H15" i="9"/>
  <c r="G15" i="9"/>
  <c r="C15" i="9"/>
  <c r="B15" i="9"/>
  <c r="E14" i="9"/>
  <c r="J14" i="9"/>
  <c r="I14" i="9"/>
  <c r="H14" i="9"/>
  <c r="G14" i="9"/>
  <c r="C14" i="9"/>
  <c r="B14" i="9"/>
  <c r="C13" i="9"/>
  <c r="C12" i="9"/>
  <c r="B13" i="9"/>
  <c r="B12" i="9"/>
  <c r="A116" i="12"/>
  <c r="E74" i="1"/>
  <c r="F26" i="1"/>
  <c r="F22" i="9" s="1"/>
  <c r="F27" i="1"/>
  <c r="F28" i="1"/>
  <c r="F24" i="9" s="1"/>
  <c r="F29" i="1"/>
  <c r="F25" i="9" s="1"/>
  <c r="F30" i="1"/>
  <c r="F26" i="9" s="1"/>
  <c r="F31" i="1"/>
  <c r="F27" i="9" s="1"/>
  <c r="F32" i="1"/>
  <c r="F33" i="1"/>
  <c r="F29" i="9" s="1"/>
  <c r="S27" i="5"/>
  <c r="X27" i="5" s="1"/>
  <c r="S28" i="5"/>
  <c r="T28" i="5" s="1"/>
  <c r="S29" i="5"/>
  <c r="T29" i="5" s="1"/>
  <c r="S30" i="5"/>
  <c r="X30" i="5" s="1"/>
  <c r="S31" i="5"/>
  <c r="W31" i="5" s="1"/>
  <c r="S32" i="5"/>
  <c r="X32" i="5" s="1"/>
  <c r="S33" i="5"/>
  <c r="T33" i="5" s="1"/>
  <c r="S34" i="5"/>
  <c r="X34" i="5" s="1"/>
  <c r="S35" i="5"/>
  <c r="X35" i="5" s="1"/>
  <c r="S36" i="5"/>
  <c r="S37" i="5"/>
  <c r="W37" i="5" s="1"/>
  <c r="S38" i="5"/>
  <c r="X38" i="5" s="1"/>
  <c r="S39" i="5"/>
  <c r="U39" i="5" s="1"/>
  <c r="S40" i="5"/>
  <c r="X40" i="5" s="1"/>
  <c r="S41" i="5"/>
  <c r="T41" i="5" s="1"/>
  <c r="S42" i="5"/>
  <c r="X42" i="5" s="1"/>
  <c r="S43" i="5"/>
  <c r="X43" i="5" s="1"/>
  <c r="S44" i="5"/>
  <c r="X44" i="5" s="1"/>
  <c r="S45" i="5"/>
  <c r="T45" i="5" s="1"/>
  <c r="S46" i="5"/>
  <c r="S47" i="5"/>
  <c r="T47" i="5" s="1"/>
  <c r="S48" i="5"/>
  <c r="U48" i="5" s="1"/>
  <c r="S49" i="5"/>
  <c r="T49" i="5" s="1"/>
  <c r="S50" i="5"/>
  <c r="T50" i="5" s="1"/>
  <c r="S51" i="5"/>
  <c r="T51" i="5" s="1"/>
  <c r="S52" i="5"/>
  <c r="U52" i="5" s="1"/>
  <c r="S53" i="5"/>
  <c r="V53" i="5" s="1"/>
  <c r="S54" i="5"/>
  <c r="V54" i="5" s="1"/>
  <c r="S55" i="5"/>
  <c r="U55" i="5" s="1"/>
  <c r="A113" i="12"/>
  <c r="A114" i="12"/>
  <c r="A115" i="12"/>
  <c r="A112" i="12"/>
  <c r="A100" i="12"/>
  <c r="A105" i="12"/>
  <c r="A104" i="12"/>
  <c r="A92" i="12"/>
  <c r="A91" i="12"/>
  <c r="A90" i="12"/>
  <c r="A89" i="12"/>
  <c r="A88" i="12"/>
  <c r="A87" i="12"/>
  <c r="A65" i="12"/>
  <c r="A64" i="12"/>
  <c r="A63" i="12"/>
  <c r="A62" i="12"/>
  <c r="A61" i="12"/>
  <c r="A60" i="12"/>
  <c r="A59" i="12"/>
  <c r="A58" i="12"/>
  <c r="A57" i="12"/>
  <c r="A56" i="12"/>
  <c r="A55" i="12"/>
  <c r="A48" i="12"/>
  <c r="A47" i="12"/>
  <c r="A46" i="12"/>
  <c r="A45" i="12"/>
  <c r="A44" i="12"/>
  <c r="A43" i="12"/>
  <c r="A42" i="12"/>
  <c r="A41" i="12"/>
  <c r="A40" i="12"/>
  <c r="A22" i="12"/>
  <c r="A21" i="12"/>
  <c r="A20" i="12"/>
  <c r="A19" i="12"/>
  <c r="A18" i="12"/>
  <c r="S52" i="1"/>
  <c r="F178" i="3" s="1"/>
  <c r="B42" i="12" s="1"/>
  <c r="B55" i="12"/>
  <c r="B40" i="12"/>
  <c r="B43" i="12"/>
  <c r="B44" i="12"/>
  <c r="B47" i="12"/>
  <c r="S51" i="1"/>
  <c r="F38" i="6" s="1"/>
  <c r="A33" i="12"/>
  <c r="A34" i="12"/>
  <c r="A35" i="12"/>
  <c r="A32" i="12"/>
  <c r="A31" i="12"/>
  <c r="A30" i="12"/>
  <c r="A29" i="12"/>
  <c r="A28" i="12"/>
  <c r="A27" i="12"/>
  <c r="A26" i="12"/>
  <c r="S41" i="1"/>
  <c r="S36" i="1"/>
  <c r="S37" i="1"/>
  <c r="S38" i="1"/>
  <c r="S40" i="1"/>
  <c r="F11" i="1"/>
  <c r="F12" i="1"/>
  <c r="F13" i="1"/>
  <c r="F9" i="9" s="1"/>
  <c r="F14" i="1"/>
  <c r="F10" i="9" s="1"/>
  <c r="F15" i="1"/>
  <c r="F11" i="9" s="1"/>
  <c r="F16" i="1"/>
  <c r="F12" i="9" s="1"/>
  <c r="F18" i="1"/>
  <c r="F19" i="1"/>
  <c r="F14" i="9" s="1"/>
  <c r="F20" i="1"/>
  <c r="F15" i="9" s="1"/>
  <c r="F34" i="1"/>
  <c r="F35" i="1"/>
  <c r="F154" i="3"/>
  <c r="C170" i="3"/>
  <c r="D184" i="3" s="1"/>
  <c r="F388" i="4"/>
  <c r="F391" i="4"/>
  <c r="B58" i="12" s="1"/>
  <c r="F392" i="4"/>
  <c r="B59" i="12"/>
  <c r="E105" i="4"/>
  <c r="C67" i="4"/>
  <c r="D114" i="9"/>
  <c r="C69" i="4"/>
  <c r="E114" i="9" s="1"/>
  <c r="C70" i="4"/>
  <c r="F114" i="9" s="1"/>
  <c r="F134" i="2"/>
  <c r="F31" i="6" s="1"/>
  <c r="C88" i="9"/>
  <c r="F135" i="2"/>
  <c r="F32" i="6" s="1"/>
  <c r="F33" i="6"/>
  <c r="F11" i="6" s="1"/>
  <c r="B28" i="12" s="1"/>
  <c r="F403" i="4"/>
  <c r="B91" i="12" s="1"/>
  <c r="F34" i="6"/>
  <c r="F12" i="6" s="1"/>
  <c r="B29" i="12" s="1"/>
  <c r="S39" i="1"/>
  <c r="N32" i="9"/>
  <c r="S32" i="9" s="1"/>
  <c r="N33" i="9"/>
  <c r="S33" i="9" s="1"/>
  <c r="N34" i="9"/>
  <c r="S34" i="9" s="1"/>
  <c r="N35" i="9"/>
  <c r="S35" i="9"/>
  <c r="N36" i="9"/>
  <c r="S36" i="9" s="1"/>
  <c r="S42" i="1"/>
  <c r="S43" i="1"/>
  <c r="S44" i="1"/>
  <c r="S45" i="1"/>
  <c r="S46" i="1"/>
  <c r="S47" i="1"/>
  <c r="S48" i="1"/>
  <c r="S49" i="1"/>
  <c r="S50" i="1"/>
  <c r="N37" i="9"/>
  <c r="S37" i="9" s="1"/>
  <c r="N39" i="9"/>
  <c r="S39" i="9" s="1"/>
  <c r="N40" i="9"/>
  <c r="S40" i="9" s="1"/>
  <c r="N41" i="9"/>
  <c r="S41" i="9" s="1"/>
  <c r="N42" i="9"/>
  <c r="S42" i="9" s="1"/>
  <c r="N43" i="9"/>
  <c r="S43" i="9" s="1"/>
  <c r="N44" i="9"/>
  <c r="S44" i="9" s="1"/>
  <c r="N45" i="9"/>
  <c r="S45" i="9" s="1"/>
  <c r="J102" i="2"/>
  <c r="J103" i="2"/>
  <c r="J104" i="2"/>
  <c r="J105" i="2"/>
  <c r="J106" i="2"/>
  <c r="J107" i="2"/>
  <c r="F138" i="2" s="1"/>
  <c r="F37" i="6" s="1"/>
  <c r="C73" i="2"/>
  <c r="F139" i="2"/>
  <c r="C120" i="4"/>
  <c r="C122" i="4"/>
  <c r="C123" i="4"/>
  <c r="C287" i="4"/>
  <c r="B288" i="4" s="1"/>
  <c r="G25" i="2"/>
  <c r="K120" i="2"/>
  <c r="K121" i="2"/>
  <c r="K122" i="2"/>
  <c r="K123" i="2"/>
  <c r="K124" i="2"/>
  <c r="K125" i="2"/>
  <c r="K126" i="2"/>
  <c r="K127" i="2"/>
  <c r="K128" i="2"/>
  <c r="K129" i="2"/>
  <c r="F141" i="2"/>
  <c r="F49" i="6" s="1"/>
  <c r="F18" i="6" s="1"/>
  <c r="F106" i="9"/>
  <c r="F107" i="9"/>
  <c r="F125" i="9"/>
  <c r="E18" i="2"/>
  <c r="E301" i="4"/>
  <c r="E21" i="2"/>
  <c r="E300" i="4"/>
  <c r="F301" i="4"/>
  <c r="F300" i="4"/>
  <c r="C77" i="9"/>
  <c r="C61" i="4"/>
  <c r="C318" i="4"/>
  <c r="C100" i="4"/>
  <c r="C116" i="4"/>
  <c r="C114" i="4"/>
  <c r="C113" i="4"/>
  <c r="C108" i="4"/>
  <c r="C80" i="4"/>
  <c r="E75" i="4"/>
  <c r="D75" i="4"/>
  <c r="C75" i="4"/>
  <c r="C60" i="9"/>
  <c r="G60" i="9"/>
  <c r="F30" i="5"/>
  <c r="E132" i="9"/>
  <c r="C114" i="9"/>
  <c r="E379" i="4"/>
  <c r="E413" i="4"/>
  <c r="G375" i="4"/>
  <c r="F411" i="4"/>
  <c r="B112" i="12" s="1"/>
  <c r="E411" i="4"/>
  <c r="G408" i="4"/>
  <c r="D183" i="3"/>
  <c r="E183" i="3"/>
  <c r="C183" i="3"/>
  <c r="H70" i="5"/>
  <c r="C179" i="3"/>
  <c r="E135" i="2"/>
  <c r="E367" i="4"/>
  <c r="E400" i="4"/>
  <c r="S67" i="1"/>
  <c r="R67" i="1"/>
  <c r="Q67" i="1"/>
  <c r="T67" i="1"/>
  <c r="U67" i="1"/>
  <c r="O50" i="1" s="1"/>
  <c r="P67" i="1"/>
  <c r="O67" i="1"/>
  <c r="N67" i="1"/>
  <c r="L67" i="1"/>
  <c r="K67" i="1"/>
  <c r="J67" i="1"/>
  <c r="I67" i="1"/>
  <c r="M67" i="1"/>
  <c r="G16" i="10"/>
  <c r="G17" i="10"/>
  <c r="G18" i="10"/>
  <c r="G19" i="10"/>
  <c r="G22" i="10"/>
  <c r="G38" i="10"/>
  <c r="G20" i="10"/>
  <c r="F4" i="9"/>
  <c r="F5" i="9"/>
  <c r="B7" i="9"/>
  <c r="C7" i="9"/>
  <c r="E7" i="9"/>
  <c r="G7" i="9"/>
  <c r="H7" i="9"/>
  <c r="I7" i="9"/>
  <c r="J7" i="9"/>
  <c r="B8" i="9"/>
  <c r="C8" i="9"/>
  <c r="E8" i="9"/>
  <c r="G8" i="9"/>
  <c r="H8" i="9"/>
  <c r="I8" i="9"/>
  <c r="J8" i="9"/>
  <c r="B9" i="9"/>
  <c r="C9" i="9"/>
  <c r="E9" i="9"/>
  <c r="G9" i="9"/>
  <c r="H9" i="9"/>
  <c r="I9" i="9"/>
  <c r="J9" i="9"/>
  <c r="B10" i="9"/>
  <c r="C10" i="9"/>
  <c r="E10" i="9"/>
  <c r="G10" i="9"/>
  <c r="H10" i="9"/>
  <c r="I10" i="9"/>
  <c r="J10" i="9"/>
  <c r="B11" i="9"/>
  <c r="C11" i="9"/>
  <c r="E11" i="9"/>
  <c r="G11" i="9"/>
  <c r="H11" i="9"/>
  <c r="I11" i="9"/>
  <c r="J11" i="9"/>
  <c r="E12" i="9"/>
  <c r="G12" i="9"/>
  <c r="H12" i="9"/>
  <c r="I12" i="9"/>
  <c r="J12" i="9"/>
  <c r="E13" i="9"/>
  <c r="G13" i="9"/>
  <c r="H13" i="9"/>
  <c r="I13" i="9"/>
  <c r="J13" i="9"/>
  <c r="B17" i="9"/>
  <c r="C17" i="9"/>
  <c r="E17" i="9"/>
  <c r="G17" i="9"/>
  <c r="H17" i="9"/>
  <c r="I17" i="9"/>
  <c r="J17" i="9"/>
  <c r="B18" i="9"/>
  <c r="C18" i="9"/>
  <c r="E18" i="9"/>
  <c r="G18" i="9"/>
  <c r="H18" i="9"/>
  <c r="I18" i="9"/>
  <c r="J18" i="9"/>
  <c r="B19" i="9"/>
  <c r="C19" i="9"/>
  <c r="E19" i="9"/>
  <c r="G19" i="9"/>
  <c r="H19" i="9"/>
  <c r="I19" i="9"/>
  <c r="J19" i="9"/>
  <c r="B20" i="9"/>
  <c r="C20" i="9"/>
  <c r="E20" i="9"/>
  <c r="G20" i="9"/>
  <c r="H20" i="9"/>
  <c r="I20" i="9"/>
  <c r="J20" i="9"/>
  <c r="B21" i="9"/>
  <c r="C21" i="9"/>
  <c r="E21" i="9"/>
  <c r="G21" i="9"/>
  <c r="H21" i="9"/>
  <c r="I21" i="9"/>
  <c r="J21" i="9"/>
  <c r="B22" i="9"/>
  <c r="C22" i="9"/>
  <c r="E22" i="9"/>
  <c r="G22" i="9"/>
  <c r="H22" i="9"/>
  <c r="I22" i="9"/>
  <c r="J22" i="9"/>
  <c r="B23" i="9"/>
  <c r="C23" i="9"/>
  <c r="E23" i="9"/>
  <c r="G23" i="9"/>
  <c r="H23" i="9"/>
  <c r="I23" i="9"/>
  <c r="J23" i="9"/>
  <c r="B24" i="9"/>
  <c r="C24" i="9"/>
  <c r="E24" i="9"/>
  <c r="G24" i="9"/>
  <c r="H24" i="9"/>
  <c r="I24" i="9"/>
  <c r="J24" i="9"/>
  <c r="B25" i="9"/>
  <c r="C25" i="9"/>
  <c r="E25" i="9"/>
  <c r="G25" i="9"/>
  <c r="H25" i="9"/>
  <c r="I25" i="9"/>
  <c r="J25" i="9"/>
  <c r="B26" i="9"/>
  <c r="C26" i="9"/>
  <c r="E26" i="9"/>
  <c r="G26" i="9"/>
  <c r="H26" i="9"/>
  <c r="I26" i="9"/>
  <c r="J26" i="9"/>
  <c r="B27" i="9"/>
  <c r="C27" i="9"/>
  <c r="E27" i="9"/>
  <c r="G27" i="9"/>
  <c r="H27" i="9"/>
  <c r="I27" i="9"/>
  <c r="J27" i="9"/>
  <c r="B28" i="9"/>
  <c r="C28" i="9"/>
  <c r="E28" i="9"/>
  <c r="G28" i="9"/>
  <c r="H28" i="9"/>
  <c r="I28" i="9"/>
  <c r="J28" i="9"/>
  <c r="B29" i="9"/>
  <c r="C29" i="9"/>
  <c r="E29" i="9"/>
  <c r="G29" i="9"/>
  <c r="H29" i="9"/>
  <c r="I29" i="9"/>
  <c r="J29" i="9"/>
  <c r="B30" i="9"/>
  <c r="C30" i="9"/>
  <c r="E30" i="9"/>
  <c r="G30" i="9"/>
  <c r="H30" i="9"/>
  <c r="I30" i="9"/>
  <c r="J30" i="9"/>
  <c r="B31" i="9"/>
  <c r="C31" i="9"/>
  <c r="E31" i="9"/>
  <c r="G31" i="9"/>
  <c r="H31" i="9"/>
  <c r="I31" i="9"/>
  <c r="J31" i="9"/>
  <c r="B32" i="9"/>
  <c r="C32" i="9"/>
  <c r="K32" i="9"/>
  <c r="P32" i="9"/>
  <c r="L32" i="9"/>
  <c r="M32" i="9"/>
  <c r="R32" i="9" s="1"/>
  <c r="B33" i="9"/>
  <c r="C33" i="9"/>
  <c r="K33" i="9"/>
  <c r="P33" i="9" s="1"/>
  <c r="L33" i="9"/>
  <c r="Q33" i="9"/>
  <c r="M33" i="9"/>
  <c r="R33" i="9" s="1"/>
  <c r="B34" i="9"/>
  <c r="C34" i="9"/>
  <c r="K34" i="9"/>
  <c r="P34" i="9" s="1"/>
  <c r="L34" i="9"/>
  <c r="Q34" i="9" s="1"/>
  <c r="M34" i="9"/>
  <c r="R34" i="9" s="1"/>
  <c r="B35" i="9"/>
  <c r="C35" i="9"/>
  <c r="K35" i="9"/>
  <c r="L35" i="9"/>
  <c r="Q35" i="9" s="1"/>
  <c r="M35" i="9"/>
  <c r="R35" i="9" s="1"/>
  <c r="B36" i="9"/>
  <c r="C36" i="9"/>
  <c r="K36" i="9"/>
  <c r="P36" i="9"/>
  <c r="L36" i="9"/>
  <c r="Q36" i="9" s="1"/>
  <c r="M36" i="9"/>
  <c r="B37" i="9"/>
  <c r="C37" i="9"/>
  <c r="K37" i="9"/>
  <c r="P37" i="9" s="1"/>
  <c r="L37" i="9"/>
  <c r="Q37" i="9" s="1"/>
  <c r="M37" i="9"/>
  <c r="R37" i="9"/>
  <c r="B39" i="9"/>
  <c r="C39" i="9"/>
  <c r="K39" i="9"/>
  <c r="P39" i="9" s="1"/>
  <c r="L39" i="9"/>
  <c r="Q39" i="9" s="1"/>
  <c r="M39" i="9"/>
  <c r="R39" i="9" s="1"/>
  <c r="B40" i="9"/>
  <c r="C40" i="9"/>
  <c r="K40" i="9"/>
  <c r="P40" i="9" s="1"/>
  <c r="K41" i="9"/>
  <c r="P41" i="9" s="1"/>
  <c r="K42" i="9"/>
  <c r="P42" i="9"/>
  <c r="K43" i="9"/>
  <c r="P43" i="9" s="1"/>
  <c r="K44" i="9"/>
  <c r="P44" i="9"/>
  <c r="K45" i="9"/>
  <c r="P45" i="9" s="1"/>
  <c r="L40" i="9"/>
  <c r="Q40" i="9" s="1"/>
  <c r="M40" i="9"/>
  <c r="R40" i="9" s="1"/>
  <c r="B41" i="9"/>
  <c r="C41" i="9"/>
  <c r="L41" i="9"/>
  <c r="Q41" i="9" s="1"/>
  <c r="M41" i="9"/>
  <c r="R41" i="9"/>
  <c r="B42" i="9"/>
  <c r="C42" i="9"/>
  <c r="L42" i="9"/>
  <c r="M42" i="9"/>
  <c r="B43" i="9"/>
  <c r="C43" i="9"/>
  <c r="L43" i="9"/>
  <c r="M43" i="9"/>
  <c r="R43" i="9" s="1"/>
  <c r="B44" i="9"/>
  <c r="C44" i="9"/>
  <c r="L44" i="9"/>
  <c r="Q44" i="9" s="1"/>
  <c r="M44" i="9"/>
  <c r="R44" i="9" s="1"/>
  <c r="B45" i="9"/>
  <c r="C45" i="9"/>
  <c r="L45" i="9"/>
  <c r="M45" i="9"/>
  <c r="R45" i="9" s="1"/>
  <c r="C46" i="9"/>
  <c r="K46" i="9"/>
  <c r="P46" i="9" s="1"/>
  <c r="L46" i="9"/>
  <c r="M46" i="9"/>
  <c r="R46" i="9" s="1"/>
  <c r="N46" i="9"/>
  <c r="D52" i="9"/>
  <c r="E52" i="9"/>
  <c r="F52" i="9"/>
  <c r="D60" i="9"/>
  <c r="E60" i="9"/>
  <c r="F60" i="9"/>
  <c r="B66" i="9"/>
  <c r="B67" i="9"/>
  <c r="B68" i="9"/>
  <c r="C106" i="9"/>
  <c r="C107" i="9"/>
  <c r="C125" i="9"/>
  <c r="D106" i="9"/>
  <c r="D107" i="9"/>
  <c r="D125" i="9"/>
  <c r="E106" i="9"/>
  <c r="E107" i="9" s="1"/>
  <c r="E125" i="9" s="1"/>
  <c r="R42" i="9"/>
  <c r="Q46" i="9"/>
  <c r="G16" i="7"/>
  <c r="G17" i="7"/>
  <c r="G18" i="7"/>
  <c r="G19" i="7"/>
  <c r="G22" i="7"/>
  <c r="G31" i="7"/>
  <c r="G9" i="7"/>
  <c r="G33" i="7"/>
  <c r="G11" i="7" s="1"/>
  <c r="G38" i="7"/>
  <c r="G20" i="7"/>
  <c r="E5" i="5"/>
  <c r="F23" i="5"/>
  <c r="S23" i="5"/>
  <c r="V23" i="5" s="1"/>
  <c r="F24" i="5"/>
  <c r="S24" i="5"/>
  <c r="W24" i="5" s="1"/>
  <c r="F27" i="5"/>
  <c r="F29" i="5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J70" i="5"/>
  <c r="H74" i="5"/>
  <c r="B91" i="5"/>
  <c r="B92" i="5"/>
  <c r="B93" i="5"/>
  <c r="H4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C235" i="4"/>
  <c r="C234" i="4"/>
  <c r="C26" i="4"/>
  <c r="C28" i="4"/>
  <c r="C29" i="4"/>
  <c r="D26" i="4"/>
  <c r="E26" i="4"/>
  <c r="D27" i="4"/>
  <c r="E27" i="4"/>
  <c r="D28" i="4"/>
  <c r="E28" i="4"/>
  <c r="D29" i="4"/>
  <c r="E29" i="4"/>
  <c r="D44" i="4"/>
  <c r="E44" i="4"/>
  <c r="F44" i="4"/>
  <c r="G44" i="4"/>
  <c r="D45" i="4"/>
  <c r="E45" i="4"/>
  <c r="F45" i="4"/>
  <c r="G45" i="4"/>
  <c r="D46" i="4"/>
  <c r="E46" i="4"/>
  <c r="F46" i="4"/>
  <c r="G46" i="4"/>
  <c r="D47" i="4"/>
  <c r="E47" i="4"/>
  <c r="F47" i="4"/>
  <c r="G47" i="4"/>
  <c r="C57" i="4"/>
  <c r="E57" i="4"/>
  <c r="C58" i="4"/>
  <c r="E58" i="4"/>
  <c r="C59" i="4"/>
  <c r="E59" i="4"/>
  <c r="C60" i="4"/>
  <c r="E60" i="4"/>
  <c r="E61" i="4"/>
  <c r="E62" i="4"/>
  <c r="F75" i="4"/>
  <c r="G75" i="4"/>
  <c r="H75" i="4"/>
  <c r="I75" i="4"/>
  <c r="C76" i="4"/>
  <c r="D76" i="4"/>
  <c r="E76" i="4"/>
  <c r="F76" i="4"/>
  <c r="G76" i="4"/>
  <c r="H76" i="4"/>
  <c r="I76" i="4"/>
  <c r="C77" i="4"/>
  <c r="D77" i="4"/>
  <c r="E77" i="4"/>
  <c r="F77" i="4"/>
  <c r="G77" i="4"/>
  <c r="H77" i="4"/>
  <c r="I77" i="4"/>
  <c r="C78" i="4"/>
  <c r="D78" i="4"/>
  <c r="F78" i="4"/>
  <c r="G78" i="4"/>
  <c r="H78" i="4"/>
  <c r="I78" i="4"/>
  <c r="D100" i="4"/>
  <c r="E100" i="4"/>
  <c r="F100" i="4"/>
  <c r="C101" i="4"/>
  <c r="D101" i="4"/>
  <c r="E101" i="4"/>
  <c r="F101" i="4"/>
  <c r="C103" i="4"/>
  <c r="B104" i="4"/>
  <c r="C104" i="4"/>
  <c r="D104" i="4"/>
  <c r="E104" i="4"/>
  <c r="F104" i="4"/>
  <c r="B107" i="4"/>
  <c r="B108" i="4"/>
  <c r="C111" i="4"/>
  <c r="D111" i="4"/>
  <c r="C112" i="4"/>
  <c r="D112" i="4"/>
  <c r="E112" i="4"/>
  <c r="D113" i="4"/>
  <c r="E113" i="4"/>
  <c r="D114" i="4"/>
  <c r="E114" i="4"/>
  <c r="C129" i="4"/>
  <c r="C130" i="4"/>
  <c r="C131" i="4"/>
  <c r="C132" i="4"/>
  <c r="C133" i="4"/>
  <c r="C134" i="4"/>
  <c r="E137" i="4"/>
  <c r="F137" i="4"/>
  <c r="G137" i="4"/>
  <c r="H137" i="4"/>
  <c r="E138" i="4"/>
  <c r="F138" i="4"/>
  <c r="G138" i="4"/>
  <c r="H138" i="4"/>
  <c r="E139" i="4"/>
  <c r="F139" i="4"/>
  <c r="G139" i="4"/>
  <c r="H139" i="4"/>
  <c r="E140" i="4"/>
  <c r="F140" i="4"/>
  <c r="G140" i="4"/>
  <c r="H140" i="4"/>
  <c r="E141" i="4"/>
  <c r="F141" i="4"/>
  <c r="G141" i="4"/>
  <c r="H141" i="4"/>
  <c r="D142" i="4"/>
  <c r="E142" i="4"/>
  <c r="F142" i="4"/>
  <c r="G142" i="4"/>
  <c r="H142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C228" i="4"/>
  <c r="C233" i="4"/>
  <c r="C308" i="4"/>
  <c r="C300" i="4"/>
  <c r="D307" i="4"/>
  <c r="E307" i="4"/>
  <c r="F307" i="4"/>
  <c r="G307" i="4"/>
  <c r="N307" i="4" s="1"/>
  <c r="D308" i="4"/>
  <c r="D32" i="2"/>
  <c r="D280" i="4"/>
  <c r="D311" i="4" s="1"/>
  <c r="E308" i="4"/>
  <c r="E32" i="2"/>
  <c r="E35" i="2" s="1"/>
  <c r="E36" i="2" s="1"/>
  <c r="E280" i="4"/>
  <c r="E311" i="4" s="1"/>
  <c r="F308" i="4"/>
  <c r="F32" i="2"/>
  <c r="F280" i="4"/>
  <c r="F311" i="4" s="1"/>
  <c r="G308" i="4"/>
  <c r="N308" i="4"/>
  <c r="C309" i="4"/>
  <c r="D309" i="4"/>
  <c r="E309" i="4"/>
  <c r="F309" i="4"/>
  <c r="G309" i="4"/>
  <c r="N309" i="4"/>
  <c r="C310" i="4"/>
  <c r="D310" i="4"/>
  <c r="E310" i="4"/>
  <c r="F310" i="4"/>
  <c r="G310" i="4"/>
  <c r="N310" i="4"/>
  <c r="C311" i="4"/>
  <c r="C32" i="4" s="1"/>
  <c r="N313" i="4"/>
  <c r="F321" i="4"/>
  <c r="C328" i="4"/>
  <c r="C329" i="4"/>
  <c r="C330" i="4"/>
  <c r="E365" i="4"/>
  <c r="E388" i="4"/>
  <c r="E389" i="4"/>
  <c r="C392" i="4"/>
  <c r="D392" i="4"/>
  <c r="D34" i="6"/>
  <c r="D12" i="6" s="1"/>
  <c r="F394" i="4"/>
  <c r="B61" i="12"/>
  <c r="G9" i="6"/>
  <c r="G11" i="6"/>
  <c r="G16" i="6"/>
  <c r="G17" i="6"/>
  <c r="G18" i="6"/>
  <c r="G19" i="6"/>
  <c r="G20" i="6"/>
  <c r="G22" i="6"/>
  <c r="G32" i="6"/>
  <c r="G32" i="7" s="1"/>
  <c r="G10" i="7" s="1"/>
  <c r="C34" i="6"/>
  <c r="C34" i="7" s="1"/>
  <c r="C12" i="7" s="1"/>
  <c r="G34" i="6"/>
  <c r="G12" i="6" s="1"/>
  <c r="E37" i="6"/>
  <c r="G37" i="6"/>
  <c r="S11" i="3"/>
  <c r="S12" i="3"/>
  <c r="S14" i="3" s="1"/>
  <c r="C17" i="3" s="1"/>
  <c r="S13" i="3"/>
  <c r="D63" i="3"/>
  <c r="E63" i="3"/>
  <c r="D64" i="3"/>
  <c r="E64" i="3"/>
  <c r="D65" i="3"/>
  <c r="E65" i="3"/>
  <c r="D78" i="3"/>
  <c r="F78" i="3"/>
  <c r="E92" i="3"/>
  <c r="E63" i="4" s="1"/>
  <c r="C109" i="3"/>
  <c r="C79" i="4" s="1"/>
  <c r="D109" i="3"/>
  <c r="D79" i="4" s="1"/>
  <c r="E109" i="3"/>
  <c r="E79" i="4" s="1"/>
  <c r="D179" i="3"/>
  <c r="E135" i="3"/>
  <c r="E136" i="3"/>
  <c r="E127" i="3"/>
  <c r="E128" i="3"/>
  <c r="E131" i="3"/>
  <c r="E120" i="3"/>
  <c r="E122" i="3"/>
  <c r="E121" i="3"/>
  <c r="E125" i="3"/>
  <c r="E132" i="3"/>
  <c r="E133" i="3"/>
  <c r="E124" i="3"/>
  <c r="E138" i="3"/>
  <c r="E123" i="3"/>
  <c r="E139" i="3"/>
  <c r="E130" i="3"/>
  <c r="E129" i="3"/>
  <c r="B154" i="3"/>
  <c r="B105" i="4"/>
  <c r="C154" i="3"/>
  <c r="C105" i="4" s="1"/>
  <c r="D154" i="3"/>
  <c r="D105" i="4"/>
  <c r="E179" i="3"/>
  <c r="G188" i="3"/>
  <c r="D25" i="2"/>
  <c r="D47" i="2" s="1"/>
  <c r="C133" i="2" s="1"/>
  <c r="C50" i="6" s="1"/>
  <c r="C19" i="6" s="1"/>
  <c r="E25" i="2"/>
  <c r="F25" i="2"/>
  <c r="F47" i="2" s="1"/>
  <c r="E133" i="2" s="1"/>
  <c r="E50" i="6" s="1"/>
  <c r="E19" i="6" s="1"/>
  <c r="C28" i="2"/>
  <c r="N28" i="2"/>
  <c r="O35" i="2" s="1"/>
  <c r="G35" i="2" s="1"/>
  <c r="G36" i="2" s="1"/>
  <c r="O36" i="2" s="1"/>
  <c r="N29" i="2"/>
  <c r="N30" i="2"/>
  <c r="N31" i="2"/>
  <c r="G32" i="2"/>
  <c r="O34" i="2"/>
  <c r="D44" i="2"/>
  <c r="E44" i="2"/>
  <c r="E321" i="4" s="1"/>
  <c r="G44" i="2"/>
  <c r="G321" i="4" s="1"/>
  <c r="B87" i="2"/>
  <c r="B89" i="2"/>
  <c r="E90" i="2"/>
  <c r="B91" i="2"/>
  <c r="E95" i="2"/>
  <c r="F102" i="2"/>
  <c r="F107" i="2" s="1"/>
  <c r="C138" i="2" s="1"/>
  <c r="C37" i="6" s="1"/>
  <c r="C15" i="6" s="1"/>
  <c r="H102" i="2"/>
  <c r="F103" i="2"/>
  <c r="G103" i="2"/>
  <c r="H103" i="2"/>
  <c r="H107" i="2" s="1"/>
  <c r="D138" i="2" s="1"/>
  <c r="D37" i="6" s="1"/>
  <c r="D37" i="7" s="1"/>
  <c r="D15" i="7" s="1"/>
  <c r="F104" i="2"/>
  <c r="H104" i="2"/>
  <c r="F105" i="2"/>
  <c r="H105" i="2"/>
  <c r="F106" i="2"/>
  <c r="H106" i="2"/>
  <c r="E120" i="2"/>
  <c r="G120" i="2"/>
  <c r="D141" i="2" s="1"/>
  <c r="D49" i="6" s="1"/>
  <c r="D18" i="6" s="1"/>
  <c r="G121" i="2"/>
  <c r="G122" i="2"/>
  <c r="G123" i="2"/>
  <c r="G124" i="2"/>
  <c r="G125" i="2"/>
  <c r="G126" i="2"/>
  <c r="G127" i="2"/>
  <c r="G128" i="2"/>
  <c r="G129" i="2"/>
  <c r="I120" i="2"/>
  <c r="E141" i="2" s="1"/>
  <c r="E49" i="6" s="1"/>
  <c r="E18" i="6" s="1"/>
  <c r="I121" i="2"/>
  <c r="I122" i="2"/>
  <c r="I123" i="2"/>
  <c r="I124" i="2"/>
  <c r="I125" i="2"/>
  <c r="I126" i="2"/>
  <c r="I127" i="2"/>
  <c r="I128" i="2"/>
  <c r="I129" i="2"/>
  <c r="E121" i="2"/>
  <c r="E122" i="2"/>
  <c r="C141" i="2" s="1"/>
  <c r="C49" i="6" s="1"/>
  <c r="C18" i="6" s="1"/>
  <c r="E123" i="2"/>
  <c r="E124" i="2"/>
  <c r="E125" i="2"/>
  <c r="E126" i="2"/>
  <c r="E127" i="2"/>
  <c r="E128" i="2"/>
  <c r="E129" i="2"/>
  <c r="C134" i="2"/>
  <c r="C46" i="6" s="1"/>
  <c r="D134" i="2"/>
  <c r="D368" i="4" s="1"/>
  <c r="D401" i="4" s="1"/>
  <c r="E134" i="2"/>
  <c r="E368" i="4" s="1"/>
  <c r="E401" i="4" s="1"/>
  <c r="C135" i="2"/>
  <c r="C32" i="6" s="1"/>
  <c r="C367" i="4"/>
  <c r="C400" i="4" s="1"/>
  <c r="D135" i="2"/>
  <c r="D367" i="4" s="1"/>
  <c r="D400" i="4" s="1"/>
  <c r="D32" i="6"/>
  <c r="C139" i="2"/>
  <c r="D139" i="2"/>
  <c r="E139" i="2"/>
  <c r="E140" i="2"/>
  <c r="F8" i="9"/>
  <c r="F13" i="9"/>
  <c r="F28" i="9"/>
  <c r="F30" i="9"/>
  <c r="F31" i="9"/>
  <c r="P36" i="1"/>
  <c r="Q36" i="1"/>
  <c r="Q37" i="1"/>
  <c r="Q38" i="1"/>
  <c r="Q39" i="1"/>
  <c r="Q40" i="1"/>
  <c r="R36" i="1"/>
  <c r="R37" i="1"/>
  <c r="R38" i="1"/>
  <c r="R39" i="1"/>
  <c r="R40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Q41" i="1"/>
  <c r="Q42" i="1"/>
  <c r="Q43" i="1"/>
  <c r="Q44" i="1"/>
  <c r="Q45" i="1"/>
  <c r="Q46" i="1"/>
  <c r="Q47" i="1"/>
  <c r="Q48" i="1"/>
  <c r="Q49" i="1"/>
  <c r="Q50" i="1"/>
  <c r="R41" i="1"/>
  <c r="R42" i="1"/>
  <c r="R43" i="1"/>
  <c r="R44" i="1"/>
  <c r="R45" i="1"/>
  <c r="R46" i="1"/>
  <c r="R47" i="1"/>
  <c r="R48" i="1"/>
  <c r="R49" i="1"/>
  <c r="R50" i="1"/>
  <c r="M51" i="1"/>
  <c r="P51" i="1"/>
  <c r="C38" i="6" s="1"/>
  <c r="C38" i="7" s="1"/>
  <c r="C20" i="7" s="1"/>
  <c r="Q51" i="1"/>
  <c r="D38" i="6" s="1"/>
  <c r="R51" i="1"/>
  <c r="E38" i="6" s="1"/>
  <c r="U51" i="1"/>
  <c r="G70" i="1"/>
  <c r="G74" i="1" s="1"/>
  <c r="O42" i="1" s="1"/>
  <c r="O38" i="9" s="1"/>
  <c r="T38" i="9" s="1"/>
  <c r="G71" i="1"/>
  <c r="G72" i="1"/>
  <c r="G73" i="1"/>
  <c r="H74" i="1"/>
  <c r="O52" i="1" s="1"/>
  <c r="C78" i="1"/>
  <c r="C93" i="1" s="1"/>
  <c r="Q45" i="9"/>
  <c r="R36" i="9"/>
  <c r="D35" i="2"/>
  <c r="D36" i="2"/>
  <c r="Q43" i="9"/>
  <c r="P35" i="9"/>
  <c r="Q32" i="9"/>
  <c r="Q42" i="9"/>
  <c r="S46" i="9"/>
  <c r="G31" i="10"/>
  <c r="G9" i="10"/>
  <c r="E32" i="6"/>
  <c r="E10" i="6" s="1"/>
  <c r="G311" i="4"/>
  <c r="N311" i="4"/>
  <c r="N32" i="2"/>
  <c r="G33" i="10"/>
  <c r="G11" i="10" s="1"/>
  <c r="IV74" i="1"/>
  <c r="G37" i="10"/>
  <c r="G15" i="10" s="1"/>
  <c r="B93" i="1"/>
  <c r="F35" i="2"/>
  <c r="F36" i="2" s="1"/>
  <c r="O36" i="1"/>
  <c r="O32" i="9" s="1"/>
  <c r="T32" i="9" s="1"/>
  <c r="E32" i="7"/>
  <c r="E10" i="7" s="1"/>
  <c r="F17" i="9"/>
  <c r="F23" i="9"/>
  <c r="F18" i="9"/>
  <c r="G37" i="7"/>
  <c r="G15" i="7"/>
  <c r="G15" i="6"/>
  <c r="G32" i="10"/>
  <c r="G10" i="10"/>
  <c r="O41" i="1"/>
  <c r="O37" i="9" s="1"/>
  <c r="T37" i="9" s="1"/>
  <c r="D56" i="5"/>
  <c r="F105" i="4"/>
  <c r="D34" i="7"/>
  <c r="D12" i="7" s="1"/>
  <c r="C360" i="4"/>
  <c r="E360" i="4"/>
  <c r="E394" i="4" s="1"/>
  <c r="F10" i="6" l="1"/>
  <c r="C32" i="7"/>
  <c r="C10" i="7" s="1"/>
  <c r="C95" i="9" s="1"/>
  <c r="C123" i="9" s="1"/>
  <c r="C32" i="10" s="1"/>
  <c r="C10" i="10" s="1"/>
  <c r="C10" i="6"/>
  <c r="D32" i="7"/>
  <c r="D10" i="7" s="1"/>
  <c r="F37" i="10"/>
  <c r="H37" i="7"/>
  <c r="F15" i="6"/>
  <c r="F37" i="7"/>
  <c r="F15" i="7" s="1"/>
  <c r="H15" i="7" s="1"/>
  <c r="C355" i="4"/>
  <c r="C121" i="4"/>
  <c r="C361" i="4" s="1"/>
  <c r="F127" i="9"/>
  <c r="E93" i="1"/>
  <c r="G10" i="6"/>
  <c r="C27" i="4"/>
  <c r="F49" i="4" s="1"/>
  <c r="F353" i="4"/>
  <c r="F33" i="7"/>
  <c r="F400" i="4"/>
  <c r="B88" i="12" s="1"/>
  <c r="D10" i="6"/>
  <c r="G34" i="7"/>
  <c r="C31" i="6"/>
  <c r="C9" i="6" s="1"/>
  <c r="E31" i="6"/>
  <c r="E31" i="7" s="1"/>
  <c r="E46" i="7" s="1"/>
  <c r="E9" i="7" s="1"/>
  <c r="E90" i="9" s="1"/>
  <c r="E122" i="9" s="1"/>
  <c r="E31" i="10" s="1"/>
  <c r="E46" i="10" s="1"/>
  <c r="C368" i="4"/>
  <c r="C401" i="4" s="1"/>
  <c r="C12" i="6"/>
  <c r="C127" i="9"/>
  <c r="G47" i="2"/>
  <c r="F133" i="2" s="1"/>
  <c r="F142" i="2" s="1"/>
  <c r="C47" i="3"/>
  <c r="C394" i="4"/>
  <c r="C48" i="3"/>
  <c r="D304" i="4"/>
  <c r="C298" i="4"/>
  <c r="D48" i="2"/>
  <c r="C147" i="2" s="1"/>
  <c r="C57" i="6" s="1"/>
  <c r="D177" i="3"/>
  <c r="F177" i="3"/>
  <c r="B41" i="12" s="1"/>
  <c r="D136" i="2"/>
  <c r="D47" i="6" s="1"/>
  <c r="D16" i="6" s="1"/>
  <c r="C136" i="2"/>
  <c r="B100" i="9" s="1"/>
  <c r="C126" i="9" s="1"/>
  <c r="E355" i="4"/>
  <c r="E391" i="4" s="1"/>
  <c r="C353" i="4"/>
  <c r="C389" i="4" s="1"/>
  <c r="O23" i="5"/>
  <c r="H44" i="11"/>
  <c r="J44" i="11"/>
  <c r="I44" i="11"/>
  <c r="E46" i="6"/>
  <c r="D46" i="6"/>
  <c r="C46" i="3"/>
  <c r="D56" i="3" s="1"/>
  <c r="C56" i="3" s="1"/>
  <c r="E36" i="6"/>
  <c r="E36" i="7" s="1"/>
  <c r="B22" i="12"/>
  <c r="D188" i="3"/>
  <c r="D48" i="6"/>
  <c r="D17" i="6" s="1"/>
  <c r="C75" i="3"/>
  <c r="C74" i="3"/>
  <c r="C76" i="3"/>
  <c r="C73" i="3"/>
  <c r="K15" i="4"/>
  <c r="K10" i="4"/>
  <c r="K16" i="4" s="1"/>
  <c r="C22" i="4" s="1"/>
  <c r="C46" i="4" s="1"/>
  <c r="E184" i="3"/>
  <c r="D355" i="4"/>
  <c r="D391" i="4" s="1"/>
  <c r="D360" i="4"/>
  <c r="D394" i="4" s="1"/>
  <c r="D34" i="10"/>
  <c r="D12" i="10" s="1"/>
  <c r="C52" i="9"/>
  <c r="F184" i="3"/>
  <c r="D353" i="4"/>
  <c r="D389" i="4" s="1"/>
  <c r="C184" i="3"/>
  <c r="F354" i="4"/>
  <c r="F390" i="4" s="1"/>
  <c r="B57" i="12" s="1"/>
  <c r="C44" i="4"/>
  <c r="C47" i="4"/>
  <c r="C107" i="4"/>
  <c r="C34" i="10"/>
  <c r="C12" i="10" s="1"/>
  <c r="I47" i="5"/>
  <c r="J47" i="5" s="1"/>
  <c r="I43" i="5"/>
  <c r="J43" i="5" s="1"/>
  <c r="F34" i="7"/>
  <c r="I50" i="5"/>
  <c r="J50" i="5" s="1"/>
  <c r="L23" i="5"/>
  <c r="B196" i="4"/>
  <c r="A66" i="12" s="1"/>
  <c r="L41" i="5"/>
  <c r="L49" i="5"/>
  <c r="L53" i="5"/>
  <c r="H93" i="5"/>
  <c r="N50" i="5"/>
  <c r="K41" i="5"/>
  <c r="B24" i="5"/>
  <c r="F198" i="4" s="1"/>
  <c r="A86" i="12"/>
  <c r="K50" i="5"/>
  <c r="O29" i="5"/>
  <c r="O39" i="5"/>
  <c r="M27" i="5"/>
  <c r="L40" i="5"/>
  <c r="L51" i="5"/>
  <c r="L36" i="5"/>
  <c r="K40" i="5"/>
  <c r="N43" i="5"/>
  <c r="A84" i="12"/>
  <c r="E214" i="4"/>
  <c r="A72" i="12"/>
  <c r="C202" i="4"/>
  <c r="K54" i="5"/>
  <c r="O46" i="5"/>
  <c r="K28" i="5"/>
  <c r="L34" i="5"/>
  <c r="K37" i="5"/>
  <c r="K43" i="5"/>
  <c r="M33" i="5"/>
  <c r="O53" i="5"/>
  <c r="O49" i="5"/>
  <c r="M43" i="5"/>
  <c r="K33" i="5"/>
  <c r="K53" i="5"/>
  <c r="L46" i="5"/>
  <c r="O33" i="5"/>
  <c r="K34" i="5"/>
  <c r="K36" i="5"/>
  <c r="K51" i="5"/>
  <c r="O27" i="5"/>
  <c r="K38" i="5"/>
  <c r="O52" i="5"/>
  <c r="A79" i="12"/>
  <c r="C209" i="4"/>
  <c r="A78" i="12"/>
  <c r="A74" i="12"/>
  <c r="A70" i="12"/>
  <c r="F200" i="4"/>
  <c r="K47" i="5"/>
  <c r="L39" i="5"/>
  <c r="O28" i="5"/>
  <c r="N39" i="5"/>
  <c r="N36" i="5"/>
  <c r="O30" i="5"/>
  <c r="M35" i="5"/>
  <c r="N30" i="5"/>
  <c r="N34" i="5"/>
  <c r="L55" i="5"/>
  <c r="O51" i="5"/>
  <c r="L50" i="5"/>
  <c r="K31" i="5"/>
  <c r="M53" i="5"/>
  <c r="O31" i="5"/>
  <c r="L47" i="5"/>
  <c r="M47" i="5"/>
  <c r="K44" i="5"/>
  <c r="M37" i="5"/>
  <c r="N40" i="5"/>
  <c r="B199" i="4"/>
  <c r="N47" i="5"/>
  <c r="K42" i="5"/>
  <c r="M51" i="5"/>
  <c r="M32" i="5"/>
  <c r="K49" i="5"/>
  <c r="L42" i="5"/>
  <c r="O35" i="5"/>
  <c r="N27" i="5"/>
  <c r="N51" i="5"/>
  <c r="L35" i="5"/>
  <c r="N42" i="5"/>
  <c r="M38" i="5"/>
  <c r="L45" i="5"/>
  <c r="M44" i="5"/>
  <c r="M52" i="5"/>
  <c r="N38" i="5"/>
  <c r="L30" i="5"/>
  <c r="K45" i="5"/>
  <c r="M41" i="5"/>
  <c r="O48" i="5"/>
  <c r="M30" i="5"/>
  <c r="L38" i="5"/>
  <c r="N31" i="5"/>
  <c r="O34" i="5"/>
  <c r="K32" i="5"/>
  <c r="O37" i="5"/>
  <c r="O41" i="5"/>
  <c r="N54" i="5"/>
  <c r="L32" i="5"/>
  <c r="M50" i="5"/>
  <c r="O36" i="5"/>
  <c r="M46" i="5"/>
  <c r="N45" i="5"/>
  <c r="M36" i="5"/>
  <c r="O55" i="5"/>
  <c r="K29" i="5"/>
  <c r="K46" i="5"/>
  <c r="L52" i="5"/>
  <c r="O44" i="5"/>
  <c r="K55" i="5"/>
  <c r="M31" i="5"/>
  <c r="K48" i="5"/>
  <c r="L31" i="5"/>
  <c r="M40" i="5"/>
  <c r="N28" i="5"/>
  <c r="N52" i="5"/>
  <c r="L28" i="5"/>
  <c r="L54" i="5"/>
  <c r="O42" i="5"/>
  <c r="O38" i="5"/>
  <c r="N44" i="5"/>
  <c r="M29" i="5"/>
  <c r="K35" i="5"/>
  <c r="N55" i="5"/>
  <c r="L29" i="5"/>
  <c r="L33" i="5"/>
  <c r="O32" i="5"/>
  <c r="N53" i="5"/>
  <c r="K39" i="5"/>
  <c r="M39" i="5"/>
  <c r="N33" i="5"/>
  <c r="N23" i="5"/>
  <c r="M48" i="5"/>
  <c r="N41" i="5"/>
  <c r="L48" i="5"/>
  <c r="O40" i="5"/>
  <c r="L43" i="5"/>
  <c r="L27" i="5"/>
  <c r="K30" i="5"/>
  <c r="N48" i="5"/>
  <c r="M55" i="5"/>
  <c r="L37" i="5"/>
  <c r="O50" i="5"/>
  <c r="N37" i="5"/>
  <c r="K52" i="5"/>
  <c r="N49" i="5"/>
  <c r="O47" i="5"/>
  <c r="N46" i="5"/>
  <c r="O45" i="5"/>
  <c r="N32" i="5"/>
  <c r="K27" i="5"/>
  <c r="M49" i="5"/>
  <c r="N29" i="5"/>
  <c r="M54" i="5"/>
  <c r="N35" i="5"/>
  <c r="M28" i="5"/>
  <c r="M23" i="5"/>
  <c r="O43" i="5"/>
  <c r="M45" i="5"/>
  <c r="M42" i="5"/>
  <c r="M34" i="5"/>
  <c r="K23" i="5"/>
  <c r="O54" i="5"/>
  <c r="L44" i="5"/>
  <c r="A67" i="12"/>
  <c r="E136" i="2"/>
  <c r="E47" i="6" s="1"/>
  <c r="F389" i="4"/>
  <c r="B56" i="12" s="1"/>
  <c r="G48" i="2"/>
  <c r="F147" i="2" s="1"/>
  <c r="E57" i="6" s="1"/>
  <c r="D321" i="4"/>
  <c r="E48" i="2"/>
  <c r="D147" i="2" s="1"/>
  <c r="D57" i="6" s="1"/>
  <c r="F19" i="9"/>
  <c r="O19" i="9" s="1"/>
  <c r="C6" i="3"/>
  <c r="D35" i="3" s="1"/>
  <c r="C35" i="3" s="1"/>
  <c r="F7" i="9"/>
  <c r="O7" i="9" s="1"/>
  <c r="F53" i="1"/>
  <c r="I23" i="5"/>
  <c r="J23" i="5" s="1"/>
  <c r="I30" i="5"/>
  <c r="J30" i="5" s="1"/>
  <c r="I51" i="5"/>
  <c r="J51" i="5" s="1"/>
  <c r="I36" i="5"/>
  <c r="J36" i="5" s="1"/>
  <c r="I33" i="5"/>
  <c r="J33" i="5" s="1"/>
  <c r="I48" i="5"/>
  <c r="J48" i="5" s="1"/>
  <c r="I27" i="5"/>
  <c r="T42" i="1"/>
  <c r="U42" i="1" s="1"/>
  <c r="C45" i="6"/>
  <c r="C45" i="7" s="1"/>
  <c r="D38" i="7"/>
  <c r="D20" i="7" s="1"/>
  <c r="D20" i="6"/>
  <c r="C35" i="6"/>
  <c r="C35" i="7" s="1"/>
  <c r="W38" i="5"/>
  <c r="E35" i="6"/>
  <c r="E35" i="10" s="1"/>
  <c r="C44" i="6"/>
  <c r="C44" i="7" s="1"/>
  <c r="D44" i="6"/>
  <c r="D44" i="7" s="1"/>
  <c r="B19" i="12"/>
  <c r="V42" i="5"/>
  <c r="W42" i="5"/>
  <c r="C391" i="4"/>
  <c r="F20" i="6"/>
  <c r="B35" i="12" s="1"/>
  <c r="F38" i="10"/>
  <c r="F20" i="10" s="1"/>
  <c r="H38" i="10"/>
  <c r="F38" i="7"/>
  <c r="F20" i="7" s="1"/>
  <c r="C20" i="6"/>
  <c r="D38" i="10"/>
  <c r="D20" i="10" s="1"/>
  <c r="C38" i="10"/>
  <c r="C20" i="10" s="1"/>
  <c r="B21" i="12"/>
  <c r="X41" i="5"/>
  <c r="X48" i="5"/>
  <c r="U37" i="5"/>
  <c r="F44" i="6"/>
  <c r="F44" i="10" s="1"/>
  <c r="F35" i="6"/>
  <c r="F35" i="10" s="1"/>
  <c r="H35" i="10" s="1"/>
  <c r="W41" i="5"/>
  <c r="W29" i="5"/>
  <c r="D35" i="6"/>
  <c r="D35" i="7" s="1"/>
  <c r="C44" i="10"/>
  <c r="U33" i="5"/>
  <c r="W33" i="5"/>
  <c r="U41" i="5"/>
  <c r="V52" i="5"/>
  <c r="V41" i="5"/>
  <c r="U29" i="5"/>
  <c r="T48" i="5"/>
  <c r="X33" i="5"/>
  <c r="V48" i="5"/>
  <c r="V33" i="5"/>
  <c r="H142" i="3"/>
  <c r="I142" i="3"/>
  <c r="G142" i="3"/>
  <c r="E141" i="3"/>
  <c r="B145" i="3" s="1"/>
  <c r="G141" i="3"/>
  <c r="K141" i="3"/>
  <c r="H141" i="3"/>
  <c r="I141" i="3"/>
  <c r="L141" i="3"/>
  <c r="J141" i="3"/>
  <c r="F144" i="2"/>
  <c r="G304" i="4"/>
  <c r="T23" i="5"/>
  <c r="W23" i="5"/>
  <c r="U23" i="5"/>
  <c r="R74" i="1"/>
  <c r="X23" i="5"/>
  <c r="P74" i="1"/>
  <c r="W43" i="5"/>
  <c r="T55" i="5"/>
  <c r="W51" i="5"/>
  <c r="X47" i="5"/>
  <c r="V43" i="5"/>
  <c r="V47" i="5"/>
  <c r="T43" i="5"/>
  <c r="V55" i="5"/>
  <c r="W47" i="5"/>
  <c r="U43" i="5"/>
  <c r="U47" i="5"/>
  <c r="X55" i="5"/>
  <c r="O13" i="1"/>
  <c r="N13" i="1" s="1"/>
  <c r="U53" i="5"/>
  <c r="U24" i="5"/>
  <c r="U35" i="5"/>
  <c r="I49" i="5"/>
  <c r="J49" i="5" s="1"/>
  <c r="X49" i="5"/>
  <c r="I53" i="5"/>
  <c r="J53" i="5" s="1"/>
  <c r="I35" i="5"/>
  <c r="J35" i="5" s="1"/>
  <c r="I37" i="5"/>
  <c r="J37" i="5" s="1"/>
  <c r="I45" i="5"/>
  <c r="J45" i="5" s="1"/>
  <c r="N74" i="1"/>
  <c r="O43" i="1"/>
  <c r="T43" i="1" s="1"/>
  <c r="U43" i="1" s="1"/>
  <c r="T74" i="1"/>
  <c r="O49" i="1" s="1"/>
  <c r="O45" i="9" s="1"/>
  <c r="T45" i="9" s="1"/>
  <c r="T54" i="5"/>
  <c r="X24" i="5"/>
  <c r="U42" i="5"/>
  <c r="V38" i="5"/>
  <c r="I46" i="5"/>
  <c r="J46" i="5" s="1"/>
  <c r="W30" i="5"/>
  <c r="I52" i="5"/>
  <c r="J52" i="5" s="1"/>
  <c r="U74" i="1"/>
  <c r="T31" i="5"/>
  <c r="U54" i="5"/>
  <c r="U50" i="5"/>
  <c r="O27" i="9"/>
  <c r="M27" i="9" s="1"/>
  <c r="R27" i="9" s="1"/>
  <c r="X54" i="5"/>
  <c r="W54" i="5"/>
  <c r="U27" i="5"/>
  <c r="U31" i="5"/>
  <c r="M52" i="1"/>
  <c r="R52" i="1" s="1"/>
  <c r="E178" i="3" s="1"/>
  <c r="E30" i="6" s="1"/>
  <c r="E8" i="6" s="1"/>
  <c r="L52" i="1"/>
  <c r="Q52" i="1" s="1"/>
  <c r="D178" i="3" s="1"/>
  <c r="K52" i="1"/>
  <c r="P52" i="1" s="1"/>
  <c r="C178" i="3" s="1"/>
  <c r="C30" i="6" s="1"/>
  <c r="W45" i="5"/>
  <c r="V45" i="5"/>
  <c r="T39" i="5"/>
  <c r="V39" i="5"/>
  <c r="T35" i="5"/>
  <c r="F363" i="4"/>
  <c r="F397" i="4" s="1"/>
  <c r="B64" i="12" s="1"/>
  <c r="X31" i="5"/>
  <c r="W39" i="5"/>
  <c r="V49" i="5"/>
  <c r="O31" i="9"/>
  <c r="M31" i="9" s="1"/>
  <c r="R31" i="9" s="1"/>
  <c r="I74" i="1"/>
  <c r="X52" i="5"/>
  <c r="T52" i="5"/>
  <c r="W53" i="5"/>
  <c r="T27" i="5"/>
  <c r="V24" i="5"/>
  <c r="T38" i="5"/>
  <c r="W35" i="5"/>
  <c r="U38" i="5"/>
  <c r="V31" i="5"/>
  <c r="I32" i="5"/>
  <c r="J32" i="5" s="1"/>
  <c r="I38" i="5"/>
  <c r="J38" i="5" s="1"/>
  <c r="U49" i="5"/>
  <c r="V27" i="5"/>
  <c r="X39" i="5"/>
  <c r="I55" i="5"/>
  <c r="J55" i="5" s="1"/>
  <c r="I42" i="5"/>
  <c r="J42" i="5" s="1"/>
  <c r="V35" i="5"/>
  <c r="I39" i="5"/>
  <c r="J39" i="5" s="1"/>
  <c r="C363" i="4"/>
  <c r="C397" i="4" s="1"/>
  <c r="O74" i="1"/>
  <c r="Q74" i="1"/>
  <c r="O45" i="1"/>
  <c r="O41" i="9" s="1"/>
  <c r="T41" i="9" s="1"/>
  <c r="T36" i="1"/>
  <c r="U36" i="1" s="1"/>
  <c r="O46" i="1"/>
  <c r="X53" i="5"/>
  <c r="T53" i="5"/>
  <c r="U45" i="5"/>
  <c r="X45" i="5"/>
  <c r="T24" i="5"/>
  <c r="T42" i="5"/>
  <c r="T44" i="5"/>
  <c r="W48" i="5"/>
  <c r="U44" i="5"/>
  <c r="I34" i="5"/>
  <c r="J34" i="5" s="1"/>
  <c r="I40" i="5"/>
  <c r="W34" i="5"/>
  <c r="W27" i="5"/>
  <c r="W52" i="5"/>
  <c r="I41" i="5"/>
  <c r="J41" i="5" s="1"/>
  <c r="I28" i="5"/>
  <c r="J28" i="5" s="1"/>
  <c r="I44" i="5"/>
  <c r="J44" i="5" s="1"/>
  <c r="W55" i="5"/>
  <c r="I29" i="5"/>
  <c r="J29" i="5" s="1"/>
  <c r="I31" i="5"/>
  <c r="J31" i="5" s="1"/>
  <c r="W49" i="5"/>
  <c r="M74" i="1"/>
  <c r="S74" i="1"/>
  <c r="O44" i="1"/>
  <c r="O40" i="9" s="1"/>
  <c r="T40" i="9" s="1"/>
  <c r="O47" i="1"/>
  <c r="I54" i="5"/>
  <c r="J54" i="5" s="1"/>
  <c r="O15" i="9"/>
  <c r="M15" i="9" s="1"/>
  <c r="R15" i="9" s="1"/>
  <c r="O9" i="9"/>
  <c r="O23" i="9"/>
  <c r="O28" i="9"/>
  <c r="M28" i="9" s="1"/>
  <c r="R28" i="9" s="1"/>
  <c r="O12" i="9"/>
  <c r="M12" i="9" s="1"/>
  <c r="R12" i="9" s="1"/>
  <c r="O25" i="9"/>
  <c r="M25" i="9" s="1"/>
  <c r="R25" i="9" s="1"/>
  <c r="K74" i="1"/>
  <c r="O48" i="1"/>
  <c r="O32" i="1"/>
  <c r="O30" i="1"/>
  <c r="O28" i="1"/>
  <c r="O26" i="1"/>
  <c r="O16" i="1"/>
  <c r="O14" i="9"/>
  <c r="E363" i="4"/>
  <c r="E397" i="4" s="1"/>
  <c r="O18" i="9"/>
  <c r="O13" i="9"/>
  <c r="N13" i="9" s="1"/>
  <c r="S13" i="9" s="1"/>
  <c r="O8" i="9"/>
  <c r="N8" i="9" s="1"/>
  <c r="S8" i="9" s="1"/>
  <c r="O39" i="1"/>
  <c r="T39" i="1" s="1"/>
  <c r="U39" i="1" s="1"/>
  <c r="O22" i="1"/>
  <c r="O38" i="1"/>
  <c r="G363" i="4"/>
  <c r="G397" i="4" s="1"/>
  <c r="O22" i="9"/>
  <c r="M22" i="9" s="1"/>
  <c r="R22" i="9" s="1"/>
  <c r="O23" i="1"/>
  <c r="O21" i="1"/>
  <c r="O12" i="1"/>
  <c r="O15" i="1"/>
  <c r="O34" i="1"/>
  <c r="O40" i="1"/>
  <c r="O37" i="1"/>
  <c r="L74" i="1"/>
  <c r="J74" i="1"/>
  <c r="O16" i="9"/>
  <c r="T16" i="9" s="1"/>
  <c r="O24" i="9"/>
  <c r="D363" i="4"/>
  <c r="D397" i="4" s="1"/>
  <c r="O11" i="9"/>
  <c r="O20" i="9"/>
  <c r="T52" i="1"/>
  <c r="U52" i="1" s="1"/>
  <c r="G30" i="6" s="1"/>
  <c r="G8" i="6" s="1"/>
  <c r="O19" i="1"/>
  <c r="O33" i="1"/>
  <c r="O31" i="1"/>
  <c r="O29" i="1"/>
  <c r="O27" i="1"/>
  <c r="O25" i="1"/>
  <c r="O30" i="9"/>
  <c r="O26" i="9"/>
  <c r="M26" i="9" s="1"/>
  <c r="R26" i="9" s="1"/>
  <c r="O20" i="1"/>
  <c r="O14" i="1"/>
  <c r="O17" i="1"/>
  <c r="O29" i="9"/>
  <c r="N29" i="9" s="1"/>
  <c r="S29" i="9" s="1"/>
  <c r="O21" i="9"/>
  <c r="O35" i="1"/>
  <c r="O18" i="1"/>
  <c r="O11" i="1"/>
  <c r="O24" i="1"/>
  <c r="C31" i="7"/>
  <c r="D31" i="6"/>
  <c r="F368" i="4"/>
  <c r="F401" i="4" s="1"/>
  <c r="B89" i="12" s="1"/>
  <c r="F46" i="6"/>
  <c r="F9" i="6" s="1"/>
  <c r="B26" i="12" s="1"/>
  <c r="D292" i="4"/>
  <c r="C335" i="4" s="1"/>
  <c r="C371" i="4" s="1"/>
  <c r="C404" i="4" s="1"/>
  <c r="C49" i="7" s="1"/>
  <c r="C18" i="7" s="1"/>
  <c r="B289" i="4"/>
  <c r="F304" i="4"/>
  <c r="E304" i="4"/>
  <c r="E297" i="4"/>
  <c r="F292" i="4"/>
  <c r="E335" i="4" s="1"/>
  <c r="E371" i="4" s="1"/>
  <c r="E404" i="4" s="1"/>
  <c r="E49" i="7" s="1"/>
  <c r="E18" i="7" s="1"/>
  <c r="E292" i="4"/>
  <c r="D335" i="4" s="1"/>
  <c r="D371" i="4" s="1"/>
  <c r="D404" i="4" s="1"/>
  <c r="D49" i="7" s="1"/>
  <c r="D49" i="10" s="1"/>
  <c r="D18" i="10" s="1"/>
  <c r="F48" i="2"/>
  <c r="E147" i="2" s="1"/>
  <c r="E47" i="2"/>
  <c r="D133" i="2" s="1"/>
  <c r="D50" i="6" s="1"/>
  <c r="D19" i="6" s="1"/>
  <c r="E16" i="6"/>
  <c r="F399" i="4"/>
  <c r="F126" i="9"/>
  <c r="F47" i="6"/>
  <c r="F50" i="6"/>
  <c r="F19" i="6" s="1"/>
  <c r="B34" i="12" s="1"/>
  <c r="G292" i="4"/>
  <c r="F335" i="4" s="1"/>
  <c r="F371" i="4" s="1"/>
  <c r="F404" i="4" s="1"/>
  <c r="C37" i="10"/>
  <c r="C15" i="10" s="1"/>
  <c r="C37" i="7"/>
  <c r="C15" i="7" s="1"/>
  <c r="E20" i="6"/>
  <c r="E38" i="7"/>
  <c r="E20" i="7" s="1"/>
  <c r="E38" i="10"/>
  <c r="E20" i="10" s="1"/>
  <c r="E15" i="6"/>
  <c r="E37" i="7"/>
  <c r="E15" i="7" s="1"/>
  <c r="E37" i="10"/>
  <c r="E15" i="10" s="1"/>
  <c r="H37" i="10"/>
  <c r="F15" i="10"/>
  <c r="H15" i="10" s="1"/>
  <c r="E180" i="3"/>
  <c r="D37" i="10"/>
  <c r="D15" i="10" s="1"/>
  <c r="D15" i="6"/>
  <c r="D127" i="9"/>
  <c r="E127" i="9"/>
  <c r="O17" i="9"/>
  <c r="N17" i="9" s="1"/>
  <c r="S17" i="9" s="1"/>
  <c r="O10" i="9"/>
  <c r="T46" i="5"/>
  <c r="V46" i="5"/>
  <c r="X36" i="5"/>
  <c r="U36" i="5"/>
  <c r="E95" i="9"/>
  <c r="E123" i="9" s="1"/>
  <c r="E32" i="10" s="1"/>
  <c r="E10" i="10" s="1"/>
  <c r="D95" i="9"/>
  <c r="D123" i="9" s="1"/>
  <c r="D32" i="10" s="1"/>
  <c r="D10" i="10" s="1"/>
  <c r="I141" i="4"/>
  <c r="I140" i="4"/>
  <c r="I139" i="4"/>
  <c r="I138" i="4"/>
  <c r="E45" i="6"/>
  <c r="D36" i="6"/>
  <c r="D36" i="7" s="1"/>
  <c r="F45" i="6"/>
  <c r="H45" i="7" s="1"/>
  <c r="F36" i="6"/>
  <c r="F36" i="7" s="1"/>
  <c r="F14" i="7" s="1"/>
  <c r="E128" i="9"/>
  <c r="D128" i="9"/>
  <c r="F128" i="9"/>
  <c r="C128" i="9"/>
  <c r="C36" i="6"/>
  <c r="C36" i="7" s="1"/>
  <c r="D45" i="6"/>
  <c r="D45" i="7" s="1"/>
  <c r="B20" i="12"/>
  <c r="F30" i="6"/>
  <c r="X29" i="5"/>
  <c r="V29" i="5"/>
  <c r="E44" i="6"/>
  <c r="E44" i="10" s="1"/>
  <c r="E47" i="9"/>
  <c r="V32" i="5"/>
  <c r="U28" i="5"/>
  <c r="E35" i="7"/>
  <c r="V50" i="5"/>
  <c r="W32" i="5"/>
  <c r="X28" i="5"/>
  <c r="W28" i="5"/>
  <c r="W40" i="5"/>
  <c r="W36" i="5"/>
  <c r="T32" i="5"/>
  <c r="W46" i="5"/>
  <c r="V28" i="5"/>
  <c r="U46" i="5"/>
  <c r="X46" i="5"/>
  <c r="X50" i="5"/>
  <c r="U32" i="5"/>
  <c r="T36" i="5"/>
  <c r="V36" i="5"/>
  <c r="W50" i="5"/>
  <c r="T50" i="1"/>
  <c r="U50" i="1" s="1"/>
  <c r="O46" i="9"/>
  <c r="T46" i="9" s="1"/>
  <c r="T41" i="1"/>
  <c r="U41" i="1" s="1"/>
  <c r="C156" i="3"/>
  <c r="C63" i="1"/>
  <c r="X51" i="5"/>
  <c r="S56" i="5"/>
  <c r="U34" i="5"/>
  <c r="V44" i="5"/>
  <c r="V40" i="5"/>
  <c r="V37" i="5"/>
  <c r="T34" i="5"/>
  <c r="W44" i="5"/>
  <c r="T37" i="5"/>
  <c r="T40" i="5"/>
  <c r="X37" i="5"/>
  <c r="U51" i="5"/>
  <c r="T30" i="5"/>
  <c r="V51" i="5"/>
  <c r="U40" i="5"/>
  <c r="V34" i="5"/>
  <c r="U30" i="5"/>
  <c r="V30" i="5"/>
  <c r="C307" i="4"/>
  <c r="B33" i="12"/>
  <c r="B27" i="12"/>
  <c r="B30" i="12"/>
  <c r="B87" i="12" l="1"/>
  <c r="F47" i="7"/>
  <c r="F16" i="7" s="1"/>
  <c r="E361" i="4"/>
  <c r="E395" i="4" s="1"/>
  <c r="D54" i="3"/>
  <c r="C54" i="3" s="1"/>
  <c r="C45" i="4"/>
  <c r="D49" i="4"/>
  <c r="D361" i="4"/>
  <c r="D395" i="4" s="1"/>
  <c r="D48" i="7" s="1"/>
  <c r="D17" i="7" s="1"/>
  <c r="E9" i="6"/>
  <c r="G34" i="10"/>
  <c r="G12" i="10" s="1"/>
  <c r="G12" i="7"/>
  <c r="F361" i="4"/>
  <c r="F11" i="7"/>
  <c r="H11" i="7" s="1"/>
  <c r="F33" i="10"/>
  <c r="H33" i="7"/>
  <c r="E45" i="10"/>
  <c r="F32" i="7"/>
  <c r="D44" i="10"/>
  <c r="J27" i="5"/>
  <c r="I56" i="5"/>
  <c r="D366" i="4"/>
  <c r="D399" i="4" s="1"/>
  <c r="D47" i="7" s="1"/>
  <c r="D16" i="7" s="1"/>
  <c r="C366" i="4"/>
  <c r="C399" i="4" s="1"/>
  <c r="C47" i="6"/>
  <c r="C16" i="6" s="1"/>
  <c r="B100" i="12"/>
  <c r="B101" i="12" s="1"/>
  <c r="C100" i="9"/>
  <c r="D126" i="9" s="1"/>
  <c r="D47" i="10" s="1"/>
  <c r="D16" i="10" s="1"/>
  <c r="D18" i="7"/>
  <c r="G324" i="4"/>
  <c r="F369" i="4" s="1"/>
  <c r="F402" i="4" s="1"/>
  <c r="H217" i="4"/>
  <c r="C204" i="4"/>
  <c r="Q50" i="5"/>
  <c r="J40" i="5"/>
  <c r="Q40" i="5" s="1"/>
  <c r="E36" i="10"/>
  <c r="E14" i="10" s="1"/>
  <c r="H38" i="7"/>
  <c r="F36" i="10"/>
  <c r="H36" i="10" s="1"/>
  <c r="C45" i="10"/>
  <c r="C14" i="7"/>
  <c r="C35" i="10"/>
  <c r="C13" i="10" s="1"/>
  <c r="C13" i="7"/>
  <c r="C188" i="3"/>
  <c r="C48" i="6"/>
  <c r="E78" i="3"/>
  <c r="G78" i="3"/>
  <c r="E188" i="3"/>
  <c r="E48" i="6"/>
  <c r="E48" i="10" s="1"/>
  <c r="E17" i="10" s="1"/>
  <c r="C395" i="4"/>
  <c r="C48" i="10" s="1"/>
  <c r="C17" i="10" s="1"/>
  <c r="D37" i="3"/>
  <c r="C37" i="3" s="1"/>
  <c r="C26" i="3"/>
  <c r="C30" i="3" s="1"/>
  <c r="C52" i="3" s="1"/>
  <c r="C57" i="3" s="1"/>
  <c r="C60" i="3" s="1"/>
  <c r="B48" i="12"/>
  <c r="F188" i="3"/>
  <c r="F48" i="6"/>
  <c r="D33" i="3"/>
  <c r="C33" i="3" s="1"/>
  <c r="D217" i="4"/>
  <c r="G216" i="4"/>
  <c r="C86" i="12" s="1"/>
  <c r="M24" i="5"/>
  <c r="H198" i="4"/>
  <c r="F395" i="4"/>
  <c r="H197" i="4"/>
  <c r="N24" i="5"/>
  <c r="F218" i="4"/>
  <c r="H200" i="4"/>
  <c r="D216" i="4"/>
  <c r="D198" i="4"/>
  <c r="C216" i="4"/>
  <c r="E197" i="4"/>
  <c r="E218" i="4"/>
  <c r="F217" i="4"/>
  <c r="L24" i="5"/>
  <c r="O24" i="5"/>
  <c r="C208" i="4"/>
  <c r="E216" i="4"/>
  <c r="C198" i="4"/>
  <c r="G198" i="4"/>
  <c r="C68" i="12" s="1"/>
  <c r="G214" i="4"/>
  <c r="C84" i="12" s="1"/>
  <c r="H214" i="4"/>
  <c r="H218" i="4"/>
  <c r="G218" i="4"/>
  <c r="D218" i="4"/>
  <c r="E198" i="4"/>
  <c r="C200" i="4"/>
  <c r="E200" i="4"/>
  <c r="H216" i="4"/>
  <c r="K24" i="5"/>
  <c r="C214" i="4"/>
  <c r="D214" i="4"/>
  <c r="D200" i="4"/>
  <c r="F12" i="7"/>
  <c r="H12" i="7" s="1"/>
  <c r="F34" i="10"/>
  <c r="H34" i="7"/>
  <c r="G49" i="4"/>
  <c r="E49" i="4"/>
  <c r="C218" i="4"/>
  <c r="E217" i="4"/>
  <c r="C207" i="4"/>
  <c r="C205" i="4"/>
  <c r="F197" i="4"/>
  <c r="C201" i="4"/>
  <c r="C215" i="4"/>
  <c r="C217" i="4"/>
  <c r="G197" i="4"/>
  <c r="C67" i="12" s="1"/>
  <c r="C206" i="4"/>
  <c r="F214" i="4"/>
  <c r="G217" i="4"/>
  <c r="D197" i="4"/>
  <c r="G200" i="4"/>
  <c r="C70" i="12" s="1"/>
  <c r="C197" i="4"/>
  <c r="F216" i="4"/>
  <c r="A69" i="12"/>
  <c r="C199" i="4"/>
  <c r="C49" i="10"/>
  <c r="C18" i="10" s="1"/>
  <c r="E49" i="10"/>
  <c r="E18" i="10" s="1"/>
  <c r="D100" i="9"/>
  <c r="E126" i="9" s="1"/>
  <c r="E366" i="4"/>
  <c r="E399" i="4" s="1"/>
  <c r="E47" i="7" s="1"/>
  <c r="E16" i="7" s="1"/>
  <c r="F324" i="4"/>
  <c r="E369" i="4" s="1"/>
  <c r="E402" i="4" s="1"/>
  <c r="E50" i="7" s="1"/>
  <c r="E19" i="7" s="1"/>
  <c r="E83" i="9" s="1"/>
  <c r="E129" i="9" s="1"/>
  <c r="E50" i="10" s="1"/>
  <c r="F145" i="2"/>
  <c r="C20" i="4"/>
  <c r="C21" i="4" s="1"/>
  <c r="Q32" i="5"/>
  <c r="Q37" i="5"/>
  <c r="Q49" i="5"/>
  <c r="Q48" i="5"/>
  <c r="Q51" i="5"/>
  <c r="Q44" i="5"/>
  <c r="Q27" i="5"/>
  <c r="Q31" i="5"/>
  <c r="Q28" i="5"/>
  <c r="Q42" i="5"/>
  <c r="Q52" i="5"/>
  <c r="Q35" i="5"/>
  <c r="Q47" i="5"/>
  <c r="Q30" i="5"/>
  <c r="Q24" i="5"/>
  <c r="Q29" i="5"/>
  <c r="Q41" i="5"/>
  <c r="G176" i="3"/>
  <c r="G351" i="4" s="1"/>
  <c r="Q53" i="5"/>
  <c r="Q23" i="5"/>
  <c r="Q33" i="5"/>
  <c r="Q54" i="5"/>
  <c r="Q34" i="5"/>
  <c r="Q39" i="5"/>
  <c r="Q55" i="5"/>
  <c r="Q38" i="5"/>
  <c r="Q46" i="5"/>
  <c r="Q45" i="5"/>
  <c r="Q43" i="5"/>
  <c r="Q36" i="5"/>
  <c r="N22" i="9"/>
  <c r="S22" i="9" s="1"/>
  <c r="T45" i="1"/>
  <c r="U45" i="1" s="1"/>
  <c r="E121" i="9"/>
  <c r="C121" i="9" s="1"/>
  <c r="L13" i="1"/>
  <c r="Q13" i="1" s="1"/>
  <c r="C14" i="6"/>
  <c r="E45" i="7"/>
  <c r="E14" i="7" s="1"/>
  <c r="F30" i="7"/>
  <c r="H30" i="7" s="1"/>
  <c r="C13" i="6"/>
  <c r="F35" i="7"/>
  <c r="D13" i="7"/>
  <c r="E13" i="6"/>
  <c r="D13" i="6"/>
  <c r="H44" i="7"/>
  <c r="F14" i="6"/>
  <c r="H14" i="7" s="1"/>
  <c r="D14" i="6"/>
  <c r="E14" i="6"/>
  <c r="D36" i="10"/>
  <c r="F8" i="6"/>
  <c r="H20" i="7"/>
  <c r="H20" i="10"/>
  <c r="H44" i="10"/>
  <c r="F13" i="10"/>
  <c r="F13" i="6"/>
  <c r="D35" i="10"/>
  <c r="D13" i="10" s="1"/>
  <c r="E13" i="10"/>
  <c r="D324" i="4"/>
  <c r="C369" i="4" s="1"/>
  <c r="C375" i="4" s="1"/>
  <c r="D51" i="6"/>
  <c r="D22" i="6" s="1"/>
  <c r="K13" i="1"/>
  <c r="P13" i="1" s="1"/>
  <c r="T13" i="1"/>
  <c r="U13" i="1" s="1"/>
  <c r="M8" i="9"/>
  <c r="R8" i="9" s="1"/>
  <c r="M13" i="1"/>
  <c r="R13" i="1" s="1"/>
  <c r="C354" i="4"/>
  <c r="C390" i="4" s="1"/>
  <c r="C30" i="7" s="1"/>
  <c r="D354" i="4"/>
  <c r="D390" i="4" s="1"/>
  <c r="O35" i="9"/>
  <c r="T35" i="9" s="1"/>
  <c r="T22" i="9"/>
  <c r="D30" i="6"/>
  <c r="D8" i="6" s="1"/>
  <c r="N12" i="9"/>
  <c r="S12" i="9" s="1"/>
  <c r="O39" i="9"/>
  <c r="T39" i="9" s="1"/>
  <c r="T15" i="9"/>
  <c r="G30" i="7"/>
  <c r="G8" i="7" s="1"/>
  <c r="G121" i="9" s="1"/>
  <c r="G30" i="10" s="1"/>
  <c r="G8" i="10" s="1"/>
  <c r="T12" i="9"/>
  <c r="N15" i="9"/>
  <c r="S15" i="9" s="1"/>
  <c r="T44" i="1"/>
  <c r="U44" i="1" s="1"/>
  <c r="M16" i="9"/>
  <c r="R16" i="9" s="1"/>
  <c r="N16" i="9"/>
  <c r="S16" i="9" s="1"/>
  <c r="N27" i="9"/>
  <c r="S27" i="9" s="1"/>
  <c r="T27" i="9"/>
  <c r="N25" i="9"/>
  <c r="S25" i="9" s="1"/>
  <c r="T25" i="9"/>
  <c r="T29" i="9"/>
  <c r="T8" i="9"/>
  <c r="T47" i="1"/>
  <c r="U47" i="1" s="1"/>
  <c r="O43" i="9"/>
  <c r="T43" i="9" s="1"/>
  <c r="T46" i="1"/>
  <c r="U46" i="1" s="1"/>
  <c r="O42" i="9"/>
  <c r="T42" i="9" s="1"/>
  <c r="E9" i="10"/>
  <c r="M29" i="9"/>
  <c r="R29" i="9" s="1"/>
  <c r="T31" i="9"/>
  <c r="N31" i="9"/>
  <c r="S31" i="9" s="1"/>
  <c r="E354" i="4"/>
  <c r="E390" i="4" s="1"/>
  <c r="E30" i="7" s="1"/>
  <c r="T49" i="1"/>
  <c r="U49" i="1" s="1"/>
  <c r="M13" i="9"/>
  <c r="R13" i="9" s="1"/>
  <c r="T13" i="9"/>
  <c r="N35" i="1"/>
  <c r="S35" i="1" s="1"/>
  <c r="M35" i="1"/>
  <c r="R35" i="1" s="1"/>
  <c r="T35" i="1"/>
  <c r="U35" i="1" s="1"/>
  <c r="L35" i="1"/>
  <c r="Q35" i="1" s="1"/>
  <c r="K35" i="1"/>
  <c r="P35" i="1" s="1"/>
  <c r="M14" i="1"/>
  <c r="L14" i="1"/>
  <c r="Q14" i="1" s="1"/>
  <c r="N14" i="1"/>
  <c r="T14" i="1"/>
  <c r="U14" i="1" s="1"/>
  <c r="K14" i="1"/>
  <c r="P14" i="1" s="1"/>
  <c r="N30" i="9"/>
  <c r="S30" i="9" s="1"/>
  <c r="M30" i="9"/>
  <c r="R30" i="9" s="1"/>
  <c r="T30" i="9"/>
  <c r="N31" i="1"/>
  <c r="S31" i="1" s="1"/>
  <c r="M31" i="1"/>
  <c r="R31" i="1" s="1"/>
  <c r="L31" i="1"/>
  <c r="Q31" i="1" s="1"/>
  <c r="T31" i="1"/>
  <c r="U31" i="1" s="1"/>
  <c r="K31" i="1"/>
  <c r="P31" i="1" s="1"/>
  <c r="N24" i="9"/>
  <c r="S24" i="9" s="1"/>
  <c r="T24" i="9"/>
  <c r="M24" i="9"/>
  <c r="R24" i="9" s="1"/>
  <c r="T37" i="1"/>
  <c r="U37" i="1" s="1"/>
  <c r="I142" i="4"/>
  <c r="O33" i="9"/>
  <c r="T33" i="9" s="1"/>
  <c r="I137" i="4"/>
  <c r="T12" i="1"/>
  <c r="U12" i="1" s="1"/>
  <c r="N12" i="1"/>
  <c r="K12" i="1"/>
  <c r="P12" i="1" s="1"/>
  <c r="L12" i="1"/>
  <c r="Q12" i="1" s="1"/>
  <c r="M12" i="1"/>
  <c r="T22" i="1"/>
  <c r="U22" i="1" s="1"/>
  <c r="M22" i="1"/>
  <c r="K22" i="1"/>
  <c r="P22" i="1" s="1"/>
  <c r="L22" i="1"/>
  <c r="Q22" i="1" s="1"/>
  <c r="N22" i="1"/>
  <c r="N18" i="9"/>
  <c r="S18" i="9" s="1"/>
  <c r="M18" i="9"/>
  <c r="R18" i="9" s="1"/>
  <c r="T18" i="9"/>
  <c r="N26" i="1"/>
  <c r="S26" i="1" s="1"/>
  <c r="T26" i="1"/>
  <c r="U26" i="1" s="1"/>
  <c r="M26" i="1"/>
  <c r="R26" i="1" s="1"/>
  <c r="K26" i="1"/>
  <c r="P26" i="1" s="1"/>
  <c r="L26" i="1"/>
  <c r="Q26" i="1" s="1"/>
  <c r="O44" i="9"/>
  <c r="T44" i="9" s="1"/>
  <c r="T48" i="1"/>
  <c r="U48" i="1" s="1"/>
  <c r="N18" i="1"/>
  <c r="S18" i="1" s="1"/>
  <c r="M18" i="1"/>
  <c r="R18" i="1" s="1"/>
  <c r="T18" i="1"/>
  <c r="U18" i="1" s="1"/>
  <c r="K18" i="1"/>
  <c r="P18" i="1" s="1"/>
  <c r="L18" i="1"/>
  <c r="Q18" i="1" s="1"/>
  <c r="M21" i="9"/>
  <c r="R21" i="9" s="1"/>
  <c r="T21" i="9"/>
  <c r="N21" i="9"/>
  <c r="S21" i="9" s="1"/>
  <c r="L17" i="1"/>
  <c r="Q17" i="1" s="1"/>
  <c r="M17" i="1"/>
  <c r="R17" i="1" s="1"/>
  <c r="K17" i="1"/>
  <c r="P17" i="1" s="1"/>
  <c r="N17" i="1"/>
  <c r="S17" i="1" s="1"/>
  <c r="T17" i="1"/>
  <c r="U17" i="1" s="1"/>
  <c r="N29" i="1"/>
  <c r="S29" i="1" s="1"/>
  <c r="M29" i="1"/>
  <c r="R29" i="1" s="1"/>
  <c r="T29" i="1"/>
  <c r="U29" i="1" s="1"/>
  <c r="L29" i="1"/>
  <c r="Q29" i="1" s="1"/>
  <c r="K29" i="1"/>
  <c r="P29" i="1" s="1"/>
  <c r="K15" i="1"/>
  <c r="P15" i="1" s="1"/>
  <c r="N15" i="1"/>
  <c r="S15" i="1" s="1"/>
  <c r="T15" i="1"/>
  <c r="U15" i="1" s="1"/>
  <c r="M15" i="1"/>
  <c r="R15" i="1" s="1"/>
  <c r="L15" i="1"/>
  <c r="Q15" i="1" s="1"/>
  <c r="M7" i="9"/>
  <c r="R7" i="9" s="1"/>
  <c r="N7" i="9"/>
  <c r="S7" i="9" s="1"/>
  <c r="T7" i="9"/>
  <c r="N32" i="1"/>
  <c r="T32" i="1"/>
  <c r="U32" i="1" s="1"/>
  <c r="M32" i="1"/>
  <c r="K32" i="1"/>
  <c r="P32" i="1" s="1"/>
  <c r="L32" i="1"/>
  <c r="Q32" i="1" s="1"/>
  <c r="N9" i="9"/>
  <c r="S9" i="9" s="1"/>
  <c r="T9" i="9"/>
  <c r="N26" i="9"/>
  <c r="S26" i="9" s="1"/>
  <c r="N24" i="1"/>
  <c r="S24" i="1" s="1"/>
  <c r="T24" i="1"/>
  <c r="U24" i="1" s="1"/>
  <c r="M24" i="1"/>
  <c r="R24" i="1" s="1"/>
  <c r="K24" i="1"/>
  <c r="P24" i="1" s="1"/>
  <c r="L24" i="1"/>
  <c r="Q24" i="1" s="1"/>
  <c r="M9" i="9"/>
  <c r="R9" i="9" s="1"/>
  <c r="N20" i="1"/>
  <c r="S20" i="1" s="1"/>
  <c r="M20" i="1"/>
  <c r="R20" i="1" s="1"/>
  <c r="L20" i="1"/>
  <c r="Q20" i="1" s="1"/>
  <c r="T20" i="1"/>
  <c r="U20" i="1" s="1"/>
  <c r="K20" i="1"/>
  <c r="P20" i="1" s="1"/>
  <c r="N25" i="1"/>
  <c r="S25" i="1" s="1"/>
  <c r="M25" i="1"/>
  <c r="R25" i="1" s="1"/>
  <c r="L25" i="1"/>
  <c r="Q25" i="1" s="1"/>
  <c r="T25" i="1"/>
  <c r="U25" i="1" s="1"/>
  <c r="K25" i="1"/>
  <c r="P25" i="1" s="1"/>
  <c r="N33" i="1"/>
  <c r="S33" i="1" s="1"/>
  <c r="M33" i="1"/>
  <c r="R33" i="1" s="1"/>
  <c r="L33" i="1"/>
  <c r="Q33" i="1" s="1"/>
  <c r="K33" i="1"/>
  <c r="P33" i="1" s="1"/>
  <c r="T33" i="1"/>
  <c r="U33" i="1" s="1"/>
  <c r="N20" i="9"/>
  <c r="S20" i="9" s="1"/>
  <c r="T20" i="9"/>
  <c r="T40" i="1"/>
  <c r="U40" i="1" s="1"/>
  <c r="O36" i="9"/>
  <c r="T36" i="9" s="1"/>
  <c r="T21" i="1"/>
  <c r="U21" i="1" s="1"/>
  <c r="M21" i="1"/>
  <c r="R21" i="1" s="1"/>
  <c r="K21" i="1"/>
  <c r="P21" i="1" s="1"/>
  <c r="L21" i="1"/>
  <c r="Q21" i="1" s="1"/>
  <c r="N21" i="1"/>
  <c r="S21" i="1" s="1"/>
  <c r="N28" i="1"/>
  <c r="S28" i="1" s="1"/>
  <c r="K28" i="1"/>
  <c r="P28" i="1" s="1"/>
  <c r="T28" i="1"/>
  <c r="U28" i="1" s="1"/>
  <c r="M28" i="1"/>
  <c r="R28" i="1" s="1"/>
  <c r="L28" i="1"/>
  <c r="Q28" i="1" s="1"/>
  <c r="T28" i="9"/>
  <c r="N28" i="9"/>
  <c r="S28" i="9" s="1"/>
  <c r="S13" i="1"/>
  <c r="H131" i="4"/>
  <c r="T16" i="1"/>
  <c r="U16" i="1" s="1"/>
  <c r="L16" i="1"/>
  <c r="Q16" i="1" s="1"/>
  <c r="M16" i="1"/>
  <c r="R16" i="1" s="1"/>
  <c r="N16" i="1"/>
  <c r="S16" i="1" s="1"/>
  <c r="K16" i="1"/>
  <c r="P16" i="1" s="1"/>
  <c r="T26" i="9"/>
  <c r="T11" i="1"/>
  <c r="U11" i="1" s="1"/>
  <c r="N11" i="1"/>
  <c r="M11" i="1"/>
  <c r="K11" i="1"/>
  <c r="P11" i="1" s="1"/>
  <c r="L11" i="1"/>
  <c r="Q11" i="1" s="1"/>
  <c r="M20" i="9"/>
  <c r="R20" i="9" s="1"/>
  <c r="T19" i="9"/>
  <c r="M19" i="9"/>
  <c r="R19" i="9" s="1"/>
  <c r="N19" i="9"/>
  <c r="S19" i="9" s="1"/>
  <c r="N27" i="1"/>
  <c r="S27" i="1" s="1"/>
  <c r="M27" i="1"/>
  <c r="R27" i="1" s="1"/>
  <c r="K27" i="1"/>
  <c r="P27" i="1" s="1"/>
  <c r="L27" i="1"/>
  <c r="Q27" i="1" s="1"/>
  <c r="T27" i="1"/>
  <c r="U27" i="1" s="1"/>
  <c r="T19" i="1"/>
  <c r="U19" i="1" s="1"/>
  <c r="N19" i="1"/>
  <c r="S19" i="1" s="1"/>
  <c r="M19" i="1"/>
  <c r="R19" i="1" s="1"/>
  <c r="K19" i="1"/>
  <c r="P19" i="1" s="1"/>
  <c r="L19" i="1"/>
  <c r="Q19" i="1" s="1"/>
  <c r="M11" i="9"/>
  <c r="R11" i="9" s="1"/>
  <c r="N11" i="9"/>
  <c r="S11" i="9" s="1"/>
  <c r="T11" i="9"/>
  <c r="T34" i="1"/>
  <c r="U34" i="1" s="1"/>
  <c r="N34" i="1"/>
  <c r="S34" i="1" s="1"/>
  <c r="M34" i="1"/>
  <c r="R34" i="1" s="1"/>
  <c r="K34" i="1"/>
  <c r="P34" i="1" s="1"/>
  <c r="L34" i="1"/>
  <c r="Q34" i="1" s="1"/>
  <c r="M23" i="1"/>
  <c r="R23" i="1" s="1"/>
  <c r="N23" i="1"/>
  <c r="S23" i="1" s="1"/>
  <c r="K23" i="1"/>
  <c r="P23" i="1" s="1"/>
  <c r="T23" i="1"/>
  <c r="U23" i="1" s="1"/>
  <c r="L23" i="1"/>
  <c r="Q23" i="1" s="1"/>
  <c r="O34" i="9"/>
  <c r="T34" i="9" s="1"/>
  <c r="T38" i="1"/>
  <c r="U38" i="1" s="1"/>
  <c r="N14" i="9"/>
  <c r="S14" i="9" s="1"/>
  <c r="M14" i="9"/>
  <c r="R14" i="9" s="1"/>
  <c r="T14" i="9"/>
  <c r="N30" i="1"/>
  <c r="S30" i="1" s="1"/>
  <c r="T30" i="1"/>
  <c r="U30" i="1" s="1"/>
  <c r="M30" i="1"/>
  <c r="R30" i="1" s="1"/>
  <c r="K30" i="1"/>
  <c r="P30" i="1" s="1"/>
  <c r="L30" i="1"/>
  <c r="Q30" i="1" s="1"/>
  <c r="N23" i="9"/>
  <c r="S23" i="9" s="1"/>
  <c r="T23" i="9"/>
  <c r="M23" i="9"/>
  <c r="R23" i="9" s="1"/>
  <c r="D31" i="7"/>
  <c r="D9" i="6"/>
  <c r="F31" i="7"/>
  <c r="C46" i="7"/>
  <c r="C9" i="7"/>
  <c r="C90" i="9" s="1"/>
  <c r="C122" i="9" s="1"/>
  <c r="C31" i="10" s="1"/>
  <c r="C46" i="10" s="1"/>
  <c r="C9" i="10" s="1"/>
  <c r="F51" i="6"/>
  <c r="F22" i="6" s="1"/>
  <c r="E324" i="4"/>
  <c r="D369" i="4" s="1"/>
  <c r="D402" i="4" s="1"/>
  <c r="H47" i="7"/>
  <c r="F16" i="6"/>
  <c r="F49" i="7"/>
  <c r="B92" i="12"/>
  <c r="M10" i="9"/>
  <c r="R10" i="9" s="1"/>
  <c r="T10" i="9"/>
  <c r="N10" i="9"/>
  <c r="S10" i="9" s="1"/>
  <c r="D45" i="10"/>
  <c r="F45" i="10"/>
  <c r="F14" i="10" s="1"/>
  <c r="M17" i="9"/>
  <c r="R17" i="9" s="1"/>
  <c r="T17" i="9"/>
  <c r="E34" i="6"/>
  <c r="E356" i="4"/>
  <c r="D14" i="7"/>
  <c r="C36" i="10"/>
  <c r="H36" i="7"/>
  <c r="E44" i="7"/>
  <c r="E13" i="7" s="1"/>
  <c r="C8" i="6"/>
  <c r="N314" i="4"/>
  <c r="G314" i="4" s="1"/>
  <c r="G315" i="4" s="1"/>
  <c r="N315" i="4" s="1"/>
  <c r="G325" i="4" s="1"/>
  <c r="F380" i="4" s="1"/>
  <c r="F414" i="4" s="1"/>
  <c r="B115" i="12" s="1"/>
  <c r="D314" i="4"/>
  <c r="D315" i="4" s="1"/>
  <c r="D325" i="4" s="1"/>
  <c r="C380" i="4" s="1"/>
  <c r="C414" i="4" s="1"/>
  <c r="C58" i="7" s="1"/>
  <c r="C84" i="9" s="1"/>
  <c r="C132" i="9" s="1"/>
  <c r="E314" i="4"/>
  <c r="E315" i="4" s="1"/>
  <c r="E325" i="4" s="1"/>
  <c r="D380" i="4" s="1"/>
  <c r="D414" i="4" s="1"/>
  <c r="F314" i="4"/>
  <c r="F315" i="4" s="1"/>
  <c r="F325" i="4" s="1"/>
  <c r="E380" i="4" s="1"/>
  <c r="F10" i="7" l="1"/>
  <c r="H32" i="7"/>
  <c r="F408" i="4"/>
  <c r="D48" i="10"/>
  <c r="D17" i="10" s="1"/>
  <c r="E51" i="6"/>
  <c r="E22" i="6" s="1"/>
  <c r="F11" i="10"/>
  <c r="H11" i="10" s="1"/>
  <c r="H33" i="10"/>
  <c r="C51" i="6"/>
  <c r="C22" i="6" s="1"/>
  <c r="F50" i="7"/>
  <c r="H50" i="7" s="1"/>
  <c r="B90" i="12"/>
  <c r="F375" i="4"/>
  <c r="C47" i="7"/>
  <c r="E375" i="4"/>
  <c r="E408" i="4"/>
  <c r="J56" i="5"/>
  <c r="K56" i="5" s="1"/>
  <c r="D31" i="4"/>
  <c r="D35" i="4" s="1"/>
  <c r="C14" i="10"/>
  <c r="C31" i="4"/>
  <c r="C34" i="4" s="1"/>
  <c r="F8" i="7"/>
  <c r="H8" i="7" s="1"/>
  <c r="D26" i="3"/>
  <c r="D29" i="3" s="1"/>
  <c r="D51" i="3" s="1"/>
  <c r="D55" i="3" s="1"/>
  <c r="D58" i="3"/>
  <c r="C58" i="3" s="1"/>
  <c r="C29" i="3"/>
  <c r="C51" i="3" s="1"/>
  <c r="C55" i="3" s="1"/>
  <c r="C36" i="3"/>
  <c r="F48" i="10"/>
  <c r="F17" i="10" s="1"/>
  <c r="B62" i="12"/>
  <c r="E48" i="7"/>
  <c r="E17" i="7" s="1"/>
  <c r="E17" i="6"/>
  <c r="C17" i="6"/>
  <c r="C48" i="7"/>
  <c r="C17" i="7" s="1"/>
  <c r="F48" i="7"/>
  <c r="F17" i="7" s="1"/>
  <c r="F17" i="6"/>
  <c r="F12" i="10"/>
  <c r="H12" i="10" s="1"/>
  <c r="H34" i="10"/>
  <c r="F30" i="10"/>
  <c r="H30" i="10" s="1"/>
  <c r="D121" i="9"/>
  <c r="C219" i="4"/>
  <c r="C402" i="4"/>
  <c r="C50" i="7" s="1"/>
  <c r="E47" i="10"/>
  <c r="E16" i="10" s="1"/>
  <c r="E58" i="7"/>
  <c r="F84" i="9" s="1"/>
  <c r="F132" i="9" s="1"/>
  <c r="E58" i="10" s="1"/>
  <c r="C31" i="3"/>
  <c r="I132" i="4"/>
  <c r="I129" i="4"/>
  <c r="I133" i="4"/>
  <c r="I131" i="4"/>
  <c r="I134" i="4"/>
  <c r="I130" i="4"/>
  <c r="H14" i="10"/>
  <c r="F13" i="7"/>
  <c r="H13" i="7" s="1"/>
  <c r="H35" i="7"/>
  <c r="H45" i="10"/>
  <c r="D14" i="10"/>
  <c r="H13" i="10"/>
  <c r="D30" i="7"/>
  <c r="C58" i="10"/>
  <c r="G131" i="4"/>
  <c r="AC34" i="5"/>
  <c r="AK34" i="5" s="1"/>
  <c r="F66" i="9"/>
  <c r="G66" i="9"/>
  <c r="Z56" i="5"/>
  <c r="AD56" i="5" s="1"/>
  <c r="U53" i="1"/>
  <c r="U54" i="1" s="1"/>
  <c r="G36" i="6"/>
  <c r="G36" i="7" s="1"/>
  <c r="G14" i="7" s="1"/>
  <c r="G128" i="9"/>
  <c r="AC30" i="5"/>
  <c r="AD30" i="5" s="1"/>
  <c r="G182" i="3"/>
  <c r="E66" i="9"/>
  <c r="G127" i="9"/>
  <c r="T53" i="1"/>
  <c r="T54" i="1" s="1"/>
  <c r="AC36" i="5"/>
  <c r="N53" i="1"/>
  <c r="AC32" i="5"/>
  <c r="AK32" i="5" s="1"/>
  <c r="K53" i="1"/>
  <c r="AC37" i="5"/>
  <c r="AK37" i="5" s="1"/>
  <c r="G35" i="6"/>
  <c r="P53" i="1"/>
  <c r="P54" i="1"/>
  <c r="G133" i="4"/>
  <c r="R22" i="1"/>
  <c r="S14" i="1"/>
  <c r="H132" i="4"/>
  <c r="Y56" i="5"/>
  <c r="AC56" i="5" s="1"/>
  <c r="L53" i="1"/>
  <c r="AC40" i="5"/>
  <c r="R11" i="1"/>
  <c r="G129" i="4"/>
  <c r="M53" i="1"/>
  <c r="R32" i="1"/>
  <c r="G134" i="4"/>
  <c r="S22" i="1"/>
  <c r="H133" i="4"/>
  <c r="S12" i="1"/>
  <c r="H130" i="4"/>
  <c r="S11" i="1"/>
  <c r="H129" i="4"/>
  <c r="G130" i="4"/>
  <c r="R12" i="1"/>
  <c r="R14" i="1"/>
  <c r="G132" i="4"/>
  <c r="Q53" i="1"/>
  <c r="Q54" i="1"/>
  <c r="AC53" i="5"/>
  <c r="AC51" i="5"/>
  <c r="AC52" i="5"/>
  <c r="AC27" i="5"/>
  <c r="AC35" i="5"/>
  <c r="AC47" i="5"/>
  <c r="AC46" i="5"/>
  <c r="AC33" i="5"/>
  <c r="AC55" i="5"/>
  <c r="AC45" i="5"/>
  <c r="AC54" i="5"/>
  <c r="G181" i="3"/>
  <c r="AC28" i="5"/>
  <c r="AC49" i="5"/>
  <c r="AC44" i="5"/>
  <c r="AK23" i="5"/>
  <c r="AC43" i="5"/>
  <c r="AC31" i="5"/>
  <c r="AC50" i="5"/>
  <c r="AC39" i="5"/>
  <c r="AC42" i="5"/>
  <c r="AC48" i="5"/>
  <c r="AC38" i="5"/>
  <c r="AC29" i="5"/>
  <c r="AC41" i="5"/>
  <c r="AK24" i="5"/>
  <c r="S32" i="1"/>
  <c r="H134" i="4"/>
  <c r="F46" i="7"/>
  <c r="F9" i="7" s="1"/>
  <c r="H31" i="7"/>
  <c r="D46" i="7"/>
  <c r="D9" i="7" s="1"/>
  <c r="D90" i="9" s="1"/>
  <c r="D122" i="9" s="1"/>
  <c r="D31" i="10" s="1"/>
  <c r="D408" i="4"/>
  <c r="D50" i="7"/>
  <c r="F19" i="7"/>
  <c r="F83" i="9" s="1"/>
  <c r="F129" i="9" s="1"/>
  <c r="F50" i="10" s="1"/>
  <c r="D375" i="4"/>
  <c r="B31" i="12"/>
  <c r="H49" i="7"/>
  <c r="F49" i="10"/>
  <c r="F18" i="7"/>
  <c r="H18" i="7" s="1"/>
  <c r="H16" i="7"/>
  <c r="F47" i="10"/>
  <c r="F16" i="10" s="1"/>
  <c r="C30" i="10"/>
  <c r="C8" i="10" s="1"/>
  <c r="C8" i="7"/>
  <c r="E392" i="4"/>
  <c r="E34" i="7" s="1"/>
  <c r="G67" i="9"/>
  <c r="G71" i="9" s="1"/>
  <c r="C36" i="4"/>
  <c r="D36" i="4"/>
  <c r="E12" i="6"/>
  <c r="G68" i="9"/>
  <c r="F68" i="9"/>
  <c r="F67" i="9"/>
  <c r="F71" i="9" s="1"/>
  <c r="F120" i="9" s="1"/>
  <c r="E67" i="9"/>
  <c r="E71" i="9" s="1"/>
  <c r="E120" i="9" s="1"/>
  <c r="C35" i="4"/>
  <c r="E68" i="9"/>
  <c r="E8" i="7"/>
  <c r="E30" i="10"/>
  <c r="E8" i="10" s="1"/>
  <c r="E414" i="4"/>
  <c r="D58" i="7"/>
  <c r="E19" i="10"/>
  <c r="D34" i="4" l="1"/>
  <c r="H48" i="10"/>
  <c r="F95" i="9"/>
  <c r="F123" i="9" s="1"/>
  <c r="F32" i="10" s="1"/>
  <c r="H10" i="7"/>
  <c r="C16" i="7"/>
  <c r="C47" i="10"/>
  <c r="C16" i="10" s="1"/>
  <c r="D30" i="10"/>
  <c r="D8" i="10" s="1"/>
  <c r="L56" i="5"/>
  <c r="M56" i="5"/>
  <c r="O56" i="5"/>
  <c r="N56" i="5"/>
  <c r="C408" i="4"/>
  <c r="D59" i="3"/>
  <c r="D30" i="3"/>
  <c r="D36" i="3" s="1"/>
  <c r="D39" i="3" s="1"/>
  <c r="C59" i="3"/>
  <c r="F8" i="10"/>
  <c r="H8" i="10" s="1"/>
  <c r="C34" i="3"/>
  <c r="C38" i="3" s="1"/>
  <c r="C53" i="3"/>
  <c r="C39" i="3"/>
  <c r="C190" i="3"/>
  <c r="H17" i="10"/>
  <c r="H48" i="7"/>
  <c r="B32" i="12"/>
  <c r="B36" i="12" s="1"/>
  <c r="H17" i="7"/>
  <c r="E51" i="7"/>
  <c r="E22" i="7" s="1"/>
  <c r="D34" i="3"/>
  <c r="D38" i="3" s="1"/>
  <c r="E51" i="10"/>
  <c r="E22" i="10" s="1"/>
  <c r="C176" i="3"/>
  <c r="C192" i="3" s="1"/>
  <c r="G362" i="4"/>
  <c r="G359" i="4" s="1"/>
  <c r="G393" i="4" s="1"/>
  <c r="D8" i="7"/>
  <c r="AE34" i="5"/>
  <c r="C191" i="3"/>
  <c r="C358" i="4" s="1"/>
  <c r="AF34" i="5"/>
  <c r="AN34" i="5" s="1"/>
  <c r="AD34" i="5"/>
  <c r="G14" i="6"/>
  <c r="G36" i="10"/>
  <c r="G14" i="10" s="1"/>
  <c r="G35" i="10"/>
  <c r="G13" i="10" s="1"/>
  <c r="AE30" i="5"/>
  <c r="AD32" i="5"/>
  <c r="AK30" i="5"/>
  <c r="AE32" i="5"/>
  <c r="AE37" i="5"/>
  <c r="AD37" i="5"/>
  <c r="AF32" i="5"/>
  <c r="AN32" i="5" s="1"/>
  <c r="F362" i="4"/>
  <c r="F359" i="4" s="1"/>
  <c r="AK36" i="5"/>
  <c r="AE36" i="5"/>
  <c r="H19" i="7"/>
  <c r="AF37" i="5"/>
  <c r="AN37" i="5" s="1"/>
  <c r="E362" i="4"/>
  <c r="E396" i="4" s="1"/>
  <c r="G13" i="6"/>
  <c r="G35" i="7"/>
  <c r="G13" i="7" s="1"/>
  <c r="G185" i="3"/>
  <c r="G187" i="3" s="1"/>
  <c r="G29" i="6" s="1"/>
  <c r="AF30" i="5"/>
  <c r="AD36" i="5"/>
  <c r="AN23" i="5"/>
  <c r="H199" i="4"/>
  <c r="AK33" i="5"/>
  <c r="H202" i="4" s="1"/>
  <c r="AE33" i="5"/>
  <c r="AF33" i="5"/>
  <c r="AD33" i="5"/>
  <c r="AF27" i="5"/>
  <c r="AE27" i="5"/>
  <c r="AK27" i="5"/>
  <c r="AD27" i="5"/>
  <c r="AA39" i="5"/>
  <c r="AI39" i="5" s="1"/>
  <c r="AA53" i="5"/>
  <c r="AI53" i="5" s="1"/>
  <c r="AA47" i="5"/>
  <c r="AI47" i="5" s="1"/>
  <c r="AA29" i="5"/>
  <c r="AI29" i="5" s="1"/>
  <c r="R53" i="1"/>
  <c r="AA48" i="5"/>
  <c r="AI48" i="5" s="1"/>
  <c r="AA45" i="5"/>
  <c r="AI45" i="5" s="1"/>
  <c r="AA50" i="5"/>
  <c r="AI50" i="5" s="1"/>
  <c r="E181" i="3"/>
  <c r="E357" i="4" s="1"/>
  <c r="AA33" i="5"/>
  <c r="AI33" i="5" s="1"/>
  <c r="F202" i="4" s="1"/>
  <c r="AI23" i="5"/>
  <c r="AA38" i="5"/>
  <c r="AI38" i="5" s="1"/>
  <c r="AA43" i="5"/>
  <c r="AI43" i="5" s="1"/>
  <c r="AA41" i="5"/>
  <c r="AI41" i="5" s="1"/>
  <c r="AA27" i="5"/>
  <c r="AI27" i="5" s="1"/>
  <c r="AA54" i="5"/>
  <c r="AI54" i="5" s="1"/>
  <c r="AA49" i="5"/>
  <c r="AI49" i="5" s="1"/>
  <c r="AA55" i="5"/>
  <c r="AI55" i="5" s="1"/>
  <c r="AA52" i="5"/>
  <c r="AI52" i="5" s="1"/>
  <c r="AA31" i="5"/>
  <c r="AI31" i="5" s="1"/>
  <c r="AA42" i="5"/>
  <c r="AI42" i="5" s="1"/>
  <c r="AA35" i="5"/>
  <c r="AI35" i="5" s="1"/>
  <c r="AA51" i="5"/>
  <c r="AI51" i="5" s="1"/>
  <c r="E191" i="3"/>
  <c r="AA46" i="5"/>
  <c r="AI46" i="5" s="1"/>
  <c r="R54" i="1"/>
  <c r="E137" i="2" s="1"/>
  <c r="AA44" i="5"/>
  <c r="AI44" i="5" s="1"/>
  <c r="AI24" i="5"/>
  <c r="F215" i="4" s="1"/>
  <c r="E192" i="3"/>
  <c r="AA32" i="5"/>
  <c r="AI32" i="5" s="1"/>
  <c r="AA30" i="5"/>
  <c r="AI30" i="5" s="1"/>
  <c r="AA28" i="5"/>
  <c r="AI28" i="5" s="1"/>
  <c r="AA34" i="5"/>
  <c r="AI34" i="5" s="1"/>
  <c r="AA56" i="5"/>
  <c r="AE56" i="5" s="1"/>
  <c r="AA37" i="5"/>
  <c r="AI37" i="5" s="1"/>
  <c r="AA40" i="5"/>
  <c r="AI40" i="5" s="1"/>
  <c r="AA36" i="5"/>
  <c r="AI36" i="5" s="1"/>
  <c r="E182" i="3"/>
  <c r="AE38" i="5"/>
  <c r="AK38" i="5"/>
  <c r="H205" i="4" s="1"/>
  <c r="AF38" i="5"/>
  <c r="AD38" i="5"/>
  <c r="AK44" i="5"/>
  <c r="AF44" i="5"/>
  <c r="AE44" i="5"/>
  <c r="AD44" i="5"/>
  <c r="AK54" i="5"/>
  <c r="AF54" i="5"/>
  <c r="AE54" i="5"/>
  <c r="AD54" i="5"/>
  <c r="AK52" i="5"/>
  <c r="AE52" i="5"/>
  <c r="AD52" i="5"/>
  <c r="AF52" i="5"/>
  <c r="Q55" i="1"/>
  <c r="AK40" i="5"/>
  <c r="AE40" i="5"/>
  <c r="AF40" i="5"/>
  <c r="AD40" i="5"/>
  <c r="H215" i="4"/>
  <c r="AN24" i="5"/>
  <c r="AK48" i="5"/>
  <c r="AD48" i="5"/>
  <c r="AF48" i="5"/>
  <c r="AE48" i="5"/>
  <c r="AK31" i="5"/>
  <c r="AD31" i="5"/>
  <c r="AE31" i="5"/>
  <c r="AF31" i="5"/>
  <c r="AK49" i="5"/>
  <c r="AF49" i="5"/>
  <c r="AD49" i="5"/>
  <c r="AE49" i="5"/>
  <c r="AK45" i="5"/>
  <c r="AD45" i="5"/>
  <c r="AF45" i="5"/>
  <c r="AE45" i="5"/>
  <c r="AK47" i="5"/>
  <c r="AE47" i="5"/>
  <c r="AF47" i="5"/>
  <c r="AD47" i="5"/>
  <c r="AK51" i="5"/>
  <c r="AE51" i="5"/>
  <c r="AD51" i="5"/>
  <c r="AF51" i="5"/>
  <c r="P55" i="1"/>
  <c r="AK29" i="5"/>
  <c r="AE29" i="5"/>
  <c r="AD29" i="5"/>
  <c r="AF29" i="5"/>
  <c r="AK39" i="5"/>
  <c r="AF39" i="5"/>
  <c r="AD39" i="5"/>
  <c r="AE39" i="5"/>
  <c r="AF50" i="5"/>
  <c r="AK50" i="5"/>
  <c r="AD50" i="5"/>
  <c r="AE50" i="5"/>
  <c r="AF46" i="5"/>
  <c r="AK46" i="5"/>
  <c r="AD46" i="5"/>
  <c r="AE46" i="5"/>
  <c r="AK41" i="5"/>
  <c r="AD41" i="5"/>
  <c r="AE41" i="5"/>
  <c r="AF41" i="5"/>
  <c r="AF42" i="5"/>
  <c r="AK42" i="5"/>
  <c r="AE42" i="5"/>
  <c r="AD42" i="5"/>
  <c r="AK43" i="5"/>
  <c r="AF43" i="5"/>
  <c r="AD43" i="5"/>
  <c r="AE43" i="5"/>
  <c r="AF28" i="5"/>
  <c r="AE28" i="5"/>
  <c r="AK28" i="5"/>
  <c r="AD28" i="5"/>
  <c r="AK55" i="5"/>
  <c r="AE55" i="5"/>
  <c r="AD55" i="5"/>
  <c r="AF55" i="5"/>
  <c r="AK35" i="5"/>
  <c r="H206" i="4" s="1"/>
  <c r="AF35" i="5"/>
  <c r="AE35" i="5"/>
  <c r="AD35" i="5"/>
  <c r="AK53" i="5"/>
  <c r="AF53" i="5"/>
  <c r="AE53" i="5"/>
  <c r="AD53" i="5"/>
  <c r="F181" i="3"/>
  <c r="AB48" i="5"/>
  <c r="AJ48" i="5" s="1"/>
  <c r="AB55" i="5"/>
  <c r="AJ55" i="5" s="1"/>
  <c r="B18" i="12"/>
  <c r="B23" i="12" s="1"/>
  <c r="AB54" i="5"/>
  <c r="AJ54" i="5" s="1"/>
  <c r="AB35" i="5"/>
  <c r="AJ35" i="5" s="1"/>
  <c r="AB44" i="5"/>
  <c r="AJ44" i="5" s="1"/>
  <c r="AB27" i="5"/>
  <c r="AJ27" i="5" s="1"/>
  <c r="AB41" i="5"/>
  <c r="AJ41" i="5" s="1"/>
  <c r="AB33" i="5"/>
  <c r="AJ33" i="5" s="1"/>
  <c r="G202" i="4" s="1"/>
  <c r="C72" i="12" s="1"/>
  <c r="AB31" i="5"/>
  <c r="AJ31" i="5" s="1"/>
  <c r="AB52" i="5"/>
  <c r="AJ52" i="5" s="1"/>
  <c r="AB43" i="5"/>
  <c r="AJ43" i="5" s="1"/>
  <c r="S53" i="1"/>
  <c r="AB45" i="5"/>
  <c r="AJ45" i="5" s="1"/>
  <c r="AB42" i="5"/>
  <c r="AJ42" i="5" s="1"/>
  <c r="AB47" i="5"/>
  <c r="AJ47" i="5" s="1"/>
  <c r="AB53" i="5"/>
  <c r="AJ53" i="5" s="1"/>
  <c r="AJ23" i="5"/>
  <c r="AB29" i="5"/>
  <c r="AJ29" i="5" s="1"/>
  <c r="F191" i="3"/>
  <c r="AB38" i="5"/>
  <c r="AJ38" i="5" s="1"/>
  <c r="AB39" i="5"/>
  <c r="AJ39" i="5" s="1"/>
  <c r="S54" i="1"/>
  <c r="AB49" i="5"/>
  <c r="AJ49" i="5" s="1"/>
  <c r="AB50" i="5"/>
  <c r="AJ50" i="5" s="1"/>
  <c r="AB28" i="5"/>
  <c r="AJ28" i="5" s="1"/>
  <c r="AB46" i="5"/>
  <c r="AJ46" i="5" s="1"/>
  <c r="AB40" i="5"/>
  <c r="AJ40" i="5" s="1"/>
  <c r="AB30" i="5"/>
  <c r="AJ30" i="5" s="1"/>
  <c r="F192" i="3"/>
  <c r="B105" i="12" s="1"/>
  <c r="AB56" i="5"/>
  <c r="AF56" i="5" s="1"/>
  <c r="AF36" i="5"/>
  <c r="AB32" i="5"/>
  <c r="AJ32" i="5" s="1"/>
  <c r="F182" i="3"/>
  <c r="B46" i="12" s="1"/>
  <c r="AB51" i="5"/>
  <c r="AJ51" i="5" s="1"/>
  <c r="AB36" i="5"/>
  <c r="AJ36" i="5" s="1"/>
  <c r="AB34" i="5"/>
  <c r="AJ34" i="5" s="1"/>
  <c r="G206" i="4" s="1"/>
  <c r="C76" i="12" s="1"/>
  <c r="AJ24" i="5"/>
  <c r="G215" i="4" s="1"/>
  <c r="C85" i="12" s="1"/>
  <c r="AB37" i="5"/>
  <c r="AJ37" i="5" s="1"/>
  <c r="H46" i="7"/>
  <c r="F51" i="7"/>
  <c r="D46" i="10"/>
  <c r="D9" i="10" s="1"/>
  <c r="H9" i="7"/>
  <c r="F90" i="9"/>
  <c r="F122" i="9" s="1"/>
  <c r="F31" i="10" s="1"/>
  <c r="D19" i="7"/>
  <c r="D83" i="9" s="1"/>
  <c r="D129" i="9" s="1"/>
  <c r="D50" i="10" s="1"/>
  <c r="D51" i="7"/>
  <c r="D22" i="7" s="1"/>
  <c r="F18" i="10"/>
  <c r="H18" i="10" s="1"/>
  <c r="H49" i="10"/>
  <c r="H16" i="10"/>
  <c r="H47" i="10"/>
  <c r="C351" i="4"/>
  <c r="C37" i="4"/>
  <c r="E34" i="10"/>
  <c r="E12" i="10" s="1"/>
  <c r="E12" i="7"/>
  <c r="G120" i="9"/>
  <c r="F72" i="9"/>
  <c r="F131" i="9" s="1"/>
  <c r="E72" i="9"/>
  <c r="E131" i="9" s="1"/>
  <c r="C377" i="4"/>
  <c r="C411" i="4" s="1"/>
  <c r="C352" i="4"/>
  <c r="D37" i="4"/>
  <c r="D351" i="4"/>
  <c r="D388" i="4" s="1"/>
  <c r="D84" i="9"/>
  <c r="D132" i="9" s="1"/>
  <c r="D58" i="10" s="1"/>
  <c r="C19" i="7"/>
  <c r="C83" i="9" s="1"/>
  <c r="C129" i="9" s="1"/>
  <c r="C50" i="10" s="1"/>
  <c r="C51" i="7"/>
  <c r="C22" i="7" s="1"/>
  <c r="F19" i="10"/>
  <c r="H19" i="10" s="1"/>
  <c r="H50" i="10"/>
  <c r="H32" i="10" l="1"/>
  <c r="F10" i="10"/>
  <c r="H10" i="10" s="1"/>
  <c r="D31" i="3"/>
  <c r="D352" i="4"/>
  <c r="D52" i="3"/>
  <c r="D57" i="3" s="1"/>
  <c r="D190" i="3" s="1"/>
  <c r="D377" i="4"/>
  <c r="D411" i="4" s="1"/>
  <c r="C181" i="3"/>
  <c r="C357" i="4" s="1"/>
  <c r="C182" i="3"/>
  <c r="F205" i="4"/>
  <c r="H207" i="4"/>
  <c r="F206" i="4"/>
  <c r="G205" i="4"/>
  <c r="C75" i="12" s="1"/>
  <c r="G201" i="4"/>
  <c r="C71" i="12" s="1"/>
  <c r="B37" i="12"/>
  <c r="D176" i="3"/>
  <c r="L11" i="9" s="1"/>
  <c r="Q11" i="9" s="1"/>
  <c r="H201" i="4"/>
  <c r="F201" i="4"/>
  <c r="H208" i="4"/>
  <c r="G204" i="4"/>
  <c r="C74" i="12" s="1"/>
  <c r="F208" i="4"/>
  <c r="G208" i="4"/>
  <c r="C78" i="12" s="1"/>
  <c r="H204" i="4"/>
  <c r="F204" i="4"/>
  <c r="H209" i="4"/>
  <c r="G207" i="4"/>
  <c r="C77" i="12" s="1"/>
  <c r="F207" i="4"/>
  <c r="F209" i="4"/>
  <c r="G209" i="4"/>
  <c r="C79" i="12" s="1"/>
  <c r="G396" i="4"/>
  <c r="C193" i="3"/>
  <c r="C56" i="6" s="1"/>
  <c r="C58" i="6" s="1"/>
  <c r="F396" i="4"/>
  <c r="B63" i="12" s="1"/>
  <c r="F378" i="4"/>
  <c r="F412" i="4" s="1"/>
  <c r="B113" i="12" s="1"/>
  <c r="AN30" i="5"/>
  <c r="AN36" i="5"/>
  <c r="E359" i="4"/>
  <c r="E393" i="4" s="1"/>
  <c r="E378" i="4"/>
  <c r="E412" i="4" s="1"/>
  <c r="E415" i="4" s="1"/>
  <c r="E185" i="3"/>
  <c r="E187" i="3" s="1"/>
  <c r="E29" i="6" s="1"/>
  <c r="E7" i="6" s="1"/>
  <c r="AN52" i="5"/>
  <c r="AN33" i="5"/>
  <c r="AN29" i="5"/>
  <c r="AN31" i="5"/>
  <c r="G7" i="6"/>
  <c r="G39" i="6"/>
  <c r="G21" i="6" s="1"/>
  <c r="G23" i="6" s="1"/>
  <c r="AN47" i="5"/>
  <c r="AN48" i="5"/>
  <c r="AN40" i="5"/>
  <c r="AK56" i="5"/>
  <c r="AN35" i="5"/>
  <c r="AN41" i="5"/>
  <c r="AN46" i="5"/>
  <c r="AN50" i="5"/>
  <c r="AN49" i="5"/>
  <c r="D137" i="2"/>
  <c r="E33" i="6"/>
  <c r="E370" i="4"/>
  <c r="E403" i="4" s="1"/>
  <c r="E144" i="2"/>
  <c r="C137" i="2"/>
  <c r="E142" i="2"/>
  <c r="AN38" i="5"/>
  <c r="R55" i="1"/>
  <c r="F358" i="4"/>
  <c r="B104" i="12"/>
  <c r="B106" i="12" s="1"/>
  <c r="B108" i="12" s="1"/>
  <c r="B117" i="12" s="1"/>
  <c r="F193" i="3"/>
  <c r="E56" i="6" s="1"/>
  <c r="E58" i="6" s="1"/>
  <c r="B45" i="12"/>
  <c r="B49" i="12" s="1"/>
  <c r="F357" i="4"/>
  <c r="F185" i="3"/>
  <c r="F187" i="3" s="1"/>
  <c r="F29" i="6" s="1"/>
  <c r="AN55" i="5"/>
  <c r="AN45" i="5"/>
  <c r="G199" i="4"/>
  <c r="AJ56" i="5"/>
  <c r="AN28" i="5"/>
  <c r="AN39" i="5"/>
  <c r="F393" i="4"/>
  <c r="B60" i="12" s="1"/>
  <c r="E358" i="4"/>
  <c r="E193" i="3"/>
  <c r="S55" i="1"/>
  <c r="AN53" i="5"/>
  <c r="AN43" i="5"/>
  <c r="AN42" i="5"/>
  <c r="AN51" i="5"/>
  <c r="AN54" i="5"/>
  <c r="AN44" i="5"/>
  <c r="F199" i="4"/>
  <c r="AI56" i="5"/>
  <c r="AN27" i="5"/>
  <c r="H31" i="10"/>
  <c r="F46" i="10"/>
  <c r="H51" i="7"/>
  <c r="F22" i="7"/>
  <c r="H22" i="7" s="1"/>
  <c r="D19" i="10"/>
  <c r="D51" i="10"/>
  <c r="D22" i="10" s="1"/>
  <c r="E131" i="4"/>
  <c r="C388" i="4"/>
  <c r="E133" i="4"/>
  <c r="E132" i="4"/>
  <c r="E134" i="4"/>
  <c r="E130" i="4"/>
  <c r="E129" i="4"/>
  <c r="Z32" i="5"/>
  <c r="L26" i="9"/>
  <c r="Q26" i="9" s="1"/>
  <c r="C19" i="10"/>
  <c r="C51" i="10"/>
  <c r="C22" i="10" s="1"/>
  <c r="AM40" i="5" l="1"/>
  <c r="AM50" i="5"/>
  <c r="D60" i="3"/>
  <c r="AM31" i="5"/>
  <c r="D53" i="3"/>
  <c r="L17" i="9"/>
  <c r="Q17" i="9" s="1"/>
  <c r="L10" i="9"/>
  <c r="Q10" i="9" s="1"/>
  <c r="L28" i="9"/>
  <c r="Q28" i="9" s="1"/>
  <c r="AM52" i="5"/>
  <c r="D192" i="3"/>
  <c r="F134" i="4"/>
  <c r="Z46" i="5"/>
  <c r="AH46" i="5" s="1"/>
  <c r="Z38" i="5"/>
  <c r="AH38" i="5" s="1"/>
  <c r="AH23" i="5"/>
  <c r="E199" i="4" s="1"/>
  <c r="AM28" i="5"/>
  <c r="Z52" i="5"/>
  <c r="AH52" i="5" s="1"/>
  <c r="Z51" i="5"/>
  <c r="AH51" i="5" s="1"/>
  <c r="AH32" i="5"/>
  <c r="Z29" i="5"/>
  <c r="AH29" i="5" s="1"/>
  <c r="C185" i="3"/>
  <c r="C187" i="3" s="1"/>
  <c r="C29" i="6" s="1"/>
  <c r="C7" i="6" s="1"/>
  <c r="AM29" i="5"/>
  <c r="AM49" i="5"/>
  <c r="L24" i="9"/>
  <c r="Q24" i="9" s="1"/>
  <c r="Z55" i="5"/>
  <c r="AH55" i="5" s="1"/>
  <c r="Z48" i="5"/>
  <c r="AH48" i="5" s="1"/>
  <c r="Z47" i="5"/>
  <c r="AH47" i="5" s="1"/>
  <c r="Z42" i="5"/>
  <c r="AH42" i="5" s="1"/>
  <c r="AM44" i="5"/>
  <c r="L22" i="9"/>
  <c r="Q22" i="9" s="1"/>
  <c r="Z45" i="5"/>
  <c r="AH45" i="5" s="1"/>
  <c r="Z36" i="5"/>
  <c r="AH36" i="5" s="1"/>
  <c r="AM37" i="5"/>
  <c r="Z33" i="5"/>
  <c r="AH33" i="5" s="1"/>
  <c r="E202" i="4" s="1"/>
  <c r="D191" i="3"/>
  <c r="D358" i="4" s="1"/>
  <c r="AM24" i="5"/>
  <c r="Z27" i="5"/>
  <c r="AH27" i="5" s="1"/>
  <c r="AM43" i="5"/>
  <c r="L18" i="9"/>
  <c r="Q18" i="9" s="1"/>
  <c r="AM41" i="5"/>
  <c r="L8" i="9"/>
  <c r="Q8" i="9" s="1"/>
  <c r="AM39" i="5"/>
  <c r="Z31" i="5"/>
  <c r="AH31" i="5" s="1"/>
  <c r="AH24" i="5"/>
  <c r="E215" i="4" s="1"/>
  <c r="D181" i="3"/>
  <c r="D357" i="4" s="1"/>
  <c r="L19" i="9"/>
  <c r="Q19" i="9" s="1"/>
  <c r="L29" i="9"/>
  <c r="Q29" i="9" s="1"/>
  <c r="F131" i="4"/>
  <c r="AM34" i="5"/>
  <c r="Z54" i="5"/>
  <c r="AH54" i="5" s="1"/>
  <c r="F129" i="4"/>
  <c r="AM46" i="5"/>
  <c r="AM45" i="5"/>
  <c r="L16" i="9"/>
  <c r="Q16" i="9" s="1"/>
  <c r="Z50" i="5"/>
  <c r="AH50" i="5" s="1"/>
  <c r="Z44" i="5"/>
  <c r="AH44" i="5" s="1"/>
  <c r="F132" i="4"/>
  <c r="AM35" i="5"/>
  <c r="L15" i="9"/>
  <c r="Q15" i="9" s="1"/>
  <c r="AM55" i="5"/>
  <c r="Z43" i="5"/>
  <c r="AH43" i="5" s="1"/>
  <c r="Z35" i="5"/>
  <c r="AH35" i="5" s="1"/>
  <c r="L9" i="9"/>
  <c r="Q9" i="9" s="1"/>
  <c r="AM42" i="5"/>
  <c r="Z49" i="5"/>
  <c r="AH49" i="5" s="1"/>
  <c r="D182" i="3"/>
  <c r="Z30" i="5"/>
  <c r="AH30" i="5" s="1"/>
  <c r="Z53" i="5"/>
  <c r="AH53" i="5" s="1"/>
  <c r="L30" i="9"/>
  <c r="Q30" i="9" s="1"/>
  <c r="AM54" i="5"/>
  <c r="AM53" i="5"/>
  <c r="L21" i="9"/>
  <c r="Q21" i="9" s="1"/>
  <c r="L20" i="9"/>
  <c r="Q20" i="9" s="1"/>
  <c r="L27" i="9"/>
  <c r="Q27" i="9" s="1"/>
  <c r="L12" i="9"/>
  <c r="Q12" i="9" s="1"/>
  <c r="AM30" i="5"/>
  <c r="AM33" i="5"/>
  <c r="L23" i="9"/>
  <c r="Q23" i="9" s="1"/>
  <c r="F130" i="4"/>
  <c r="F133" i="4"/>
  <c r="L25" i="9"/>
  <c r="Q25" i="9" s="1"/>
  <c r="Z34" i="5"/>
  <c r="AH34" i="5" s="1"/>
  <c r="E206" i="4" s="1"/>
  <c r="AM48" i="5"/>
  <c r="AM32" i="5"/>
  <c r="Z39" i="5"/>
  <c r="AH39" i="5" s="1"/>
  <c r="AM51" i="5"/>
  <c r="L14" i="9"/>
  <c r="Q14" i="9" s="1"/>
  <c r="Z37" i="5"/>
  <c r="AH37" i="5" s="1"/>
  <c r="E205" i="4" s="1"/>
  <c r="AM47" i="5"/>
  <c r="Z28" i="5"/>
  <c r="AH28" i="5" s="1"/>
  <c r="Z41" i="5"/>
  <c r="AH41" i="5" s="1"/>
  <c r="AM27" i="5"/>
  <c r="L31" i="9"/>
  <c r="Q31" i="9" s="1"/>
  <c r="L13" i="9"/>
  <c r="Q13" i="9" s="1"/>
  <c r="AM38" i="5"/>
  <c r="L7" i="9"/>
  <c r="Q7" i="9" s="1"/>
  <c r="AM23" i="5"/>
  <c r="AM36" i="5"/>
  <c r="Z40" i="5"/>
  <c r="AH40" i="5" s="1"/>
  <c r="B52" i="12"/>
  <c r="H219" i="4"/>
  <c r="G364" i="4" s="1"/>
  <c r="G398" i="4" s="1"/>
  <c r="F219" i="4"/>
  <c r="E364" i="4" s="1"/>
  <c r="E398" i="4" s="1"/>
  <c r="E29" i="7" s="1"/>
  <c r="E29" i="10" s="1"/>
  <c r="E7" i="10" s="1"/>
  <c r="E381" i="4"/>
  <c r="E39" i="6"/>
  <c r="E21" i="6" s="1"/>
  <c r="E23" i="6" s="1"/>
  <c r="AN56" i="5"/>
  <c r="G221" i="4" s="1"/>
  <c r="F365" i="4" s="1"/>
  <c r="C69" i="12"/>
  <c r="G219" i="4"/>
  <c r="F364" i="4" s="1"/>
  <c r="F398" i="4" s="1"/>
  <c r="F405" i="4" s="1"/>
  <c r="F409" i="4" s="1"/>
  <c r="C370" i="4"/>
  <c r="C403" i="4" s="1"/>
  <c r="C144" i="2"/>
  <c r="C33" i="6"/>
  <c r="C142" i="2"/>
  <c r="D144" i="2"/>
  <c r="D142" i="2"/>
  <c r="D33" i="6"/>
  <c r="D370" i="4"/>
  <c r="D403" i="4" s="1"/>
  <c r="F39" i="6"/>
  <c r="F21" i="6" s="1"/>
  <c r="F23" i="6" s="1"/>
  <c r="F7" i="6"/>
  <c r="E145" i="2"/>
  <c r="E11" i="6"/>
  <c r="E33" i="7"/>
  <c r="B51" i="12"/>
  <c r="F9" i="10"/>
  <c r="H9" i="10" s="1"/>
  <c r="H46" i="10"/>
  <c r="F51" i="10"/>
  <c r="C362" i="4"/>
  <c r="AL29" i="5"/>
  <c r="AL28" i="5"/>
  <c r="AL33" i="5"/>
  <c r="K31" i="9"/>
  <c r="P31" i="9" s="1"/>
  <c r="Y35" i="5"/>
  <c r="AG35" i="5" s="1"/>
  <c r="AG24" i="5"/>
  <c r="D215" i="4" s="1"/>
  <c r="AL32" i="5"/>
  <c r="K17" i="9"/>
  <c r="P17" i="9" s="1"/>
  <c r="AL52" i="5"/>
  <c r="K10" i="9"/>
  <c r="P10" i="9" s="1"/>
  <c r="Y52" i="5"/>
  <c r="AG52" i="5" s="1"/>
  <c r="AL31" i="5"/>
  <c r="AL53" i="5"/>
  <c r="AL51" i="5"/>
  <c r="Y43" i="5"/>
  <c r="AG43" i="5" s="1"/>
  <c r="K12" i="9"/>
  <c r="P12" i="9" s="1"/>
  <c r="K25" i="9"/>
  <c r="P25" i="9" s="1"/>
  <c r="Y30" i="5"/>
  <c r="AG30" i="5" s="1"/>
  <c r="K19" i="9"/>
  <c r="P19" i="9" s="1"/>
  <c r="Y55" i="5"/>
  <c r="AG55" i="5" s="1"/>
  <c r="K18" i="9"/>
  <c r="P18" i="9" s="1"/>
  <c r="K16" i="9"/>
  <c r="P16" i="9" s="1"/>
  <c r="Y40" i="5"/>
  <c r="AG40" i="5" s="1"/>
  <c r="AL35" i="5"/>
  <c r="Y33" i="5"/>
  <c r="AG33" i="5" s="1"/>
  <c r="D202" i="4" s="1"/>
  <c r="AL50" i="5"/>
  <c r="AL41" i="5"/>
  <c r="Y42" i="5"/>
  <c r="AG42" i="5" s="1"/>
  <c r="K7" i="9"/>
  <c r="P7" i="9" s="1"/>
  <c r="AL42" i="5"/>
  <c r="AL34" i="5"/>
  <c r="K14" i="9"/>
  <c r="P14" i="9" s="1"/>
  <c r="AL36" i="5"/>
  <c r="K28" i="9"/>
  <c r="P28" i="9" s="1"/>
  <c r="AL44" i="5"/>
  <c r="K26" i="9"/>
  <c r="P26" i="9" s="1"/>
  <c r="AL37" i="5"/>
  <c r="Y46" i="5"/>
  <c r="AG46" i="5" s="1"/>
  <c r="K27" i="9"/>
  <c r="P27" i="9" s="1"/>
  <c r="Y41" i="5"/>
  <c r="AG41" i="5" s="1"/>
  <c r="Y50" i="5"/>
  <c r="AG50" i="5" s="1"/>
  <c r="AL27" i="5"/>
  <c r="K11" i="9"/>
  <c r="P11" i="9" s="1"/>
  <c r="K24" i="9"/>
  <c r="P24" i="9" s="1"/>
  <c r="K15" i="9"/>
  <c r="P15" i="9" s="1"/>
  <c r="K29" i="9"/>
  <c r="P29" i="9" s="1"/>
  <c r="AL54" i="5"/>
  <c r="AL24" i="5"/>
  <c r="AL46" i="5"/>
  <c r="K22" i="9"/>
  <c r="P22" i="9" s="1"/>
  <c r="Y28" i="5"/>
  <c r="AG28" i="5" s="1"/>
  <c r="AL47" i="5"/>
  <c r="Y45" i="5"/>
  <c r="AG45" i="5" s="1"/>
  <c r="Y27" i="5"/>
  <c r="AG27" i="5" s="1"/>
  <c r="AL49" i="5"/>
  <c r="K9" i="9"/>
  <c r="P9" i="9" s="1"/>
  <c r="AL43" i="5"/>
  <c r="Y36" i="5"/>
  <c r="AG36" i="5" s="1"/>
  <c r="K8" i="9"/>
  <c r="P8" i="9" s="1"/>
  <c r="K21" i="9"/>
  <c r="P21" i="9" s="1"/>
  <c r="AL40" i="5"/>
  <c r="AL23" i="5"/>
  <c r="Y32" i="5"/>
  <c r="AG32" i="5" s="1"/>
  <c r="Y51" i="5"/>
  <c r="AG51" i="5" s="1"/>
  <c r="Y37" i="5"/>
  <c r="AG37" i="5" s="1"/>
  <c r="K23" i="9"/>
  <c r="P23" i="9" s="1"/>
  <c r="Y44" i="5"/>
  <c r="AG44" i="5" s="1"/>
  <c r="K13" i="9"/>
  <c r="P13" i="9" s="1"/>
  <c r="Y49" i="5"/>
  <c r="AG49" i="5" s="1"/>
  <c r="Y54" i="5"/>
  <c r="AG54" i="5" s="1"/>
  <c r="AL45" i="5"/>
  <c r="Y31" i="5"/>
  <c r="AG31" i="5" s="1"/>
  <c r="AL55" i="5"/>
  <c r="AG23" i="5"/>
  <c r="Y38" i="5"/>
  <c r="AG38" i="5" s="1"/>
  <c r="AL39" i="5"/>
  <c r="K30" i="9"/>
  <c r="P30" i="9" s="1"/>
  <c r="Y53" i="5"/>
  <c r="AG53" i="5" s="1"/>
  <c r="AL48" i="5"/>
  <c r="AL30" i="5"/>
  <c r="Y39" i="5"/>
  <c r="AG39" i="5" s="1"/>
  <c r="Y34" i="5"/>
  <c r="AG34" i="5" s="1"/>
  <c r="Y47" i="5"/>
  <c r="AG47" i="5" s="1"/>
  <c r="Y29" i="5"/>
  <c r="AG29" i="5" s="1"/>
  <c r="K20" i="9"/>
  <c r="P20" i="9" s="1"/>
  <c r="Y48" i="5"/>
  <c r="AG48" i="5" s="1"/>
  <c r="AL38" i="5"/>
  <c r="E201" i="4" l="1"/>
  <c r="D201" i="4"/>
  <c r="C39" i="6"/>
  <c r="C21" i="6" s="1"/>
  <c r="C23" i="6" s="1"/>
  <c r="D193" i="3"/>
  <c r="D56" i="6" s="1"/>
  <c r="D58" i="6" s="1"/>
  <c r="E208" i="4"/>
  <c r="D185" i="3"/>
  <c r="D187" i="3" s="1"/>
  <c r="D29" i="6" s="1"/>
  <c r="D39" i="6" s="1"/>
  <c r="D21" i="6" s="1"/>
  <c r="D23" i="6" s="1"/>
  <c r="E209" i="4"/>
  <c r="AM56" i="5"/>
  <c r="E221" i="4" s="1"/>
  <c r="D365" i="4" s="1"/>
  <c r="E204" i="4"/>
  <c r="D362" i="4"/>
  <c r="D378" i="4" s="1"/>
  <c r="AH56" i="5"/>
  <c r="D68" i="9"/>
  <c r="F407" i="4"/>
  <c r="E207" i="4"/>
  <c r="D66" i="9"/>
  <c r="D67" i="9"/>
  <c r="D71" i="9" s="1"/>
  <c r="D72" i="9" s="1"/>
  <c r="D131" i="9" s="1"/>
  <c r="D205" i="4"/>
  <c r="D206" i="4"/>
  <c r="G372" i="4"/>
  <c r="G374" i="4" s="1"/>
  <c r="D208" i="4"/>
  <c r="D204" i="4"/>
  <c r="E405" i="4"/>
  <c r="E409" i="4" s="1"/>
  <c r="E372" i="4"/>
  <c r="E374" i="4" s="1"/>
  <c r="D207" i="4"/>
  <c r="D209" i="4"/>
  <c r="E7" i="7"/>
  <c r="E39" i="7"/>
  <c r="E21" i="7" s="1"/>
  <c r="E23" i="7" s="1"/>
  <c r="F379" i="4"/>
  <c r="F381" i="4" s="1"/>
  <c r="G29" i="7"/>
  <c r="G405" i="4"/>
  <c r="C145" i="2"/>
  <c r="F372" i="4"/>
  <c r="F374" i="4" s="1"/>
  <c r="D33" i="7"/>
  <c r="D11" i="6"/>
  <c r="C11" i="6"/>
  <c r="C33" i="7"/>
  <c r="C11" i="7" s="1"/>
  <c r="D145" i="2"/>
  <c r="E11" i="7"/>
  <c r="E124" i="9" s="1"/>
  <c r="E33" i="10" s="1"/>
  <c r="B65" i="12"/>
  <c r="B93" i="12" s="1"/>
  <c r="F29" i="7"/>
  <c r="H51" i="10"/>
  <c r="F22" i="10"/>
  <c r="H22" i="10" s="1"/>
  <c r="AL56" i="5"/>
  <c r="D221" i="4" s="1"/>
  <c r="AG56" i="5"/>
  <c r="D199" i="4"/>
  <c r="C66" i="9"/>
  <c r="C68" i="9"/>
  <c r="C67" i="9"/>
  <c r="C71" i="9" s="1"/>
  <c r="C72" i="9" s="1"/>
  <c r="C131" i="9" s="1"/>
  <c r="C396" i="4"/>
  <c r="C378" i="4"/>
  <c r="C412" i="4" s="1"/>
  <c r="C359" i="4"/>
  <c r="C393" i="4" s="1"/>
  <c r="D379" i="4"/>
  <c r="D413" i="4" s="1"/>
  <c r="D7" i="6" l="1"/>
  <c r="E407" i="4"/>
  <c r="E219" i="4"/>
  <c r="D364" i="4" s="1"/>
  <c r="D398" i="4" s="1"/>
  <c r="D396" i="4"/>
  <c r="D120" i="9"/>
  <c r="D359" i="4"/>
  <c r="D393" i="4" s="1"/>
  <c r="D219" i="4"/>
  <c r="C364" i="4" s="1"/>
  <c r="C398" i="4" s="1"/>
  <c r="C29" i="7" s="1"/>
  <c r="F413" i="4"/>
  <c r="E57" i="7" s="1"/>
  <c r="E11" i="10"/>
  <c r="E39" i="10"/>
  <c r="E21" i="10" s="1"/>
  <c r="E23" i="10" s="1"/>
  <c r="G409" i="4"/>
  <c r="G407" i="4"/>
  <c r="G7" i="7"/>
  <c r="G29" i="10"/>
  <c r="G39" i="7"/>
  <c r="G21" i="7" s="1"/>
  <c r="G23" i="7" s="1"/>
  <c r="B95" i="12"/>
  <c r="B94" i="12"/>
  <c r="D124" i="9"/>
  <c r="D33" i="10" s="1"/>
  <c r="D11" i="10" s="1"/>
  <c r="C124" i="9"/>
  <c r="C33" i="10" s="1"/>
  <c r="C11" i="10" s="1"/>
  <c r="H29" i="7"/>
  <c r="F29" i="10"/>
  <c r="F39" i="7"/>
  <c r="F7" i="7"/>
  <c r="H7" i="7" s="1"/>
  <c r="D11" i="7"/>
  <c r="C365" i="4"/>
  <c r="C379" i="4"/>
  <c r="C120" i="9"/>
  <c r="D381" i="4"/>
  <c r="D412" i="4"/>
  <c r="D29" i="7" l="1"/>
  <c r="D39" i="7" s="1"/>
  <c r="D21" i="7" s="1"/>
  <c r="D23" i="7" s="1"/>
  <c r="D405" i="4"/>
  <c r="D407" i="4" s="1"/>
  <c r="D372" i="4"/>
  <c r="D374" i="4" s="1"/>
  <c r="C405" i="4"/>
  <c r="C409" i="4" s="1"/>
  <c r="C372" i="4"/>
  <c r="C374" i="4" s="1"/>
  <c r="F415" i="4"/>
  <c r="B114" i="12"/>
  <c r="B116" i="12" s="1"/>
  <c r="B118" i="12" s="1"/>
  <c r="C12" i="12"/>
  <c r="C13" i="12" s="1"/>
  <c r="B12" i="12"/>
  <c r="B13" i="12" s="1"/>
  <c r="E57" i="10"/>
  <c r="E59" i="10" s="1"/>
  <c r="E59" i="7"/>
  <c r="G39" i="10"/>
  <c r="G21" i="10" s="1"/>
  <c r="G23" i="10" s="1"/>
  <c r="G7" i="10"/>
  <c r="F21" i="7"/>
  <c r="H39" i="7"/>
  <c r="H29" i="10"/>
  <c r="F39" i="10"/>
  <c r="F7" i="10"/>
  <c r="H7" i="10" s="1"/>
  <c r="I7" i="10" s="1"/>
  <c r="C381" i="4"/>
  <c r="C413" i="4"/>
  <c r="C7" i="7"/>
  <c r="C29" i="10"/>
  <c r="C39" i="7"/>
  <c r="C21" i="7" s="1"/>
  <c r="C23" i="7" s="1"/>
  <c r="D415" i="4"/>
  <c r="D57" i="7"/>
  <c r="C407" i="4" l="1"/>
  <c r="D409" i="4"/>
  <c r="D7" i="7"/>
  <c r="D29" i="10"/>
  <c r="D39" i="10" s="1"/>
  <c r="D21" i="10" s="1"/>
  <c r="D23" i="10" s="1"/>
  <c r="H39" i="10"/>
  <c r="F21" i="10"/>
  <c r="F23" i="7"/>
  <c r="H23" i="7" s="1"/>
  <c r="H21" i="7"/>
  <c r="C39" i="10"/>
  <c r="C21" i="10" s="1"/>
  <c r="C23" i="10" s="1"/>
  <c r="C7" i="10"/>
  <c r="C415" i="4"/>
  <c r="C416" i="4" s="1"/>
  <c r="C57" i="7"/>
  <c r="D59" i="7"/>
  <c r="D57" i="10"/>
  <c r="D59" i="10" s="1"/>
  <c r="D7" i="10" l="1"/>
  <c r="F23" i="10"/>
  <c r="H23" i="10" s="1"/>
  <c r="H21" i="10"/>
  <c r="C57" i="10"/>
  <c r="C59" i="10" s="1"/>
  <c r="C59" i="7"/>
</calcChain>
</file>

<file path=xl/comments1.xml><?xml version="1.0" encoding="utf-8"?>
<comments xmlns="http://schemas.openxmlformats.org/spreadsheetml/2006/main">
  <authors>
    <author>r</author>
  </authors>
  <commentList>
    <comment ref="B272" authorId="0" shapeId="0">
      <text>
        <r>
          <rPr>
            <b/>
            <sz val="8"/>
            <color indexed="81"/>
            <rFont val="Tahoma"/>
            <family val="2"/>
          </rPr>
          <t>Septic System Upgrades are Not Included in the Existing Management Practices.</t>
        </r>
      </text>
    </comment>
  </commentList>
</comments>
</file>

<file path=xl/sharedStrings.xml><?xml version="1.0" encoding="utf-8"?>
<sst xmlns="http://schemas.openxmlformats.org/spreadsheetml/2006/main" count="1849" uniqueCount="808">
  <si>
    <t>Watershed</t>
  </si>
  <si>
    <t>Grey cells should generally not be changed</t>
  </si>
  <si>
    <t>PRIMARY SOURCES - Land Use</t>
  </si>
  <si>
    <t>Annual Load</t>
  </si>
  <si>
    <t>Annual Runoff Volume</t>
  </si>
  <si>
    <t>Concentrations</t>
  </si>
  <si>
    <t>Annual Loading Rates</t>
  </si>
  <si>
    <t xml:space="preserve">Area </t>
  </si>
  <si>
    <t xml:space="preserve">Impervious </t>
  </si>
  <si>
    <t>Turf</t>
  </si>
  <si>
    <t>TN</t>
  </si>
  <si>
    <t>TP</t>
  </si>
  <si>
    <t>TSS</t>
  </si>
  <si>
    <t>FC</t>
  </si>
  <si>
    <t>Runoff</t>
  </si>
  <si>
    <t>(Acres)</t>
  </si>
  <si>
    <t>Cover (%)</t>
  </si>
  <si>
    <t>(mg/l)</t>
  </si>
  <si>
    <t>(MPN/100 ml)</t>
  </si>
  <si>
    <t>(lb/acre)</t>
  </si>
  <si>
    <t>(lbs/acre)</t>
  </si>
  <si>
    <t>(# billion/acre)</t>
  </si>
  <si>
    <t>(in/year)</t>
  </si>
  <si>
    <t>(lb/year)</t>
  </si>
  <si>
    <t>(lbs/year)</t>
  </si>
  <si>
    <t>(# billion/year)</t>
  </si>
  <si>
    <t>(ac-inches)</t>
  </si>
  <si>
    <t>(acre-feet)</t>
  </si>
  <si>
    <t>Detailed Description</t>
  </si>
  <si>
    <t>Residential</t>
  </si>
  <si>
    <t>LDR (&lt;1du/acre)</t>
  </si>
  <si>
    <t>MDR (1-4 du/acre)</t>
  </si>
  <si>
    <t>HDR (&gt;4 du/acre)</t>
  </si>
  <si>
    <t>Multifamily</t>
  </si>
  <si>
    <t>Commercial</t>
  </si>
  <si>
    <t>Roadway</t>
  </si>
  <si>
    <t>Industrial</t>
  </si>
  <si>
    <t>Forest</t>
  </si>
  <si>
    <t>Rural</t>
  </si>
  <si>
    <t>Open Water</t>
  </si>
  <si>
    <t>Active Construction</t>
  </si>
  <si>
    <t>Total</t>
  </si>
  <si>
    <t>Total Acres</t>
  </si>
  <si>
    <t>Stormwater Load</t>
  </si>
  <si>
    <t>Non-Stormwater Load</t>
  </si>
  <si>
    <t>Groundwater Load</t>
  </si>
  <si>
    <t>Partitioning Coefficients for Rural and Forest Land</t>
  </si>
  <si>
    <t>Pollutant</t>
  </si>
  <si>
    <t>Fraction as Storm Load</t>
  </si>
  <si>
    <t>Watershed Data</t>
  </si>
  <si>
    <t>Annual Rainfall (inches)</t>
  </si>
  <si>
    <t>Watershed Area (acres)</t>
  </si>
  <si>
    <t>Stream Length (miles)</t>
  </si>
  <si>
    <t>Soils Information</t>
  </si>
  <si>
    <t>Soil Fraction(%)</t>
  </si>
  <si>
    <t>Runoff Coefficients</t>
  </si>
  <si>
    <t>Land-Use Specific Runoff Coefficients</t>
  </si>
  <si>
    <t>Impervious</t>
  </si>
  <si>
    <t>HYDROLOGIC SOIL GROUP</t>
  </si>
  <si>
    <t>A Soils</t>
  </si>
  <si>
    <t>B Soils</t>
  </si>
  <si>
    <t>C Soils</t>
  </si>
  <si>
    <t>D Soils</t>
  </si>
  <si>
    <t>DEPTH TO GROUNDWATER</t>
  </si>
  <si>
    <t>&lt;3 Feet</t>
  </si>
  <si>
    <t>3-5 Feet</t>
  </si>
  <si>
    <t>&gt;5 Feet</t>
  </si>
  <si>
    <t>Depth</t>
  </si>
  <si>
    <t>Bacteria</t>
  </si>
  <si>
    <t>N Filtering</t>
  </si>
  <si>
    <t>P Filtering</t>
  </si>
  <si>
    <t>TSS Filtering</t>
  </si>
  <si>
    <t>Bacteria Filtering</t>
  </si>
  <si>
    <t>SECONDARY SOURCES</t>
  </si>
  <si>
    <t>General Sewage Use Data</t>
  </si>
  <si>
    <t>Dwelling Units</t>
  </si>
  <si>
    <t>Water Use (gpcd)</t>
  </si>
  <si>
    <t>Wastewater Characteristics</t>
  </si>
  <si>
    <t>TN (mg/l)</t>
  </si>
  <si>
    <t>TP (mg/l)</t>
  </si>
  <si>
    <t>TSS (mg/l)</t>
  </si>
  <si>
    <t>FC (MPN/100 ml)</t>
  </si>
  <si>
    <t>Nutrient Concentration in Stream Channels</t>
  </si>
  <si>
    <t>Concentration</t>
  </si>
  <si>
    <t>Enrichment Factor</t>
  </si>
  <si>
    <t>Soil P(%)</t>
  </si>
  <si>
    <t>Soil TN (%)</t>
  </si>
  <si>
    <t>On-Site Sewage Disposal Systems</t>
  </si>
  <si>
    <t>Unsewered Dwelling Units(% of total)</t>
  </si>
  <si>
    <t>Failure Rates</t>
  </si>
  <si>
    <t>Failure:</t>
  </si>
  <si>
    <t>Default is 10%</t>
  </si>
  <si>
    <t>% of Septic Systems &lt;100' to waterway</t>
  </si>
  <si>
    <t>Good Inspection:  -5%</t>
  </si>
  <si>
    <t>Normal</t>
  </si>
  <si>
    <t>Adjacent to Waterway</t>
  </si>
  <si>
    <t>Bad Inspection:  +10%</t>
  </si>
  <si>
    <t>Soils</t>
  </si>
  <si>
    <t>Clay/Mixed Soils</t>
  </si>
  <si>
    <t>Bacteria decay</t>
  </si>
  <si>
    <t>High GW</t>
  </si>
  <si>
    <t>+5%</t>
  </si>
  <si>
    <t>Delivery ratio</t>
  </si>
  <si>
    <t>High Density</t>
  </si>
  <si>
    <t>Bacteria (Billions)</t>
  </si>
  <si>
    <t>Untreated Sewage Delivered to Septic Systems</t>
  </si>
  <si>
    <t>% of Systems</t>
  </si>
  <si>
    <t>TN Efficiency</t>
  </si>
  <si>
    <t>TP Efficiency</t>
  </si>
  <si>
    <t>TSS Efficiency</t>
  </si>
  <si>
    <t>Bacteria Log Reduction</t>
  </si>
  <si>
    <t>Conventional</t>
  </si>
  <si>
    <t>Intermittent Sand Filter</t>
  </si>
  <si>
    <t>Recirculating Sand Filter</t>
  </si>
  <si>
    <t>Water Separation System</t>
  </si>
  <si>
    <t>Other</t>
  </si>
  <si>
    <t>Combined Efficiency</t>
  </si>
  <si>
    <t>Adjusted Efficiency (density)</t>
  </si>
  <si>
    <t>Discount Efficiency (Take 1/3 off, or 1 log) for density &gt;1/acre</t>
  </si>
  <si>
    <t>Current Septic System Management</t>
  </si>
  <si>
    <t>Medium.  Inspection at installation, education to encourage ongoing maintenance</t>
  </si>
  <si>
    <t>Typical Separation from Groundwater</t>
  </si>
  <si>
    <t xml:space="preserve">Discount Filtering in soils.  </t>
  </si>
  <si>
    <t>Density  (#/acre)</t>
  </si>
  <si>
    <t>&lt;1/acre</t>
  </si>
  <si>
    <t xml:space="preserve">For TN, </t>
  </si>
  <si>
    <t>For TP</t>
  </si>
  <si>
    <t>For TSS</t>
  </si>
  <si>
    <t>For bacteria</t>
  </si>
  <si>
    <t>0% for &lt;3'</t>
  </si>
  <si>
    <t>50% for &lt;3'</t>
  </si>
  <si>
    <t>100%, no discounts</t>
  </si>
  <si>
    <t>10% for 3-5'</t>
  </si>
  <si>
    <t>80% for 3-5'</t>
  </si>
  <si>
    <t>100% otherwise</t>
  </si>
  <si>
    <t>Removal by soil below the leach field</t>
  </si>
  <si>
    <t>20% for&gt;5</t>
  </si>
  <si>
    <t>100% for &gt;5'</t>
  </si>
  <si>
    <t>50% discount for sandy soils</t>
  </si>
  <si>
    <t>Load to Surface</t>
  </si>
  <si>
    <t>Load to Groundwater</t>
  </si>
  <si>
    <t>For non-failing systems, apply efficiency, than filtering below the leach field</t>
  </si>
  <si>
    <t>Sandy</t>
  </si>
  <si>
    <t>Low.  No inspection at installation, no incentives or programs for ongoing maintenance.</t>
  </si>
  <si>
    <t>1-2/acre</t>
  </si>
  <si>
    <t>&gt;2/acre</t>
  </si>
  <si>
    <t>5 Feet</t>
  </si>
  <si>
    <t>High.  Inspection at installation, ongoing inspection, incentives to correct failing systems.</t>
  </si>
  <si>
    <t>SSOs</t>
  </si>
  <si>
    <t>Miles of Sanitary Sewer</t>
  </si>
  <si>
    <t>Overflows/1,000 Miles of Sewer</t>
  </si>
  <si>
    <t>Fraction of Load as Storm Flow</t>
  </si>
  <si>
    <t>Volume per Overflow (gallons)</t>
  </si>
  <si>
    <t>CSOs</t>
  </si>
  <si>
    <t>Median Storm Event (inches)</t>
  </si>
  <si>
    <t># of CSOs/year</t>
  </si>
  <si>
    <t>Sewershed Area (acres)</t>
  </si>
  <si>
    <t>Capacity of CS system (rainfall depth in inches)</t>
  </si>
  <si>
    <t>Sewershed Impervious  Cover (%)</t>
  </si>
  <si>
    <t>Characteristics of CSOs</t>
  </si>
  <si>
    <t>Illicit Connections</t>
  </si>
  <si>
    <t>Fraction of WS Population Illicitly Connected</t>
  </si>
  <si>
    <t># of Illicit Connections</t>
  </si>
  <si>
    <t>Number of Businesses</t>
  </si>
  <si>
    <t>Fraction of Businesses with Illicit Connections</t>
  </si>
  <si>
    <t>Wash Water Flow (gpd)</t>
  </si>
  <si>
    <t>Total Flow/business (gpd)</t>
  </si>
  <si>
    <t>Wash Water Concentrations</t>
  </si>
  <si>
    <t>Total Flow Concentrations</t>
  </si>
  <si>
    <t>Urban Channel Erosion (Applies only to Stream Reaches in Urban Portions of the Watershed)</t>
  </si>
  <si>
    <t>Method (Select from List)</t>
  </si>
  <si>
    <t>Method 1.  Estimate based on typical estimates of channel erosion rates.</t>
  </si>
  <si>
    <t>Assessment of Channel Erosion</t>
  </si>
  <si>
    <t xml:space="preserve">Low:  25% of watershed sediment load.  Channels largely armored, or stable. </t>
  </si>
  <si>
    <t>Total Watershed Loading (including Channel Erosion) in tons/year</t>
  </si>
  <si>
    <t>Sediment Load from Channel Erosion (tons/year)</t>
  </si>
  <si>
    <t>Choice</t>
  </si>
  <si>
    <t>Method 1</t>
  </si>
  <si>
    <t>Method 2.  Back calculate based on known watershed sediment loading.</t>
  </si>
  <si>
    <t>Moderate:  50% of watershed sediment load.  Channels show signs of degradation, with some areas of severe channel erosion.</t>
  </si>
  <si>
    <t>Method 3. Estimate based on other sediment study results.</t>
  </si>
  <si>
    <t>Livestock</t>
  </si>
  <si>
    <t>Animals (#)</t>
  </si>
  <si>
    <t>% Exposed to Runoff</t>
  </si>
  <si>
    <t>N (lbs/animal/year)</t>
  </si>
  <si>
    <t>N load</t>
  </si>
  <si>
    <t>P (lbs/animal/year)</t>
  </si>
  <si>
    <t>P Load</t>
  </si>
  <si>
    <t>Bacteria (billions/animal/year)</t>
  </si>
  <si>
    <t>Bacteria Load</t>
  </si>
  <si>
    <t>Dairy Cattle</t>
  </si>
  <si>
    <t>Layers</t>
  </si>
  <si>
    <t>Broilers</t>
  </si>
  <si>
    <t>Turkeys</t>
  </si>
  <si>
    <t>Pigs</t>
  </si>
  <si>
    <t>Delivery Ratios</t>
  </si>
  <si>
    <t>Marinas</t>
  </si>
  <si>
    <t>berths</t>
  </si>
  <si>
    <t>typical occupancy (fraction of season)</t>
  </si>
  <si>
    <t>season length (days)</t>
  </si>
  <si>
    <t>flow rates (gpcd)</t>
  </si>
  <si>
    <t>individuals per boat</t>
  </si>
  <si>
    <t>Road Sanding</t>
  </si>
  <si>
    <t>Sand Application (lbs/year)</t>
  </si>
  <si>
    <t>Delivery ratio for Closed Section Roads</t>
  </si>
  <si>
    <t>Fraction of Roads that are Open Section</t>
  </si>
  <si>
    <t>Delivery ratio for Open Section Roads</t>
  </si>
  <si>
    <t>Non-Stormwater Point Sources</t>
  </si>
  <si>
    <t>Flow (MGD)</t>
  </si>
  <si>
    <t>N Concentration (mg/l)</t>
  </si>
  <si>
    <t>N Load (lbs/year)</t>
  </si>
  <si>
    <t>P Concentration (mg/l)</t>
  </si>
  <si>
    <t>P Load (lbs/year)</t>
  </si>
  <si>
    <t>TSS Concentration (mg/l)</t>
  </si>
  <si>
    <t>TSS Load (lbs/year)</t>
  </si>
  <si>
    <t>Bacteria Concentration (#/100ml)</t>
  </si>
  <si>
    <t>Bacteria Load (Billion/year)</t>
  </si>
  <si>
    <t>Point Source 1</t>
  </si>
  <si>
    <t>Point Source 2</t>
  </si>
  <si>
    <t>Point Source 3</t>
  </si>
  <si>
    <t>Point Source 4</t>
  </si>
  <si>
    <t>Point Source 5</t>
  </si>
  <si>
    <t>Point Source 6</t>
  </si>
  <si>
    <t>Point Source 7</t>
  </si>
  <si>
    <t>Point Source 8</t>
  </si>
  <si>
    <t>Point Source 9</t>
  </si>
  <si>
    <t>Point Source 10</t>
  </si>
  <si>
    <t>Total Annual Loads</t>
  </si>
  <si>
    <t>Pollutant Loads</t>
  </si>
  <si>
    <t>Bacteria Load (billion/year)</t>
  </si>
  <si>
    <t>Septic Systems - Surface</t>
  </si>
  <si>
    <t>Septic Systems - Subsurface</t>
  </si>
  <si>
    <t>Channel Erosion</t>
  </si>
  <si>
    <t>Hobby Farms/Livestock</t>
  </si>
  <si>
    <t>Total Secondary Load</t>
  </si>
  <si>
    <t>Storm Load</t>
  </si>
  <si>
    <t>Turf Condition and Management Practices - Residential</t>
  </si>
  <si>
    <t>Residential  Turf Area</t>
  </si>
  <si>
    <t>% of Lawns Bare/ Compacted</t>
  </si>
  <si>
    <t>Factors that Affect Nutrient Loading</t>
  </si>
  <si>
    <t>Nutrient Score</t>
  </si>
  <si>
    <t>Typical # of Applications/Year</t>
  </si>
  <si>
    <t>% of Homes &lt;10 Years Old</t>
  </si>
  <si>
    <t>% of Lawn Area "Highly Managed" (high input)</t>
  </si>
  <si>
    <t>Baseline (Recommended) Fertilizer Rate (N lb/acre)</t>
  </si>
  <si>
    <t>Estimated Average Fertilizer Application (N lb/acre)</t>
  </si>
  <si>
    <t>Analysis</t>
  </si>
  <si>
    <t>Form</t>
  </si>
  <si>
    <t>% of Fertilizer Use (N Application)</t>
  </si>
  <si>
    <t>N</t>
  </si>
  <si>
    <t>P</t>
  </si>
  <si>
    <t>Organic</t>
  </si>
  <si>
    <t>Soluble/Urea</t>
  </si>
  <si>
    <t>Slow Release</t>
  </si>
  <si>
    <t>Phosphorus Free</t>
  </si>
  <si>
    <t>Total Fertilizer Application Rate (Lb/year)</t>
  </si>
  <si>
    <t>Fertilizer Loss</t>
  </si>
  <si>
    <t>Runoff (Lb/year)</t>
  </si>
  <si>
    <t>Leachate (Lb/year)</t>
  </si>
  <si>
    <t>Turf Runoff Coefficient (Modified)</t>
  </si>
  <si>
    <t>Base Surface Runoff Residential Lawn</t>
  </si>
  <si>
    <t>Base Leachate Residential Lawn</t>
  </si>
  <si>
    <t>Total Leachate Residential Lawn</t>
  </si>
  <si>
    <t>Current Estimate</t>
  </si>
  <si>
    <t>Supplemental Surface Load</t>
  </si>
  <si>
    <t>Supplemental Leaching Load</t>
  </si>
  <si>
    <t>Turf Condition and Management Practices - Other</t>
  </si>
  <si>
    <t>Turf Category</t>
  </si>
  <si>
    <t>Area (acres)</t>
  </si>
  <si>
    <t>Management Compared to Residential Turf</t>
  </si>
  <si>
    <t>Same</t>
  </si>
  <si>
    <t>Factor</t>
  </si>
  <si>
    <t>Better management/ nutrient management</t>
  </si>
  <si>
    <t>Loss Table</t>
  </si>
  <si>
    <t xml:space="preserve">Surface </t>
  </si>
  <si>
    <t>Subsurface</t>
  </si>
  <si>
    <t>RESIDENTIAL</t>
  </si>
  <si>
    <t>Loss (% of Applied)</t>
  </si>
  <si>
    <t>Pet Waste Education</t>
  </si>
  <si>
    <t>Program in Place?</t>
  </si>
  <si>
    <t>yes</t>
  </si>
  <si>
    <t>Both</t>
  </si>
  <si>
    <t># of dwelling units</t>
  </si>
  <si>
    <t>Fraction of Households with a Dog</t>
  </si>
  <si>
    <t>Waste Production (lbs/dog-day)</t>
  </si>
  <si>
    <t>Owners who Walk their Dogs (fraction)</t>
  </si>
  <si>
    <t>N Concentration (lb/lb)</t>
  </si>
  <si>
    <t>Owners who Clean Up (fraction)</t>
  </si>
  <si>
    <t>N Delivery Factor</t>
  </si>
  <si>
    <t>Fraction willing to change behavior</t>
  </si>
  <si>
    <t>P Concentration (lb/lb)</t>
  </si>
  <si>
    <t>Awareness of Message (Fraction of Population)</t>
  </si>
  <si>
    <t>P Delivery Factor</t>
  </si>
  <si>
    <t>Bacteria Concentration(billion/lb)</t>
  </si>
  <si>
    <t>Bacteria Delivery Factor</t>
  </si>
  <si>
    <t>Erosion and Sediment Control</t>
  </si>
  <si>
    <t>Program Efficiency</t>
  </si>
  <si>
    <t>Fraction of Building Permits Regulated</t>
  </si>
  <si>
    <t>Installation/ Maintenance Discount</t>
  </si>
  <si>
    <t xml:space="preserve">Street Sweeping </t>
  </si>
  <si>
    <t>Streets Swept  (Acres)</t>
  </si>
  <si>
    <t>Parking Lots Swept</t>
  </si>
  <si>
    <t>Efficiencies - Residential</t>
  </si>
  <si>
    <t>Efficiencies - Other roads</t>
  </si>
  <si>
    <t>Sweeper Type</t>
  </si>
  <si>
    <t>Other Streets</t>
  </si>
  <si>
    <t>(acres)</t>
  </si>
  <si>
    <t>Nutrients</t>
  </si>
  <si>
    <t>Mechanical</t>
  </si>
  <si>
    <t>Regenerative Air</t>
  </si>
  <si>
    <t>Vacuum Assisted</t>
  </si>
  <si>
    <t>Sweeping Frequency</t>
  </si>
  <si>
    <t>monthly</t>
  </si>
  <si>
    <t>weekly</t>
  </si>
  <si>
    <t>Total Street Area (acres)</t>
  </si>
  <si>
    <t>Technique Discount</t>
  </si>
  <si>
    <t>Structural Stormwater Management Practices</t>
  </si>
  <si>
    <t>BMP Type</t>
  </si>
  <si>
    <t>Total Drainage Area</t>
  </si>
  <si>
    <t>Turf Area (acres)</t>
  </si>
  <si>
    <t xml:space="preserve"> Efficiency (%)</t>
  </si>
  <si>
    <t>C/D Soils</t>
  </si>
  <si>
    <t>A/B Soils</t>
  </si>
  <si>
    <t>Weighted</t>
  </si>
  <si>
    <t>Rooftop Disconnection</t>
  </si>
  <si>
    <t>Soil Amendments</t>
  </si>
  <si>
    <t>Grassed Filter Strips</t>
  </si>
  <si>
    <t>Treatability</t>
  </si>
  <si>
    <t>Capture Discount (D1)</t>
  </si>
  <si>
    <t>Design Discount (D2)</t>
  </si>
  <si>
    <t>Riparian Buffers</t>
  </si>
  <si>
    <t>Buffer Length (Miles)</t>
  </si>
  <si>
    <t>Buffer Width (ft)</t>
  </si>
  <si>
    <t xml:space="preserve"> Efficiency</t>
  </si>
  <si>
    <t>Runoff Reduction</t>
  </si>
  <si>
    <t>Maintenance</t>
  </si>
  <si>
    <t>Catch Basin Cleanouts</t>
  </si>
  <si>
    <t>Impervious Area</t>
  </si>
  <si>
    <t>Captured (Acres)</t>
  </si>
  <si>
    <t>Monthly Cleaning</t>
  </si>
  <si>
    <t>Semi-Annual Cleaning</t>
  </si>
  <si>
    <t>Disposal Discount</t>
  </si>
  <si>
    <t>Marina Pumpouts</t>
  </si>
  <si>
    <t>Number of Pumpouts</t>
  </si>
  <si>
    <t>Total Number of berths</t>
  </si>
  <si>
    <t>Boats Served Per Station</t>
  </si>
  <si>
    <t>Fraction of Owners Willing to Use</t>
  </si>
  <si>
    <t>Load Reduction from Existing Practices (lbs/year)</t>
  </si>
  <si>
    <t>Volume Reduction</t>
  </si>
  <si>
    <t>N (lbs/year)</t>
  </si>
  <si>
    <t>P (lbs/year)</t>
  </si>
  <si>
    <t>TSS (lbs/year)</t>
  </si>
  <si>
    <t>Bacteria(billion/year)</t>
  </si>
  <si>
    <t>Street Sweeping - Sanding</t>
  </si>
  <si>
    <t>Structural Stormwater Management Practices - Infiltration</t>
  </si>
  <si>
    <t>Riparian Buffers - Infiltration</t>
  </si>
  <si>
    <t xml:space="preserve">Total Reduction </t>
  </si>
  <si>
    <t>no</t>
  </si>
  <si>
    <t>Future Management Practices</t>
  </si>
  <si>
    <t>Residential Lawn Care Education</t>
  </si>
  <si>
    <t>Goals of the Program</t>
  </si>
  <si>
    <t>Applied?</t>
  </si>
  <si>
    <t>Ease of Implementation  (Fraction that would Implement)</t>
  </si>
  <si>
    <t>N Application Reduction</t>
  </si>
  <si>
    <t>Reduce Fertilizer Use to Recommended Levels</t>
  </si>
  <si>
    <t>Switch to Non-Phosphorus Fertilizer</t>
  </si>
  <si>
    <t>Change to Organic Fertilizer</t>
  </si>
  <si>
    <t>Add Soil Amendments to Lawns</t>
  </si>
  <si>
    <t>Convert 25% of lawn to forest or native vegetation</t>
  </si>
  <si>
    <t>No fertilizer</t>
  </si>
  <si>
    <t>Resulting Turf Condition and Management Practices - Residential</t>
  </si>
  <si>
    <t>Revised Residential Turf Area</t>
  </si>
  <si>
    <t>Additional Residential Forest Area</t>
  </si>
  <si>
    <t>Revised Fertilizer Application (N lb/acre)</t>
  </si>
  <si>
    <t>% of Fertilizer Use                  (N Application)</t>
  </si>
  <si>
    <t>Loss (%)</t>
  </si>
  <si>
    <t>Program? (Y/N)</t>
  </si>
  <si>
    <t>Yes</t>
  </si>
  <si>
    <t>Program Discounts</t>
  </si>
  <si>
    <t>Waste Characteristics</t>
  </si>
  <si>
    <t>Number of households</t>
  </si>
  <si>
    <t>Waste Production   (lbs/dog-day)</t>
  </si>
  <si>
    <t>Sweeping Frequency (M=monthly, W = Weekly)</t>
  </si>
  <si>
    <t>Impervious Cover Disconnection Program - Residential</t>
  </si>
  <si>
    <t>Typical Roof Footprint (square feet)</t>
  </si>
  <si>
    <t>Fraction of Residential Land where Applicable</t>
  </si>
  <si>
    <t>Fraction of Population Reached</t>
  </si>
  <si>
    <t>Fraction Willing to Participate</t>
  </si>
  <si>
    <t>Total Number of Berths</t>
  </si>
  <si>
    <t>Land Use</t>
  </si>
  <si>
    <t>Acres Available</t>
  </si>
  <si>
    <t>Acres Converted</t>
  </si>
  <si>
    <t>lb/acre/year</t>
  </si>
  <si>
    <t># billion/acre/year</t>
  </si>
  <si>
    <t>(inches/year)</t>
  </si>
  <si>
    <t>Acres Created</t>
  </si>
  <si>
    <t>N/A</t>
  </si>
  <si>
    <t>Redevelopment with Improvements</t>
  </si>
  <si>
    <t>Land to Be Redeveloped (Acres)</t>
  </si>
  <si>
    <t>Average Impervious Cover Reduction (%)</t>
  </si>
  <si>
    <t>Average Turf Reduction (%)</t>
  </si>
  <si>
    <t>Stormwater Retrofits (Use Stormwater Retrofit Worksheet to Document Practices)</t>
  </si>
  <si>
    <t>Retrofit Type</t>
  </si>
  <si>
    <t>Total Area</t>
  </si>
  <si>
    <t>Pollutant Reduction(lb/year)</t>
  </si>
  <si>
    <t>Bacteria Reduction (billion/year)</t>
  </si>
  <si>
    <t>Runoff Reduction (ac-ft/year)</t>
  </si>
  <si>
    <t>GW Load from Retrofit Practices</t>
  </si>
  <si>
    <t>Channel Protection</t>
  </si>
  <si>
    <t>Select Assessment Option</t>
  </si>
  <si>
    <t>Option 1.  Estimate Based on Miles of Stream Stabilized</t>
  </si>
  <si>
    <t>Portion of Total Stream Channel Unstable</t>
  </si>
  <si>
    <t>Miles of Unstable Channel</t>
  </si>
  <si>
    <t>Miles of Stream Channel Stabilized</t>
  </si>
  <si>
    <t>Flow control for small storms (%)</t>
  </si>
  <si>
    <t>Total Phosphorus Removal (lbs/year)</t>
  </si>
  <si>
    <t>Total Nitrogen Removal (lbs/year)</t>
  </si>
  <si>
    <t>Illicit Connection Removal</t>
  </si>
  <si>
    <t>Fraction of System Surveyed</t>
  </si>
  <si>
    <t>Fraction of Repairs Made</t>
  </si>
  <si>
    <t>CSO Repair/ Abatement</t>
  </si>
  <si>
    <t>Fraction Complete</t>
  </si>
  <si>
    <t>SSO Repair/ Abatement</t>
  </si>
  <si>
    <t>Goal (% Reduction)</t>
  </si>
  <si>
    <t>Septic System Education</t>
  </si>
  <si>
    <t>Septic System Repair</t>
  </si>
  <si>
    <t>Program? (y/n)</t>
  </si>
  <si>
    <t>Fraction Inspected</t>
  </si>
  <si>
    <t>Percent Willing to Repair</t>
  </si>
  <si>
    <t>Septic System Upgrade</t>
  </si>
  <si>
    <t>Fraction Willing to Upgrade</t>
  </si>
  <si>
    <t>Enter Efficiencies if "Other"</t>
  </si>
  <si>
    <t>Upgrade System?</t>
  </si>
  <si>
    <t>Septic System Retirement (Convert to WWTP)</t>
  </si>
  <si>
    <t>Fraction of Systems Inspected</t>
  </si>
  <si>
    <t>Number of Septic Systems Retired</t>
  </si>
  <si>
    <t xml:space="preserve">Bacteria delivery </t>
  </si>
  <si>
    <t>N/P Delivery ratio</t>
  </si>
  <si>
    <t>Point Source Reduction</t>
  </si>
  <si>
    <t>N Reduction (lbs/year)</t>
  </si>
  <si>
    <t>P Reduction (lbs/year)</t>
  </si>
  <si>
    <t>TSS Reduction (lbs/year)</t>
  </si>
  <si>
    <t>Bacteria Reduction (Billion/year)</t>
  </si>
  <si>
    <t>Additional WWTP Load from Septic Conversion (Will be negative)</t>
  </si>
  <si>
    <t>Load Reductions for Future Management Practices</t>
  </si>
  <si>
    <t>Bacteria (billion/year)</t>
  </si>
  <si>
    <t>Runoff Reduction (acre-ft/yr)</t>
  </si>
  <si>
    <t>Lawn Care Education Groundwater</t>
  </si>
  <si>
    <t xml:space="preserve">Stormwater Retrofits </t>
  </si>
  <si>
    <t>Retrofits - Discharge to GW</t>
  </si>
  <si>
    <t>Septic System - Surface</t>
  </si>
  <si>
    <t>Total Reduction</t>
  </si>
  <si>
    <t>Design Storm (Inches)</t>
  </si>
  <si>
    <t xml:space="preserve">Basic Site Information.  Make sure to Enter Data in Green Cells </t>
  </si>
  <si>
    <t>Effectiveness and WQv of Retrofits</t>
  </si>
  <si>
    <t>Discounts etc. for original</t>
  </si>
  <si>
    <t>Net Effects of Each Retrofit</t>
  </si>
  <si>
    <t>WQv (cf)</t>
  </si>
  <si>
    <t>Effectiveness (%)</t>
  </si>
  <si>
    <t>Pollutant Removal</t>
  </si>
  <si>
    <t>Runoff Reduction (ac-feet)</t>
  </si>
  <si>
    <t>Loads  to Groundwater</t>
  </si>
  <si>
    <t>Area Captured (acres)</t>
  </si>
  <si>
    <t>Impervious Percentage</t>
  </si>
  <si>
    <t>Is this a Retrofit of an Existing Facility?</t>
  </si>
  <si>
    <t>What Practice Was the Original Facility?</t>
  </si>
  <si>
    <t>Depth to Groundwater (from Practice Bottom)</t>
  </si>
  <si>
    <t>Target WQv</t>
  </si>
  <si>
    <t>WQv Provided</t>
  </si>
  <si>
    <t>Design</t>
  </si>
  <si>
    <t>All Discounts</t>
  </si>
  <si>
    <t>RO Reduction %</t>
  </si>
  <si>
    <t>TN%</t>
  </si>
  <si>
    <t>TP%</t>
  </si>
  <si>
    <t>TSS%</t>
  </si>
  <si>
    <t>Bacteria %</t>
  </si>
  <si>
    <t>TN  (lbs/year)</t>
  </si>
  <si>
    <t>TP (lbs/year)</t>
  </si>
  <si>
    <t>TSS  (lbs/year)</t>
  </si>
  <si>
    <t>TN (lb/year)</t>
  </si>
  <si>
    <t>TP (lb/year)</t>
  </si>
  <si>
    <t>TN Load to GW</t>
  </si>
  <si>
    <t>TP Load to GW</t>
  </si>
  <si>
    <t>Bacteria Load to GW</t>
  </si>
  <si>
    <t>Practices from Education Programs</t>
  </si>
  <si>
    <t>No</t>
  </si>
  <si>
    <t>Practice Type</t>
  </si>
  <si>
    <t>Enter Practice</t>
  </si>
  <si>
    <t>Totals/averages</t>
  </si>
  <si>
    <t>BMP Efficiencies</t>
  </si>
  <si>
    <t>Runoff Reduction (%)</t>
  </si>
  <si>
    <t>ET% of RO Red</t>
  </si>
  <si>
    <t>Other Practice (User Defined)</t>
  </si>
  <si>
    <t>Enter Value</t>
  </si>
  <si>
    <t>Existing Stormwater Load</t>
  </si>
  <si>
    <t>Fecal Coliform</t>
  </si>
  <si>
    <t>Runoff Volume (acre-feet/year)</t>
  </si>
  <si>
    <t>lb/year</t>
  </si>
  <si>
    <t>billion/year</t>
  </si>
  <si>
    <t>Urban Land</t>
  </si>
  <si>
    <t>Rural Land</t>
  </si>
  <si>
    <t>Existing Non-Storm Surface Discharges</t>
  </si>
  <si>
    <t>Point Sources</t>
  </si>
  <si>
    <t>Septic Systems</t>
  </si>
  <si>
    <t>Water Quality Volumes</t>
  </si>
  <si>
    <t>Provide Full WQv</t>
  </si>
  <si>
    <t>Provide a fraction of the WQv (enter at the right)</t>
  </si>
  <si>
    <t>Discount Factors</t>
  </si>
  <si>
    <t>Same for all (Enter at the right)</t>
  </si>
  <si>
    <t>Varies (Enter  in Column P)</t>
  </si>
  <si>
    <t>Treatment Plant Load</t>
  </si>
  <si>
    <t>"Urban Downsizing"</t>
  </si>
  <si>
    <t>Varies (Enter  in Column R)</t>
  </si>
  <si>
    <t>Impervious Area (acres)</t>
  </si>
  <si>
    <t>WWTP Efficiency</t>
  </si>
  <si>
    <t>Other (Enter at Right)</t>
  </si>
  <si>
    <t>Program in  Place?</t>
  </si>
  <si>
    <t>Value:</t>
  </si>
  <si>
    <t>Total Load to Surface Waters</t>
  </si>
  <si>
    <t>Total Secondary Load to Surface Waters</t>
  </si>
  <si>
    <t>Total Secondary  Load to Groundwater</t>
  </si>
  <si>
    <t>Total Reductions to Surface Water Loads</t>
  </si>
  <si>
    <t>Non-storm Load</t>
  </si>
  <si>
    <t>Redevelopment With Improvements</t>
  </si>
  <si>
    <t>Urban Downsizing</t>
  </si>
  <si>
    <r>
      <t xml:space="preserve">Total Reductions to Groundwater Loads.  Note: Negative values indicate an </t>
    </r>
    <r>
      <rPr>
        <b/>
        <i/>
        <sz val="12"/>
        <rFont val="Arial"/>
        <family val="2"/>
      </rPr>
      <t xml:space="preserve">increase </t>
    </r>
    <r>
      <rPr>
        <b/>
        <sz val="12"/>
        <rFont val="Arial"/>
        <family val="2"/>
      </rPr>
      <t>in load</t>
    </r>
  </si>
  <si>
    <t>Total Net Reduction</t>
  </si>
  <si>
    <t>Net Reductions to Surface Water Loads</t>
  </si>
  <si>
    <t>Existing Loads to Surface Waters</t>
  </si>
  <si>
    <t>Total Storm Load</t>
  </si>
  <si>
    <t>Total Non-Storm Load</t>
  </si>
  <si>
    <t>Non-Storm Surface Discharges w/ FP</t>
  </si>
  <si>
    <t>Stormwater Load W/FP</t>
  </si>
  <si>
    <t>Existing Loads to Groundwater (Contributed from Urbanization).  Note.  Model does not deliver to receiving surface waters.</t>
  </si>
  <si>
    <r>
      <t xml:space="preserve">Total Reductions to Groundwater Loads.  Note: Negative values indicate an </t>
    </r>
    <r>
      <rPr>
        <b/>
        <i/>
        <sz val="12"/>
        <rFont val="Arial"/>
        <family val="2"/>
      </rPr>
      <t xml:space="preserve">increase </t>
    </r>
    <r>
      <rPr>
        <b/>
        <sz val="12"/>
        <rFont val="Arial"/>
        <family val="2"/>
      </rPr>
      <t>in load (e.g., infiltrating practices may cause an increase in groundwater loads)</t>
    </r>
  </si>
  <si>
    <t>Net Reductions to Groundwater Loads.  Note: Negative values indicate an increase in load (e.g., infiltrating practices may cause an increase in groundwater loads)</t>
  </si>
  <si>
    <t>Volume Varies (enter in Column J of the table below, "WQv Provided")</t>
  </si>
  <si>
    <t>Supplemental Loads to Groundwater (Contributed from Urbanization) with Future Practices Applied</t>
  </si>
  <si>
    <t>New Development</t>
  </si>
  <si>
    <t>Load (Pre-BMP)</t>
  </si>
  <si>
    <t>Impervious Cover</t>
  </si>
  <si>
    <t>%</t>
  </si>
  <si>
    <t>lb/acre</t>
  </si>
  <si>
    <t># billion/acre</t>
  </si>
  <si>
    <t>New Wastewater Customers (Households)</t>
  </si>
  <si>
    <t>Plant Efficiency</t>
  </si>
  <si>
    <t>Active Construction (net increase)</t>
  </si>
  <si>
    <t>Program Option</t>
  </si>
  <si>
    <t>New Septic Customers (households)</t>
  </si>
  <si>
    <t>FC Log Reduction</t>
  </si>
  <si>
    <t>Fraction Regulated</t>
  </si>
  <si>
    <t>Miles of Sewer Constructed</t>
  </si>
  <si>
    <t>SSOs/Mile</t>
  </si>
  <si>
    <t>% of Development on Combined Sewer</t>
  </si>
  <si>
    <t>Option 2:  Meet a Load Target</t>
  </si>
  <si>
    <t>Option 3:  Show no increase on each parcel.</t>
  </si>
  <si>
    <t>Runoff Volume</t>
  </si>
  <si>
    <t>Option  1:   Meet a specific Removal Percentage Target</t>
  </si>
  <si>
    <t>Fraction of New Development  Regulated</t>
  </si>
  <si>
    <t>Design Discount</t>
  </si>
  <si>
    <t>Capture Discount</t>
  </si>
  <si>
    <t>Maintenance Discount</t>
  </si>
  <si>
    <t>Stormwater Controls on New Development and Construction</t>
  </si>
  <si>
    <t>Is  Channel Protection Required?</t>
  </si>
  <si>
    <t>Target % Removal</t>
  </si>
  <si>
    <t>Septic System Failure Rate</t>
  </si>
  <si>
    <t>Same As Current</t>
  </si>
  <si>
    <t>Somewhat Improved (50% more Efficient)</t>
  </si>
  <si>
    <t>Septic System Efficiency</t>
  </si>
  <si>
    <t>Load Reduction (lb/year)</t>
  </si>
  <si>
    <t>Load to GW</t>
  </si>
  <si>
    <t>Runoff (acre-feet)</t>
  </si>
  <si>
    <t>Target Load</t>
  </si>
  <si>
    <t>Highly Improved (Twice as Efficient)</t>
  </si>
  <si>
    <t>Surface</t>
  </si>
  <si>
    <t>Maintenance/Design</t>
  </si>
  <si>
    <t>Data to Quantify Wastewater Loads</t>
  </si>
  <si>
    <t>Net Additional Loads</t>
  </si>
  <si>
    <t>Watershed % Impervious Cover</t>
  </si>
  <si>
    <t>Surface Waters</t>
  </si>
  <si>
    <t>Groundwater</t>
  </si>
  <si>
    <t>Illicit Discharges</t>
  </si>
  <si>
    <t>% of new connections cross connected</t>
  </si>
  <si>
    <t>Non-Storm Surface Discharges w/ ND</t>
  </si>
  <si>
    <t>Stormwater Load W/ND</t>
  </si>
  <si>
    <t>Loads to Surface Waters with Projected New Development</t>
  </si>
  <si>
    <t>Supplemental Loads to Groundwater (Contributed from Urbanization) with Projected New Development</t>
  </si>
  <si>
    <t>WWTP Dischargers:  Only Report Discharges to WWTPs within the Watershed</t>
  </si>
  <si>
    <t>ac-ft/year</t>
  </si>
  <si>
    <t>Purple Cells Reflect "Bottom Line" Loads or Load Reductions. Purple Tabs Summarize Loads from Other Sheets</t>
  </si>
  <si>
    <t xml:space="preserve"> </t>
  </si>
  <si>
    <t>No Channel Protection</t>
  </si>
  <si>
    <t>Point Source Discharges</t>
  </si>
  <si>
    <t>billion/acre/year</t>
  </si>
  <si>
    <t>ft/year</t>
  </si>
  <si>
    <t>Load</t>
  </si>
  <si>
    <t>Category</t>
  </si>
  <si>
    <t>Total Sediment Removal (lbs/year)</t>
  </si>
  <si>
    <t>Lawn Care Education Surface</t>
  </si>
  <si>
    <t>System Type</t>
  </si>
  <si>
    <t>Overall Approach</t>
  </si>
  <si>
    <t>Fraction of Business Connections that are Wash Water  Only</t>
  </si>
  <si>
    <t>High:  75% of watershed sediment load.  Channels significant areas of severe channel erosion.</t>
  </si>
  <si>
    <t>For failing systems, just take raw sewage and apply by delivery ratios and bacteria decay rates</t>
  </si>
  <si>
    <t>Total Surface Runoff Residential Lawn</t>
  </si>
  <si>
    <t>Estimate based on urban concentrations</t>
  </si>
  <si>
    <t>Comparatively High Management/ Input</t>
  </si>
  <si>
    <t>Maintenance Discount (D3)</t>
  </si>
  <si>
    <t>Discounts for Retrofits:  If  no Value is Filled in, Effectiveness will be Zero!</t>
  </si>
  <si>
    <t>Effects of the Original Practice (if Retrofit of an Existing practice)</t>
  </si>
  <si>
    <t>Dominant Soil Type in Drainage Area</t>
  </si>
  <si>
    <t>Additional Development</t>
  </si>
  <si>
    <t>Buffer 1</t>
  </si>
  <si>
    <t>Buffer 2</t>
  </si>
  <si>
    <t>Buffer 3</t>
  </si>
  <si>
    <t>Buffer 4</t>
  </si>
  <si>
    <t>Target CSO Events after Repairs (#)</t>
  </si>
  <si>
    <t>Pollutant Removal Rates (lb/ft)</t>
  </si>
  <si>
    <t>Pollutant Removal (lbs)</t>
  </si>
  <si>
    <t>Site</t>
  </si>
  <si>
    <t>Length Restored (ft)</t>
  </si>
  <si>
    <t>Option 2.  Enter Removal from Stream Restoration Worksheet</t>
  </si>
  <si>
    <t>Option 2.  Data from Stream Restoration Worksheet</t>
  </si>
  <si>
    <t>Stream Restoration</t>
  </si>
  <si>
    <t>Net Supplemental Load from Forest Runoff (lb/yr)</t>
  </si>
  <si>
    <t>Loads to Surface Waters with Future Practices</t>
  </si>
  <si>
    <t>Turf Management - Surface</t>
  </si>
  <si>
    <t>Annual Loading Rates (including adjustment for turf management)</t>
  </si>
  <si>
    <t>Fertilizer Application (100 lbs/acre)</t>
  </si>
  <si>
    <t>OSDS</t>
  </si>
  <si>
    <t>Turf Management-Leaching</t>
  </si>
  <si>
    <t>Total Surface Water Reduction</t>
  </si>
  <si>
    <t>Lawn Care Education - Groundwater</t>
  </si>
  <si>
    <t>Net Groundwater Load Reduction</t>
  </si>
  <si>
    <t>OSDS -GW</t>
  </si>
  <si>
    <t>OSDS - GW</t>
  </si>
  <si>
    <t>OSDSs</t>
  </si>
  <si>
    <t>Blue cells need to be completed by the user.  Green tabs require user input</t>
  </si>
  <si>
    <t>Yellow cells have default or calculated values but may be substituted</t>
  </si>
  <si>
    <t>Institutional</t>
  </si>
  <si>
    <t>Vacant Lots</t>
  </si>
  <si>
    <t>11 LDR</t>
  </si>
  <si>
    <t>12 MDR</t>
  </si>
  <si>
    <t>13 HDR</t>
  </si>
  <si>
    <t>18 Open Urban</t>
  </si>
  <si>
    <t>14 COM</t>
  </si>
  <si>
    <t>16 INS</t>
  </si>
  <si>
    <t>80 TRN</t>
  </si>
  <si>
    <t>15 IND</t>
  </si>
  <si>
    <t>41 DEC</t>
  </si>
  <si>
    <t>42 EVG</t>
  </si>
  <si>
    <t>43 MIX</t>
  </si>
  <si>
    <t>44 BRUSH</t>
  </si>
  <si>
    <t>21 CROP</t>
  </si>
  <si>
    <t>22 PAS</t>
  </si>
  <si>
    <t>50 Open Water</t>
  </si>
  <si>
    <t>60 WETL</t>
  </si>
  <si>
    <t>TMDL DATA</t>
  </si>
  <si>
    <t>TMDL</t>
  </si>
  <si>
    <t>Approval Date</t>
  </si>
  <si>
    <t>Baseline Year</t>
  </si>
  <si>
    <t>LU Year for Modeling</t>
  </si>
  <si>
    <t>Counties:</t>
  </si>
  <si>
    <t>TMDL Published % Reduction</t>
  </si>
  <si>
    <t>SURFACE WATER</t>
  </si>
  <si>
    <t>NO BMP SURFACE WATER LOAD</t>
  </si>
  <si>
    <t>EXISTING SURFACE WATER LOAD REDUCTION</t>
  </si>
  <si>
    <t>TREATED SURFACE WATER LOAD</t>
  </si>
  <si>
    <t>PERCENT REDUCTION</t>
  </si>
  <si>
    <t>FUTURE SURFACE WATER LOAD REDUCTION</t>
  </si>
  <si>
    <t>NET RESTORATION REDUCTION</t>
  </si>
  <si>
    <t>NET RESTORATION LOAD</t>
  </si>
  <si>
    <t>GROUNDWATER</t>
  </si>
  <si>
    <t>PRIMARY AND SECONDARY SOURCES</t>
  </si>
  <si>
    <t>Total Groundwater Load</t>
  </si>
  <si>
    <t>EXISTING GROUNDWATER LOAD REDUCTION</t>
  </si>
  <si>
    <t>Structural SWM Practices - Infiltration</t>
  </si>
  <si>
    <t>BASELINE GROUNDWATER LOAD</t>
  </si>
  <si>
    <t>FUTURE GROUNDWATER LOAD REDUCTION</t>
  </si>
  <si>
    <t>NET GW RESTORATION LOAD</t>
  </si>
  <si>
    <t>Links to IA not DA</t>
  </si>
  <si>
    <t>Structural SWM Practices</t>
  </si>
  <si>
    <t>ESD</t>
  </si>
  <si>
    <t>STRUCTURAL</t>
  </si>
  <si>
    <t>OTHER</t>
  </si>
  <si>
    <t>PRIMARY SOURCES</t>
  </si>
  <si>
    <t>Worksheet</t>
  </si>
  <si>
    <t>Source Information</t>
  </si>
  <si>
    <t>Primary Sources</t>
  </si>
  <si>
    <t>Area</t>
  </si>
  <si>
    <t>IA</t>
  </si>
  <si>
    <t>Partitioning Coefficients</t>
  </si>
  <si>
    <t>WTM Defaults</t>
  </si>
  <si>
    <t>Annual Rainfall</t>
  </si>
  <si>
    <t>Groundwater Depth</t>
  </si>
  <si>
    <t>Secondary Sources</t>
  </si>
  <si>
    <t>All sources</t>
  </si>
  <si>
    <t>NOT USED</t>
  </si>
  <si>
    <t>Existing Management Practices</t>
  </si>
  <si>
    <t>Turf Practices</t>
  </si>
  <si>
    <t>Pet Waste</t>
  </si>
  <si>
    <t>E/SC</t>
  </si>
  <si>
    <t>Street Sweeping</t>
  </si>
  <si>
    <t>Pivot table from NPDES GDB. See filters for each TMDL in source data spreadsheet.</t>
  </si>
  <si>
    <t>Structural SWM Bacteria Removal Efficiency</t>
  </si>
  <si>
    <t>Bacteria_Removal_2014.xlsx</t>
  </si>
  <si>
    <t>SWM Discounts</t>
  </si>
  <si>
    <t>Capture Discount (D1) = 90%, based on 1" WQv</t>
  </si>
  <si>
    <t>Design Discount (D2) = 1.2 based on specific, legally binding design standards</t>
  </si>
  <si>
    <t>Maintenance Discount (D3) = 0.9 based on regular maintenance, specified and enforced</t>
  </si>
  <si>
    <t>Retrofit Worksheet</t>
  </si>
  <si>
    <t>BMP type, DA, %I</t>
  </si>
  <si>
    <t>Stream Restoration Worksheet</t>
  </si>
  <si>
    <t>Impervious Cover Disconnection</t>
  </si>
  <si>
    <t>Linked to Retrofit Worksheet</t>
  </si>
  <si>
    <t>Septic System Retirement</t>
  </si>
  <si>
    <t>41.59 is average annual for Frederick Airport</t>
  </si>
  <si>
    <t>Rural Not Modeled:</t>
  </si>
  <si>
    <t>17 Extractive / 73 Barren / Active Construction</t>
  </si>
  <si>
    <t>Stream Length</t>
  </si>
  <si>
    <t>Data from 2016 model</t>
  </si>
  <si>
    <t>Source unknown</t>
  </si>
  <si>
    <t>Dwelling units</t>
  </si>
  <si>
    <t>Indivduals/Dwelling Unit</t>
  </si>
  <si>
    <t>Wastewater characteristics</t>
  </si>
  <si>
    <t>Filename / Notes</t>
  </si>
  <si>
    <t>In GIS from NRCS clipped to watershed boundary minus municipalities</t>
  </si>
  <si>
    <t>Groundwater depth</t>
  </si>
  <si>
    <t>System type</t>
  </si>
  <si>
    <t>Health Dept assumptions</t>
  </si>
  <si>
    <t>Total residential parcels minus sewered parcels, Source unknown</t>
  </si>
  <si>
    <t>Connections and flow parameters</t>
  </si>
  <si>
    <t>Fraction of Pop.  Illicitly Connected</t>
  </si>
  <si>
    <t>Urban Channel Erosion</t>
  </si>
  <si>
    <t>All data</t>
  </si>
  <si>
    <t xml:space="preserve">Modeled outside of WTM </t>
  </si>
  <si>
    <t>Data from Utilities and Solid Waste Mgmt</t>
  </si>
  <si>
    <t>Erosion method</t>
  </si>
  <si>
    <t>Assumed moderate</t>
  </si>
  <si>
    <t>WTM Default calculations</t>
  </si>
  <si>
    <t>Not a bacteria source</t>
  </si>
  <si>
    <t>No existing program</t>
  </si>
  <si>
    <t>Structural SWM Removal Efficiency</t>
  </si>
  <si>
    <t>Green Roof (AGRE)</t>
  </si>
  <si>
    <t>Permeable Pavement (APRP)</t>
  </si>
  <si>
    <t>Rooftop Disconnection (NDRR)</t>
  </si>
  <si>
    <t>Sheetflow to Open Space (NSCA)</t>
  </si>
  <si>
    <t>Raintanks and Cisterns (MRWH)</t>
  </si>
  <si>
    <t>Wet Pond (PWET PPKT PWED)</t>
  </si>
  <si>
    <t>Wetland (WSHW)</t>
  </si>
  <si>
    <t>Infiltration Practices (IBAS ITRN)</t>
  </si>
  <si>
    <t>Bioretention (FBIO MMBR)</t>
  </si>
  <si>
    <t>Filters (FSND FUND)</t>
  </si>
  <si>
    <t>Dry Swale (ODSW MSWB )</t>
  </si>
  <si>
    <t>Wet Swale (OWSW MSWW)</t>
  </si>
  <si>
    <t>Dry Water Quantity Pond (XDPD)</t>
  </si>
  <si>
    <t>Dry Extended Detention Pond (XDED)</t>
  </si>
  <si>
    <t>filtering among infiltration practices:</t>
  </si>
  <si>
    <t>Treatment/ Capture</t>
  </si>
  <si>
    <t>Underground Detention (XOTH )</t>
  </si>
  <si>
    <t>Grass Channel (MSWG)</t>
  </si>
  <si>
    <t>Fecal Bacteria for Lower Monocacy River</t>
  </si>
  <si>
    <t>CHECK</t>
  </si>
  <si>
    <t>GIS intersect of MDE MS4 (County Phase I) and COM/IND parcels</t>
  </si>
  <si>
    <t>comm_ind_ecoli_local_int.shp</t>
  </si>
  <si>
    <t>5% connected based on experience; other sources unknown</t>
  </si>
  <si>
    <t>Baseline Aggregate by County</t>
  </si>
  <si>
    <t>TMDL WLA by County</t>
  </si>
  <si>
    <t>TMDL Required Reduction</t>
  </si>
  <si>
    <t>FR - WQS</t>
  </si>
  <si>
    <t>FR - MEP</t>
  </si>
  <si>
    <t>Progress Towards Percent Reduction Goal</t>
  </si>
  <si>
    <t>311.1 zeroed out, SSOs done outside of WTM</t>
  </si>
  <si>
    <t>CALCULATIONS - DELETE COLUMNS TO RECORD DIFFERENT SCENARIOS</t>
  </si>
  <si>
    <t>DATA ENTRY FROM PIVOTS</t>
  </si>
  <si>
    <t>Permit</t>
  </si>
  <si>
    <t>Progress</t>
  </si>
  <si>
    <t>Programmed</t>
  </si>
  <si>
    <t>DA</t>
  </si>
  <si>
    <t>%IA</t>
  </si>
  <si>
    <t>GIS intersect of MDE MS4 (County Phase I), MDP 2002 LU and TMDL</t>
  </si>
  <si>
    <t>Primary Data from GIS.xlsx</t>
  </si>
  <si>
    <t>DID</t>
  </si>
  <si>
    <t>GIS intersect 202 LU, union impervious and intersected with TMDL</t>
  </si>
  <si>
    <t>GIS intersect MD Waterbodies, Rivers, and Streams and TMDL cliped to MDE MS4</t>
  </si>
  <si>
    <t>data in attribute table of GIS layer</t>
  </si>
  <si>
    <t>GIS intersect of MDE MS4 (County Phase I), 2002 LU, TMDL and SSURGO</t>
  </si>
  <si>
    <t>Residential properties clipped to MS4 intersected with TMDL and LU</t>
  </si>
  <si>
    <t>Dissolved residential properties clipped to MS4 intersected with TMDL and LU intersected with 100' stream buffer</t>
  </si>
  <si>
    <r>
      <t xml:space="preserve">LocalTMDL_Report_AMTv2_08.29.2017 V3.xlsx\  
Bacteria Baseline BMPs-Pivot, 
Bacteria Permit BMPs-Pivot, 
Bacteria Progress BMPs-Pivot,
 Bacteria Planned BMPs-Pivot
</t>
    </r>
    <r>
      <rPr>
        <u/>
        <sz val="11"/>
        <rFont val="Calibri"/>
        <family val="2"/>
        <scheme val="minor"/>
      </rPr>
      <t>copy of bacteria treatment -11-13-2018_DID</t>
    </r>
  </si>
  <si>
    <t>Identified</t>
  </si>
  <si>
    <t>tree planting</t>
  </si>
  <si>
    <t>stream restoration</t>
  </si>
  <si>
    <t xml:space="preserve">alternative </t>
  </si>
  <si>
    <t>pet waste education</t>
  </si>
  <si>
    <t>street sweeping</t>
  </si>
  <si>
    <t>impervious disconnection</t>
  </si>
  <si>
    <t>urban downsizing</t>
  </si>
  <si>
    <t>illicit connection removal</t>
  </si>
  <si>
    <t>SSO repairs</t>
  </si>
  <si>
    <t>septic system education</t>
  </si>
  <si>
    <t>septic system repair</t>
  </si>
  <si>
    <t>septic system upgrade</t>
  </si>
  <si>
    <t>septic system retirement</t>
  </si>
  <si>
    <t>Potential</t>
  </si>
  <si>
    <t>retrofit</t>
  </si>
  <si>
    <t>new pond</t>
  </si>
  <si>
    <t>Modeled Restoration Achieved -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</si>
</sst>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%"/>
    <numFmt numFmtId="167" formatCode="0.000000"/>
    <numFmt numFmtId="168" formatCode="#,##0.0_);\(#,##0.0\)"/>
    <numFmt numFmtId="169" formatCode="0.0%"/>
    <numFmt numFmtId="170" formatCode="0.00000"/>
    <numFmt numFmtId="171" formatCode="#,##0.000_);\(#,##0.000\)"/>
    <numFmt numFmtId="172" formatCode="#,##0.0"/>
    <numFmt numFmtId="173" formatCode="0.000"/>
    <numFmt numFmtId="174" formatCode="_(* #,##0.0_);_(* \(#,##0.0\);_(* &quot;-&quot;?_);_(@_)"/>
    <numFmt numFmtId="175" formatCode="0.000000%"/>
    <numFmt numFmtId="176" formatCode="0.00000000"/>
    <numFmt numFmtId="177" formatCode="0.00000000000"/>
    <numFmt numFmtId="178" formatCode="0.00000000000000"/>
    <numFmt numFmtId="179" formatCode="0.0000000%"/>
    <numFmt numFmtId="180" formatCode="0.000000000000%"/>
    <numFmt numFmtId="181" formatCode="0.000000000000000%"/>
    <numFmt numFmtId="182" formatCode="0.00000000000000000000000%"/>
    <numFmt numFmtId="183" formatCode="0.000000000000000000000000%"/>
    <numFmt numFmtId="184" formatCode="#,##0.000000"/>
    <numFmt numFmtId="185" formatCode="#,##0.000000000"/>
    <numFmt numFmtId="186" formatCode="#,##0.00000000000"/>
    <numFmt numFmtId="187" formatCode="0.0000000000000000000000000"/>
    <numFmt numFmtId="188" formatCode="#,##0.000000000000000000000000"/>
    <numFmt numFmtId="189" formatCode="#,##0.0000000_);\(#,##0.0000000\)"/>
    <numFmt numFmtId="190" formatCode="#,##0.000000000000000000_);\(#,##0.000000000000000000\)"/>
    <numFmt numFmtId="191" formatCode="#,##0.0000000"/>
    <numFmt numFmtId="192" formatCode="0.000000000%"/>
    <numFmt numFmtId="193" formatCode="0.0000000000%"/>
    <numFmt numFmtId="194" formatCode="0.00000000000%"/>
    <numFmt numFmtId="195" formatCode="0.0000000000000%"/>
    <numFmt numFmtId="196" formatCode="0.00000000000000%"/>
    <numFmt numFmtId="197" formatCode="0.0000000000000000%"/>
    <numFmt numFmtId="198" formatCode="0.0000000000"/>
    <numFmt numFmtId="199" formatCode="0.000000000000"/>
    <numFmt numFmtId="200" formatCode="0.000000000000000"/>
    <numFmt numFmtId="201" formatCode="0.00000000000000000"/>
    <numFmt numFmtId="202" formatCode="#,##0.0000000000000000"/>
    <numFmt numFmtId="203" formatCode="#,##0.000000000000000"/>
    <numFmt numFmtId="204" formatCode="_(* #,##0.0000000_);_(* \(#,##0.0000000\);_(* &quot;-&quot;??_);_(@_)"/>
    <numFmt numFmtId="205" formatCode="0.000000000000000000%"/>
    <numFmt numFmtId="206" formatCode="#,##0.0000_);\(#,##0.0000\)"/>
    <numFmt numFmtId="207" formatCode="#,##0.000"/>
  </numFmts>
  <fonts count="2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39"/>
      </patternFill>
    </fill>
    <fill>
      <patternFill patternType="solid">
        <fgColor indexed="44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3399FF"/>
        <bgColor rgb="FF0033CC"/>
      </patternFill>
    </fill>
    <fill>
      <patternFill patternType="solid">
        <fgColor rgb="FF3399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39"/>
      </patternFill>
    </fill>
    <fill>
      <patternFill patternType="solid">
        <fgColor rgb="FFC0C0C0"/>
        <bgColor indexed="64"/>
      </patternFill>
    </fill>
    <fill>
      <patternFill patternType="solid">
        <f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1"/>
        <bgColor indexed="64"/>
      </patternFill>
    </fill>
  </fills>
  <borders count="2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1968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4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9" fontId="2" fillId="2" borderId="8" xfId="3" applyFont="1" applyFill="1" applyBorder="1" applyAlignment="1">
      <alignment horizontal="center"/>
    </xf>
    <xf numFmtId="9" fontId="2" fillId="2" borderId="9" xfId="3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3" borderId="25" xfId="0" applyFont="1" applyFill="1" applyBorder="1" applyAlignment="1"/>
    <xf numFmtId="0" fontId="2" fillId="3" borderId="22" xfId="0" applyFont="1" applyFill="1" applyBorder="1" applyAlignment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9" fontId="5" fillId="5" borderId="28" xfId="3" applyFont="1" applyFill="1" applyBorder="1" applyAlignment="1">
      <alignment horizontal="center"/>
    </xf>
    <xf numFmtId="9" fontId="5" fillId="5" borderId="29" xfId="3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164" fontId="5" fillId="5" borderId="30" xfId="0" applyNumberFormat="1" applyFont="1" applyFill="1" applyBorder="1" applyAlignment="1">
      <alignment horizontal="center"/>
    </xf>
    <xf numFmtId="1" fontId="5" fillId="5" borderId="30" xfId="0" applyNumberFormat="1" applyFont="1" applyFill="1" applyBorder="1" applyAlignment="1">
      <alignment horizontal="center"/>
    </xf>
    <xf numFmtId="165" fontId="5" fillId="3" borderId="31" xfId="0" applyNumberFormat="1" applyFont="1" applyFill="1" applyBorder="1" applyAlignment="1"/>
    <xf numFmtId="165" fontId="5" fillId="3" borderId="28" xfId="0" applyNumberFormat="1" applyFont="1" applyFill="1" applyBorder="1" applyAlignment="1"/>
    <xf numFmtId="43" fontId="5" fillId="3" borderId="28" xfId="0" applyNumberFormat="1" applyFont="1" applyFill="1" applyBorder="1" applyAlignment="1"/>
    <xf numFmtId="0" fontId="5" fillId="3" borderId="32" xfId="0" applyFont="1" applyFill="1" applyBorder="1" applyAlignment="1">
      <alignment horizontal="center"/>
    </xf>
    <xf numFmtId="164" fontId="5" fillId="5" borderId="28" xfId="0" applyNumberFormat="1" applyFont="1" applyFill="1" applyBorder="1" applyAlignment="1">
      <alignment horizontal="center"/>
    </xf>
    <xf numFmtId="1" fontId="5" fillId="5" borderId="28" xfId="0" applyNumberFormat="1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9" fontId="5" fillId="5" borderId="35" xfId="3" applyFont="1" applyFill="1" applyBorder="1" applyAlignment="1">
      <alignment horizontal="center"/>
    </xf>
    <xf numFmtId="9" fontId="5" fillId="5" borderId="36" xfId="3" applyFont="1" applyFill="1" applyBorder="1" applyAlignment="1">
      <alignment horizontal="center"/>
    </xf>
    <xf numFmtId="0" fontId="5" fillId="5" borderId="35" xfId="0" applyFont="1" applyFill="1" applyBorder="1" applyAlignment="1">
      <alignment horizontal="center"/>
    </xf>
    <xf numFmtId="0" fontId="5" fillId="5" borderId="36" xfId="0" applyFont="1" applyFill="1" applyBorder="1" applyAlignment="1">
      <alignment horizontal="center"/>
    </xf>
    <xf numFmtId="164" fontId="5" fillId="5" borderId="37" xfId="0" applyNumberFormat="1" applyFont="1" applyFill="1" applyBorder="1" applyAlignment="1">
      <alignment horizontal="center"/>
    </xf>
    <xf numFmtId="164" fontId="5" fillId="5" borderId="35" xfId="0" applyNumberFormat="1" applyFont="1" applyFill="1" applyBorder="1" applyAlignment="1">
      <alignment horizontal="center"/>
    </xf>
    <xf numFmtId="1" fontId="5" fillId="5" borderId="35" xfId="0" applyNumberFormat="1" applyFont="1" applyFill="1" applyBorder="1" applyAlignment="1">
      <alignment horizontal="center"/>
    </xf>
    <xf numFmtId="165" fontId="5" fillId="3" borderId="38" xfId="0" applyNumberFormat="1" applyFont="1" applyFill="1" applyBorder="1" applyAlignment="1"/>
    <xf numFmtId="165" fontId="5" fillId="3" borderId="35" xfId="0" applyNumberFormat="1" applyFont="1" applyFill="1" applyBorder="1" applyAlignment="1"/>
    <xf numFmtId="164" fontId="5" fillId="5" borderId="23" xfId="0" applyNumberFormat="1" applyFont="1" applyFill="1" applyBorder="1" applyAlignment="1">
      <alignment horizontal="center"/>
    </xf>
    <xf numFmtId="165" fontId="5" fillId="3" borderId="25" xfId="0" applyNumberFormat="1" applyFont="1" applyFill="1" applyBorder="1" applyAlignment="1"/>
    <xf numFmtId="165" fontId="5" fillId="3" borderId="22" xfId="0" applyNumberFormat="1" applyFont="1" applyFill="1" applyBorder="1" applyAlignment="1"/>
    <xf numFmtId="0" fontId="5" fillId="3" borderId="39" xfId="0" applyFont="1" applyFill="1" applyBorder="1" applyAlignment="1">
      <alignment horizontal="center"/>
    </xf>
    <xf numFmtId="0" fontId="5" fillId="3" borderId="40" xfId="0" applyFont="1" applyFill="1" applyBorder="1" applyAlignment="1">
      <alignment horizontal="center"/>
    </xf>
    <xf numFmtId="164" fontId="5" fillId="5" borderId="31" xfId="0" applyNumberFormat="1" applyFont="1" applyFill="1" applyBorder="1" applyAlignment="1">
      <alignment horizontal="center"/>
    </xf>
    <xf numFmtId="164" fontId="5" fillId="5" borderId="38" xfId="0" applyNumberFormat="1" applyFont="1" applyFill="1" applyBorder="1" applyAlignment="1">
      <alignment horizontal="center"/>
    </xf>
    <xf numFmtId="9" fontId="5" fillId="5" borderId="22" xfId="3" applyFont="1" applyFill="1" applyBorder="1" applyAlignment="1">
      <alignment horizontal="center"/>
    </xf>
    <xf numFmtId="9" fontId="5" fillId="5" borderId="41" xfId="3" applyFont="1" applyFill="1" applyBorder="1" applyAlignment="1">
      <alignment horizontal="center"/>
    </xf>
    <xf numFmtId="164" fontId="5" fillId="5" borderId="22" xfId="0" applyNumberFormat="1" applyFont="1" applyFill="1" applyBorder="1" applyAlignment="1">
      <alignment horizontal="center"/>
    </xf>
    <xf numFmtId="1" fontId="5" fillId="5" borderId="22" xfId="0" applyNumberFormat="1" applyFont="1" applyFill="1" applyBorder="1" applyAlignment="1">
      <alignment horizontal="center"/>
    </xf>
    <xf numFmtId="164" fontId="5" fillId="5" borderId="25" xfId="0" applyNumberFormat="1" applyFont="1" applyFill="1" applyBorder="1" applyAlignment="1">
      <alignment horizontal="center"/>
    </xf>
    <xf numFmtId="43" fontId="2" fillId="0" borderId="0" xfId="0" applyNumberFormat="1" applyFont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165" fontId="5" fillId="3" borderId="44" xfId="0" applyNumberFormat="1" applyFont="1" applyFill="1" applyBorder="1" applyAlignment="1"/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1" fontId="2" fillId="3" borderId="50" xfId="3" applyNumberFormat="1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2" fillId="3" borderId="22" xfId="3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3" borderId="5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9" fontId="2" fillId="0" borderId="0" xfId="0" applyNumberFormat="1" applyFont="1" applyAlignment="1">
      <alignment horizontal="center"/>
    </xf>
    <xf numFmtId="1" fontId="2" fillId="3" borderId="54" xfId="0" applyNumberFormat="1" applyFont="1" applyFill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5" fillId="5" borderId="28" xfId="0" applyNumberFormat="1" applyFont="1" applyFill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9" fontId="2" fillId="0" borderId="0" xfId="3" applyFont="1" applyAlignment="1">
      <alignment horizontal="center"/>
    </xf>
    <xf numFmtId="9" fontId="5" fillId="0" borderId="0" xfId="3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2" fillId="0" borderId="68" xfId="0" applyFont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6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2" borderId="57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9" fontId="5" fillId="0" borderId="68" xfId="3" applyFont="1" applyFill="1" applyBorder="1" applyAlignment="1">
      <alignment horizontal="center"/>
    </xf>
    <xf numFmtId="0" fontId="5" fillId="2" borderId="61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5" fillId="0" borderId="70" xfId="0" applyFont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5" fillId="2" borderId="68" xfId="0" applyFont="1" applyFill="1" applyBorder="1" applyAlignment="1">
      <alignment horizontal="center"/>
    </xf>
    <xf numFmtId="0" fontId="5" fillId="2" borderId="72" xfId="0" applyFont="1" applyFill="1" applyBorder="1" applyAlignment="1">
      <alignment horizontal="center"/>
    </xf>
    <xf numFmtId="9" fontId="0" fillId="6" borderId="0" xfId="0" quotePrefix="1" applyNumberFormat="1" applyFill="1"/>
    <xf numFmtId="0" fontId="2" fillId="0" borderId="73" xfId="0" applyFont="1" applyBorder="1" applyAlignment="1">
      <alignment horizontal="center"/>
    </xf>
    <xf numFmtId="0" fontId="5" fillId="0" borderId="68" xfId="0" applyFont="1" applyBorder="1" applyAlignment="1">
      <alignment horizontal="center"/>
    </xf>
    <xf numFmtId="0" fontId="2" fillId="0" borderId="74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75" xfId="0" applyFont="1" applyBorder="1" applyAlignment="1">
      <alignment horizontal="center"/>
    </xf>
    <xf numFmtId="0" fontId="2" fillId="0" borderId="76" xfId="0" applyFont="1" applyBorder="1" applyAlignment="1">
      <alignment horizontal="center"/>
    </xf>
    <xf numFmtId="1" fontId="5" fillId="3" borderId="29" xfId="3" applyNumberFormat="1" applyFont="1" applyFill="1" applyBorder="1" applyAlignment="1">
      <alignment horizontal="center"/>
    </xf>
    <xf numFmtId="1" fontId="5" fillId="3" borderId="31" xfId="3" applyNumberFormat="1" applyFont="1" applyFill="1" applyBorder="1" applyAlignment="1">
      <alignment horizontal="center"/>
    </xf>
    <xf numFmtId="1" fontId="5" fillId="3" borderId="32" xfId="3" applyNumberFormat="1" applyFont="1" applyFill="1" applyBorder="1" applyAlignment="1">
      <alignment horizontal="center"/>
    </xf>
    <xf numFmtId="1" fontId="5" fillId="3" borderId="0" xfId="3" applyNumberFormat="1" applyFont="1" applyFill="1" applyBorder="1" applyAlignment="1">
      <alignment horizontal="center"/>
    </xf>
    <xf numFmtId="0" fontId="5" fillId="0" borderId="71" xfId="0" applyFont="1" applyFill="1" applyBorder="1" applyAlignment="1">
      <alignment horizontal="center"/>
    </xf>
    <xf numFmtId="1" fontId="5" fillId="0" borderId="71" xfId="3" applyNumberFormat="1" applyFont="1" applyFill="1" applyBorder="1" applyAlignment="1">
      <alignment horizontal="center"/>
    </xf>
    <xf numFmtId="1" fontId="5" fillId="0" borderId="77" xfId="3" applyNumberFormat="1" applyFont="1" applyFill="1" applyBorder="1" applyAlignment="1">
      <alignment horizontal="center"/>
    </xf>
    <xf numFmtId="0" fontId="8" fillId="0" borderId="28" xfId="0" applyFont="1" applyBorder="1" applyAlignment="1">
      <alignment horizontal="center" wrapText="1"/>
    </xf>
    <xf numFmtId="0" fontId="8" fillId="0" borderId="31" xfId="0" applyFont="1" applyBorder="1" applyAlignment="1">
      <alignment horizontal="center" wrapText="1"/>
    </xf>
    <xf numFmtId="0" fontId="5" fillId="0" borderId="29" xfId="0" applyFont="1" applyBorder="1" applyAlignment="1">
      <alignment horizontal="center"/>
    </xf>
    <xf numFmtId="0" fontId="8" fillId="2" borderId="32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wrapText="1"/>
    </xf>
    <xf numFmtId="0" fontId="5" fillId="5" borderId="0" xfId="0" applyFont="1" applyFill="1" applyBorder="1" applyAlignment="1">
      <alignment horizontal="center" wrapText="1"/>
    </xf>
    <xf numFmtId="164" fontId="5" fillId="5" borderId="0" xfId="0" applyNumberFormat="1" applyFont="1" applyFill="1" applyBorder="1" applyAlignment="1">
      <alignment horizontal="center" wrapText="1"/>
    </xf>
    <xf numFmtId="0" fontId="5" fillId="0" borderId="78" xfId="0" applyFont="1" applyFill="1" applyBorder="1" applyAlignment="1">
      <alignment horizontal="center"/>
    </xf>
    <xf numFmtId="9" fontId="5" fillId="0" borderId="58" xfId="3" applyFont="1" applyFill="1" applyBorder="1" applyAlignment="1">
      <alignment horizontal="center"/>
    </xf>
    <xf numFmtId="9" fontId="5" fillId="0" borderId="58" xfId="3" applyFont="1" applyFill="1" applyBorder="1" applyAlignment="1">
      <alignment horizontal="center" wrapText="1"/>
    </xf>
    <xf numFmtId="164" fontId="5" fillId="0" borderId="59" xfId="0" applyNumberFormat="1" applyFont="1" applyFill="1" applyBorder="1" applyAlignment="1">
      <alignment horizontal="center" wrapText="1"/>
    </xf>
    <xf numFmtId="164" fontId="5" fillId="0" borderId="0" xfId="0" applyNumberFormat="1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9" fontId="5" fillId="0" borderId="0" xfId="3" applyFont="1" applyFill="1" applyBorder="1" applyAlignment="1">
      <alignment horizontal="center"/>
    </xf>
    <xf numFmtId="9" fontId="5" fillId="0" borderId="0" xfId="3" applyFont="1" applyFill="1" applyBorder="1" applyAlignment="1">
      <alignment horizontal="center" wrapText="1"/>
    </xf>
    <xf numFmtId="164" fontId="5" fillId="0" borderId="61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 applyBorder="1" applyAlignment="1">
      <alignment horizontal="center"/>
    </xf>
    <xf numFmtId="0" fontId="5" fillId="0" borderId="69" xfId="0" applyFont="1" applyBorder="1" applyAlignment="1">
      <alignment horizontal="center"/>
    </xf>
    <xf numFmtId="9" fontId="5" fillId="0" borderId="79" xfId="3" applyFont="1" applyBorder="1" applyAlignment="1">
      <alignment horizontal="center"/>
    </xf>
    <xf numFmtId="0" fontId="5" fillId="0" borderId="79" xfId="0" applyFont="1" applyBorder="1" applyAlignment="1">
      <alignment horizontal="center"/>
    </xf>
    <xf numFmtId="0" fontId="5" fillId="0" borderId="80" xfId="0" applyFont="1" applyBorder="1" applyAlignment="1">
      <alignment horizontal="center"/>
    </xf>
    <xf numFmtId="9" fontId="5" fillId="5" borderId="0" xfId="3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2" fillId="0" borderId="0" xfId="0" applyFont="1"/>
    <xf numFmtId="9" fontId="5" fillId="0" borderId="68" xfId="3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0" borderId="82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5" fillId="0" borderId="67" xfId="0" applyFont="1" applyBorder="1" applyAlignment="1">
      <alignment horizontal="center"/>
    </xf>
    <xf numFmtId="0" fontId="5" fillId="0" borderId="83" xfId="0" applyFont="1" applyBorder="1" applyAlignment="1">
      <alignment horizontal="center"/>
    </xf>
    <xf numFmtId="9" fontId="5" fillId="0" borderId="71" xfId="3" applyFont="1" applyBorder="1" applyAlignment="1">
      <alignment horizontal="center"/>
    </xf>
    <xf numFmtId="9" fontId="5" fillId="3" borderId="29" xfId="3" applyFont="1" applyFill="1" applyBorder="1" applyAlignment="1">
      <alignment horizontal="center"/>
    </xf>
    <xf numFmtId="9" fontId="5" fillId="3" borderId="31" xfId="3" applyFont="1" applyFill="1" applyBorder="1" applyAlignment="1">
      <alignment horizontal="center"/>
    </xf>
    <xf numFmtId="9" fontId="5" fillId="3" borderId="32" xfId="3" applyFont="1" applyFill="1" applyBorder="1" applyAlignment="1">
      <alignment horizontal="center"/>
    </xf>
    <xf numFmtId="9" fontId="5" fillId="3" borderId="0" xfId="3" applyFont="1" applyFill="1" applyBorder="1" applyAlignment="1">
      <alignment horizontal="center"/>
    </xf>
    <xf numFmtId="9" fontId="5" fillId="0" borderId="84" xfId="3" applyFont="1" applyBorder="1" applyAlignment="1">
      <alignment horizontal="center"/>
    </xf>
    <xf numFmtId="9" fontId="5" fillId="0" borderId="41" xfId="3" applyFont="1" applyBorder="1" applyAlignment="1">
      <alignment horizontal="center"/>
    </xf>
    <xf numFmtId="0" fontId="5" fillId="0" borderId="85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5" fillId="0" borderId="87" xfId="0" applyFont="1" applyBorder="1" applyAlignment="1">
      <alignment horizontal="center"/>
    </xf>
    <xf numFmtId="0" fontId="5" fillId="0" borderId="63" xfId="0" applyFont="1" applyBorder="1" applyAlignment="1">
      <alignment horizontal="center"/>
    </xf>
    <xf numFmtId="0" fontId="5" fillId="0" borderId="88" xfId="0" applyFont="1" applyBorder="1" applyAlignment="1">
      <alignment horizontal="center"/>
    </xf>
    <xf numFmtId="0" fontId="5" fillId="0" borderId="89" xfId="0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0" borderId="31" xfId="0" applyFont="1" applyBorder="1" applyAlignment="1">
      <alignment horizontal="center" wrapText="1"/>
    </xf>
    <xf numFmtId="0" fontId="2" fillId="2" borderId="90" xfId="0" applyFont="1" applyFill="1" applyBorder="1" applyAlignment="1">
      <alignment horizontal="center"/>
    </xf>
    <xf numFmtId="0" fontId="2" fillId="2" borderId="91" xfId="0" applyFont="1" applyFill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28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left"/>
    </xf>
    <xf numFmtId="0" fontId="2" fillId="2" borderId="28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/>
    </xf>
    <xf numFmtId="0" fontId="2" fillId="0" borderId="92" xfId="0" applyFont="1" applyBorder="1" applyAlignment="1">
      <alignment horizontal="center"/>
    </xf>
    <xf numFmtId="0" fontId="9" fillId="0" borderId="42" xfId="0" applyFont="1" applyBorder="1" applyAlignment="1">
      <alignment horizontal="center" wrapText="1"/>
    </xf>
    <xf numFmtId="0" fontId="9" fillId="0" borderId="5" xfId="0" applyFont="1" applyBorder="1" applyAlignment="1">
      <alignment horizontal="left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" fontId="5" fillId="0" borderId="0" xfId="0" applyNumberFormat="1" applyFont="1" applyFill="1" applyBorder="1" applyAlignment="1">
      <alignment horizontal="center"/>
    </xf>
    <xf numFmtId="9" fontId="2" fillId="0" borderId="0" xfId="3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left"/>
    </xf>
    <xf numFmtId="0" fontId="2" fillId="2" borderId="65" xfId="0" applyFont="1" applyFill="1" applyBorder="1" applyAlignment="1">
      <alignment horizontal="center"/>
    </xf>
    <xf numFmtId="0" fontId="2" fillId="2" borderId="93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79" xfId="0" applyFont="1" applyBorder="1" applyAlignment="1">
      <alignment horizontal="center"/>
    </xf>
    <xf numFmtId="0" fontId="2" fillId="0" borderId="94" xfId="0" applyFont="1" applyBorder="1" applyAlignment="1">
      <alignment horizontal="center" wrapText="1"/>
    </xf>
    <xf numFmtId="0" fontId="2" fillId="0" borderId="95" xfId="0" applyFont="1" applyBorder="1" applyAlignment="1">
      <alignment horizontal="center"/>
    </xf>
    <xf numFmtId="0" fontId="2" fillId="0" borderId="94" xfId="0" applyFont="1" applyBorder="1" applyAlignment="1">
      <alignment horizontal="left" wrapText="1"/>
    </xf>
    <xf numFmtId="0" fontId="5" fillId="3" borderId="31" xfId="0" applyFont="1" applyFill="1" applyBorder="1" applyAlignment="1">
      <alignment horizontal="center"/>
    </xf>
    <xf numFmtId="0" fontId="5" fillId="2" borderId="84" xfId="0" applyFont="1" applyFill="1" applyBorder="1" applyAlignment="1">
      <alignment horizontal="center"/>
    </xf>
    <xf numFmtId="0" fontId="5" fillId="3" borderId="67" xfId="0" applyFont="1" applyFill="1" applyBorder="1" applyAlignment="1">
      <alignment horizontal="center"/>
    </xf>
    <xf numFmtId="0" fontId="5" fillId="3" borderId="83" xfId="0" applyFont="1" applyFill="1" applyBorder="1" applyAlignment="1">
      <alignment horizontal="center"/>
    </xf>
    <xf numFmtId="0" fontId="2" fillId="0" borderId="25" xfId="0" applyFont="1" applyBorder="1" applyAlignment="1">
      <alignment horizontal="center" wrapText="1"/>
    </xf>
    <xf numFmtId="0" fontId="2" fillId="0" borderId="67" xfId="0" applyFont="1" applyBorder="1" applyAlignment="1">
      <alignment horizontal="center" wrapText="1"/>
    </xf>
    <xf numFmtId="0" fontId="2" fillId="0" borderId="78" xfId="0" applyFont="1" applyBorder="1" applyAlignment="1">
      <alignment horizontal="center"/>
    </xf>
    <xf numFmtId="0" fontId="2" fillId="0" borderId="51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2" fillId="0" borderId="96" xfId="0" applyFont="1" applyBorder="1" applyAlignment="1">
      <alignment horizontal="right" wrapText="1"/>
    </xf>
    <xf numFmtId="0" fontId="2" fillId="0" borderId="97" xfId="0" applyFont="1" applyBorder="1" applyAlignment="1">
      <alignment horizontal="center" wrapText="1"/>
    </xf>
    <xf numFmtId="0" fontId="2" fillId="0" borderId="98" xfId="0" applyFont="1" applyFill="1" applyBorder="1" applyAlignment="1">
      <alignment horizontal="center" wrapText="1"/>
    </xf>
    <xf numFmtId="0" fontId="2" fillId="0" borderId="99" xfId="0" applyFont="1" applyBorder="1" applyAlignment="1">
      <alignment horizontal="center" wrapText="1"/>
    </xf>
    <xf numFmtId="0" fontId="2" fillId="0" borderId="96" xfId="0" applyFont="1" applyBorder="1" applyAlignment="1">
      <alignment horizontal="center" wrapText="1"/>
    </xf>
    <xf numFmtId="0" fontId="2" fillId="2" borderId="96" xfId="0" applyFont="1" applyFill="1" applyBorder="1" applyAlignment="1">
      <alignment horizontal="center" wrapText="1"/>
    </xf>
    <xf numFmtId="0" fontId="2" fillId="2" borderId="46" xfId="0" applyFont="1" applyFill="1" applyBorder="1" applyAlignment="1">
      <alignment horizontal="center" wrapText="1"/>
    </xf>
    <xf numFmtId="0" fontId="2" fillId="2" borderId="100" xfId="0" applyFont="1" applyFill="1" applyBorder="1" applyAlignment="1">
      <alignment wrapText="1"/>
    </xf>
    <xf numFmtId="0" fontId="0" fillId="2" borderId="0" xfId="0" applyFill="1"/>
    <xf numFmtId="0" fontId="4" fillId="2" borderId="65" xfId="0" applyFont="1" applyFill="1" applyBorder="1" applyAlignment="1">
      <alignment horizontal="center"/>
    </xf>
    <xf numFmtId="0" fontId="4" fillId="2" borderId="93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wrapText="1"/>
    </xf>
    <xf numFmtId="0" fontId="2" fillId="2" borderId="22" xfId="0" applyFont="1" applyFill="1" applyBorder="1" applyAlignment="1">
      <alignment horizontal="center"/>
    </xf>
    <xf numFmtId="0" fontId="2" fillId="2" borderId="53" xfId="0" applyFont="1" applyFill="1" applyBorder="1" applyAlignment="1">
      <alignment horizontal="center" wrapText="1"/>
    </xf>
    <xf numFmtId="3" fontId="5" fillId="3" borderId="28" xfId="0" applyNumberFormat="1" applyFont="1" applyFill="1" applyBorder="1" applyAlignment="1">
      <alignment horizontal="center"/>
    </xf>
    <xf numFmtId="0" fontId="0" fillId="0" borderId="6" xfId="0" applyBorder="1"/>
    <xf numFmtId="3" fontId="0" fillId="3" borderId="28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2" borderId="0" xfId="0" applyFont="1" applyFill="1"/>
    <xf numFmtId="0" fontId="2" fillId="2" borderId="16" xfId="0" applyFont="1" applyFill="1" applyBorder="1" applyAlignment="1">
      <alignment horizontal="center"/>
    </xf>
    <xf numFmtId="0" fontId="2" fillId="2" borderId="101" xfId="0" applyFont="1" applyFill="1" applyBorder="1" applyAlignment="1">
      <alignment horizontal="center"/>
    </xf>
    <xf numFmtId="0" fontId="2" fillId="0" borderId="102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4" fillId="0" borderId="103" xfId="0" applyFont="1" applyFill="1" applyBorder="1" applyAlignment="1">
      <alignment horizontal="left"/>
    </xf>
    <xf numFmtId="0" fontId="2" fillId="0" borderId="104" xfId="0" applyFont="1" applyFill="1" applyBorder="1" applyAlignment="1">
      <alignment horizontal="center"/>
    </xf>
    <xf numFmtId="0" fontId="0" fillId="0" borderId="10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54" xfId="0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39" fontId="5" fillId="6" borderId="28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9" fontId="5" fillId="0" borderId="28" xfId="3" applyFont="1" applyFill="1" applyBorder="1" applyAlignment="1">
      <alignment horizontal="center"/>
    </xf>
    <xf numFmtId="9" fontId="5" fillId="0" borderId="54" xfId="3" applyFont="1" applyFill="1" applyBorder="1" applyAlignment="1">
      <alignment horizontal="center"/>
    </xf>
    <xf numFmtId="9" fontId="0" fillId="0" borderId="28" xfId="3" applyFont="1" applyFill="1" applyBorder="1" applyAlignment="1">
      <alignment horizontal="center"/>
    </xf>
    <xf numFmtId="37" fontId="5" fillId="3" borderId="28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/>
    </xf>
    <xf numFmtId="37" fontId="5" fillId="3" borderId="52" xfId="1" applyNumberFormat="1" applyFont="1" applyFill="1" applyBorder="1" applyAlignment="1">
      <alignment horizontal="center"/>
    </xf>
    <xf numFmtId="1" fontId="5" fillId="3" borderId="52" xfId="0" applyNumberFormat="1" applyFont="1" applyFill="1" applyBorder="1" applyAlignment="1">
      <alignment horizontal="center"/>
    </xf>
    <xf numFmtId="0" fontId="0" fillId="0" borderId="106" xfId="0" applyFill="1" applyBorder="1" applyAlignment="1">
      <alignment horizontal="center"/>
    </xf>
    <xf numFmtId="0" fontId="2" fillId="0" borderId="74" xfId="0" applyFont="1" applyFill="1" applyBorder="1" applyAlignment="1">
      <alignment horizontal="center"/>
    </xf>
    <xf numFmtId="0" fontId="2" fillId="0" borderId="75" xfId="0" applyFont="1" applyFill="1" applyBorder="1" applyAlignment="1">
      <alignment horizontal="center"/>
    </xf>
    <xf numFmtId="0" fontId="0" fillId="0" borderId="75" xfId="0" applyFill="1" applyBorder="1" applyAlignment="1">
      <alignment horizontal="center"/>
    </xf>
    <xf numFmtId="0" fontId="0" fillId="0" borderId="107" xfId="0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68" fontId="5" fillId="3" borderId="28" xfId="1" applyNumberFormat="1" applyFont="1" applyFill="1" applyBorder="1" applyAlignment="1">
      <alignment horizontal="center"/>
    </xf>
    <xf numFmtId="169" fontId="0" fillId="2" borderId="0" xfId="0" applyNumberFormat="1" applyFill="1" applyAlignment="1">
      <alignment horizontal="center"/>
    </xf>
    <xf numFmtId="0" fontId="0" fillId="0" borderId="52" xfId="0" applyFill="1" applyBorder="1" applyAlignment="1">
      <alignment horizontal="center"/>
    </xf>
    <xf numFmtId="37" fontId="2" fillId="2" borderId="0" xfId="0" applyNumberFormat="1" applyFont="1" applyFill="1" applyAlignment="1">
      <alignment horizontal="center"/>
    </xf>
    <xf numFmtId="168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37" fontId="0" fillId="2" borderId="0" xfId="0" applyNumberForma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6" xfId="0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9" fontId="0" fillId="0" borderId="52" xfId="3" applyFon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69" fontId="0" fillId="0" borderId="0" xfId="0" applyNumberFormat="1" applyFill="1" applyAlignment="1">
      <alignment horizontal="center"/>
    </xf>
    <xf numFmtId="0" fontId="5" fillId="0" borderId="55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7" fontId="0" fillId="0" borderId="0" xfId="0" applyNumberFormat="1" applyFill="1" applyAlignment="1">
      <alignment horizontal="center"/>
    </xf>
    <xf numFmtId="168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2" borderId="108" xfId="0" applyFill="1" applyBorder="1" applyAlignment="1">
      <alignment horizontal="center"/>
    </xf>
    <xf numFmtId="0" fontId="2" fillId="2" borderId="109" xfId="0" applyFont="1" applyFill="1" applyBorder="1" applyAlignment="1">
      <alignment horizontal="center"/>
    </xf>
    <xf numFmtId="0" fontId="2" fillId="2" borderId="110" xfId="0" applyFont="1" applyFill="1" applyBorder="1" applyAlignment="1">
      <alignment horizontal="center"/>
    </xf>
    <xf numFmtId="0" fontId="2" fillId="2" borderId="111" xfId="0" applyFont="1" applyFill="1" applyBorder="1" applyAlignment="1">
      <alignment horizontal="center"/>
    </xf>
    <xf numFmtId="0" fontId="0" fillId="2" borderId="91" xfId="0" applyFill="1" applyBorder="1" applyAlignment="1">
      <alignment horizontal="center"/>
    </xf>
    <xf numFmtId="0" fontId="0" fillId="2" borderId="76" xfId="0" applyFill="1" applyBorder="1" applyAlignment="1">
      <alignment horizontal="center"/>
    </xf>
    <xf numFmtId="0" fontId="2" fillId="2" borderId="112" xfId="0" applyFont="1" applyFill="1" applyBorder="1" applyAlignment="1">
      <alignment horizontal="center"/>
    </xf>
    <xf numFmtId="0" fontId="2" fillId="2" borderId="113" xfId="0" applyFont="1" applyFill="1" applyBorder="1" applyAlignment="1">
      <alignment horizontal="center"/>
    </xf>
    <xf numFmtId="0" fontId="2" fillId="2" borderId="70" xfId="0" applyFont="1" applyFill="1" applyBorder="1" applyAlignment="1">
      <alignment horizontal="center"/>
    </xf>
    <xf numFmtId="0" fontId="0" fillId="2" borderId="114" xfId="0" applyFill="1" applyBorder="1" applyAlignment="1">
      <alignment horizontal="center"/>
    </xf>
    <xf numFmtId="0" fontId="0" fillId="2" borderId="115" xfId="0" applyFill="1" applyBorder="1" applyAlignment="1">
      <alignment horizontal="center"/>
    </xf>
    <xf numFmtId="0" fontId="0" fillId="2" borderId="6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61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53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/>
    </xf>
    <xf numFmtId="169" fontId="0" fillId="2" borderId="31" xfId="3" applyNumberFormat="1" applyFont="1" applyFill="1" applyBorder="1" applyAlignment="1">
      <alignment horizontal="center"/>
    </xf>
    <xf numFmtId="169" fontId="0" fillId="2" borderId="29" xfId="3" applyNumberFormat="1" applyFont="1" applyFill="1" applyBorder="1" applyAlignment="1">
      <alignment horizontal="center"/>
    </xf>
    <xf numFmtId="169" fontId="0" fillId="2" borderId="30" xfId="3" applyNumberFormat="1" applyFont="1" applyFill="1" applyBorder="1" applyAlignment="1">
      <alignment horizontal="center"/>
    </xf>
    <xf numFmtId="169" fontId="0" fillId="2" borderId="54" xfId="3" applyNumberFormat="1" applyFont="1" applyFill="1" applyBorder="1" applyAlignment="1">
      <alignment horizontal="center"/>
    </xf>
    <xf numFmtId="169" fontId="0" fillId="2" borderId="0" xfId="3" applyNumberFormat="1" applyFont="1" applyFill="1" applyBorder="1" applyAlignment="1">
      <alignment horizontal="center"/>
    </xf>
    <xf numFmtId="0" fontId="4" fillId="2" borderId="116" xfId="0" applyFont="1" applyFill="1" applyBorder="1" applyAlignment="1">
      <alignment horizontal="center"/>
    </xf>
    <xf numFmtId="9" fontId="0" fillId="2" borderId="0" xfId="3" applyFont="1" applyFill="1" applyBorder="1" applyAlignment="1">
      <alignment horizontal="center"/>
    </xf>
    <xf numFmtId="10" fontId="0" fillId="2" borderId="0" xfId="3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6" fillId="2" borderId="26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/>
    </xf>
    <xf numFmtId="0" fontId="2" fillId="2" borderId="117" xfId="0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/>
    </xf>
    <xf numFmtId="0" fontId="2" fillId="2" borderId="67" xfId="0" applyFont="1" applyFill="1" applyBorder="1" applyAlignment="1">
      <alignment horizontal="center"/>
    </xf>
    <xf numFmtId="0" fontId="2" fillId="2" borderId="106" xfId="0" applyFont="1" applyFill="1" applyBorder="1" applyAlignment="1">
      <alignment horizontal="center"/>
    </xf>
    <xf numFmtId="9" fontId="2" fillId="2" borderId="54" xfId="3" applyFont="1" applyFill="1" applyBorder="1" applyAlignment="1">
      <alignment horizontal="center"/>
    </xf>
    <xf numFmtId="9" fontId="2" fillId="2" borderId="0" xfId="3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2" fillId="0" borderId="75" xfId="0" applyFont="1" applyBorder="1" applyAlignment="1">
      <alignment horizontal="center"/>
    </xf>
    <xf numFmtId="0" fontId="2" fillId="0" borderId="107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9" fontId="2" fillId="2" borderId="28" xfId="3" applyFont="1" applyFill="1" applyBorder="1" applyAlignment="1">
      <alignment horizontal="center"/>
    </xf>
    <xf numFmtId="9" fontId="2" fillId="0" borderId="28" xfId="3" applyFont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118" xfId="0" applyFont="1" applyBorder="1" applyAlignment="1">
      <alignment horizontal="center"/>
    </xf>
    <xf numFmtId="0" fontId="2" fillId="2" borderId="119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0" fontId="2" fillId="2" borderId="12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54" xfId="0" applyFont="1" applyFill="1" applyBorder="1" applyAlignment="1">
      <alignment horizontal="center"/>
    </xf>
    <xf numFmtId="0" fontId="2" fillId="0" borderId="121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9" fontId="2" fillId="3" borderId="56" xfId="3" applyFont="1" applyFill="1" applyBorder="1" applyAlignment="1"/>
    <xf numFmtId="9" fontId="2" fillId="3" borderId="122" xfId="3" applyFont="1" applyFill="1" applyBorder="1" applyAlignment="1"/>
    <xf numFmtId="0" fontId="2" fillId="2" borderId="121" xfId="0" applyFont="1" applyFill="1" applyBorder="1" applyAlignment="1">
      <alignment horizontal="center"/>
    </xf>
    <xf numFmtId="9" fontId="2" fillId="2" borderId="13" xfId="3" applyFont="1" applyFill="1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2" borderId="59" xfId="0" applyFill="1" applyBorder="1" applyAlignment="1">
      <alignment horizontal="center"/>
    </xf>
    <xf numFmtId="9" fontId="5" fillId="3" borderId="55" xfId="3" applyFont="1" applyFill="1" applyBorder="1" applyAlignment="1">
      <alignment horizontal="center"/>
    </xf>
    <xf numFmtId="0" fontId="0" fillId="2" borderId="63" xfId="0" applyFill="1" applyBorder="1" applyAlignment="1">
      <alignment horizontal="center"/>
    </xf>
    <xf numFmtId="0" fontId="0" fillId="2" borderId="6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3" xfId="0" applyBorder="1" applyAlignment="1">
      <alignment horizontal="center"/>
    </xf>
    <xf numFmtId="0" fontId="2" fillId="2" borderId="61" xfId="0" applyFont="1" applyFill="1" applyBorder="1" applyAlignment="1">
      <alignment horizontal="center"/>
    </xf>
    <xf numFmtId="0" fontId="6" fillId="0" borderId="121" xfId="0" applyFont="1" applyBorder="1" applyAlignment="1">
      <alignment horizontal="center"/>
    </xf>
    <xf numFmtId="9" fontId="2" fillId="2" borderId="124" xfId="3" applyFont="1" applyFill="1" applyBorder="1" applyAlignment="1">
      <alignment horizontal="center"/>
    </xf>
    <xf numFmtId="9" fontId="2" fillId="2" borderId="75" xfId="3" applyFont="1" applyFill="1" applyBorder="1" applyAlignment="1">
      <alignment horizontal="center"/>
    </xf>
    <xf numFmtId="9" fontId="2" fillId="2" borderId="107" xfId="3" applyFont="1" applyFill="1" applyBorder="1" applyAlignment="1">
      <alignment horizontal="center"/>
    </xf>
    <xf numFmtId="9" fontId="2" fillId="2" borderId="15" xfId="3" applyFont="1" applyFill="1" applyBorder="1" applyAlignment="1">
      <alignment horizontal="center"/>
    </xf>
    <xf numFmtId="9" fontId="2" fillId="2" borderId="123" xfId="3" applyFont="1" applyFill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106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25" xfId="0" applyFont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/>
    </xf>
    <xf numFmtId="9" fontId="2" fillId="2" borderId="44" xfId="3" applyFont="1" applyFill="1" applyBorder="1" applyAlignment="1">
      <alignment horizontal="center"/>
    </xf>
    <xf numFmtId="9" fontId="2" fillId="2" borderId="126" xfId="3" applyFont="1" applyFill="1" applyBorder="1" applyAlignment="1">
      <alignment horizontal="center"/>
    </xf>
    <xf numFmtId="9" fontId="2" fillId="2" borderId="127" xfId="3" applyFont="1" applyFill="1" applyBorder="1" applyAlignment="1">
      <alignment horizontal="center"/>
    </xf>
    <xf numFmtId="9" fontId="2" fillId="2" borderId="106" xfId="3" applyFont="1" applyFill="1" applyBorder="1" applyAlignment="1">
      <alignment horizontal="center"/>
    </xf>
    <xf numFmtId="0" fontId="4" fillId="4" borderId="116" xfId="0" applyFont="1" applyFill="1" applyBorder="1" applyAlignment="1">
      <alignment horizontal="left"/>
    </xf>
    <xf numFmtId="0" fontId="4" fillId="4" borderId="65" xfId="0" applyFont="1" applyFill="1" applyBorder="1" applyAlignment="1">
      <alignment horizontal="center"/>
    </xf>
    <xf numFmtId="0" fontId="2" fillId="4" borderId="65" xfId="0" applyFont="1" applyFill="1" applyBorder="1" applyAlignment="1">
      <alignment horizontal="center"/>
    </xf>
    <xf numFmtId="0" fontId="2" fillId="4" borderId="93" xfId="0" applyFont="1" applyFill="1" applyBorder="1" applyAlignment="1">
      <alignment horizontal="center"/>
    </xf>
    <xf numFmtId="0" fontId="2" fillId="4" borderId="74" xfId="0" applyFont="1" applyFill="1" applyBorder="1" applyAlignment="1">
      <alignment horizontal="center"/>
    </xf>
    <xf numFmtId="0" fontId="2" fillId="4" borderId="75" xfId="0" applyFont="1" applyFill="1" applyBorder="1" applyAlignment="1">
      <alignment horizontal="center"/>
    </xf>
    <xf numFmtId="0" fontId="2" fillId="4" borderId="128" xfId="0" applyFont="1" applyFill="1" applyBorder="1" applyAlignment="1">
      <alignment horizontal="center"/>
    </xf>
    <xf numFmtId="0" fontId="2" fillId="4" borderId="107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3" fontId="5" fillId="4" borderId="28" xfId="0" applyNumberFormat="1" applyFont="1" applyFill="1" applyBorder="1" applyAlignment="1">
      <alignment horizontal="center"/>
    </xf>
    <xf numFmtId="10" fontId="0" fillId="0" borderId="54" xfId="0" applyNumberFormat="1" applyFill="1" applyBorder="1" applyAlignment="1">
      <alignment horizontal="center"/>
    </xf>
    <xf numFmtId="3" fontId="5" fillId="4" borderId="54" xfId="0" applyNumberFormat="1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3" fontId="5" fillId="4" borderId="44" xfId="0" applyNumberFormat="1" applyFont="1" applyFill="1" applyBorder="1" applyAlignment="1">
      <alignment horizontal="center"/>
    </xf>
    <xf numFmtId="3" fontId="5" fillId="4" borderId="35" xfId="0" applyNumberFormat="1" applyFont="1" applyFill="1" applyBorder="1" applyAlignment="1">
      <alignment horizontal="center"/>
    </xf>
    <xf numFmtId="10" fontId="0" fillId="0" borderId="129" xfId="0" applyNumberFormat="1" applyFill="1" applyBorder="1" applyAlignment="1">
      <alignment horizontal="center"/>
    </xf>
    <xf numFmtId="0" fontId="2" fillId="4" borderId="48" xfId="0" applyFont="1" applyFill="1" applyBorder="1" applyAlignment="1">
      <alignment horizontal="center"/>
    </xf>
    <xf numFmtId="3" fontId="0" fillId="4" borderId="50" xfId="0" applyNumberFormat="1" applyFill="1" applyBorder="1" applyAlignment="1">
      <alignment horizontal="center"/>
    </xf>
    <xf numFmtId="3" fontId="0" fillId="4" borderId="130" xfId="1" applyNumberFormat="1" applyFont="1" applyFill="1" applyBorder="1" applyAlignment="1">
      <alignment horizontal="center"/>
    </xf>
    <xf numFmtId="3" fontId="5" fillId="4" borderId="27" xfId="0" applyNumberFormat="1" applyFont="1" applyFill="1" applyBorder="1" applyAlignment="1">
      <alignment horizontal="center"/>
    </xf>
    <xf numFmtId="3" fontId="5" fillId="0" borderId="54" xfId="0" applyNumberFormat="1" applyFont="1" applyFill="1" applyBorder="1" applyAlignment="1">
      <alignment horizontal="center"/>
    </xf>
    <xf numFmtId="3" fontId="5" fillId="4" borderId="13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0" fillId="2" borderId="0" xfId="0" applyFont="1" applyFill="1"/>
    <xf numFmtId="0" fontId="4" fillId="0" borderId="0" xfId="0" applyFont="1" applyAlignment="1">
      <alignment horizontal="left"/>
    </xf>
    <xf numFmtId="0" fontId="0" fillId="0" borderId="93" xfId="0" applyBorder="1" applyAlignment="1">
      <alignment horizontal="center"/>
    </xf>
    <xf numFmtId="170" fontId="0" fillId="2" borderId="0" xfId="0" applyNumberFormat="1" applyFill="1" applyAlignment="1">
      <alignment horizontal="center"/>
    </xf>
    <xf numFmtId="0" fontId="2" fillId="2" borderId="78" xfId="0" applyFont="1" applyFill="1" applyBorder="1" applyAlignment="1">
      <alignment horizontal="right"/>
    </xf>
    <xf numFmtId="0" fontId="2" fillId="2" borderId="58" xfId="0" applyFont="1" applyFill="1" applyBorder="1" applyAlignment="1">
      <alignment horizontal="center"/>
    </xf>
    <xf numFmtId="0" fontId="0" fillId="0" borderId="61" xfId="0" applyBorder="1" applyAlignment="1">
      <alignment horizontal="center"/>
    </xf>
    <xf numFmtId="9" fontId="2" fillId="0" borderId="71" xfId="3" applyFont="1" applyFill="1" applyBorder="1" applyAlignment="1">
      <alignment horizontal="center"/>
    </xf>
    <xf numFmtId="0" fontId="0" fillId="0" borderId="72" xfId="0" applyBorder="1" applyAlignment="1">
      <alignment horizontal="center"/>
    </xf>
    <xf numFmtId="0" fontId="11" fillId="0" borderId="76" xfId="0" applyFont="1" applyBorder="1" applyAlignment="1">
      <alignment horizontal="center" vertical="center"/>
    </xf>
    <xf numFmtId="0" fontId="11" fillId="0" borderId="71" xfId="0" applyFont="1" applyBorder="1" applyAlignment="1">
      <alignment horizontal="center" vertical="center"/>
    </xf>
    <xf numFmtId="0" fontId="11" fillId="0" borderId="7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2" borderId="0" xfId="0" applyFill="1" applyBorder="1"/>
    <xf numFmtId="0" fontId="2" fillId="0" borderId="28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/>
    </xf>
    <xf numFmtId="171" fontId="5" fillId="3" borderId="44" xfId="1" applyNumberFormat="1" applyFont="1" applyFill="1" applyBorder="1" applyAlignment="1">
      <alignment horizontal="center"/>
    </xf>
    <xf numFmtId="0" fontId="0" fillId="0" borderId="126" xfId="0" applyFill="1" applyBorder="1" applyAlignment="1">
      <alignment horizontal="center"/>
    </xf>
    <xf numFmtId="0" fontId="2" fillId="2" borderId="115" xfId="0" applyFont="1" applyFill="1" applyBorder="1" applyAlignment="1">
      <alignment horizontal="center"/>
    </xf>
    <xf numFmtId="169" fontId="0" fillId="2" borderId="132" xfId="3" applyNumberFormat="1" applyFont="1" applyFill="1" applyBorder="1" applyAlignment="1">
      <alignment horizontal="center"/>
    </xf>
    <xf numFmtId="169" fontId="0" fillId="2" borderId="117" xfId="3" applyNumberFormat="1" applyFont="1" applyFill="1" applyBorder="1" applyAlignment="1">
      <alignment horizontal="center"/>
    </xf>
    <xf numFmtId="169" fontId="0" fillId="2" borderId="133" xfId="3" applyNumberFormat="1" applyFont="1" applyFill="1" applyBorder="1" applyAlignment="1">
      <alignment horizontal="center"/>
    </xf>
    <xf numFmtId="169" fontId="0" fillId="2" borderId="126" xfId="3" applyNumberFormat="1" applyFont="1" applyFill="1" applyBorder="1" applyAlignment="1">
      <alignment horizontal="center"/>
    </xf>
    <xf numFmtId="0" fontId="2" fillId="2" borderId="134" xfId="0" applyFont="1" applyFill="1" applyBorder="1" applyAlignment="1">
      <alignment horizontal="center"/>
    </xf>
    <xf numFmtId="169" fontId="0" fillId="2" borderId="67" xfId="3" applyNumberFormat="1" applyFont="1" applyFill="1" applyBorder="1" applyAlignment="1">
      <alignment horizontal="center"/>
    </xf>
    <xf numFmtId="169" fontId="0" fillId="2" borderId="127" xfId="3" applyNumberFormat="1" applyFont="1" applyFill="1" applyBorder="1" applyAlignment="1">
      <alignment horizontal="center"/>
    </xf>
    <xf numFmtId="169" fontId="0" fillId="2" borderId="83" xfId="3" applyNumberFormat="1" applyFont="1" applyFill="1" applyBorder="1" applyAlignment="1">
      <alignment horizontal="center"/>
    </xf>
    <xf numFmtId="0" fontId="2" fillId="0" borderId="20" xfId="0" applyFont="1" applyBorder="1" applyAlignment="1">
      <alignment horizontal="right"/>
    </xf>
    <xf numFmtId="9" fontId="2" fillId="2" borderId="61" xfId="3" applyFont="1" applyFill="1" applyBorder="1" applyAlignment="1">
      <alignment horizontal="center"/>
    </xf>
    <xf numFmtId="0" fontId="2" fillId="2" borderId="51" xfId="0" applyFont="1" applyFill="1" applyBorder="1" applyAlignment="1">
      <alignment horizontal="center"/>
    </xf>
    <xf numFmtId="0" fontId="2" fillId="2" borderId="6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right"/>
    </xf>
    <xf numFmtId="0" fontId="6" fillId="0" borderId="58" xfId="0" applyFont="1" applyBorder="1" applyAlignment="1">
      <alignment horizontal="right"/>
    </xf>
    <xf numFmtId="0" fontId="2" fillId="0" borderId="58" xfId="0" applyFont="1" applyBorder="1" applyAlignment="1">
      <alignment horizontal="left"/>
    </xf>
    <xf numFmtId="0" fontId="5" fillId="2" borderId="0" xfId="0" applyFont="1" applyFill="1"/>
    <xf numFmtId="0" fontId="2" fillId="0" borderId="129" xfId="0" applyFont="1" applyBorder="1" applyAlignment="1">
      <alignment horizontal="center"/>
    </xf>
    <xf numFmtId="0" fontId="2" fillId="0" borderId="135" xfId="0" applyFont="1" applyBorder="1" applyAlignment="1">
      <alignment horizontal="center"/>
    </xf>
    <xf numFmtId="0" fontId="2" fillId="2" borderId="136" xfId="0" applyFont="1" applyFill="1" applyBorder="1" applyAlignment="1">
      <alignment horizontal="center"/>
    </xf>
    <xf numFmtId="0" fontId="2" fillId="0" borderId="136" xfId="0" applyFont="1" applyBorder="1" applyAlignment="1">
      <alignment horizontal="center"/>
    </xf>
    <xf numFmtId="0" fontId="2" fillId="0" borderId="137" xfId="0" applyFont="1" applyBorder="1" applyAlignment="1">
      <alignment horizontal="center"/>
    </xf>
    <xf numFmtId="0" fontId="4" fillId="0" borderId="5" xfId="0" applyFont="1" applyBorder="1" applyAlignment="1">
      <alignment horizontal="right"/>
    </xf>
    <xf numFmtId="0" fontId="0" fillId="0" borderId="53" xfId="0" applyBorder="1"/>
    <xf numFmtId="0" fontId="5" fillId="0" borderId="55" xfId="0" applyFont="1" applyBorder="1" applyAlignment="1">
      <alignment horizontal="center"/>
    </xf>
    <xf numFmtId="0" fontId="0" fillId="0" borderId="106" xfId="0" applyBorder="1" applyAlignment="1">
      <alignment horizontal="center"/>
    </xf>
    <xf numFmtId="0" fontId="2" fillId="0" borderId="138" xfId="0" applyFont="1" applyBorder="1" applyAlignment="1">
      <alignment horizontal="center"/>
    </xf>
    <xf numFmtId="0" fontId="0" fillId="0" borderId="106" xfId="0" applyBorder="1"/>
    <xf numFmtId="0" fontId="2" fillId="0" borderId="99" xfId="0" applyFont="1" applyBorder="1" applyAlignment="1">
      <alignment horizontal="center"/>
    </xf>
    <xf numFmtId="0" fontId="2" fillId="0" borderId="46" xfId="0" applyFont="1" applyBorder="1" applyAlignment="1">
      <alignment horizontal="right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4" fillId="0" borderId="13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86" xfId="0" applyFill="1" applyBorder="1" applyAlignment="1">
      <alignment horizontal="center"/>
    </xf>
    <xf numFmtId="0" fontId="2" fillId="0" borderId="140" xfId="0" applyFont="1" applyBorder="1" applyAlignment="1">
      <alignment horizontal="center"/>
    </xf>
    <xf numFmtId="0" fontId="2" fillId="0" borderId="141" xfId="0" applyFont="1" applyBorder="1" applyAlignment="1">
      <alignment horizontal="center"/>
    </xf>
    <xf numFmtId="0" fontId="0" fillId="0" borderId="60" xfId="0" applyBorder="1" applyAlignment="1">
      <alignment horizontal="center"/>
    </xf>
    <xf numFmtId="0" fontId="2" fillId="0" borderId="14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2" borderId="143" xfId="0" applyFill="1" applyBorder="1" applyAlignment="1">
      <alignment horizontal="center"/>
    </xf>
    <xf numFmtId="1" fontId="5" fillId="3" borderId="28" xfId="3" applyNumberFormat="1" applyFont="1" applyFill="1" applyBorder="1" applyAlignment="1">
      <alignment horizontal="center"/>
    </xf>
    <xf numFmtId="0" fontId="0" fillId="2" borderId="141" xfId="0" applyFill="1" applyBorder="1" applyAlignment="1">
      <alignment horizontal="center"/>
    </xf>
    <xf numFmtId="0" fontId="0" fillId="2" borderId="144" xfId="0" applyFill="1" applyBorder="1" applyAlignment="1">
      <alignment horizontal="center"/>
    </xf>
    <xf numFmtId="0" fontId="0" fillId="2" borderId="145" xfId="0" applyFill="1" applyBorder="1" applyAlignment="1">
      <alignment horizontal="center"/>
    </xf>
    <xf numFmtId="0" fontId="5" fillId="2" borderId="146" xfId="0" applyFont="1" applyFill="1" applyBorder="1" applyAlignment="1">
      <alignment horizontal="center"/>
    </xf>
    <xf numFmtId="2" fontId="2" fillId="2" borderId="146" xfId="0" applyNumberFormat="1" applyFont="1" applyFill="1" applyBorder="1" applyAlignment="1">
      <alignment horizontal="center"/>
    </xf>
    <xf numFmtId="2" fontId="2" fillId="2" borderId="147" xfId="0" applyNumberFormat="1" applyFont="1" applyFill="1" applyBorder="1" applyAlignment="1">
      <alignment horizontal="center"/>
    </xf>
    <xf numFmtId="0" fontId="2" fillId="0" borderId="14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2" fillId="2" borderId="101" xfId="0" applyNumberFormat="1" applyFont="1" applyFill="1" applyBorder="1" applyAlignment="1">
      <alignment horizontal="center"/>
    </xf>
    <xf numFmtId="2" fontId="2" fillId="2" borderId="149" xfId="0" applyNumberFormat="1" applyFont="1" applyFill="1" applyBorder="1" applyAlignment="1">
      <alignment horizontal="center"/>
    </xf>
    <xf numFmtId="9" fontId="5" fillId="3" borderId="28" xfId="3" applyFont="1" applyFill="1" applyBorder="1" applyAlignment="1">
      <alignment horizontal="center"/>
    </xf>
    <xf numFmtId="0" fontId="0" fillId="2" borderId="150" xfId="0" applyFill="1" applyBorder="1" applyAlignment="1">
      <alignment horizontal="center"/>
    </xf>
    <xf numFmtId="9" fontId="5" fillId="3" borderId="151" xfId="3" applyFont="1" applyFill="1" applyBorder="1" applyAlignment="1">
      <alignment horizontal="center"/>
    </xf>
    <xf numFmtId="1" fontId="5" fillId="3" borderId="151" xfId="3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9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143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20" xfId="0" applyFont="1" applyBorder="1" applyAlignment="1">
      <alignment horizontal="center"/>
    </xf>
    <xf numFmtId="0" fontId="5" fillId="0" borderId="141" xfId="0" applyFont="1" applyBorder="1" applyAlignment="1">
      <alignment horizontal="center"/>
    </xf>
    <xf numFmtId="0" fontId="5" fillId="0" borderId="142" xfId="0" applyFont="1" applyBorder="1" applyAlignment="1">
      <alignment horizontal="center"/>
    </xf>
    <xf numFmtId="0" fontId="2" fillId="0" borderId="152" xfId="0" applyFont="1" applyBorder="1" applyAlignment="1">
      <alignment horizontal="center"/>
    </xf>
    <xf numFmtId="164" fontId="2" fillId="3" borderId="153" xfId="3" applyNumberFormat="1" applyFont="1" applyFill="1" applyBorder="1" applyAlignment="1">
      <alignment horizontal="center"/>
    </xf>
    <xf numFmtId="164" fontId="2" fillId="3" borderId="154" xfId="3" applyNumberFormat="1" applyFont="1" applyFill="1" applyBorder="1" applyAlignment="1">
      <alignment horizontal="center"/>
    </xf>
    <xf numFmtId="164" fontId="2" fillId="3" borderId="0" xfId="3" applyNumberFormat="1" applyFont="1" applyFill="1" applyBorder="1" applyAlignment="1">
      <alignment horizontal="center"/>
    </xf>
    <xf numFmtId="9" fontId="12" fillId="2" borderId="0" xfId="3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9" fontId="12" fillId="0" borderId="0" xfId="3" applyFont="1" applyFill="1" applyBorder="1" applyAlignment="1">
      <alignment horizontal="center"/>
    </xf>
    <xf numFmtId="0" fontId="11" fillId="0" borderId="76" xfId="0" applyFont="1" applyFill="1" applyBorder="1" applyAlignment="1">
      <alignment horizontal="left"/>
    </xf>
    <xf numFmtId="0" fontId="12" fillId="0" borderId="77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2" fontId="2" fillId="5" borderId="32" xfId="0" applyNumberFormat="1" applyFont="1" applyFill="1" applyBorder="1" applyAlignment="1">
      <alignment horizontal="center"/>
    </xf>
    <xf numFmtId="0" fontId="5" fillId="0" borderId="78" xfId="0" applyFont="1" applyBorder="1" applyAlignment="1">
      <alignment horizontal="center"/>
    </xf>
    <xf numFmtId="9" fontId="2" fillId="0" borderId="59" xfId="3" applyFont="1" applyFill="1" applyBorder="1" applyAlignment="1">
      <alignment horizontal="center"/>
    </xf>
    <xf numFmtId="9" fontId="2" fillId="0" borderId="77" xfId="3" applyFont="1" applyFill="1" applyBorder="1" applyAlignment="1">
      <alignment horizontal="center"/>
    </xf>
    <xf numFmtId="0" fontId="5" fillId="0" borderId="148" xfId="0" applyFont="1" applyBorder="1" applyAlignment="1">
      <alignment horizontal="center"/>
    </xf>
    <xf numFmtId="9" fontId="2" fillId="9" borderId="82" xfId="3" applyFont="1" applyFill="1" applyBorder="1" applyAlignment="1">
      <alignment horizontal="center"/>
    </xf>
    <xf numFmtId="2" fontId="5" fillId="5" borderId="32" xfId="0" applyNumberFormat="1" applyFont="1" applyFill="1" applyBorder="1" applyAlignment="1">
      <alignment horizontal="center"/>
    </xf>
    <xf numFmtId="0" fontId="5" fillId="0" borderId="150" xfId="0" applyFont="1" applyBorder="1" applyAlignment="1">
      <alignment horizontal="center"/>
    </xf>
    <xf numFmtId="9" fontId="2" fillId="0" borderId="83" xfId="3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2" xfId="0" applyBorder="1" applyAlignment="1">
      <alignment horizontal="center"/>
    </xf>
    <xf numFmtId="9" fontId="2" fillId="2" borderId="53" xfId="3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2" fillId="0" borderId="42" xfId="0" applyFont="1" applyBorder="1" applyAlignment="1">
      <alignment horizontal="left" wrapText="1"/>
    </xf>
    <xf numFmtId="9" fontId="0" fillId="0" borderId="44" xfId="3" applyFont="1" applyFill="1" applyBorder="1" applyAlignment="1">
      <alignment horizontal="center"/>
    </xf>
    <xf numFmtId="9" fontId="8" fillId="2" borderId="54" xfId="3" applyFont="1" applyFill="1" applyBorder="1" applyAlignment="1">
      <alignment horizontal="center"/>
    </xf>
    <xf numFmtId="0" fontId="2" fillId="0" borderId="115" xfId="0" applyFont="1" applyBorder="1" applyAlignment="1">
      <alignment horizontal="left"/>
    </xf>
    <xf numFmtId="1" fontId="0" fillId="0" borderId="52" xfId="0" applyNumberFormat="1" applyBorder="1" applyAlignment="1">
      <alignment horizontal="center"/>
    </xf>
    <xf numFmtId="1" fontId="2" fillId="2" borderId="106" xfId="3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2" fillId="0" borderId="78" xfId="0" applyFont="1" applyBorder="1" applyAlignment="1">
      <alignment horizontal="right"/>
    </xf>
    <xf numFmtId="0" fontId="2" fillId="0" borderId="98" xfId="0" applyFont="1" applyFill="1" applyBorder="1" applyAlignment="1">
      <alignment horizontal="center"/>
    </xf>
    <xf numFmtId="0" fontId="2" fillId="0" borderId="96" xfId="0" applyFont="1" applyBorder="1" applyAlignment="1">
      <alignment horizontal="center"/>
    </xf>
    <xf numFmtId="0" fontId="2" fillId="0" borderId="155" xfId="0" applyFont="1" applyBorder="1" applyAlignment="1">
      <alignment horizontal="center"/>
    </xf>
    <xf numFmtId="0" fontId="2" fillId="0" borderId="69" xfId="0" applyFont="1" applyBorder="1" applyAlignment="1">
      <alignment horizontal="center" wrapText="1"/>
    </xf>
    <xf numFmtId="0" fontId="2" fillId="0" borderId="134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2" fillId="0" borderId="156" xfId="0" applyFont="1" applyBorder="1" applyAlignment="1">
      <alignment horizontal="center"/>
    </xf>
    <xf numFmtId="0" fontId="2" fillId="0" borderId="97" xfId="0" applyFont="1" applyBorder="1" applyAlignment="1">
      <alignment horizontal="center"/>
    </xf>
    <xf numFmtId="0" fontId="2" fillId="0" borderId="157" xfId="0" applyFont="1" applyFill="1" applyBorder="1" applyAlignment="1">
      <alignment horizontal="center" wrapText="1"/>
    </xf>
    <xf numFmtId="0" fontId="2" fillId="0" borderId="47" xfId="0" applyFont="1" applyFill="1" applyBorder="1" applyAlignment="1">
      <alignment horizontal="center" wrapText="1"/>
    </xf>
    <xf numFmtId="0" fontId="2" fillId="0" borderId="143" xfId="0" applyFont="1" applyBorder="1" applyAlignment="1">
      <alignment horizontal="center"/>
    </xf>
    <xf numFmtId="169" fontId="2" fillId="0" borderId="24" xfId="0" applyNumberFormat="1" applyFont="1" applyFill="1" applyBorder="1" applyAlignment="1">
      <alignment horizontal="center" wrapText="1"/>
    </xf>
    <xf numFmtId="169" fontId="0" fillId="0" borderId="29" xfId="0" applyNumberFormat="1" applyBorder="1" applyAlignment="1">
      <alignment horizontal="center"/>
    </xf>
    <xf numFmtId="9" fontId="2" fillId="2" borderId="60" xfId="3" applyFont="1" applyFill="1" applyBorder="1" applyAlignment="1">
      <alignment horizontal="center"/>
    </xf>
    <xf numFmtId="3" fontId="0" fillId="3" borderId="31" xfId="0" applyNumberFormat="1" applyFill="1" applyBorder="1" applyAlignment="1">
      <alignment horizontal="center"/>
    </xf>
    <xf numFmtId="1" fontId="2" fillId="2" borderId="0" xfId="3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0" fontId="2" fillId="4" borderId="78" xfId="0" applyFont="1" applyFill="1" applyBorder="1" applyAlignment="1">
      <alignment horizontal="center"/>
    </xf>
    <xf numFmtId="0" fontId="2" fillId="4" borderId="158" xfId="0" applyFont="1" applyFill="1" applyBorder="1" applyAlignment="1">
      <alignment horizontal="center"/>
    </xf>
    <xf numFmtId="0" fontId="2" fillId="4" borderId="50" xfId="0" applyFont="1" applyFill="1" applyBorder="1" applyAlignment="1">
      <alignment horizontal="center"/>
    </xf>
    <xf numFmtId="0" fontId="2" fillId="4" borderId="50" xfId="0" applyFont="1" applyFill="1" applyBorder="1" applyAlignment="1">
      <alignment horizontal="center" wrapText="1"/>
    </xf>
    <xf numFmtId="0" fontId="2" fillId="4" borderId="159" xfId="0" applyFont="1" applyFill="1" applyBorder="1" applyAlignment="1">
      <alignment horizontal="center" wrapText="1"/>
    </xf>
    <xf numFmtId="0" fontId="2" fillId="4" borderId="143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3" fontId="15" fillId="0" borderId="0" xfId="1" applyFont="1" applyAlignment="1">
      <alignment horizontal="center"/>
    </xf>
    <xf numFmtId="9" fontId="15" fillId="0" borderId="0" xfId="3" applyFont="1" applyAlignment="1">
      <alignment horizontal="center"/>
    </xf>
    <xf numFmtId="9" fontId="15" fillId="0" borderId="0" xfId="3" applyFont="1"/>
    <xf numFmtId="0" fontId="15" fillId="0" borderId="16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16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6" fillId="0" borderId="161" xfId="0" applyFont="1" applyBorder="1" applyAlignment="1">
      <alignment horizontal="center"/>
    </xf>
    <xf numFmtId="0" fontId="16" fillId="0" borderId="6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61" xfId="0" applyFont="1" applyBorder="1" applyAlignment="1">
      <alignment horizontal="center" wrapText="1"/>
    </xf>
    <xf numFmtId="9" fontId="16" fillId="0" borderId="0" xfId="3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6" fillId="0" borderId="121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6" fillId="0" borderId="123" xfId="0" applyFont="1" applyBorder="1" applyAlignment="1">
      <alignment horizontal="center" wrapText="1"/>
    </xf>
    <xf numFmtId="0" fontId="17" fillId="0" borderId="161" xfId="0" applyFont="1" applyBorder="1" applyAlignment="1">
      <alignment horizontal="center"/>
    </xf>
    <xf numFmtId="0" fontId="16" fillId="0" borderId="74" xfId="0" applyFont="1" applyBorder="1" applyAlignment="1">
      <alignment horizontal="center" wrapText="1"/>
    </xf>
    <xf numFmtId="0" fontId="16" fillId="0" borderId="75" xfId="0" applyFont="1" applyBorder="1" applyAlignment="1">
      <alignment horizontal="center" wrapText="1"/>
    </xf>
    <xf numFmtId="0" fontId="16" fillId="0" borderId="107" xfId="0" applyFont="1" applyBorder="1" applyAlignment="1">
      <alignment horizontal="center" wrapText="1"/>
    </xf>
    <xf numFmtId="0" fontId="15" fillId="0" borderId="13" xfId="0" applyFont="1" applyBorder="1"/>
    <xf numFmtId="0" fontId="15" fillId="0" borderId="123" xfId="0" applyFont="1" applyBorder="1"/>
    <xf numFmtId="0" fontId="18" fillId="0" borderId="161" xfId="0" applyFont="1" applyBorder="1" applyAlignment="1">
      <alignment horizontal="center"/>
    </xf>
    <xf numFmtId="9" fontId="15" fillId="3" borderId="28" xfId="3" applyFont="1" applyFill="1" applyBorder="1" applyAlignment="1">
      <alignment horizontal="center"/>
    </xf>
    <xf numFmtId="9" fontId="15" fillId="9" borderId="28" xfId="3" applyFont="1" applyFill="1" applyBorder="1" applyAlignment="1">
      <alignment horizontal="center"/>
    </xf>
    <xf numFmtId="164" fontId="18" fillId="4" borderId="26" xfId="3" applyNumberFormat="1" applyFont="1" applyFill="1" applyBorder="1" applyAlignment="1">
      <alignment horizontal="center"/>
    </xf>
    <xf numFmtId="164" fontId="18" fillId="4" borderId="28" xfId="3" applyNumberFormat="1" applyFont="1" applyFill="1" applyBorder="1" applyAlignment="1">
      <alignment horizontal="center"/>
    </xf>
    <xf numFmtId="164" fontId="18" fillId="4" borderId="54" xfId="3" applyNumberFormat="1" applyFont="1" applyFill="1" applyBorder="1" applyAlignment="1">
      <alignment horizontal="center"/>
    </xf>
    <xf numFmtId="173" fontId="15" fillId="3" borderId="26" xfId="3" applyNumberFormat="1" applyFont="1" applyFill="1" applyBorder="1" applyAlignment="1">
      <alignment horizontal="center"/>
    </xf>
    <xf numFmtId="164" fontId="15" fillId="3" borderId="28" xfId="3" applyNumberFormat="1" applyFont="1" applyFill="1" applyBorder="1" applyAlignment="1">
      <alignment horizontal="center"/>
    </xf>
    <xf numFmtId="164" fontId="15" fillId="3" borderId="77" xfId="3" applyNumberFormat="1" applyFont="1" applyFill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61" xfId="0" applyFont="1" applyBorder="1" applyAlignment="1">
      <alignment horizontal="center"/>
    </xf>
    <xf numFmtId="172" fontId="15" fillId="0" borderId="6" xfId="0" applyNumberFormat="1" applyFont="1" applyBorder="1" applyAlignment="1">
      <alignment horizontal="center"/>
    </xf>
    <xf numFmtId="172" fontId="15" fillId="0" borderId="0" xfId="0" applyNumberFormat="1" applyFont="1" applyBorder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23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0" fontId="15" fillId="0" borderId="75" xfId="0" applyFont="1" applyBorder="1" applyAlignment="1">
      <alignment horizontal="center"/>
    </xf>
    <xf numFmtId="0" fontId="15" fillId="0" borderId="107" xfId="0" applyFont="1" applyBorder="1" applyAlignment="1">
      <alignment horizontal="center"/>
    </xf>
    <xf numFmtId="0" fontId="16" fillId="0" borderId="0" xfId="0" applyFont="1"/>
    <xf numFmtId="164" fontId="16" fillId="3" borderId="162" xfId="0" applyNumberFormat="1" applyFont="1" applyFill="1" applyBorder="1" applyAlignment="1">
      <alignment horizontal="center"/>
    </xf>
    <xf numFmtId="164" fontId="16" fillId="3" borderId="51" xfId="0" applyNumberFormat="1" applyFont="1" applyFill="1" applyBorder="1" applyAlignment="1">
      <alignment horizontal="center"/>
    </xf>
    <xf numFmtId="9" fontId="16" fillId="3" borderId="63" xfId="3" applyFont="1" applyFill="1" applyBorder="1" applyAlignment="1">
      <alignment horizontal="center"/>
    </xf>
    <xf numFmtId="164" fontId="16" fillId="3" borderId="63" xfId="0" applyNumberFormat="1" applyFont="1" applyFill="1" applyBorder="1" applyAlignment="1">
      <alignment horizontal="center"/>
    </xf>
    <xf numFmtId="0" fontId="16" fillId="3" borderId="63" xfId="0" applyFont="1" applyFill="1" applyBorder="1" applyAlignment="1">
      <alignment horizontal="center"/>
    </xf>
    <xf numFmtId="0" fontId="16" fillId="3" borderId="64" xfId="0" applyFont="1" applyFill="1" applyBorder="1" applyAlignment="1">
      <alignment horizontal="center"/>
    </xf>
    <xf numFmtId="172" fontId="16" fillId="3" borderId="163" xfId="0" applyNumberFormat="1" applyFont="1" applyFill="1" applyBorder="1" applyAlignment="1">
      <alignment horizontal="center"/>
    </xf>
    <xf numFmtId="172" fontId="16" fillId="3" borderId="136" xfId="0" applyNumberFormat="1" applyFont="1" applyFill="1" applyBorder="1" applyAlignment="1">
      <alignment horizontal="center"/>
    </xf>
    <xf numFmtId="9" fontId="16" fillId="3" borderId="136" xfId="3" applyFont="1" applyFill="1" applyBorder="1" applyAlignment="1">
      <alignment horizontal="center"/>
    </xf>
    <xf numFmtId="9" fontId="16" fillId="3" borderId="137" xfId="3" applyFont="1" applyFill="1" applyBorder="1" applyAlignment="1">
      <alignment horizontal="center"/>
    </xf>
    <xf numFmtId="9" fontId="16" fillId="3" borderId="51" xfId="3" applyFont="1" applyFill="1" applyBorder="1" applyAlignment="1">
      <alignment horizontal="center"/>
    </xf>
    <xf numFmtId="164" fontId="16" fillId="4" borderId="55" xfId="3" applyNumberFormat="1" applyFont="1" applyFill="1" applyBorder="1" applyAlignment="1">
      <alignment horizontal="center"/>
    </xf>
    <xf numFmtId="164" fontId="16" fillId="4" borderId="52" xfId="3" applyNumberFormat="1" applyFont="1" applyFill="1" applyBorder="1" applyAlignment="1">
      <alignment horizontal="center"/>
    </xf>
    <xf numFmtId="164" fontId="16" fillId="4" borderId="106" xfId="3" applyNumberFormat="1" applyFont="1" applyFill="1" applyBorder="1" applyAlignment="1">
      <alignment horizontal="center"/>
    </xf>
    <xf numFmtId="9" fontId="16" fillId="0" borderId="0" xfId="3" applyFont="1"/>
    <xf numFmtId="0" fontId="2" fillId="0" borderId="108" xfId="0" applyFont="1" applyBorder="1" applyAlignment="1"/>
    <xf numFmtId="0" fontId="2" fillId="0" borderId="164" xfId="0" applyFont="1" applyBorder="1" applyAlignment="1"/>
    <xf numFmtId="0" fontId="2" fillId="0" borderId="165" xfId="0" applyFont="1" applyBorder="1" applyAlignment="1"/>
    <xf numFmtId="0" fontId="15" fillId="0" borderId="164" xfId="0" applyFont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9" fontId="5" fillId="0" borderId="120" xfId="3" applyFont="1" applyBorder="1" applyAlignment="1">
      <alignment horizontal="center"/>
    </xf>
    <xf numFmtId="9" fontId="5" fillId="0" borderId="32" xfId="3" applyFont="1" applyBorder="1" applyAlignment="1">
      <alignment horizontal="center"/>
    </xf>
    <xf numFmtId="9" fontId="5" fillId="5" borderId="151" xfId="3" applyFont="1" applyFill="1" applyBorder="1" applyAlignment="1">
      <alignment horizontal="center"/>
    </xf>
    <xf numFmtId="9" fontId="5" fillId="5" borderId="83" xfId="3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63" xfId="0" applyFont="1" applyBorder="1" applyAlignment="1">
      <alignment horizontal="center"/>
    </xf>
    <xf numFmtId="0" fontId="19" fillId="0" borderId="0" xfId="0" applyFont="1" applyAlignment="1">
      <alignment horizontal="center" wrapText="1"/>
    </xf>
    <xf numFmtId="0" fontId="19" fillId="4" borderId="86" xfId="0" applyFont="1" applyFill="1" applyBorder="1" applyAlignment="1">
      <alignment horizontal="center"/>
    </xf>
    <xf numFmtId="0" fontId="20" fillId="4" borderId="13" xfId="0" applyFont="1" applyFill="1" applyBorder="1" applyAlignment="1">
      <alignment horizontal="center"/>
    </xf>
    <xf numFmtId="0" fontId="20" fillId="4" borderId="123" xfId="0" applyFont="1" applyFill="1" applyBorder="1" applyAlignment="1">
      <alignment horizontal="center" wrapText="1"/>
    </xf>
    <xf numFmtId="0" fontId="19" fillId="4" borderId="155" xfId="0" applyFont="1" applyFill="1" applyBorder="1" applyAlignment="1">
      <alignment horizontal="center"/>
    </xf>
    <xf numFmtId="0" fontId="20" fillId="4" borderId="18" xfId="0" applyFont="1" applyFill="1" applyBorder="1" applyAlignment="1">
      <alignment horizontal="center"/>
    </xf>
    <xf numFmtId="0" fontId="19" fillId="4" borderId="125" xfId="0" applyFont="1" applyFill="1" applyBorder="1" applyAlignment="1">
      <alignment horizontal="center" wrapText="1"/>
    </xf>
    <xf numFmtId="0" fontId="20" fillId="4" borderId="143" xfId="0" applyFont="1" applyFill="1" applyBorder="1" applyAlignment="1">
      <alignment horizontal="center"/>
    </xf>
    <xf numFmtId="165" fontId="19" fillId="4" borderId="25" xfId="1" applyNumberFormat="1" applyFont="1" applyFill="1" applyBorder="1" applyAlignment="1">
      <alignment horizontal="center"/>
    </xf>
    <xf numFmtId="165" fontId="19" fillId="4" borderId="75" xfId="1" applyNumberFormat="1" applyFont="1" applyFill="1" applyBorder="1" applyAlignment="1">
      <alignment horizontal="center"/>
    </xf>
    <xf numFmtId="165" fontId="19" fillId="4" borderId="53" xfId="1" applyNumberFormat="1" applyFont="1" applyFill="1" applyBorder="1" applyAlignment="1">
      <alignment horizontal="center"/>
    </xf>
    <xf numFmtId="43" fontId="19" fillId="0" borderId="0" xfId="0" applyNumberFormat="1" applyFont="1" applyAlignment="1">
      <alignment horizontal="center"/>
    </xf>
    <xf numFmtId="0" fontId="20" fillId="4" borderId="141" xfId="0" applyFont="1" applyFill="1" applyBorder="1" applyAlignment="1">
      <alignment horizontal="center"/>
    </xf>
    <xf numFmtId="165" fontId="19" fillId="4" borderId="28" xfId="1" applyNumberFormat="1" applyFont="1" applyFill="1" applyBorder="1" applyAlignment="1">
      <alignment horizontal="center"/>
    </xf>
    <xf numFmtId="165" fontId="19" fillId="4" borderId="107" xfId="1" applyNumberFormat="1" applyFont="1" applyFill="1" applyBorder="1" applyAlignment="1">
      <alignment horizontal="center"/>
    </xf>
    <xf numFmtId="165" fontId="19" fillId="4" borderId="28" xfId="1" quotePrefix="1" applyNumberFormat="1" applyFont="1" applyFill="1" applyBorder="1" applyAlignment="1">
      <alignment horizontal="center"/>
    </xf>
    <xf numFmtId="165" fontId="19" fillId="4" borderId="54" xfId="1" applyNumberFormat="1" applyFont="1" applyFill="1" applyBorder="1" applyAlignment="1">
      <alignment horizontal="center"/>
    </xf>
    <xf numFmtId="0" fontId="20" fillId="4" borderId="166" xfId="0" applyFont="1" applyFill="1" applyBorder="1" applyAlignment="1">
      <alignment horizontal="center"/>
    </xf>
    <xf numFmtId="0" fontId="20" fillId="4" borderId="152" xfId="0" applyFont="1" applyFill="1" applyBorder="1" applyAlignment="1">
      <alignment horizontal="center"/>
    </xf>
    <xf numFmtId="165" fontId="20" fillId="4" borderId="167" xfId="1" applyNumberFormat="1" applyFont="1" applyFill="1" applyBorder="1" applyAlignment="1">
      <alignment horizontal="center"/>
    </xf>
    <xf numFmtId="165" fontId="20" fillId="4" borderId="168" xfId="1" applyNumberFormat="1" applyFont="1" applyFill="1" applyBorder="1" applyAlignment="1">
      <alignment horizontal="center"/>
    </xf>
    <xf numFmtId="169" fontId="19" fillId="0" borderId="0" xfId="0" applyNumberFormat="1" applyFont="1" applyAlignment="1">
      <alignment horizontal="center"/>
    </xf>
    <xf numFmtId="9" fontId="19" fillId="0" borderId="0" xfId="3" applyFont="1" applyAlignment="1">
      <alignment horizontal="center"/>
    </xf>
    <xf numFmtId="0" fontId="19" fillId="4" borderId="6" xfId="0" applyFont="1" applyFill="1" applyBorder="1" applyAlignment="1">
      <alignment horizontal="center"/>
    </xf>
    <xf numFmtId="0" fontId="20" fillId="4" borderId="123" xfId="0" applyFont="1" applyFill="1" applyBorder="1" applyAlignment="1">
      <alignment horizontal="center"/>
    </xf>
    <xf numFmtId="0" fontId="19" fillId="4" borderId="73" xfId="0" applyFont="1" applyFill="1" applyBorder="1" applyAlignment="1">
      <alignment horizontal="center"/>
    </xf>
    <xf numFmtId="0" fontId="20" fillId="4" borderId="76" xfId="0" applyFont="1" applyFill="1" applyBorder="1" applyAlignment="1">
      <alignment horizontal="center"/>
    </xf>
    <xf numFmtId="165" fontId="19" fillId="4" borderId="44" xfId="1" quotePrefix="1" applyNumberFormat="1" applyFont="1" applyFill="1" applyBorder="1" applyAlignment="1">
      <alignment horizontal="center"/>
    </xf>
    <xf numFmtId="165" fontId="19" fillId="4" borderId="44" xfId="1" applyNumberFormat="1" applyFont="1" applyFill="1" applyBorder="1" applyAlignment="1">
      <alignment horizontal="center"/>
    </xf>
    <xf numFmtId="165" fontId="19" fillId="4" borderId="126" xfId="1" applyNumberFormat="1" applyFont="1" applyFill="1" applyBorder="1" applyAlignment="1">
      <alignment horizontal="center"/>
    </xf>
    <xf numFmtId="0" fontId="20" fillId="4" borderId="150" xfId="0" applyFont="1" applyFill="1" applyBorder="1" applyAlignment="1">
      <alignment horizontal="center"/>
    </xf>
    <xf numFmtId="165" fontId="19" fillId="4" borderId="52" xfId="1" applyNumberFormat="1" applyFont="1" applyFill="1" applyBorder="1" applyAlignment="1">
      <alignment horizontal="center"/>
    </xf>
    <xf numFmtId="165" fontId="19" fillId="4" borderId="106" xfId="1" applyNumberFormat="1" applyFont="1" applyFill="1" applyBorder="1" applyAlignment="1">
      <alignment horizontal="center"/>
    </xf>
    <xf numFmtId="0" fontId="20" fillId="4" borderId="134" xfId="0" applyFont="1" applyFill="1" applyBorder="1" applyAlignment="1">
      <alignment horizontal="center"/>
    </xf>
    <xf numFmtId="0" fontId="20" fillId="4" borderId="92" xfId="0" applyFont="1" applyFill="1" applyBorder="1" applyAlignment="1">
      <alignment horizontal="center"/>
    </xf>
    <xf numFmtId="165" fontId="20" fillId="0" borderId="6" xfId="1" applyNumberFormat="1" applyFont="1" applyFill="1" applyBorder="1" applyAlignment="1">
      <alignment horizontal="center"/>
    </xf>
    <xf numFmtId="165" fontId="20" fillId="4" borderId="169" xfId="1" applyNumberFormat="1" applyFont="1" applyFill="1" applyBorder="1" applyAlignment="1">
      <alignment horizontal="center"/>
    </xf>
    <xf numFmtId="3" fontId="19" fillId="0" borderId="0" xfId="0" applyNumberFormat="1" applyFont="1" applyAlignment="1">
      <alignment horizontal="center"/>
    </xf>
    <xf numFmtId="0" fontId="19" fillId="0" borderId="0" xfId="0" applyFont="1" applyBorder="1" applyAlignment="1">
      <alignment horizontal="center"/>
    </xf>
    <xf numFmtId="9" fontId="19" fillId="0" borderId="0" xfId="3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165" fontId="19" fillId="4" borderId="22" xfId="1" applyNumberFormat="1" applyFont="1" applyFill="1" applyBorder="1" applyAlignment="1">
      <alignment horizontal="center"/>
    </xf>
    <xf numFmtId="165" fontId="19" fillId="0" borderId="0" xfId="0" applyNumberFormat="1" applyFont="1" applyAlignment="1">
      <alignment horizontal="center"/>
    </xf>
    <xf numFmtId="165" fontId="19" fillId="4" borderId="31" xfId="1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9" fontId="5" fillId="2" borderId="0" xfId="3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15" fillId="9" borderId="0" xfId="3" applyNumberFormat="1" applyFont="1" applyFill="1" applyBorder="1" applyAlignment="1">
      <alignment wrapText="1"/>
    </xf>
    <xf numFmtId="164" fontId="15" fillId="9" borderId="0" xfId="3" applyNumberFormat="1" applyFont="1" applyFill="1" applyBorder="1" applyAlignment="1"/>
    <xf numFmtId="0" fontId="16" fillId="0" borderId="2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" fillId="0" borderId="28" xfId="0" applyFont="1" applyBorder="1" applyAlignment="1">
      <alignment horizontal="left"/>
    </xf>
    <xf numFmtId="0" fontId="11" fillId="0" borderId="92" xfId="0" applyFont="1" applyBorder="1" applyAlignment="1">
      <alignment horizontal="right" vertical="center"/>
    </xf>
    <xf numFmtId="0" fontId="11" fillId="0" borderId="92" xfId="0" applyFont="1" applyBorder="1" applyAlignment="1">
      <alignment horizontal="right"/>
    </xf>
    <xf numFmtId="164" fontId="16" fillId="9" borderId="0" xfId="3" applyNumberFormat="1" applyFont="1" applyFill="1" applyBorder="1" applyAlignment="1"/>
    <xf numFmtId="0" fontId="0" fillId="2" borderId="0" xfId="0" applyFill="1" applyAlignment="1">
      <alignment horizontal="left"/>
    </xf>
    <xf numFmtId="0" fontId="15" fillId="0" borderId="0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2" fillId="0" borderId="48" xfId="0" applyFont="1" applyBorder="1" applyAlignment="1">
      <alignment horizontal="right"/>
    </xf>
    <xf numFmtId="0" fontId="2" fillId="0" borderId="118" xfId="0" applyFont="1" applyBorder="1" applyAlignment="1">
      <alignment horizontal="right"/>
    </xf>
    <xf numFmtId="0" fontId="2" fillId="2" borderId="102" xfId="0" applyFont="1" applyFill="1" applyBorder="1" applyAlignment="1">
      <alignment horizontal="center"/>
    </xf>
    <xf numFmtId="3" fontId="0" fillId="0" borderId="0" xfId="0" applyNumberFormat="1"/>
    <xf numFmtId="0" fontId="2" fillId="0" borderId="133" xfId="0" applyFont="1" applyBorder="1" applyAlignment="1">
      <alignment horizontal="right"/>
    </xf>
    <xf numFmtId="9" fontId="5" fillId="0" borderId="15" xfId="3" applyFont="1" applyFill="1" applyBorder="1" applyAlignment="1">
      <alignment horizontal="center"/>
    </xf>
    <xf numFmtId="2" fontId="15" fillId="0" borderId="6" xfId="0" applyNumberFormat="1" applyFont="1" applyBorder="1" applyAlignment="1">
      <alignment horizontal="center"/>
    </xf>
    <xf numFmtId="43" fontId="19" fillId="4" borderId="75" xfId="1" applyNumberFormat="1" applyFont="1" applyFill="1" applyBorder="1" applyAlignment="1">
      <alignment horizontal="center"/>
    </xf>
    <xf numFmtId="0" fontId="0" fillId="2" borderId="170" xfId="0" applyFill="1" applyBorder="1" applyAlignment="1">
      <alignment horizontal="center"/>
    </xf>
    <xf numFmtId="0" fontId="0" fillId="5" borderId="106" xfId="0" applyFill="1" applyBorder="1" applyAlignment="1">
      <alignment horizontal="center"/>
    </xf>
    <xf numFmtId="0" fontId="2" fillId="2" borderId="171" xfId="0" applyFont="1" applyFill="1" applyBorder="1" applyAlignment="1">
      <alignment horizontal="center"/>
    </xf>
    <xf numFmtId="0" fontId="2" fillId="2" borderId="69" xfId="0" applyFont="1" applyFill="1" applyBorder="1" applyAlignment="1">
      <alignment horizontal="center"/>
    </xf>
    <xf numFmtId="0" fontId="6" fillId="2" borderId="94" xfId="0" applyFont="1" applyFill="1" applyBorder="1" applyAlignment="1">
      <alignment horizontal="center"/>
    </xf>
    <xf numFmtId="0" fontId="6" fillId="2" borderId="80" xfId="0" applyFont="1" applyFill="1" applyBorder="1" applyAlignment="1">
      <alignment horizontal="center"/>
    </xf>
    <xf numFmtId="3" fontId="5" fillId="4" borderId="52" xfId="0" applyNumberFormat="1" applyFont="1" applyFill="1" applyBorder="1" applyAlignment="1">
      <alignment horizontal="center"/>
    </xf>
    <xf numFmtId="164" fontId="16" fillId="0" borderId="50" xfId="3" applyNumberFormat="1" applyFont="1" applyFill="1" applyBorder="1" applyAlignment="1">
      <alignment horizontal="right"/>
    </xf>
    <xf numFmtId="0" fontId="15" fillId="0" borderId="161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164" fontId="16" fillId="0" borderId="167" xfId="3" applyNumberFormat="1" applyFont="1" applyFill="1" applyBorder="1" applyAlignment="1">
      <alignment horizontal="right"/>
    </xf>
    <xf numFmtId="1" fontId="2" fillId="3" borderId="67" xfId="0" applyNumberFormat="1" applyFont="1" applyFill="1" applyBorder="1" applyAlignment="1">
      <alignment horizontal="center"/>
    </xf>
    <xf numFmtId="9" fontId="2" fillId="3" borderId="52" xfId="3" applyFont="1" applyFill="1" applyBorder="1" applyAlignment="1">
      <alignment horizontal="center"/>
    </xf>
    <xf numFmtId="0" fontId="0" fillId="0" borderId="0" xfId="0" applyBorder="1"/>
    <xf numFmtId="0" fontId="2" fillId="4" borderId="55" xfId="0" applyFont="1" applyFill="1" applyBorder="1" applyAlignment="1">
      <alignment horizontal="center"/>
    </xf>
    <xf numFmtId="3" fontId="0" fillId="4" borderId="100" xfId="1" applyNumberFormat="1" applyFont="1" applyFill="1" applyBorder="1" applyAlignment="1">
      <alignment horizontal="center"/>
    </xf>
    <xf numFmtId="3" fontId="5" fillId="2" borderId="91" xfId="0" applyNumberFormat="1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applyFont="1" applyFill="1" applyBorder="1" applyAlignment="1">
      <alignment horizontal="center"/>
    </xf>
    <xf numFmtId="3" fontId="5" fillId="8" borderId="0" xfId="0" applyNumberFormat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3" fontId="5" fillId="3" borderId="27" xfId="0" applyNumberFormat="1" applyFont="1" applyFill="1" applyBorder="1" applyAlignment="1">
      <alignment horizontal="center"/>
    </xf>
    <xf numFmtId="3" fontId="5" fillId="3" borderId="54" xfId="0" applyNumberFormat="1" applyFont="1" applyFill="1" applyBorder="1" applyAlignment="1">
      <alignment horizontal="center"/>
    </xf>
    <xf numFmtId="0" fontId="2" fillId="3" borderId="141" xfId="0" applyFont="1" applyFill="1" applyBorder="1" applyAlignment="1">
      <alignment horizontal="right"/>
    </xf>
    <xf numFmtId="169" fontId="0" fillId="0" borderId="53" xfId="0" applyNumberFormat="1" applyBorder="1" applyAlignment="1">
      <alignment horizontal="center"/>
    </xf>
    <xf numFmtId="0" fontId="20" fillId="4" borderId="26" xfId="0" applyFont="1" applyFill="1" applyBorder="1" applyAlignment="1">
      <alignment horizontal="center"/>
    </xf>
    <xf numFmtId="43" fontId="19" fillId="4" borderId="22" xfId="1" applyNumberFormat="1" applyFont="1" applyFill="1" applyBorder="1" applyAlignment="1">
      <alignment horizontal="center"/>
    </xf>
    <xf numFmtId="165" fontId="19" fillId="4" borderId="132" xfId="1" applyNumberFormat="1" applyFont="1" applyFill="1" applyBorder="1" applyAlignment="1">
      <alignment horizontal="center"/>
    </xf>
    <xf numFmtId="0" fontId="20" fillId="4" borderId="172" xfId="0" applyFont="1" applyFill="1" applyBorder="1" applyAlignment="1">
      <alignment horizontal="center"/>
    </xf>
    <xf numFmtId="165" fontId="19" fillId="4" borderId="157" xfId="1" applyNumberFormat="1" applyFont="1" applyFill="1" applyBorder="1" applyAlignment="1">
      <alignment horizontal="center"/>
    </xf>
    <xf numFmtId="165" fontId="19" fillId="4" borderId="50" xfId="1" applyNumberFormat="1" applyFont="1" applyFill="1" applyBorder="1" applyAlignment="1">
      <alignment horizontal="center"/>
    </xf>
    <xf numFmtId="165" fontId="19" fillId="4" borderId="159" xfId="1" applyNumberFormat="1" applyFont="1" applyFill="1" applyBorder="1" applyAlignment="1">
      <alignment horizontal="center"/>
    </xf>
    <xf numFmtId="165" fontId="20" fillId="4" borderId="135" xfId="1" applyNumberFormat="1" applyFont="1" applyFill="1" applyBorder="1" applyAlignment="1">
      <alignment horizontal="center"/>
    </xf>
    <xf numFmtId="9" fontId="19" fillId="0" borderId="6" xfId="3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2" borderId="149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9" fontId="2" fillId="0" borderId="136" xfId="3" applyFont="1" applyBorder="1" applyAlignment="1">
      <alignment horizontal="center"/>
    </xf>
    <xf numFmtId="0" fontId="2" fillId="0" borderId="173" xfId="0" applyFont="1" applyBorder="1" applyAlignment="1">
      <alignment horizontal="center"/>
    </xf>
    <xf numFmtId="0" fontId="2" fillId="5" borderId="173" xfId="0" applyFont="1" applyFill="1" applyBorder="1" applyAlignment="1">
      <alignment horizontal="center"/>
    </xf>
    <xf numFmtId="0" fontId="2" fillId="5" borderId="164" xfId="0" applyFont="1" applyFill="1" applyBorder="1" applyAlignment="1">
      <alignment horizontal="center"/>
    </xf>
    <xf numFmtId="0" fontId="5" fillId="5" borderId="109" xfId="0" applyFont="1" applyFill="1" applyBorder="1" applyAlignment="1">
      <alignment horizontal="center"/>
    </xf>
    <xf numFmtId="0" fontId="5" fillId="5" borderId="90" xfId="0" applyFont="1" applyFill="1" applyBorder="1" applyAlignment="1">
      <alignment horizontal="center"/>
    </xf>
    <xf numFmtId="0" fontId="5" fillId="5" borderId="110" xfId="0" applyFont="1" applyFill="1" applyBorder="1" applyAlignment="1">
      <alignment horizontal="center"/>
    </xf>
    <xf numFmtId="165" fontId="5" fillId="5" borderId="29" xfId="1" applyNumberFormat="1" applyFont="1" applyFill="1" applyBorder="1" applyAlignment="1">
      <alignment horizontal="center"/>
    </xf>
    <xf numFmtId="2" fontId="5" fillId="5" borderId="31" xfId="0" applyNumberFormat="1" applyFont="1" applyFill="1" applyBorder="1" applyAlignment="1">
      <alignment horizontal="center"/>
    </xf>
    <xf numFmtId="43" fontId="2" fillId="0" borderId="0" xfId="1" applyFont="1" applyAlignment="1">
      <alignment horizontal="center"/>
    </xf>
    <xf numFmtId="2" fontId="5" fillId="5" borderId="38" xfId="0" applyNumberFormat="1" applyFont="1" applyFill="1" applyBorder="1" applyAlignment="1">
      <alignment horizontal="center"/>
    </xf>
    <xf numFmtId="165" fontId="5" fillId="5" borderId="36" xfId="1" applyNumberFormat="1" applyFont="1" applyFill="1" applyBorder="1" applyAlignment="1">
      <alignment horizontal="center"/>
    </xf>
    <xf numFmtId="0" fontId="2" fillId="0" borderId="128" xfId="0" applyFont="1" applyBorder="1" applyAlignment="1">
      <alignment horizontal="center"/>
    </xf>
    <xf numFmtId="2" fontId="5" fillId="5" borderId="81" xfId="0" applyNumberFormat="1" applyFont="1" applyFill="1" applyBorder="1" applyAlignment="1">
      <alignment horizontal="center"/>
    </xf>
    <xf numFmtId="164" fontId="5" fillId="5" borderId="75" xfId="0" applyNumberFormat="1" applyFont="1" applyFill="1" applyBorder="1" applyAlignment="1">
      <alignment horizontal="center"/>
    </xf>
    <xf numFmtId="1" fontId="5" fillId="5" borderId="75" xfId="0" applyNumberFormat="1" applyFont="1" applyFill="1" applyBorder="1" applyAlignment="1">
      <alignment horizontal="center"/>
    </xf>
    <xf numFmtId="0" fontId="5" fillId="5" borderId="41" xfId="0" applyFont="1" applyFill="1" applyBorder="1" applyAlignment="1">
      <alignment horizontal="center"/>
    </xf>
    <xf numFmtId="165" fontId="5" fillId="5" borderId="24" xfId="1" applyNumberFormat="1" applyFont="1" applyFill="1" applyBorder="1" applyAlignment="1">
      <alignment horizontal="center"/>
    </xf>
    <xf numFmtId="165" fontId="5" fillId="5" borderId="95" xfId="1" applyNumberFormat="1" applyFont="1" applyFill="1" applyBorder="1" applyAlignment="1">
      <alignment horizontal="center"/>
    </xf>
    <xf numFmtId="165" fontId="5" fillId="5" borderId="174" xfId="1" applyNumberFormat="1" applyFont="1" applyFill="1" applyBorder="1" applyAlignment="1">
      <alignment horizontal="center"/>
    </xf>
    <xf numFmtId="0" fontId="2" fillId="2" borderId="52" xfId="0" applyFont="1" applyFill="1" applyBorder="1" applyAlignment="1">
      <alignment horizontal="center"/>
    </xf>
    <xf numFmtId="165" fontId="5" fillId="3" borderId="54" xfId="0" applyNumberFormat="1" applyFont="1" applyFill="1" applyBorder="1" applyAlignment="1"/>
    <xf numFmtId="165" fontId="5" fillId="3" borderId="133" xfId="1" applyNumberFormat="1" applyFont="1" applyFill="1" applyBorder="1" applyAlignment="1"/>
    <xf numFmtId="165" fontId="5" fillId="3" borderId="126" xfId="0" applyNumberFormat="1" applyFont="1" applyFill="1" applyBorder="1" applyAlignment="1"/>
    <xf numFmtId="0" fontId="5" fillId="3" borderId="25" xfId="0" applyFont="1" applyFill="1" applyBorder="1" applyAlignment="1">
      <alignment horizontal="center"/>
    </xf>
    <xf numFmtId="165" fontId="5" fillId="3" borderId="23" xfId="0" applyNumberFormat="1" applyFont="1" applyFill="1" applyBorder="1" applyAlignment="1"/>
    <xf numFmtId="165" fontId="5" fillId="3" borderId="53" xfId="0" applyNumberFormat="1" applyFont="1" applyFill="1" applyBorder="1" applyAlignment="1"/>
    <xf numFmtId="165" fontId="5" fillId="3" borderId="30" xfId="0" applyNumberFormat="1" applyFont="1" applyFill="1" applyBorder="1" applyAlignment="1"/>
    <xf numFmtId="165" fontId="5" fillId="3" borderId="129" xfId="0" applyNumberFormat="1" applyFont="1" applyFill="1" applyBorder="1" applyAlignment="1"/>
    <xf numFmtId="9" fontId="2" fillId="2" borderId="13" xfId="0" applyNumberFormat="1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63" xfId="0" applyBorder="1"/>
    <xf numFmtId="0" fontId="0" fillId="0" borderId="64" xfId="0" applyBorder="1"/>
    <xf numFmtId="0" fontId="0" fillId="0" borderId="61" xfId="0" applyBorder="1"/>
    <xf numFmtId="0" fontId="2" fillId="0" borderId="131" xfId="0" applyFont="1" applyBorder="1" applyAlignment="1">
      <alignment horizontal="center"/>
    </xf>
    <xf numFmtId="164" fontId="5" fillId="5" borderId="52" xfId="0" applyNumberFormat="1" applyFont="1" applyFill="1" applyBorder="1" applyAlignment="1">
      <alignment horizontal="center"/>
    </xf>
    <xf numFmtId="1" fontId="5" fillId="5" borderId="52" xfId="0" applyNumberFormat="1" applyFont="1" applyFill="1" applyBorder="1" applyAlignment="1">
      <alignment horizontal="center"/>
    </xf>
    <xf numFmtId="164" fontId="5" fillId="5" borderId="67" xfId="0" applyNumberFormat="1" applyFont="1" applyFill="1" applyBorder="1" applyAlignment="1">
      <alignment horizontal="center"/>
    </xf>
    <xf numFmtId="165" fontId="5" fillId="5" borderId="175" xfId="1" applyNumberFormat="1" applyFont="1" applyFill="1" applyBorder="1" applyAlignment="1">
      <alignment horizontal="center"/>
    </xf>
    <xf numFmtId="165" fontId="5" fillId="3" borderId="52" xfId="0" applyNumberFormat="1" applyFont="1" applyFill="1" applyBorder="1" applyAlignment="1"/>
    <xf numFmtId="9" fontId="2" fillId="0" borderId="12" xfId="0" applyNumberFormat="1" applyFont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3" borderId="117" xfId="0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center"/>
    </xf>
    <xf numFmtId="9" fontId="5" fillId="0" borderId="19" xfId="3" applyFont="1" applyFill="1" applyBorder="1" applyAlignment="1">
      <alignment horizontal="center"/>
    </xf>
    <xf numFmtId="0" fontId="2" fillId="0" borderId="123" xfId="0" applyFont="1" applyFill="1" applyBorder="1" applyAlignment="1">
      <alignment horizontal="center"/>
    </xf>
    <xf numFmtId="0" fontId="0" fillId="0" borderId="160" xfId="0" applyBorder="1" applyAlignment="1">
      <alignment horizontal="center"/>
    </xf>
    <xf numFmtId="0" fontId="0" fillId="0" borderId="161" xfId="0" applyBorder="1" applyAlignment="1">
      <alignment horizontal="center"/>
    </xf>
    <xf numFmtId="0" fontId="2" fillId="0" borderId="161" xfId="0" applyFont="1" applyBorder="1" applyAlignment="1">
      <alignment horizontal="center"/>
    </xf>
    <xf numFmtId="0" fontId="2" fillId="0" borderId="176" xfId="0" applyFont="1" applyBorder="1" applyAlignment="1">
      <alignment horizontal="center"/>
    </xf>
    <xf numFmtId="2" fontId="2" fillId="2" borderId="177" xfId="0" applyNumberFormat="1" applyFont="1" applyFill="1" applyBorder="1" applyAlignment="1">
      <alignment horizontal="center"/>
    </xf>
    <xf numFmtId="2" fontId="2" fillId="2" borderId="176" xfId="0" applyNumberFormat="1" applyFont="1" applyFill="1" applyBorder="1" applyAlignment="1">
      <alignment horizontal="center"/>
    </xf>
    <xf numFmtId="0" fontId="2" fillId="0" borderId="163" xfId="0" applyFont="1" applyBorder="1" applyAlignment="1">
      <alignment horizontal="center"/>
    </xf>
    <xf numFmtId="9" fontId="2" fillId="2" borderId="136" xfId="0" applyNumberFormat="1" applyFont="1" applyFill="1" applyBorder="1" applyAlignment="1">
      <alignment horizontal="center"/>
    </xf>
    <xf numFmtId="0" fontId="2" fillId="0" borderId="136" xfId="0" applyFont="1" applyFill="1" applyBorder="1" applyAlignment="1">
      <alignment horizontal="center"/>
    </xf>
    <xf numFmtId="0" fontId="2" fillId="2" borderId="123" xfId="0" applyFont="1" applyFill="1" applyBorder="1" applyAlignment="1">
      <alignment horizontal="center"/>
    </xf>
    <xf numFmtId="0" fontId="2" fillId="2" borderId="125" xfId="0" applyFont="1" applyFill="1" applyBorder="1" applyAlignment="1">
      <alignment horizontal="center"/>
    </xf>
    <xf numFmtId="0" fontId="2" fillId="3" borderId="53" xfId="0" applyFont="1" applyFill="1" applyBorder="1" applyAlignment="1"/>
    <xf numFmtId="165" fontId="5" fillId="3" borderId="106" xfId="0" applyNumberFormat="1" applyFont="1" applyFill="1" applyBorder="1" applyAlignment="1"/>
    <xf numFmtId="0" fontId="2" fillId="3" borderId="66" xfId="0" applyFont="1" applyFill="1" applyBorder="1" applyAlignment="1">
      <alignment horizontal="center"/>
    </xf>
    <xf numFmtId="165" fontId="5" fillId="3" borderId="127" xfId="0" applyNumberFormat="1" applyFont="1" applyFill="1" applyBorder="1" applyAlignment="1"/>
    <xf numFmtId="0" fontId="2" fillId="0" borderId="17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5" fillId="5" borderId="0" xfId="0" applyNumberFormat="1" applyFont="1" applyFill="1" applyBorder="1" applyAlignment="1">
      <alignment horizontal="center"/>
    </xf>
    <xf numFmtId="1" fontId="5" fillId="5" borderId="0" xfId="0" applyNumberFormat="1" applyFont="1" applyFill="1" applyBorder="1" applyAlignment="1">
      <alignment horizontal="center"/>
    </xf>
    <xf numFmtId="165" fontId="5" fillId="5" borderId="0" xfId="1" applyNumberFormat="1" applyFont="1" applyFill="1" applyBorder="1" applyAlignment="1">
      <alignment horizontal="center"/>
    </xf>
    <xf numFmtId="165" fontId="5" fillId="3" borderId="0" xfId="0" applyNumberFormat="1" applyFont="1" applyFill="1" applyBorder="1" applyAlignment="1"/>
    <xf numFmtId="0" fontId="2" fillId="0" borderId="179" xfId="0" applyFont="1" applyBorder="1" applyAlignment="1">
      <alignment horizontal="center"/>
    </xf>
    <xf numFmtId="0" fontId="2" fillId="0" borderId="43" xfId="0" applyFont="1" applyFill="1" applyBorder="1" applyAlignment="1">
      <alignment horizontal="left"/>
    </xf>
    <xf numFmtId="0" fontId="2" fillId="0" borderId="178" xfId="0" applyFont="1" applyFill="1" applyBorder="1" applyAlignment="1">
      <alignment horizontal="left"/>
    </xf>
    <xf numFmtId="0" fontId="0" fillId="0" borderId="68" xfId="0" applyBorder="1"/>
    <xf numFmtId="0" fontId="0" fillId="0" borderId="72" xfId="0" applyBorder="1"/>
    <xf numFmtId="0" fontId="2" fillId="0" borderId="2" xfId="0" applyFont="1" applyBorder="1" applyAlignment="1">
      <alignment horizontal="center" wrapText="1"/>
    </xf>
    <xf numFmtId="0" fontId="2" fillId="0" borderId="74" xfId="0" applyFont="1" applyBorder="1" applyAlignment="1">
      <alignment horizontal="right"/>
    </xf>
    <xf numFmtId="0" fontId="2" fillId="4" borderId="0" xfId="0" applyNumberFormat="1" applyFont="1" applyFill="1" applyBorder="1" applyAlignment="1">
      <alignment horizontal="center"/>
    </xf>
    <xf numFmtId="165" fontId="2" fillId="4" borderId="0" xfId="0" applyNumberFormat="1" applyFont="1" applyFill="1" applyBorder="1" applyAlignment="1">
      <alignment horizontal="center"/>
    </xf>
    <xf numFmtId="0" fontId="0" fillId="4" borderId="61" xfId="0" applyFill="1" applyBorder="1"/>
    <xf numFmtId="0" fontId="0" fillId="4" borderId="0" xfId="0" applyFill="1" applyBorder="1"/>
    <xf numFmtId="0" fontId="2" fillId="4" borderId="0" xfId="0" applyFont="1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174" fontId="2" fillId="0" borderId="0" xfId="0" applyNumberFormat="1" applyFont="1" applyAlignment="1">
      <alignment horizontal="center"/>
    </xf>
    <xf numFmtId="1" fontId="5" fillId="9" borderId="0" xfId="3" applyNumberFormat="1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9" fontId="5" fillId="0" borderId="9" xfId="3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7" fillId="2" borderId="1" xfId="0" applyFont="1" applyFill="1" applyBorder="1" applyAlignment="1"/>
    <xf numFmtId="0" fontId="7" fillId="2" borderId="2" xfId="0" applyFont="1" applyFill="1" applyBorder="1" applyAlignment="1"/>
    <xf numFmtId="0" fontId="5" fillId="0" borderId="6" xfId="0" applyFont="1" applyBorder="1" applyAlignment="1">
      <alignment horizontal="center"/>
    </xf>
    <xf numFmtId="0" fontId="11" fillId="2" borderId="78" xfId="0" applyFont="1" applyFill="1" applyBorder="1" applyAlignment="1"/>
    <xf numFmtId="0" fontId="5" fillId="0" borderId="60" xfId="0" applyFont="1" applyBorder="1" applyAlignment="1">
      <alignment horizontal="center"/>
    </xf>
    <xf numFmtId="0" fontId="2" fillId="0" borderId="107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106" xfId="0" applyFont="1" applyFill="1" applyBorder="1" applyAlignment="1">
      <alignment horizontal="center"/>
    </xf>
    <xf numFmtId="0" fontId="0" fillId="0" borderId="180" xfId="0" applyBorder="1" applyAlignment="1">
      <alignment horizontal="center"/>
    </xf>
    <xf numFmtId="0" fontId="0" fillId="0" borderId="181" xfId="0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9" fontId="2" fillId="3" borderId="0" xfId="3" applyFont="1" applyFill="1" applyBorder="1" applyAlignment="1">
      <alignment horizontal="center"/>
    </xf>
    <xf numFmtId="0" fontId="0" fillId="0" borderId="144" xfId="0" applyBorder="1"/>
    <xf numFmtId="0" fontId="11" fillId="0" borderId="86" xfId="0" applyFont="1" applyBorder="1" applyAlignment="1">
      <alignment horizontal="left"/>
    </xf>
    <xf numFmtId="164" fontId="0" fillId="4" borderId="31" xfId="0" applyNumberFormat="1" applyFill="1" applyBorder="1" applyAlignment="1">
      <alignment horizontal="center"/>
    </xf>
    <xf numFmtId="0" fontId="19" fillId="4" borderId="54" xfId="0" applyFont="1" applyFill="1" applyBorder="1" applyAlignment="1">
      <alignment horizontal="center"/>
    </xf>
    <xf numFmtId="3" fontId="5" fillId="4" borderId="28" xfId="0" applyNumberFormat="1" applyFont="1" applyFill="1" applyBorder="1" applyAlignment="1">
      <alignment horizontal="center" wrapText="1"/>
    </xf>
    <xf numFmtId="0" fontId="5" fillId="0" borderId="61" xfId="0" applyFont="1" applyBorder="1" applyAlignment="1">
      <alignment horizontal="center"/>
    </xf>
    <xf numFmtId="0" fontId="2" fillId="0" borderId="126" xfId="0" applyFont="1" applyFill="1" applyBorder="1" applyAlignment="1">
      <alignment horizontal="center"/>
    </xf>
    <xf numFmtId="0" fontId="2" fillId="0" borderId="137" xfId="0" applyFont="1" applyFill="1" applyBorder="1" applyAlignment="1">
      <alignment horizontal="center"/>
    </xf>
    <xf numFmtId="0" fontId="2" fillId="0" borderId="108" xfId="0" applyFont="1" applyBorder="1" applyAlignment="1">
      <alignment horizontal="center"/>
    </xf>
    <xf numFmtId="0" fontId="0" fillId="3" borderId="90" xfId="0" applyFill="1" applyBorder="1"/>
    <xf numFmtId="0" fontId="0" fillId="3" borderId="91" xfId="0" applyFill="1" applyBorder="1"/>
    <xf numFmtId="0" fontId="0" fillId="3" borderId="52" xfId="0" applyFill="1" applyBorder="1"/>
    <xf numFmtId="0" fontId="0" fillId="3" borderId="106" xfId="0" applyFill="1" applyBorder="1"/>
    <xf numFmtId="0" fontId="0" fillId="3" borderId="109" xfId="0" applyFill="1" applyBorder="1"/>
    <xf numFmtId="0" fontId="0" fillId="3" borderId="67" xfId="0" applyFill="1" applyBorder="1"/>
    <xf numFmtId="0" fontId="22" fillId="2" borderId="0" xfId="0" applyFont="1" applyFill="1" applyBorder="1" applyAlignment="1"/>
    <xf numFmtId="0" fontId="7" fillId="2" borderId="5" xfId="0" applyFont="1" applyFill="1" applyBorder="1" applyAlignment="1"/>
    <xf numFmtId="0" fontId="7" fillId="2" borderId="61" xfId="0" applyFont="1" applyFill="1" applyBorder="1" applyAlignment="1">
      <alignment horizontal="left"/>
    </xf>
    <xf numFmtId="0" fontId="5" fillId="0" borderId="9" xfId="0" applyFont="1" applyBorder="1" applyAlignment="1">
      <alignment horizontal="center"/>
    </xf>
    <xf numFmtId="0" fontId="5" fillId="2" borderId="171" xfId="0" applyFont="1" applyFill="1" applyBorder="1" applyAlignment="1">
      <alignment horizontal="center"/>
    </xf>
    <xf numFmtId="0" fontId="11" fillId="2" borderId="78" xfId="0" applyFont="1" applyFill="1" applyBorder="1" applyAlignment="1">
      <alignment horizontal="left"/>
    </xf>
    <xf numFmtId="0" fontId="7" fillId="2" borderId="58" xfId="0" applyFont="1" applyFill="1" applyBorder="1" applyAlignment="1">
      <alignment horizontal="left"/>
    </xf>
    <xf numFmtId="0" fontId="7" fillId="2" borderId="14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2" fillId="2" borderId="145" xfId="0" applyFont="1" applyFill="1" applyBorder="1" applyAlignment="1"/>
    <xf numFmtId="0" fontId="2" fillId="9" borderId="179" xfId="0" applyFont="1" applyFill="1" applyBorder="1" applyAlignment="1">
      <alignment horizontal="center"/>
    </xf>
    <xf numFmtId="1" fontId="5" fillId="9" borderId="10" xfId="3" applyNumberFormat="1" applyFont="1" applyFill="1" applyBorder="1" applyAlignment="1">
      <alignment horizontal="center"/>
    </xf>
    <xf numFmtId="9" fontId="2" fillId="0" borderId="26" xfId="3" applyFont="1" applyBorder="1" applyAlignment="1">
      <alignment horizontal="center"/>
    </xf>
    <xf numFmtId="0" fontId="22" fillId="0" borderId="58" xfId="0" applyFont="1" applyFill="1" applyBorder="1" applyAlignment="1"/>
    <xf numFmtId="0" fontId="22" fillId="0" borderId="59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0" borderId="61" xfId="0" applyFont="1" applyFill="1" applyBorder="1" applyAlignment="1">
      <alignment horizontal="center"/>
    </xf>
    <xf numFmtId="1" fontId="5" fillId="0" borderId="0" xfId="3" applyNumberFormat="1" applyFont="1" applyFill="1" applyBorder="1" applyAlignment="1">
      <alignment horizontal="center"/>
    </xf>
    <xf numFmtId="1" fontId="5" fillId="0" borderId="61" xfId="3" applyNumberFormat="1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0" fillId="0" borderId="63" xfId="0" applyFill="1" applyBorder="1"/>
    <xf numFmtId="0" fontId="0" fillId="0" borderId="64" xfId="0" applyFill="1" applyBorder="1"/>
    <xf numFmtId="9" fontId="5" fillId="0" borderId="0" xfId="3" applyFont="1" applyFill="1" applyBorder="1" applyAlignment="1">
      <alignment horizontal="right"/>
    </xf>
    <xf numFmtId="0" fontId="2" fillId="0" borderId="121" xfId="0" applyFont="1" applyBorder="1" applyAlignment="1">
      <alignment horizontal="right"/>
    </xf>
    <xf numFmtId="0" fontId="2" fillId="0" borderId="172" xfId="0" applyFont="1" applyBorder="1" applyAlignment="1">
      <alignment horizontal="right"/>
    </xf>
    <xf numFmtId="0" fontId="2" fillId="0" borderId="26" xfId="0" applyFont="1" applyBorder="1" applyAlignment="1">
      <alignment horizontal="right"/>
    </xf>
    <xf numFmtId="0" fontId="9" fillId="9" borderId="106" xfId="0" applyFont="1" applyFill="1" applyBorder="1" applyAlignment="1">
      <alignment horizontal="center" wrapText="1"/>
    </xf>
    <xf numFmtId="0" fontId="0" fillId="4" borderId="61" xfId="0" applyNumberFormat="1" applyFill="1" applyBorder="1"/>
    <xf numFmtId="0" fontId="2" fillId="0" borderId="51" xfId="0" applyFont="1" applyFill="1" applyBorder="1" applyAlignment="1">
      <alignment horizontal="center"/>
    </xf>
    <xf numFmtId="0" fontId="22" fillId="2" borderId="61" xfId="0" applyFont="1" applyFill="1" applyBorder="1" applyAlignment="1"/>
    <xf numFmtId="0" fontId="22" fillId="2" borderId="60" xfId="0" applyFont="1" applyFill="1" applyBorder="1" applyAlignment="1"/>
    <xf numFmtId="0" fontId="5" fillId="0" borderId="60" xfId="0" applyFont="1" applyBorder="1" applyAlignment="1">
      <alignment horizontal="left"/>
    </xf>
    <xf numFmtId="9" fontId="5" fillId="0" borderId="26" xfId="3" applyFont="1" applyBorder="1" applyAlignment="1">
      <alignment horizontal="center"/>
    </xf>
    <xf numFmtId="0" fontId="2" fillId="0" borderId="145" xfId="0" applyFont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11" fillId="0" borderId="60" xfId="0" applyFont="1" applyBorder="1" applyAlignment="1">
      <alignment horizontal="center"/>
    </xf>
    <xf numFmtId="165" fontId="2" fillId="0" borderId="44" xfId="1" applyNumberFormat="1" applyFont="1" applyFill="1" applyBorder="1" applyAlignment="1">
      <alignment horizontal="center"/>
    </xf>
    <xf numFmtId="9" fontId="5" fillId="0" borderId="0" xfId="3" applyFont="1" applyBorder="1" applyAlignment="1">
      <alignment horizontal="center"/>
    </xf>
    <xf numFmtId="2" fontId="5" fillId="11" borderId="0" xfId="0" applyNumberFormat="1" applyFont="1" applyFill="1" applyBorder="1" applyAlignment="1">
      <alignment horizontal="center"/>
    </xf>
    <xf numFmtId="2" fontId="0" fillId="11" borderId="0" xfId="0" applyNumberForma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" fillId="7" borderId="0" xfId="0" applyFont="1" applyFill="1" applyBorder="1"/>
    <xf numFmtId="0" fontId="2" fillId="0" borderId="99" xfId="0" applyFont="1" applyFill="1" applyBorder="1" applyAlignment="1">
      <alignment horizontal="center"/>
    </xf>
    <xf numFmtId="0" fontId="2" fillId="0" borderId="96" xfId="0" applyFont="1" applyFill="1" applyBorder="1" applyAlignment="1">
      <alignment horizontal="center"/>
    </xf>
    <xf numFmtId="0" fontId="2" fillId="0" borderId="100" xfId="0" applyFont="1" applyFill="1" applyBorder="1" applyAlignment="1">
      <alignment horizontal="center"/>
    </xf>
    <xf numFmtId="0" fontId="0" fillId="0" borderId="1" xfId="0" applyBorder="1"/>
    <xf numFmtId="0" fontId="16" fillId="0" borderId="179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0" borderId="7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6" fillId="0" borderId="125" xfId="0" applyFont="1" applyBorder="1" applyAlignment="1">
      <alignment horizontal="center" wrapText="1"/>
    </xf>
    <xf numFmtId="172" fontId="18" fillId="4" borderId="25" xfId="3" applyNumberFormat="1" applyFont="1" applyFill="1" applyBorder="1" applyAlignment="1">
      <alignment horizontal="center"/>
    </xf>
    <xf numFmtId="172" fontId="18" fillId="4" borderId="22" xfId="3" applyNumberFormat="1" applyFont="1" applyFill="1" applyBorder="1" applyAlignment="1">
      <alignment horizontal="center"/>
    </xf>
    <xf numFmtId="172" fontId="18" fillId="4" borderId="53" xfId="3" applyNumberFormat="1" applyFont="1" applyFill="1" applyBorder="1" applyAlignment="1">
      <alignment horizontal="center"/>
    </xf>
    <xf numFmtId="172" fontId="18" fillId="4" borderId="31" xfId="3" applyNumberFormat="1" applyFont="1" applyFill="1" applyBorder="1" applyAlignment="1">
      <alignment horizontal="center"/>
    </xf>
    <xf numFmtId="172" fontId="18" fillId="4" borderId="28" xfId="3" applyNumberFormat="1" applyFont="1" applyFill="1" applyBorder="1" applyAlignment="1">
      <alignment horizontal="center"/>
    </xf>
    <xf numFmtId="172" fontId="18" fillId="4" borderId="54" xfId="3" applyNumberFormat="1" applyFont="1" applyFill="1" applyBorder="1" applyAlignment="1">
      <alignment horizontal="center"/>
    </xf>
    <xf numFmtId="172" fontId="18" fillId="4" borderId="67" xfId="3" applyNumberFormat="1" applyFont="1" applyFill="1" applyBorder="1" applyAlignment="1">
      <alignment horizontal="center"/>
    </xf>
    <xf numFmtId="172" fontId="18" fillId="4" borderId="52" xfId="3" applyNumberFormat="1" applyFont="1" applyFill="1" applyBorder="1" applyAlignment="1">
      <alignment horizontal="center"/>
    </xf>
    <xf numFmtId="172" fontId="18" fillId="4" borderId="106" xfId="3" applyNumberFormat="1" applyFont="1" applyFill="1" applyBorder="1" applyAlignment="1">
      <alignment horizontal="center"/>
    </xf>
    <xf numFmtId="172" fontId="0" fillId="4" borderId="182" xfId="0" applyNumberFormat="1" applyFill="1" applyBorder="1" applyAlignment="1">
      <alignment horizontal="center"/>
    </xf>
    <xf numFmtId="164" fontId="0" fillId="4" borderId="183" xfId="0" applyNumberFormat="1" applyFill="1" applyBorder="1" applyAlignment="1">
      <alignment horizontal="center"/>
    </xf>
    <xf numFmtId="164" fontId="0" fillId="4" borderId="169" xfId="0" applyNumberFormat="1" applyFill="1" applyBorder="1" applyAlignment="1">
      <alignment horizontal="center"/>
    </xf>
    <xf numFmtId="0" fontId="2" fillId="0" borderId="184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185" xfId="0" applyFont="1" applyBorder="1" applyAlignment="1">
      <alignment horizontal="left"/>
    </xf>
    <xf numFmtId="0" fontId="0" fillId="2" borderId="39" xfId="0" applyFill="1" applyBorder="1" applyAlignment="1">
      <alignment horizontal="center"/>
    </xf>
    <xf numFmtId="10" fontId="0" fillId="2" borderId="29" xfId="3" applyNumberFormat="1" applyFont="1" applyFill="1" applyBorder="1" applyAlignment="1">
      <alignment horizontal="center"/>
    </xf>
    <xf numFmtId="0" fontId="2" fillId="0" borderId="186" xfId="0" applyFont="1" applyBorder="1" applyAlignment="1">
      <alignment horizontal="center"/>
    </xf>
    <xf numFmtId="0" fontId="2" fillId="0" borderId="187" xfId="0" applyFont="1" applyBorder="1" applyAlignment="1">
      <alignment horizontal="left"/>
    </xf>
    <xf numFmtId="0" fontId="5" fillId="12" borderId="66" xfId="0" applyFont="1" applyFill="1" applyBorder="1" applyAlignment="1">
      <alignment horizontal="center"/>
    </xf>
    <xf numFmtId="39" fontId="2" fillId="2" borderId="0" xfId="0" applyNumberFormat="1" applyFont="1" applyFill="1" applyAlignment="1">
      <alignment horizontal="center"/>
    </xf>
    <xf numFmtId="39" fontId="0" fillId="0" borderId="0" xfId="0" applyNumberFormat="1" applyFill="1" applyAlignment="1">
      <alignment horizontal="center"/>
    </xf>
    <xf numFmtId="39" fontId="5" fillId="3" borderId="28" xfId="1" applyNumberFormat="1" applyFont="1" applyFill="1" applyBorder="1" applyAlignment="1">
      <alignment horizontal="center"/>
    </xf>
    <xf numFmtId="10" fontId="2" fillId="2" borderId="31" xfId="3" applyNumberFormat="1" applyFont="1" applyFill="1" applyBorder="1" applyAlignment="1">
      <alignment horizontal="center"/>
    </xf>
    <xf numFmtId="2" fontId="2" fillId="4" borderId="107" xfId="0" applyNumberFormat="1" applyFont="1" applyFill="1" applyBorder="1" applyAlignment="1">
      <alignment horizontal="center"/>
    </xf>
    <xf numFmtId="172" fontId="5" fillId="4" borderId="28" xfId="0" applyNumberFormat="1" applyFont="1" applyFill="1" applyBorder="1" applyAlignment="1">
      <alignment horizontal="center"/>
    </xf>
    <xf numFmtId="4" fontId="5" fillId="4" borderId="54" xfId="0" applyNumberFormat="1" applyFont="1" applyFill="1" applyBorder="1" applyAlignment="1">
      <alignment horizontal="center" wrapText="1"/>
    </xf>
    <xf numFmtId="4" fontId="5" fillId="4" borderId="54" xfId="0" applyNumberFormat="1" applyFont="1" applyFill="1" applyBorder="1" applyAlignment="1">
      <alignment horizontal="center"/>
    </xf>
    <xf numFmtId="172" fontId="5" fillId="4" borderId="28" xfId="0" applyNumberFormat="1" applyFont="1" applyFill="1" applyBorder="1" applyAlignment="1">
      <alignment horizontal="center" wrapText="1"/>
    </xf>
    <xf numFmtId="4" fontId="0" fillId="2" borderId="0" xfId="0" applyNumberFormat="1" applyFill="1" applyAlignment="1">
      <alignment horizontal="center"/>
    </xf>
    <xf numFmtId="0" fontId="0" fillId="12" borderId="106" xfId="0" applyFill="1" applyBorder="1" applyAlignment="1">
      <alignment horizontal="center"/>
    </xf>
    <xf numFmtId="4" fontId="5" fillId="3" borderId="28" xfId="0" applyNumberFormat="1" applyFont="1" applyFill="1" applyBorder="1" applyAlignment="1">
      <alignment horizontal="center"/>
    </xf>
    <xf numFmtId="4" fontId="0" fillId="2" borderId="0" xfId="0" applyNumberFormat="1" applyFill="1" applyBorder="1" applyAlignment="1">
      <alignment horizontal="center"/>
    </xf>
    <xf numFmtId="0" fontId="2" fillId="2" borderId="82" xfId="0" applyFont="1" applyFill="1" applyBorder="1" applyAlignment="1">
      <alignment horizontal="center" wrapText="1"/>
    </xf>
    <xf numFmtId="0" fontId="2" fillId="0" borderId="68" xfId="0" applyFont="1" applyBorder="1" applyAlignment="1">
      <alignment horizontal="center" wrapText="1"/>
    </xf>
    <xf numFmtId="0" fontId="2" fillId="3" borderId="186" xfId="0" applyFont="1" applyFill="1" applyBorder="1" applyAlignment="1">
      <alignment horizontal="right"/>
    </xf>
    <xf numFmtId="3" fontId="0" fillId="3" borderId="38" xfId="0" applyNumberFormat="1" applyFill="1" applyBorder="1" applyAlignment="1">
      <alignment horizontal="center"/>
    </xf>
    <xf numFmtId="3" fontId="0" fillId="3" borderId="35" xfId="0" applyNumberFormat="1" applyFill="1" applyBorder="1" applyAlignment="1">
      <alignment horizontal="center"/>
    </xf>
    <xf numFmtId="169" fontId="0" fillId="0" borderId="36" xfId="0" applyNumberFormat="1" applyBorder="1" applyAlignment="1">
      <alignment horizontal="center"/>
    </xf>
    <xf numFmtId="3" fontId="0" fillId="3" borderId="135" xfId="0" applyNumberFormat="1" applyFill="1" applyBorder="1" applyAlignment="1">
      <alignment horizontal="center"/>
    </xf>
    <xf numFmtId="3" fontId="0" fillId="3" borderId="167" xfId="0" applyNumberFormat="1" applyFill="1" applyBorder="1" applyAlignment="1">
      <alignment horizontal="center"/>
    </xf>
    <xf numFmtId="0" fontId="2" fillId="13" borderId="62" xfId="0" applyFont="1" applyFill="1" applyBorder="1" applyAlignment="1">
      <alignment horizontal="right"/>
    </xf>
    <xf numFmtId="0" fontId="2" fillId="3" borderId="76" xfId="0" applyFont="1" applyFill="1" applyBorder="1" applyAlignment="1">
      <alignment horizontal="right"/>
    </xf>
    <xf numFmtId="169" fontId="0" fillId="0" borderId="34" xfId="0" applyNumberFormat="1" applyBorder="1" applyAlignment="1">
      <alignment horizontal="center"/>
    </xf>
    <xf numFmtId="181" fontId="15" fillId="0" borderId="0" xfId="3" applyNumberFormat="1" applyFont="1"/>
    <xf numFmtId="183" fontId="15" fillId="0" borderId="0" xfId="3" applyNumberFormat="1" applyFont="1"/>
    <xf numFmtId="2" fontId="2" fillId="3" borderId="154" xfId="3" applyNumberFormat="1" applyFont="1" applyFill="1" applyBorder="1" applyAlignment="1">
      <alignment horizontal="center"/>
    </xf>
    <xf numFmtId="0" fontId="2" fillId="0" borderId="188" xfId="0" applyFont="1" applyBorder="1" applyAlignment="1">
      <alignment horizontal="center"/>
    </xf>
    <xf numFmtId="175" fontId="2" fillId="2" borderId="6" xfId="3" applyNumberFormat="1" applyFon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81" fontId="19" fillId="0" borderId="0" xfId="3" applyNumberFormat="1" applyFont="1" applyAlignment="1">
      <alignment horizontal="center"/>
    </xf>
    <xf numFmtId="180" fontId="2" fillId="2" borderId="6" xfId="3" applyNumberFormat="1" applyFont="1" applyFill="1" applyBorder="1" applyAlignment="1">
      <alignment horizontal="center"/>
    </xf>
    <xf numFmtId="182" fontId="2" fillId="2" borderId="6" xfId="3" applyNumberFormat="1" applyFont="1" applyFill="1" applyBorder="1" applyAlignment="1">
      <alignment horizontal="center"/>
    </xf>
    <xf numFmtId="187" fontId="19" fillId="0" borderId="0" xfId="0" applyNumberFormat="1" applyFont="1" applyAlignment="1">
      <alignment horizontal="center"/>
    </xf>
    <xf numFmtId="184" fontId="0" fillId="2" borderId="0" xfId="0" applyNumberFormat="1" applyFill="1" applyBorder="1" applyAlignment="1">
      <alignment horizontal="center"/>
    </xf>
    <xf numFmtId="188" fontId="0" fillId="2" borderId="0" xfId="0" applyNumberFormat="1" applyFill="1" applyBorder="1" applyAlignment="1">
      <alignment horizontal="center"/>
    </xf>
    <xf numFmtId="0" fontId="19" fillId="0" borderId="60" xfId="2" applyFont="1" applyFill="1" applyBorder="1" applyAlignment="1" applyProtection="1">
      <alignment horizontal="center"/>
    </xf>
    <xf numFmtId="0" fontId="20" fillId="4" borderId="55" xfId="0" applyFont="1" applyFill="1" applyBorder="1" applyAlignment="1">
      <alignment horizontal="center"/>
    </xf>
    <xf numFmtId="0" fontId="19" fillId="4" borderId="121" xfId="0" applyFont="1" applyFill="1" applyBorder="1" applyAlignment="1">
      <alignment horizontal="center"/>
    </xf>
    <xf numFmtId="175" fontId="2" fillId="2" borderId="0" xfId="3" applyNumberFormat="1" applyFont="1" applyFill="1" applyBorder="1" applyAlignment="1">
      <alignment horizontal="center"/>
    </xf>
    <xf numFmtId="175" fontId="0" fillId="2" borderId="0" xfId="0" applyNumberFormat="1" applyFill="1" applyAlignment="1">
      <alignment horizontal="center"/>
    </xf>
    <xf numFmtId="175" fontId="0" fillId="2" borderId="0" xfId="0" applyNumberFormat="1" applyFill="1" applyBorder="1" applyAlignment="1">
      <alignment horizontal="center"/>
    </xf>
    <xf numFmtId="185" fontId="0" fillId="2" borderId="0" xfId="0" applyNumberFormat="1" applyFill="1" applyAlignment="1">
      <alignment horizontal="center"/>
    </xf>
    <xf numFmtId="186" fontId="0" fillId="2" borderId="0" xfId="0" applyNumberFormat="1" applyFill="1" applyAlignment="1">
      <alignment horizontal="center"/>
    </xf>
    <xf numFmtId="189" fontId="0" fillId="2" borderId="0" xfId="0" applyNumberFormat="1" applyFill="1" applyAlignment="1">
      <alignment horizontal="center"/>
    </xf>
    <xf numFmtId="190" fontId="0" fillId="2" borderId="0" xfId="0" applyNumberFormat="1" applyFill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179" fontId="5" fillId="0" borderId="0" xfId="0" applyNumberFormat="1" applyFont="1" applyBorder="1" applyAlignment="1">
      <alignment horizontal="center"/>
    </xf>
    <xf numFmtId="197" fontId="5" fillId="0" borderId="0" xfId="0" applyNumberFormat="1" applyFont="1" applyBorder="1" applyAlignment="1">
      <alignment horizontal="center"/>
    </xf>
    <xf numFmtId="177" fontId="0" fillId="0" borderId="0" xfId="0" applyNumberFormat="1" applyAlignment="1">
      <alignment horizontal="center"/>
    </xf>
    <xf numFmtId="198" fontId="5" fillId="0" borderId="0" xfId="0" applyNumberFormat="1" applyFont="1" applyBorder="1" applyAlignment="1">
      <alignment horizontal="center"/>
    </xf>
    <xf numFmtId="200" fontId="5" fillId="0" borderId="0" xfId="0" applyNumberFormat="1" applyFont="1" applyBorder="1" applyAlignment="1">
      <alignment horizontal="center"/>
    </xf>
    <xf numFmtId="200" fontId="2" fillId="0" borderId="0" xfId="0" applyNumberFormat="1" applyFont="1" applyAlignment="1">
      <alignment horizontal="center"/>
    </xf>
    <xf numFmtId="196" fontId="5" fillId="0" borderId="0" xfId="3" applyNumberFormat="1" applyFont="1" applyBorder="1" applyAlignment="1">
      <alignment horizontal="center"/>
    </xf>
    <xf numFmtId="195" fontId="19" fillId="0" borderId="0" xfId="3" applyNumberFormat="1" applyFont="1" applyBorder="1" applyAlignment="1">
      <alignment horizontal="center"/>
    </xf>
    <xf numFmtId="191" fontId="0" fillId="2" borderId="0" xfId="0" applyNumberFormat="1" applyFill="1" applyBorder="1" applyAlignment="1">
      <alignment horizontal="center"/>
    </xf>
    <xf numFmtId="176" fontId="0" fillId="0" borderId="0" xfId="0" applyNumberFormat="1" applyFill="1" applyBorder="1" applyAlignment="1">
      <alignment horizontal="center"/>
    </xf>
    <xf numFmtId="201" fontId="5" fillId="0" borderId="0" xfId="0" applyNumberFormat="1" applyFont="1" applyBorder="1" applyAlignment="1">
      <alignment horizontal="center"/>
    </xf>
    <xf numFmtId="195" fontId="0" fillId="2" borderId="0" xfId="0" applyNumberFormat="1" applyFill="1" applyAlignment="1">
      <alignment horizontal="center"/>
    </xf>
    <xf numFmtId="175" fontId="19" fillId="0" borderId="0" xfId="3" applyNumberFormat="1" applyFont="1" applyAlignment="1">
      <alignment horizontal="center"/>
    </xf>
    <xf numFmtId="192" fontId="19" fillId="0" borderId="0" xfId="3" applyNumberFormat="1" applyFont="1" applyAlignment="1">
      <alignment horizontal="center"/>
    </xf>
    <xf numFmtId="193" fontId="19" fillId="0" borderId="0" xfId="3" applyNumberFormat="1" applyFont="1" applyAlignment="1">
      <alignment horizontal="center"/>
    </xf>
    <xf numFmtId="202" fontId="19" fillId="0" borderId="0" xfId="0" applyNumberFormat="1" applyFont="1" applyAlignment="1">
      <alignment horizontal="center" wrapText="1"/>
    </xf>
    <xf numFmtId="194" fontId="19" fillId="0" borderId="0" xfId="3" applyNumberFormat="1" applyFont="1" applyAlignment="1">
      <alignment horizontal="center" wrapText="1"/>
    </xf>
    <xf numFmtId="202" fontId="19" fillId="0" borderId="0" xfId="0" applyNumberFormat="1" applyFont="1" applyAlignment="1">
      <alignment horizontal="center"/>
    </xf>
    <xf numFmtId="203" fontId="0" fillId="2" borderId="0" xfId="0" applyNumberFormat="1" applyFill="1" applyAlignment="1">
      <alignment horizontal="center"/>
    </xf>
    <xf numFmtId="205" fontId="2" fillId="2" borderId="6" xfId="3" applyNumberFormat="1" applyFont="1" applyFill="1" applyBorder="1" applyAlignment="1">
      <alignment horizontal="center"/>
    </xf>
    <xf numFmtId="188" fontId="19" fillId="0" borderId="0" xfId="0" applyNumberFormat="1" applyFont="1" applyAlignment="1">
      <alignment horizontal="center"/>
    </xf>
    <xf numFmtId="195" fontId="0" fillId="2" borderId="0" xfId="3" applyNumberFormat="1" applyFont="1" applyFill="1" applyAlignment="1">
      <alignment horizontal="center"/>
    </xf>
    <xf numFmtId="199" fontId="19" fillId="0" borderId="0" xfId="3" applyNumberFormat="1" applyFont="1" applyAlignment="1">
      <alignment horizontal="center"/>
    </xf>
    <xf numFmtId="199" fontId="19" fillId="0" borderId="0" xfId="0" applyNumberFormat="1" applyFont="1" applyAlignment="1">
      <alignment horizontal="center"/>
    </xf>
    <xf numFmtId="165" fontId="5" fillId="5" borderId="189" xfId="1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165" fontId="5" fillId="3" borderId="23" xfId="1" applyNumberFormat="1" applyFont="1" applyFill="1" applyBorder="1" applyAlignment="1"/>
    <xf numFmtId="164" fontId="2" fillId="12" borderId="41" xfId="3" applyNumberFormat="1" applyFont="1" applyFill="1" applyBorder="1" applyAlignment="1">
      <alignment horizontal="center"/>
    </xf>
    <xf numFmtId="164" fontId="2" fillId="3" borderId="28" xfId="0" applyNumberFormat="1" applyFont="1" applyFill="1" applyBorder="1" applyAlignment="1">
      <alignment horizontal="center"/>
    </xf>
    <xf numFmtId="176" fontId="19" fillId="0" borderId="0" xfId="0" applyNumberFormat="1" applyFont="1" applyAlignment="1">
      <alignment horizontal="center"/>
    </xf>
    <xf numFmtId="43" fontId="19" fillId="4" borderId="107" xfId="1" applyNumberFormat="1" applyFont="1" applyFill="1" applyBorder="1" applyAlignment="1">
      <alignment horizontal="center"/>
    </xf>
    <xf numFmtId="43" fontId="19" fillId="4" borderId="54" xfId="1" applyNumberFormat="1" applyFont="1" applyFill="1" applyBorder="1" applyAlignment="1">
      <alignment horizontal="center"/>
    </xf>
    <xf numFmtId="204" fontId="2" fillId="4" borderId="0" xfId="0" applyNumberFormat="1" applyFont="1" applyFill="1" applyBorder="1" applyAlignment="1">
      <alignment horizontal="center"/>
    </xf>
    <xf numFmtId="179" fontId="2" fillId="0" borderId="0" xfId="3" applyNumberFormat="1" applyFont="1" applyAlignment="1">
      <alignment horizontal="center"/>
    </xf>
    <xf numFmtId="0" fontId="2" fillId="2" borderId="185" xfId="0" applyFont="1" applyFill="1" applyBorder="1" applyAlignment="1">
      <alignment horizontal="center"/>
    </xf>
    <xf numFmtId="179" fontId="19" fillId="0" borderId="6" xfId="3" applyNumberFormat="1" applyFont="1" applyBorder="1" applyAlignment="1">
      <alignment horizontal="center"/>
    </xf>
    <xf numFmtId="194" fontId="19" fillId="0" borderId="0" xfId="3" applyNumberFormat="1" applyFont="1" applyAlignment="1">
      <alignment horizontal="center"/>
    </xf>
    <xf numFmtId="169" fontId="15" fillId="0" borderId="15" xfId="0" applyNumberFormat="1" applyFont="1" applyBorder="1" applyAlignment="1">
      <alignment horizontal="center"/>
    </xf>
    <xf numFmtId="169" fontId="15" fillId="0" borderId="13" xfId="0" applyNumberFormat="1" applyFont="1" applyBorder="1" applyAlignment="1">
      <alignment horizontal="center"/>
    </xf>
    <xf numFmtId="169" fontId="15" fillId="0" borderId="123" xfId="0" applyNumberFormat="1" applyFont="1" applyBorder="1" applyAlignment="1">
      <alignment horizontal="center"/>
    </xf>
    <xf numFmtId="164" fontId="18" fillId="5" borderId="28" xfId="3" applyNumberFormat="1" applyFont="1" applyFill="1" applyBorder="1" applyAlignment="1">
      <alignment horizontal="center"/>
    </xf>
    <xf numFmtId="164" fontId="18" fillId="5" borderId="54" xfId="3" applyNumberFormat="1" applyFont="1" applyFill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164" fontId="15" fillId="0" borderId="0" xfId="0" applyNumberFormat="1" applyFont="1" applyBorder="1" applyAlignment="1">
      <alignment horizontal="center"/>
    </xf>
    <xf numFmtId="164" fontId="15" fillId="0" borderId="61" xfId="0" applyNumberFormat="1" applyFont="1" applyBorder="1" applyAlignment="1">
      <alignment horizontal="center"/>
    </xf>
    <xf numFmtId="164" fontId="18" fillId="5" borderId="26" xfId="3" applyNumberFormat="1" applyFont="1" applyFill="1" applyBorder="1" applyAlignment="1">
      <alignment horizontal="center"/>
    </xf>
    <xf numFmtId="164" fontId="15" fillId="0" borderId="121" xfId="0" applyNumberFormat="1" applyFont="1" applyBorder="1" applyAlignment="1">
      <alignment horizontal="center"/>
    </xf>
    <xf numFmtId="164" fontId="15" fillId="0" borderId="74" xfId="0" applyNumberFormat="1" applyFont="1" applyBorder="1" applyAlignment="1">
      <alignment horizontal="center"/>
    </xf>
    <xf numFmtId="9" fontId="5" fillId="3" borderId="157" xfId="3" applyFont="1" applyFill="1" applyBorder="1" applyAlignment="1">
      <alignment horizontal="center"/>
    </xf>
    <xf numFmtId="9" fontId="5" fillId="3" borderId="22" xfId="3" applyFont="1" applyFill="1" applyBorder="1" applyAlignment="1">
      <alignment horizontal="center"/>
    </xf>
    <xf numFmtId="9" fontId="5" fillId="3" borderId="53" xfId="3" applyFont="1" applyFill="1" applyBorder="1" applyAlignment="1">
      <alignment horizontal="center"/>
    </xf>
    <xf numFmtId="164" fontId="2" fillId="4" borderId="143" xfId="0" applyNumberFormat="1" applyFont="1" applyFill="1" applyBorder="1" applyAlignment="1">
      <alignment horizontal="center"/>
    </xf>
    <xf numFmtId="164" fontId="0" fillId="4" borderId="25" xfId="0" applyNumberFormat="1" applyFill="1" applyBorder="1" applyAlignment="1">
      <alignment horizontal="center"/>
    </xf>
    <xf numFmtId="164" fontId="0" fillId="4" borderId="22" xfId="0" applyNumberFormat="1" applyFill="1" applyBorder="1" applyAlignment="1">
      <alignment horizontal="center"/>
    </xf>
    <xf numFmtId="164" fontId="0" fillId="4" borderId="53" xfId="0" applyNumberFormat="1" applyFill="1" applyBorder="1" applyAlignment="1">
      <alignment horizontal="center"/>
    </xf>
    <xf numFmtId="164" fontId="2" fillId="4" borderId="141" xfId="0" applyNumberFormat="1" applyFont="1" applyFill="1" applyBorder="1" applyAlignment="1">
      <alignment horizontal="center"/>
    </xf>
    <xf numFmtId="164" fontId="0" fillId="4" borderId="28" xfId="0" applyNumberFormat="1" applyFill="1" applyBorder="1" applyAlignment="1">
      <alignment horizontal="center"/>
    </xf>
    <xf numFmtId="164" fontId="0" fillId="4" borderId="54" xfId="0" applyNumberFormat="1" applyFill="1" applyBorder="1" applyAlignment="1">
      <alignment horizontal="center"/>
    </xf>
    <xf numFmtId="164" fontId="2" fillId="4" borderId="142" xfId="0" applyNumberFormat="1" applyFont="1" applyFill="1" applyBorder="1" applyAlignment="1">
      <alignment horizontal="center"/>
    </xf>
    <xf numFmtId="164" fontId="0" fillId="4" borderId="38" xfId="0" applyNumberFormat="1" applyFill="1" applyBorder="1" applyAlignment="1">
      <alignment horizontal="center"/>
    </xf>
    <xf numFmtId="164" fontId="0" fillId="4" borderId="35" xfId="0" applyNumberFormat="1" applyFill="1" applyBorder="1" applyAlignment="1">
      <alignment horizontal="center"/>
    </xf>
    <xf numFmtId="164" fontId="0" fillId="4" borderId="129" xfId="0" applyNumberFormat="1" applyFill="1" applyBorder="1" applyAlignment="1">
      <alignment horizontal="center"/>
    </xf>
    <xf numFmtId="164" fontId="2" fillId="4" borderId="150" xfId="0" applyNumberFormat="1" applyFont="1" applyFill="1" applyBorder="1" applyAlignment="1">
      <alignment horizontal="center"/>
    </xf>
    <xf numFmtId="164" fontId="0" fillId="4" borderId="67" xfId="0" applyNumberFormat="1" applyFill="1" applyBorder="1" applyAlignment="1">
      <alignment horizontal="center"/>
    </xf>
    <xf numFmtId="164" fontId="0" fillId="4" borderId="52" xfId="0" applyNumberFormat="1" applyFill="1" applyBorder="1" applyAlignment="1">
      <alignment horizontal="center"/>
    </xf>
    <xf numFmtId="164" fontId="0" fillId="4" borderId="106" xfId="0" applyNumberFormat="1" applyFill="1" applyBorder="1" applyAlignment="1">
      <alignment horizontal="center"/>
    </xf>
    <xf numFmtId="0" fontId="0" fillId="2" borderId="170" xfId="0" applyFill="1" applyBorder="1"/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164" fontId="5" fillId="3" borderId="44" xfId="3" applyNumberFormat="1" applyFont="1" applyFill="1" applyBorder="1" applyAlignment="1">
      <alignment horizontal="center"/>
    </xf>
    <xf numFmtId="164" fontId="5" fillId="3" borderId="126" xfId="3" applyNumberFormat="1" applyFont="1" applyFill="1" applyBorder="1" applyAlignment="1">
      <alignment horizontal="center" wrapText="1"/>
    </xf>
    <xf numFmtId="169" fontId="5" fillId="13" borderId="28" xfId="3" applyNumberFormat="1" applyFont="1" applyFill="1" applyBorder="1" applyAlignment="1">
      <alignment horizontal="center"/>
    </xf>
    <xf numFmtId="164" fontId="5" fillId="3" borderId="31" xfId="0" applyNumberFormat="1" applyFont="1" applyFill="1" applyBorder="1" applyAlignment="1">
      <alignment horizontal="center"/>
    </xf>
    <xf numFmtId="164" fontId="5" fillId="3" borderId="28" xfId="0" applyNumberFormat="1" applyFont="1" applyFill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3" borderId="31" xfId="0" applyNumberFormat="1" applyFill="1" applyBorder="1" applyAlignment="1">
      <alignment horizontal="center"/>
    </xf>
    <xf numFmtId="164" fontId="0" fillId="3" borderId="28" xfId="0" applyNumberFormat="1" applyFill="1" applyBorder="1" applyAlignment="1">
      <alignment horizontal="center"/>
    </xf>
    <xf numFmtId="164" fontId="0" fillId="3" borderId="38" xfId="0" applyNumberFormat="1" applyFill="1" applyBorder="1" applyAlignment="1">
      <alignment horizontal="center"/>
    </xf>
    <xf numFmtId="164" fontId="0" fillId="3" borderId="35" xfId="0" applyNumberFormat="1" applyFill="1" applyBorder="1" applyAlignment="1">
      <alignment horizontal="center"/>
    </xf>
    <xf numFmtId="2" fontId="0" fillId="3" borderId="29" xfId="0" applyNumberFormat="1" applyFill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2" fillId="0" borderId="29" xfId="0" applyNumberFormat="1" applyFont="1" applyBorder="1" applyAlignment="1">
      <alignment horizontal="center"/>
    </xf>
    <xf numFmtId="2" fontId="5" fillId="3" borderId="29" xfId="0" applyNumberFormat="1" applyFont="1" applyFill="1" applyBorder="1" applyAlignment="1">
      <alignment horizontal="center"/>
    </xf>
    <xf numFmtId="2" fontId="0" fillId="0" borderId="29" xfId="0" applyNumberFormat="1" applyBorder="1"/>
    <xf numFmtId="172" fontId="2" fillId="4" borderId="141" xfId="0" applyNumberFormat="1" applyFont="1" applyFill="1" applyBorder="1" applyAlignment="1">
      <alignment horizontal="right"/>
    </xf>
    <xf numFmtId="172" fontId="5" fillId="4" borderId="31" xfId="0" applyNumberFormat="1" applyFont="1" applyFill="1" applyBorder="1" applyAlignment="1">
      <alignment horizontal="center"/>
    </xf>
    <xf numFmtId="172" fontId="2" fillId="0" borderId="54" xfId="0" applyNumberFormat="1" applyFont="1" applyBorder="1" applyAlignment="1">
      <alignment horizontal="center"/>
    </xf>
    <xf numFmtId="172" fontId="0" fillId="0" borderId="54" xfId="0" applyNumberFormat="1" applyBorder="1" applyAlignment="1">
      <alignment horizontal="center"/>
    </xf>
    <xf numFmtId="172" fontId="0" fillId="0" borderId="54" xfId="0" applyNumberFormat="1" applyBorder="1"/>
    <xf numFmtId="172" fontId="5" fillId="4" borderId="54" xfId="0" applyNumberFormat="1" applyFont="1" applyFill="1" applyBorder="1" applyAlignment="1">
      <alignment horizontal="center"/>
    </xf>
    <xf numFmtId="172" fontId="0" fillId="4" borderId="28" xfId="0" applyNumberFormat="1" applyFill="1" applyBorder="1" applyAlignment="1">
      <alignment horizontal="center"/>
    </xf>
    <xf numFmtId="172" fontId="0" fillId="4" borderId="31" xfId="0" applyNumberFormat="1" applyFill="1" applyBorder="1" applyAlignment="1">
      <alignment horizontal="center"/>
    </xf>
    <xf numFmtId="172" fontId="2" fillId="4" borderId="166" xfId="0" applyNumberFormat="1" applyFont="1" applyFill="1" applyBorder="1" applyAlignment="1">
      <alignment horizontal="right"/>
    </xf>
    <xf numFmtId="172" fontId="0" fillId="4" borderId="132" xfId="0" applyNumberFormat="1" applyFill="1" applyBorder="1" applyAlignment="1">
      <alignment horizontal="center"/>
    </xf>
    <xf numFmtId="172" fontId="0" fillId="4" borderId="44" xfId="0" applyNumberFormat="1" applyFill="1" applyBorder="1" applyAlignment="1">
      <alignment horizontal="center"/>
    </xf>
    <xf numFmtId="172" fontId="0" fillId="4" borderId="35" xfId="0" applyNumberFormat="1" applyFill="1" applyBorder="1" applyAlignment="1">
      <alignment horizontal="center"/>
    </xf>
    <xf numFmtId="172" fontId="0" fillId="0" borderId="129" xfId="0" applyNumberFormat="1" applyBorder="1" applyAlignment="1">
      <alignment horizontal="center"/>
    </xf>
    <xf numFmtId="172" fontId="2" fillId="4" borderId="118" xfId="0" applyNumberFormat="1" applyFont="1" applyFill="1" applyBorder="1" applyAlignment="1">
      <alignment horizontal="right"/>
    </xf>
    <xf numFmtId="172" fontId="0" fillId="4" borderId="167" xfId="0" applyNumberFormat="1" applyFill="1" applyBorder="1" applyAlignment="1">
      <alignment horizontal="center"/>
    </xf>
    <xf numFmtId="172" fontId="0" fillId="4" borderId="168" xfId="0" applyNumberFormat="1" applyFill="1" applyBorder="1" applyAlignment="1">
      <alignment horizontal="center"/>
    </xf>
    <xf numFmtId="172" fontId="5" fillId="2" borderId="91" xfId="0" applyNumberFormat="1" applyFont="1" applyFill="1" applyBorder="1" applyAlignment="1">
      <alignment horizontal="center"/>
    </xf>
    <xf numFmtId="172" fontId="2" fillId="4" borderId="26" xfId="0" applyNumberFormat="1" applyFont="1" applyFill="1" applyBorder="1" applyAlignment="1">
      <alignment horizontal="center"/>
    </xf>
    <xf numFmtId="172" fontId="5" fillId="4" borderId="27" xfId="0" applyNumberFormat="1" applyFont="1" applyFill="1" applyBorder="1" applyAlignment="1">
      <alignment horizontal="center"/>
    </xf>
    <xf numFmtId="172" fontId="2" fillId="4" borderId="42" xfId="0" applyNumberFormat="1" applyFont="1" applyFill="1" applyBorder="1" applyAlignment="1">
      <alignment horizontal="center"/>
    </xf>
    <xf numFmtId="172" fontId="5" fillId="4" borderId="44" xfId="0" applyNumberFormat="1" applyFont="1" applyFill="1" applyBorder="1" applyAlignment="1">
      <alignment horizontal="center"/>
    </xf>
    <xf numFmtId="172" fontId="5" fillId="4" borderId="43" xfId="0" applyNumberFormat="1" applyFont="1" applyFill="1" applyBorder="1" applyAlignment="1">
      <alignment horizontal="center"/>
    </xf>
    <xf numFmtId="172" fontId="5" fillId="4" borderId="126" xfId="0" applyNumberFormat="1" applyFont="1" applyFill="1" applyBorder="1" applyAlignment="1">
      <alignment horizontal="center"/>
    </xf>
    <xf numFmtId="172" fontId="2" fillId="4" borderId="20" xfId="0" applyNumberFormat="1" applyFont="1" applyFill="1" applyBorder="1" applyAlignment="1">
      <alignment horizontal="center"/>
    </xf>
    <xf numFmtId="172" fontId="5" fillId="4" borderId="22" xfId="0" applyNumberFormat="1" applyFont="1" applyFill="1" applyBorder="1" applyAlignment="1">
      <alignment horizontal="center"/>
    </xf>
    <xf numFmtId="172" fontId="5" fillId="4" borderId="53" xfId="0" applyNumberFormat="1" applyFont="1" applyFill="1" applyBorder="1" applyAlignment="1">
      <alignment horizontal="center"/>
    </xf>
    <xf numFmtId="172" fontId="2" fillId="4" borderId="26" xfId="0" applyNumberFormat="1" applyFont="1" applyFill="1" applyBorder="1" applyAlignment="1">
      <alignment horizontal="right"/>
    </xf>
    <xf numFmtId="172" fontId="2" fillId="4" borderId="6" xfId="0" applyNumberFormat="1" applyFont="1" applyFill="1" applyBorder="1" applyAlignment="1">
      <alignment horizontal="right"/>
    </xf>
    <xf numFmtId="172" fontId="0" fillId="4" borderId="13" xfId="0" applyNumberFormat="1" applyFill="1" applyBorder="1" applyAlignment="1">
      <alignment horizontal="center"/>
    </xf>
    <xf numFmtId="172" fontId="5" fillId="4" borderId="13" xfId="0" applyNumberFormat="1" applyFont="1" applyFill="1" applyBorder="1" applyAlignment="1">
      <alignment horizontal="center"/>
    </xf>
    <xf numFmtId="172" fontId="0" fillId="0" borderId="123" xfId="0" applyNumberFormat="1" applyBorder="1" applyAlignment="1">
      <alignment horizontal="center"/>
    </xf>
    <xf numFmtId="172" fontId="0" fillId="12" borderId="168" xfId="0" applyNumberFormat="1" applyFill="1" applyBorder="1" applyAlignment="1">
      <alignment horizontal="center"/>
    </xf>
    <xf numFmtId="172" fontId="2" fillId="0" borderId="0" xfId="0" applyNumberFormat="1" applyFont="1" applyFill="1" applyBorder="1" applyAlignment="1">
      <alignment horizontal="center"/>
    </xf>
    <xf numFmtId="172" fontId="0" fillId="3" borderId="0" xfId="0" applyNumberFormat="1" applyFill="1" applyBorder="1" applyAlignment="1">
      <alignment horizontal="center"/>
    </xf>
    <xf numFmtId="172" fontId="0" fillId="2" borderId="0" xfId="0" applyNumberFormat="1" applyFill="1" applyAlignment="1">
      <alignment horizontal="center"/>
    </xf>
    <xf numFmtId="0" fontId="2" fillId="0" borderId="124" xfId="0" applyFont="1" applyBorder="1" applyAlignment="1">
      <alignment horizontal="center"/>
    </xf>
    <xf numFmtId="0" fontId="2" fillId="2" borderId="107" xfId="0" applyFont="1" applyFill="1" applyBorder="1" applyAlignment="1">
      <alignment horizontal="center"/>
    </xf>
    <xf numFmtId="172" fontId="2" fillId="0" borderId="26" xfId="0" applyNumberFormat="1" applyFont="1" applyBorder="1" applyAlignment="1">
      <alignment horizontal="center"/>
    </xf>
    <xf numFmtId="172" fontId="5" fillId="4" borderId="28" xfId="1" applyNumberFormat="1" applyFont="1" applyFill="1" applyBorder="1" applyAlignment="1">
      <alignment horizontal="center"/>
    </xf>
    <xf numFmtId="172" fontId="2" fillId="0" borderId="118" xfId="0" applyNumberFormat="1" applyFont="1" applyBorder="1" applyAlignment="1">
      <alignment horizontal="center"/>
    </xf>
    <xf numFmtId="172" fontId="2" fillId="4" borderId="167" xfId="0" applyNumberFormat="1" applyFont="1" applyFill="1" applyBorder="1" applyAlignment="1">
      <alignment horizontal="center"/>
    </xf>
    <xf numFmtId="172" fontId="2" fillId="4" borderId="168" xfId="0" applyNumberFormat="1" applyFont="1" applyFill="1" applyBorder="1" applyAlignment="1">
      <alignment horizontal="center"/>
    </xf>
    <xf numFmtId="172" fontId="2" fillId="0" borderId="55" xfId="0" applyNumberFormat="1" applyFont="1" applyBorder="1" applyAlignment="1">
      <alignment horizontal="center"/>
    </xf>
    <xf numFmtId="172" fontId="5" fillId="4" borderId="52" xfId="0" applyNumberFormat="1" applyFont="1" applyFill="1" applyBorder="1" applyAlignment="1">
      <alignment horizontal="center"/>
    </xf>
    <xf numFmtId="172" fontId="5" fillId="4" borderId="106" xfId="0" applyNumberFormat="1" applyFont="1" applyFill="1" applyBorder="1" applyAlignment="1">
      <alignment horizontal="center"/>
    </xf>
    <xf numFmtId="164" fontId="19" fillId="4" borderId="25" xfId="1" applyNumberFormat="1" applyFont="1" applyFill="1" applyBorder="1" applyAlignment="1">
      <alignment horizontal="center"/>
    </xf>
    <xf numFmtId="164" fontId="19" fillId="4" borderId="22" xfId="1" applyNumberFormat="1" applyFont="1" applyFill="1" applyBorder="1" applyAlignment="1">
      <alignment horizontal="center"/>
    </xf>
    <xf numFmtId="164" fontId="19" fillId="4" borderId="53" xfId="1" applyNumberFormat="1" applyFont="1" applyFill="1" applyBorder="1" applyAlignment="1">
      <alignment horizontal="center"/>
    </xf>
    <xf numFmtId="164" fontId="19" fillId="4" borderId="31" xfId="1" applyNumberFormat="1" applyFont="1" applyFill="1" applyBorder="1" applyAlignment="1">
      <alignment horizontal="center"/>
    </xf>
    <xf numFmtId="164" fontId="19" fillId="4" borderId="28" xfId="1" applyNumberFormat="1" applyFont="1" applyFill="1" applyBorder="1" applyAlignment="1">
      <alignment horizontal="center"/>
    </xf>
    <xf numFmtId="164" fontId="19" fillId="4" borderId="54" xfId="1" applyNumberFormat="1" applyFont="1" applyFill="1" applyBorder="1" applyAlignment="1">
      <alignment horizontal="center"/>
    </xf>
    <xf numFmtId="164" fontId="19" fillId="4" borderId="132" xfId="1" applyNumberFormat="1" applyFont="1" applyFill="1" applyBorder="1" applyAlignment="1">
      <alignment horizontal="center"/>
    </xf>
    <xf numFmtId="164" fontId="19" fillId="4" borderId="44" xfId="1" applyNumberFormat="1" applyFont="1" applyFill="1" applyBorder="1" applyAlignment="1">
      <alignment horizontal="center"/>
    </xf>
    <xf numFmtId="164" fontId="19" fillId="4" borderId="126" xfId="1" applyNumberFormat="1" applyFont="1" applyFill="1" applyBorder="1" applyAlignment="1">
      <alignment horizontal="center"/>
    </xf>
    <xf numFmtId="164" fontId="19" fillId="4" borderId="157" xfId="1" applyNumberFormat="1" applyFont="1" applyFill="1" applyBorder="1" applyAlignment="1">
      <alignment horizontal="center"/>
    </xf>
    <xf numFmtId="164" fontId="19" fillId="4" borderId="50" xfId="1" applyNumberFormat="1" applyFont="1" applyFill="1" applyBorder="1" applyAlignment="1">
      <alignment horizontal="center"/>
    </xf>
    <xf numFmtId="164" fontId="19" fillId="4" borderId="159" xfId="1" applyNumberFormat="1" applyFont="1" applyFill="1" applyBorder="1" applyAlignment="1">
      <alignment horizontal="center"/>
    </xf>
    <xf numFmtId="164" fontId="20" fillId="4" borderId="135" xfId="1" applyNumberFormat="1" applyFont="1" applyFill="1" applyBorder="1" applyAlignment="1">
      <alignment horizontal="center"/>
    </xf>
    <xf numFmtId="164" fontId="20" fillId="4" borderId="167" xfId="1" applyNumberFormat="1" applyFont="1" applyFill="1" applyBorder="1" applyAlignment="1">
      <alignment horizontal="center"/>
    </xf>
    <xf numFmtId="164" fontId="20" fillId="4" borderId="168" xfId="1" applyNumberFormat="1" applyFont="1" applyFill="1" applyBorder="1" applyAlignment="1">
      <alignment horizontal="center"/>
    </xf>
    <xf numFmtId="168" fontId="19" fillId="4" borderId="25" xfId="1" applyNumberFormat="1" applyFont="1" applyFill="1" applyBorder="1" applyAlignment="1">
      <alignment horizontal="center"/>
    </xf>
    <xf numFmtId="168" fontId="19" fillId="4" borderId="22" xfId="1" applyNumberFormat="1" applyFont="1" applyFill="1" applyBorder="1" applyAlignment="1">
      <alignment horizontal="center"/>
    </xf>
    <xf numFmtId="168" fontId="19" fillId="4" borderId="53" xfId="1" applyNumberFormat="1" applyFont="1" applyFill="1" applyBorder="1" applyAlignment="1">
      <alignment horizontal="center"/>
    </xf>
    <xf numFmtId="168" fontId="19" fillId="4" borderId="31" xfId="1" applyNumberFormat="1" applyFont="1" applyFill="1" applyBorder="1" applyAlignment="1">
      <alignment horizontal="center"/>
    </xf>
    <xf numFmtId="168" fontId="19" fillId="4" borderId="28" xfId="1" applyNumberFormat="1" applyFont="1" applyFill="1" applyBorder="1" applyAlignment="1">
      <alignment horizontal="center"/>
    </xf>
    <xf numFmtId="168" fontId="19" fillId="4" borderId="107" xfId="1" applyNumberFormat="1" applyFont="1" applyFill="1" applyBorder="1" applyAlignment="1">
      <alignment horizontal="center"/>
    </xf>
    <xf numFmtId="168" fontId="19" fillId="4" borderId="28" xfId="1" quotePrefix="1" applyNumberFormat="1" applyFont="1" applyFill="1" applyBorder="1" applyAlignment="1">
      <alignment horizontal="center"/>
    </xf>
    <xf numFmtId="168" fontId="19" fillId="4" borderId="54" xfId="1" quotePrefix="1" applyNumberFormat="1" applyFont="1" applyFill="1" applyBorder="1" applyAlignment="1">
      <alignment horizontal="center"/>
    </xf>
    <xf numFmtId="168" fontId="19" fillId="4" borderId="54" xfId="1" applyNumberFormat="1" applyFont="1" applyFill="1" applyBorder="1" applyAlignment="1">
      <alignment horizontal="center"/>
    </xf>
    <xf numFmtId="168" fontId="20" fillId="4" borderId="167" xfId="1" applyNumberFormat="1" applyFont="1" applyFill="1" applyBorder="1" applyAlignment="1">
      <alignment horizontal="center"/>
    </xf>
    <xf numFmtId="168" fontId="20" fillId="4" borderId="168" xfId="1" applyNumberFormat="1" applyFont="1" applyFill="1" applyBorder="1" applyAlignment="1">
      <alignment horizontal="center"/>
    </xf>
    <xf numFmtId="168" fontId="19" fillId="4" borderId="44" xfId="1" applyNumberFormat="1" applyFont="1" applyFill="1" applyBorder="1" applyAlignment="1">
      <alignment horizontal="center"/>
    </xf>
    <xf numFmtId="168" fontId="19" fillId="4" borderId="126" xfId="1" applyNumberFormat="1" applyFont="1" applyFill="1" applyBorder="1" applyAlignment="1">
      <alignment horizontal="center"/>
    </xf>
    <xf numFmtId="168" fontId="19" fillId="4" borderId="52" xfId="1" applyNumberFormat="1" applyFont="1" applyFill="1" applyBorder="1" applyAlignment="1">
      <alignment horizontal="center"/>
    </xf>
    <xf numFmtId="168" fontId="19" fillId="4" borderId="106" xfId="1" applyNumberFormat="1" applyFont="1" applyFill="1" applyBorder="1" applyAlignment="1">
      <alignment horizontal="center"/>
    </xf>
    <xf numFmtId="168" fontId="20" fillId="4" borderId="169" xfId="1" applyNumberFormat="1" applyFont="1" applyFill="1" applyBorder="1" applyAlignment="1">
      <alignment horizontal="center"/>
    </xf>
    <xf numFmtId="164" fontId="19" fillId="4" borderId="52" xfId="1" applyNumberFormat="1" applyFont="1" applyFill="1" applyBorder="1" applyAlignment="1">
      <alignment horizontal="center"/>
    </xf>
    <xf numFmtId="164" fontId="19" fillId="4" borderId="106" xfId="1" applyNumberFormat="1" applyFont="1" applyFill="1" applyBorder="1" applyAlignment="1">
      <alignment horizontal="center"/>
    </xf>
    <xf numFmtId="164" fontId="19" fillId="4" borderId="28" xfId="0" applyNumberFormat="1" applyFont="1" applyFill="1" applyBorder="1" applyAlignment="1">
      <alignment horizontal="center"/>
    </xf>
    <xf numFmtId="164" fontId="19" fillId="4" borderId="54" xfId="0" applyNumberFormat="1" applyFont="1" applyFill="1" applyBorder="1" applyAlignment="1">
      <alignment horizontal="center"/>
    </xf>
    <xf numFmtId="2" fontId="5" fillId="4" borderId="28" xfId="0" applyNumberFormat="1" applyFont="1" applyFill="1" applyBorder="1" applyAlignment="1">
      <alignment horizontal="center"/>
    </xf>
    <xf numFmtId="2" fontId="5" fillId="4" borderId="52" xfId="0" applyNumberFormat="1" applyFont="1" applyFill="1" applyBorder="1" applyAlignment="1">
      <alignment horizontal="center"/>
    </xf>
    <xf numFmtId="206" fontId="5" fillId="3" borderId="28" xfId="1" applyNumberFormat="1" applyFont="1" applyFill="1" applyBorder="1" applyAlignment="1">
      <alignment horizontal="center"/>
    </xf>
    <xf numFmtId="168" fontId="19" fillId="4" borderId="132" xfId="1" applyNumberFormat="1" applyFont="1" applyFill="1" applyBorder="1" applyAlignment="1">
      <alignment horizontal="center"/>
    </xf>
    <xf numFmtId="168" fontId="19" fillId="4" borderId="157" xfId="1" applyNumberFormat="1" applyFont="1" applyFill="1" applyBorder="1" applyAlignment="1">
      <alignment horizontal="center"/>
    </xf>
    <xf numFmtId="168" fontId="19" fillId="4" borderId="50" xfId="1" applyNumberFormat="1" applyFont="1" applyFill="1" applyBorder="1" applyAlignment="1">
      <alignment horizontal="center"/>
    </xf>
    <xf numFmtId="168" fontId="19" fillId="4" borderId="159" xfId="1" applyNumberFormat="1" applyFont="1" applyFill="1" applyBorder="1" applyAlignment="1">
      <alignment horizontal="center"/>
    </xf>
    <xf numFmtId="168" fontId="20" fillId="4" borderId="135" xfId="1" applyNumberFormat="1" applyFont="1" applyFill="1" applyBorder="1" applyAlignment="1">
      <alignment horizontal="center"/>
    </xf>
    <xf numFmtId="164" fontId="19" fillId="4" borderId="107" xfId="1" applyNumberFormat="1" applyFont="1" applyFill="1" applyBorder="1" applyAlignment="1">
      <alignment horizontal="center"/>
    </xf>
    <xf numFmtId="164" fontId="19" fillId="4" borderId="28" xfId="1" quotePrefix="1" applyNumberFormat="1" applyFont="1" applyFill="1" applyBorder="1" applyAlignment="1">
      <alignment horizontal="center"/>
    </xf>
    <xf numFmtId="164" fontId="19" fillId="4" borderId="54" xfId="1" quotePrefix="1" applyNumberFormat="1" applyFont="1" applyFill="1" applyBorder="1" applyAlignment="1">
      <alignment horizontal="center"/>
    </xf>
    <xf numFmtId="0" fontId="20" fillId="4" borderId="48" xfId="0" applyFont="1" applyFill="1" applyBorder="1" applyAlignment="1">
      <alignment horizontal="center"/>
    </xf>
    <xf numFmtId="168" fontId="19" fillId="4" borderId="44" xfId="1" quotePrefix="1" applyNumberFormat="1" applyFont="1" applyFill="1" applyBorder="1" applyAlignment="1">
      <alignment horizontal="center"/>
    </xf>
    <xf numFmtId="0" fontId="20" fillId="4" borderId="33" xfId="0" applyFont="1" applyFill="1" applyBorder="1" applyAlignment="1">
      <alignment horizontal="center"/>
    </xf>
    <xf numFmtId="0" fontId="20" fillId="4" borderId="118" xfId="0" applyFont="1" applyFill="1" applyBorder="1" applyAlignment="1">
      <alignment horizontal="center"/>
    </xf>
    <xf numFmtId="168" fontId="19" fillId="4" borderId="35" xfId="1" quotePrefix="1" applyNumberFormat="1" applyFont="1" applyFill="1" applyBorder="1" applyAlignment="1">
      <alignment horizontal="center"/>
    </xf>
    <xf numFmtId="168" fontId="19" fillId="4" borderId="129" xfId="1" applyNumberFormat="1" applyFont="1" applyFill="1" applyBorder="1" applyAlignment="1">
      <alignment horizontal="center"/>
    </xf>
    <xf numFmtId="9" fontId="2" fillId="14" borderId="28" xfId="3" applyFont="1" applyFill="1" applyBorder="1" applyAlignment="1">
      <alignment horizontal="center"/>
    </xf>
    <xf numFmtId="0" fontId="2" fillId="15" borderId="75" xfId="0" applyFont="1" applyFill="1" applyBorder="1" applyAlignment="1">
      <alignment horizontal="center"/>
    </xf>
    <xf numFmtId="0" fontId="2" fillId="15" borderId="136" xfId="0" applyFont="1" applyFill="1" applyBorder="1" applyAlignment="1">
      <alignment horizontal="center"/>
    </xf>
    <xf numFmtId="164" fontId="5" fillId="15" borderId="28" xfId="0" applyNumberFormat="1" applyFont="1" applyFill="1" applyBorder="1" applyAlignment="1">
      <alignment horizontal="center"/>
    </xf>
    <xf numFmtId="0" fontId="5" fillId="15" borderId="28" xfId="0" applyFont="1" applyFill="1" applyBorder="1" applyAlignment="1">
      <alignment horizontal="center"/>
    </xf>
    <xf numFmtId="0" fontId="5" fillId="15" borderId="29" xfId="0" applyFont="1" applyFill="1" applyBorder="1" applyAlignment="1">
      <alignment horizontal="center"/>
    </xf>
    <xf numFmtId="9" fontId="5" fillId="15" borderId="29" xfId="3" applyFont="1" applyFill="1" applyBorder="1" applyAlignment="1">
      <alignment horizontal="center"/>
    </xf>
    <xf numFmtId="0" fontId="5" fillId="15" borderId="54" xfId="0" applyFont="1" applyFill="1" applyBorder="1" applyAlignment="1">
      <alignment horizontal="center"/>
    </xf>
    <xf numFmtId="9" fontId="5" fillId="15" borderId="29" xfId="3" applyNumberFormat="1" applyFont="1" applyFill="1" applyBorder="1" applyAlignment="1">
      <alignment horizontal="center"/>
    </xf>
    <xf numFmtId="0" fontId="5" fillId="15" borderId="28" xfId="0" applyNumberFormat="1" applyFont="1" applyFill="1" applyBorder="1" applyAlignment="1">
      <alignment horizontal="center"/>
    </xf>
    <xf numFmtId="0" fontId="2" fillId="15" borderId="28" xfId="0" applyFont="1" applyFill="1" applyBorder="1" applyAlignment="1">
      <alignment horizontal="center"/>
    </xf>
    <xf numFmtId="9" fontId="23" fillId="15" borderId="91" xfId="3" applyFont="1" applyFill="1" applyBorder="1" applyAlignment="1">
      <alignment horizontal="center"/>
    </xf>
    <xf numFmtId="9" fontId="5" fillId="15" borderId="54" xfId="3" applyFont="1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16" borderId="53" xfId="0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164" fontId="5" fillId="15" borderId="66" xfId="3" applyNumberFormat="1" applyFont="1" applyFill="1" applyBorder="1" applyAlignment="1">
      <alignment horizontal="center"/>
    </xf>
    <xf numFmtId="0" fontId="5" fillId="16" borderId="22" xfId="0" applyFont="1" applyFill="1" applyBorder="1" applyAlignment="1">
      <alignment horizontal="center"/>
    </xf>
    <xf numFmtId="0" fontId="5" fillId="16" borderId="28" xfId="0" applyFont="1" applyFill="1" applyBorder="1" applyAlignment="1">
      <alignment horizontal="center"/>
    </xf>
    <xf numFmtId="164" fontId="5" fillId="16" borderId="66" xfId="3" applyNumberFormat="1" applyFont="1" applyFill="1" applyBorder="1" applyAlignment="1">
      <alignment horizontal="center"/>
    </xf>
    <xf numFmtId="1" fontId="2" fillId="16" borderId="54" xfId="0" applyNumberFormat="1" applyFont="1" applyFill="1" applyBorder="1" applyAlignment="1">
      <alignment horizontal="center"/>
    </xf>
    <xf numFmtId="0" fontId="5" fillId="15" borderId="120" xfId="0" applyFont="1" applyFill="1" applyBorder="1" applyAlignment="1">
      <alignment horizontal="center"/>
    </xf>
    <xf numFmtId="0" fontId="5" fillId="15" borderId="180" xfId="0" applyFont="1" applyFill="1" applyBorder="1" applyAlignment="1">
      <alignment horizontal="center"/>
    </xf>
    <xf numFmtId="0" fontId="5" fillId="16" borderId="120" xfId="0" applyFont="1" applyFill="1" applyBorder="1" applyAlignment="1">
      <alignment horizontal="center"/>
    </xf>
    <xf numFmtId="0" fontId="2" fillId="16" borderId="54" xfId="0" applyFont="1" applyFill="1" applyBorder="1" applyAlignment="1">
      <alignment horizontal="center"/>
    </xf>
    <xf numFmtId="9" fontId="5" fillId="16" borderId="54" xfId="3" applyFont="1" applyFill="1" applyBorder="1" applyAlignment="1">
      <alignment horizontal="center"/>
    </xf>
    <xf numFmtId="9" fontId="5" fillId="16" borderId="106" xfId="3" applyFont="1" applyFill="1" applyBorder="1" applyAlignment="1">
      <alignment horizontal="center"/>
    </xf>
    <xf numFmtId="9" fontId="2" fillId="16" borderId="32" xfId="3" applyFont="1" applyFill="1" applyBorder="1" applyAlignment="1">
      <alignment horizontal="center"/>
    </xf>
    <xf numFmtId="164" fontId="2" fillId="16" borderId="32" xfId="3" applyNumberFormat="1" applyFont="1" applyFill="1" applyBorder="1" applyAlignment="1">
      <alignment horizontal="center"/>
    </xf>
    <xf numFmtId="9" fontId="2" fillId="16" borderId="54" xfId="3" applyFont="1" applyFill="1" applyBorder="1" applyAlignment="1">
      <alignment horizontal="center"/>
    </xf>
    <xf numFmtId="9" fontId="2" fillId="16" borderId="106" xfId="3" applyFont="1" applyFill="1" applyBorder="1" applyAlignment="1">
      <alignment horizontal="center"/>
    </xf>
    <xf numFmtId="0" fontId="5" fillId="16" borderId="54" xfId="0" applyFont="1" applyFill="1" applyBorder="1" applyAlignment="1">
      <alignment horizontal="center"/>
    </xf>
    <xf numFmtId="0" fontId="2" fillId="15" borderId="54" xfId="0" applyFont="1" applyFill="1" applyBorder="1" applyAlignment="1">
      <alignment horizontal="center"/>
    </xf>
    <xf numFmtId="9" fontId="5" fillId="15" borderId="28" xfId="3" applyFont="1" applyFill="1" applyBorder="1" applyAlignment="1">
      <alignment horizontal="center"/>
    </xf>
    <xf numFmtId="0" fontId="2" fillId="16" borderId="28" xfId="0" applyFont="1" applyFill="1" applyBorder="1" applyAlignment="1">
      <alignment horizontal="center"/>
    </xf>
    <xf numFmtId="0" fontId="5" fillId="17" borderId="29" xfId="0" applyFont="1" applyFill="1" applyBorder="1" applyAlignment="1">
      <alignment horizontal="center"/>
    </xf>
    <xf numFmtId="0" fontId="5" fillId="17" borderId="32" xfId="0" applyFont="1" applyFill="1" applyBorder="1" applyAlignment="1">
      <alignment horizontal="center"/>
    </xf>
    <xf numFmtId="0" fontId="0" fillId="15" borderId="20" xfId="0" applyFill="1" applyBorder="1"/>
    <xf numFmtId="0" fontId="0" fillId="15" borderId="26" xfId="0" applyFill="1" applyBorder="1"/>
    <xf numFmtId="0" fontId="0" fillId="15" borderId="29" xfId="0" applyFill="1" applyBorder="1"/>
    <xf numFmtId="0" fontId="0" fillId="15" borderId="55" xfId="0" applyFill="1" applyBorder="1"/>
    <xf numFmtId="0" fontId="0" fillId="15" borderId="66" xfId="0" applyFill="1" applyBorder="1"/>
    <xf numFmtId="164" fontId="1" fillId="15" borderId="169" xfId="3" applyNumberFormat="1" applyFont="1" applyFill="1" applyBorder="1" applyAlignment="1">
      <alignment horizontal="center"/>
    </xf>
    <xf numFmtId="164" fontId="15" fillId="15" borderId="28" xfId="3" applyNumberFormat="1" applyFont="1" applyFill="1" applyBorder="1" applyAlignment="1">
      <alignment horizontal="center"/>
    </xf>
    <xf numFmtId="164" fontId="15" fillId="15" borderId="77" xfId="3" applyNumberFormat="1" applyFont="1" applyFill="1" applyBorder="1" applyAlignment="1">
      <alignment horizontal="center"/>
    </xf>
    <xf numFmtId="0" fontId="15" fillId="15" borderId="190" xfId="0" applyFont="1" applyFill="1" applyBorder="1" applyAlignment="1">
      <alignment horizontal="center"/>
    </xf>
    <xf numFmtId="164" fontId="15" fillId="15" borderId="26" xfId="3" applyNumberFormat="1" applyFont="1" applyFill="1" applyBorder="1" applyAlignment="1">
      <alignment horizontal="center"/>
    </xf>
    <xf numFmtId="9" fontId="15" fillId="15" borderId="28" xfId="3" applyFont="1" applyFill="1" applyBorder="1" applyAlignment="1">
      <alignment horizontal="center"/>
    </xf>
    <xf numFmtId="196" fontId="19" fillId="0" borderId="0" xfId="3" applyNumberFormat="1" applyFont="1" applyBorder="1" applyAlignment="1">
      <alignment horizontal="center"/>
    </xf>
    <xf numFmtId="203" fontId="19" fillId="0" borderId="0" xfId="0" applyNumberFormat="1" applyFont="1" applyBorder="1" applyAlignment="1">
      <alignment horizontal="center"/>
    </xf>
    <xf numFmtId="9" fontId="23" fillId="15" borderId="28" xfId="3" applyFont="1" applyFill="1" applyBorder="1" applyAlignment="1">
      <alignment horizontal="center"/>
    </xf>
    <xf numFmtId="9" fontId="23" fillId="15" borderId="44" xfId="3" applyFont="1" applyFill="1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5" fillId="15" borderId="67" xfId="0" applyFont="1" applyFill="1" applyBorder="1" applyAlignment="1">
      <alignment horizontal="center"/>
    </xf>
    <xf numFmtId="0" fontId="5" fillId="15" borderId="52" xfId="0" applyFont="1" applyFill="1" applyBorder="1" applyAlignment="1">
      <alignment horizontal="center"/>
    </xf>
    <xf numFmtId="0" fontId="5" fillId="15" borderId="106" xfId="0" applyFont="1" applyFill="1" applyBorder="1" applyAlignment="1">
      <alignment horizontal="center"/>
    </xf>
    <xf numFmtId="164" fontId="2" fillId="15" borderId="110" xfId="3" applyNumberFormat="1" applyFont="1" applyFill="1" applyBorder="1" applyAlignment="1">
      <alignment horizontal="center"/>
    </xf>
    <xf numFmtId="164" fontId="2" fillId="15" borderId="29" xfId="3" applyNumberFormat="1" applyFont="1" applyFill="1" applyBorder="1" applyAlignment="1">
      <alignment horizontal="center"/>
    </xf>
    <xf numFmtId="164" fontId="2" fillId="15" borderId="36" xfId="3" applyNumberFormat="1" applyFont="1" applyFill="1" applyBorder="1" applyAlignment="1">
      <alignment horizontal="center"/>
    </xf>
    <xf numFmtId="164" fontId="2" fillId="15" borderId="24" xfId="3" applyNumberFormat="1" applyFont="1" applyFill="1" applyBorder="1" applyAlignment="1">
      <alignment horizontal="center"/>
    </xf>
    <xf numFmtId="164" fontId="2" fillId="15" borderId="41" xfId="3" applyNumberFormat="1" applyFont="1" applyFill="1" applyBorder="1" applyAlignment="1">
      <alignment horizontal="center"/>
    </xf>
    <xf numFmtId="164" fontId="2" fillId="15" borderId="66" xfId="3" applyNumberFormat="1" applyFont="1" applyFill="1" applyBorder="1" applyAlignment="1">
      <alignment horizontal="center"/>
    </xf>
    <xf numFmtId="1" fontId="5" fillId="15" borderId="33" xfId="3" applyNumberFormat="1" applyFont="1" applyFill="1" applyBorder="1" applyAlignment="1">
      <alignment horizontal="center"/>
    </xf>
    <xf numFmtId="9" fontId="5" fillId="15" borderId="36" xfId="3" applyFont="1" applyFill="1" applyBorder="1" applyAlignment="1">
      <alignment horizontal="center" wrapText="1"/>
    </xf>
    <xf numFmtId="0" fontId="2" fillId="15" borderId="33" xfId="0" applyFont="1" applyFill="1" applyBorder="1" applyAlignment="1">
      <alignment horizontal="center"/>
    </xf>
    <xf numFmtId="0" fontId="5" fillId="0" borderId="29" xfId="0" applyFont="1" applyBorder="1" applyAlignment="1">
      <alignment horizontal="left"/>
    </xf>
    <xf numFmtId="0" fontId="2" fillId="0" borderId="36" xfId="0" applyFont="1" applyBorder="1" applyAlignment="1">
      <alignment horizontal="center"/>
    </xf>
    <xf numFmtId="9" fontId="2" fillId="15" borderId="29" xfId="3" applyFont="1" applyFill="1" applyBorder="1" applyAlignment="1">
      <alignment horizontal="center"/>
    </xf>
    <xf numFmtId="9" fontId="2" fillId="15" borderId="28" xfId="3" applyFont="1" applyFill="1" applyBorder="1" applyAlignment="1">
      <alignment horizontal="center"/>
    </xf>
    <xf numFmtId="0" fontId="2" fillId="15" borderId="29" xfId="0" applyFont="1" applyFill="1" applyBorder="1" applyAlignment="1"/>
    <xf numFmtId="168" fontId="2" fillId="15" borderId="28" xfId="1" applyNumberFormat="1" applyFont="1" applyFill="1" applyBorder="1" applyAlignment="1">
      <alignment horizontal="center"/>
    </xf>
    <xf numFmtId="0" fontId="2" fillId="15" borderId="53" xfId="0" applyFont="1" applyFill="1" applyBorder="1" applyAlignment="1">
      <alignment horizontal="center"/>
    </xf>
    <xf numFmtId="0" fontId="5" fillId="15" borderId="23" xfId="0" applyFont="1" applyFill="1" applyBorder="1" applyAlignment="1">
      <alignment horizontal="center"/>
    </xf>
    <xf numFmtId="0" fontId="2" fillId="15" borderId="22" xfId="0" applyFont="1" applyFill="1" applyBorder="1" applyAlignment="1">
      <alignment horizontal="center"/>
    </xf>
    <xf numFmtId="0" fontId="5" fillId="15" borderId="30" xfId="0" applyFont="1" applyFill="1" applyBorder="1" applyAlignment="1">
      <alignment horizontal="center"/>
    </xf>
    <xf numFmtId="0" fontId="5" fillId="15" borderId="37" xfId="0" applyFont="1" applyFill="1" applyBorder="1" applyAlignment="1">
      <alignment horizontal="center"/>
    </xf>
    <xf numFmtId="0" fontId="2" fillId="15" borderId="35" xfId="0" applyFont="1" applyFill="1" applyBorder="1" applyAlignment="1">
      <alignment horizontal="center"/>
    </xf>
    <xf numFmtId="0" fontId="2" fillId="15" borderId="129" xfId="0" applyFont="1" applyFill="1" applyBorder="1" applyAlignment="1">
      <alignment horizontal="center"/>
    </xf>
    <xf numFmtId="166" fontId="2" fillId="15" borderId="28" xfId="3" applyNumberFormat="1" applyFont="1" applyFill="1" applyBorder="1" applyAlignment="1">
      <alignment horizontal="center"/>
    </xf>
    <xf numFmtId="166" fontId="2" fillId="15" borderId="52" xfId="3" applyNumberFormat="1" applyFont="1" applyFill="1" applyBorder="1" applyAlignment="1">
      <alignment horizontal="center"/>
    </xf>
    <xf numFmtId="9" fontId="5" fillId="15" borderId="35" xfId="3" applyFont="1" applyFill="1" applyBorder="1" applyAlignment="1">
      <alignment horizontal="center"/>
    </xf>
    <xf numFmtId="9" fontId="5" fillId="15" borderId="71" xfId="3" applyFont="1" applyFill="1" applyBorder="1" applyAlignment="1">
      <alignment horizontal="center"/>
    </xf>
    <xf numFmtId="9" fontId="5" fillId="15" borderId="84" xfId="3" applyFont="1" applyFill="1" applyBorder="1" applyAlignment="1">
      <alignment horizontal="center"/>
    </xf>
    <xf numFmtId="0" fontId="5" fillId="15" borderId="24" xfId="0" applyFont="1" applyFill="1" applyBorder="1" applyAlignment="1">
      <alignment horizontal="center"/>
    </xf>
    <xf numFmtId="0" fontId="5" fillId="15" borderId="53" xfId="0" applyFont="1" applyFill="1" applyBorder="1" applyAlignment="1">
      <alignment horizontal="center"/>
    </xf>
    <xf numFmtId="0" fontId="9" fillId="15" borderId="106" xfId="0" applyFont="1" applyFill="1" applyBorder="1" applyAlignment="1">
      <alignment horizontal="center" wrapText="1"/>
    </xf>
    <xf numFmtId="0" fontId="2" fillId="15" borderId="95" xfId="0" applyFont="1" applyFill="1" applyBorder="1" applyAlignment="1">
      <alignment horizontal="center"/>
    </xf>
    <xf numFmtId="9" fontId="2" fillId="15" borderId="175" xfId="3" applyFont="1" applyFill="1" applyBorder="1" applyAlignment="1">
      <alignment horizontal="center"/>
    </xf>
    <xf numFmtId="0" fontId="5" fillId="15" borderId="22" xfId="0" applyFont="1" applyFill="1" applyBorder="1" applyAlignment="1">
      <alignment horizontal="center"/>
    </xf>
    <xf numFmtId="0" fontId="5" fillId="15" borderId="66" xfId="0" applyFont="1" applyFill="1" applyBorder="1" applyAlignment="1">
      <alignment horizontal="center"/>
    </xf>
    <xf numFmtId="0" fontId="5" fillId="15" borderId="129" xfId="0" applyFont="1" applyFill="1" applyBorder="1" applyAlignment="1">
      <alignment horizontal="center"/>
    </xf>
    <xf numFmtId="0" fontId="4" fillId="2" borderId="57" xfId="0" applyFont="1" applyFill="1" applyBorder="1" applyAlignment="1">
      <alignment horizontal="center"/>
    </xf>
    <xf numFmtId="0" fontId="4" fillId="2" borderId="58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0" borderId="81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2" fillId="0" borderId="132" xfId="0" applyFont="1" applyBorder="1" applyAlignment="1">
      <alignment horizontal="center"/>
    </xf>
    <xf numFmtId="4" fontId="2" fillId="0" borderId="36" xfId="0" applyNumberFormat="1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2" fillId="0" borderId="50" xfId="0" applyFont="1" applyBorder="1" applyAlignment="1">
      <alignment horizontal="center"/>
    </xf>
    <xf numFmtId="4" fontId="2" fillId="0" borderId="47" xfId="0" applyNumberFormat="1" applyFont="1" applyBorder="1" applyAlignment="1">
      <alignment horizontal="center"/>
    </xf>
    <xf numFmtId="9" fontId="5" fillId="15" borderId="52" xfId="3" applyFont="1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53" xfId="0" applyFill="1" applyBorder="1" applyAlignment="1">
      <alignment horizontal="center"/>
    </xf>
    <xf numFmtId="0" fontId="0" fillId="15" borderId="35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5" fillId="15" borderId="21" xfId="0" applyFont="1" applyFill="1" applyBorder="1" applyAlignment="1">
      <alignment horizontal="center"/>
    </xf>
    <xf numFmtId="1" fontId="2" fillId="15" borderId="54" xfId="0" applyNumberFormat="1" applyFont="1" applyFill="1" applyBorder="1" applyAlignment="1">
      <alignment horizontal="center"/>
    </xf>
    <xf numFmtId="164" fontId="2" fillId="18" borderId="22" xfId="3" applyNumberFormat="1" applyFont="1" applyFill="1" applyBorder="1" applyAlignment="1" applyProtection="1">
      <alignment horizontal="center"/>
      <protection locked="0"/>
    </xf>
    <xf numFmtId="0" fontId="5" fillId="18" borderId="24" xfId="0" applyFont="1" applyFill="1" applyBorder="1" applyAlignment="1">
      <alignment horizontal="center"/>
    </xf>
    <xf numFmtId="0" fontId="2" fillId="18" borderId="81" xfId="0" applyFont="1" applyFill="1" applyBorder="1" applyAlignment="1">
      <alignment horizontal="center"/>
    </xf>
    <xf numFmtId="0" fontId="2" fillId="18" borderId="75" xfId="0" applyFont="1" applyFill="1" applyBorder="1" applyAlignment="1">
      <alignment horizontal="center"/>
    </xf>
    <xf numFmtId="0" fontId="2" fillId="18" borderId="41" xfId="0" applyFont="1" applyFill="1" applyBorder="1" applyAlignment="1">
      <alignment horizontal="center"/>
    </xf>
    <xf numFmtId="0" fontId="2" fillId="18" borderId="23" xfId="0" applyFont="1" applyFill="1" applyBorder="1" applyAlignment="1">
      <alignment horizontal="center"/>
    </xf>
    <xf numFmtId="0" fontId="2" fillId="18" borderId="22" xfId="0" applyFont="1" applyFill="1" applyBorder="1" applyAlignment="1">
      <alignment horizontal="center"/>
    </xf>
    <xf numFmtId="0" fontId="2" fillId="18" borderId="24" xfId="0" applyFont="1" applyFill="1" applyBorder="1" applyAlignment="1">
      <alignment horizontal="center"/>
    </xf>
    <xf numFmtId="0" fontId="2" fillId="18" borderId="79" xfId="0" applyFont="1" applyFill="1" applyBorder="1" applyAlignment="1">
      <alignment horizontal="center"/>
    </xf>
    <xf numFmtId="9" fontId="5" fillId="18" borderId="28" xfId="3" applyFont="1" applyFill="1" applyBorder="1" applyAlignment="1">
      <alignment horizontal="center"/>
    </xf>
    <xf numFmtId="9" fontId="5" fillId="18" borderId="29" xfId="3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0" fontId="5" fillId="18" borderId="28" xfId="0" applyFont="1" applyFill="1" applyBorder="1" applyAlignment="1">
      <alignment horizontal="center"/>
    </xf>
    <xf numFmtId="0" fontId="5" fillId="18" borderId="29" xfId="0" applyFont="1" applyFill="1" applyBorder="1" applyAlignment="1">
      <alignment horizontal="center"/>
    </xf>
    <xf numFmtId="164" fontId="5" fillId="18" borderId="30" xfId="0" applyNumberFormat="1" applyFont="1" applyFill="1" applyBorder="1" applyAlignment="1">
      <alignment horizontal="center"/>
    </xf>
    <xf numFmtId="1" fontId="5" fillId="18" borderId="30" xfId="0" applyNumberFormat="1" applyFont="1" applyFill="1" applyBorder="1" applyAlignment="1">
      <alignment horizontal="center"/>
    </xf>
    <xf numFmtId="165" fontId="5" fillId="18" borderId="29" xfId="1" applyNumberFormat="1" applyFont="1" applyFill="1" applyBorder="1" applyAlignment="1">
      <alignment horizontal="left"/>
    </xf>
    <xf numFmtId="165" fontId="5" fillId="18" borderId="71" xfId="1" applyNumberFormat="1" applyFont="1" applyFill="1" applyBorder="1" applyAlignment="1">
      <alignment horizontal="left"/>
    </xf>
    <xf numFmtId="164" fontId="5" fillId="18" borderId="28" xfId="0" applyNumberFormat="1" applyFont="1" applyFill="1" applyBorder="1" applyAlignment="1">
      <alignment horizontal="center"/>
    </xf>
    <xf numFmtId="1" fontId="5" fillId="18" borderId="28" xfId="0" applyNumberFormat="1" applyFont="1" applyFill="1" applyBorder="1" applyAlignment="1">
      <alignment horizontal="center"/>
    </xf>
    <xf numFmtId="9" fontId="5" fillId="18" borderId="35" xfId="3" applyFont="1" applyFill="1" applyBorder="1" applyAlignment="1">
      <alignment horizontal="center"/>
    </xf>
    <xf numFmtId="9" fontId="5" fillId="18" borderId="36" xfId="3" applyFont="1" applyFill="1" applyBorder="1" applyAlignment="1">
      <alignment horizontal="center"/>
    </xf>
    <xf numFmtId="0" fontId="5" fillId="18" borderId="38" xfId="0" applyFont="1" applyFill="1" applyBorder="1" applyAlignment="1">
      <alignment horizontal="center"/>
    </xf>
    <xf numFmtId="0" fontId="5" fillId="18" borderId="35" xfId="0" applyFont="1" applyFill="1" applyBorder="1" applyAlignment="1">
      <alignment horizontal="center"/>
    </xf>
    <xf numFmtId="0" fontId="5" fillId="18" borderId="36" xfId="0" applyFont="1" applyFill="1" applyBorder="1" applyAlignment="1">
      <alignment horizontal="center"/>
    </xf>
    <xf numFmtId="164" fontId="5" fillId="18" borderId="37" xfId="0" applyNumberFormat="1" applyFont="1" applyFill="1" applyBorder="1" applyAlignment="1">
      <alignment horizontal="center"/>
    </xf>
    <xf numFmtId="164" fontId="5" fillId="18" borderId="35" xfId="0" applyNumberFormat="1" applyFont="1" applyFill="1" applyBorder="1" applyAlignment="1">
      <alignment horizontal="center"/>
    </xf>
    <xf numFmtId="1" fontId="5" fillId="18" borderId="35" xfId="0" applyNumberFormat="1" applyFont="1" applyFill="1" applyBorder="1" applyAlignment="1">
      <alignment horizontal="center"/>
    </xf>
    <xf numFmtId="165" fontId="5" fillId="18" borderId="36" xfId="1" applyNumberFormat="1" applyFont="1" applyFill="1" applyBorder="1" applyAlignment="1">
      <alignment horizontal="left"/>
    </xf>
    <xf numFmtId="165" fontId="5" fillId="18" borderId="191" xfId="1" applyNumberFormat="1" applyFont="1" applyFill="1" applyBorder="1" applyAlignment="1">
      <alignment horizontal="left"/>
    </xf>
    <xf numFmtId="0" fontId="5" fillId="18" borderId="22" xfId="0" applyFont="1" applyFill="1" applyBorder="1" applyAlignment="1">
      <alignment horizontal="center"/>
    </xf>
    <xf numFmtId="164" fontId="5" fillId="18" borderId="23" xfId="0" applyNumberFormat="1" applyFont="1" applyFill="1" applyBorder="1" applyAlignment="1">
      <alignment horizontal="center"/>
    </xf>
    <xf numFmtId="1" fontId="5" fillId="18" borderId="23" xfId="0" applyNumberFormat="1" applyFont="1" applyFill="1" applyBorder="1" applyAlignment="1">
      <alignment horizontal="center"/>
    </xf>
    <xf numFmtId="165" fontId="5" fillId="18" borderId="24" xfId="1" applyNumberFormat="1" applyFont="1" applyFill="1" applyBorder="1" applyAlignment="1">
      <alignment horizontal="left"/>
    </xf>
    <xf numFmtId="165" fontId="5" fillId="18" borderId="79" xfId="1" applyNumberFormat="1" applyFont="1" applyFill="1" applyBorder="1" applyAlignment="1">
      <alignment horizontal="left"/>
    </xf>
    <xf numFmtId="164" fontId="5" fillId="18" borderId="31" xfId="0" applyNumberFormat="1" applyFont="1" applyFill="1" applyBorder="1" applyAlignment="1">
      <alignment horizontal="center"/>
    </xf>
    <xf numFmtId="164" fontId="5" fillId="18" borderId="38" xfId="0" applyNumberFormat="1" applyFont="1" applyFill="1" applyBorder="1" applyAlignment="1">
      <alignment horizontal="center"/>
    </xf>
    <xf numFmtId="9" fontId="5" fillId="18" borderId="22" xfId="3" applyFont="1" applyFill="1" applyBorder="1" applyAlignment="1">
      <alignment horizontal="center"/>
    </xf>
    <xf numFmtId="9" fontId="5" fillId="18" borderId="41" xfId="3" applyFont="1" applyFill="1" applyBorder="1" applyAlignment="1">
      <alignment horizontal="center"/>
    </xf>
    <xf numFmtId="164" fontId="5" fillId="18" borderId="22" xfId="0" applyNumberFormat="1" applyFont="1" applyFill="1" applyBorder="1" applyAlignment="1">
      <alignment horizontal="center"/>
    </xf>
    <xf numFmtId="1" fontId="5" fillId="18" borderId="22" xfId="0" applyNumberFormat="1" applyFont="1" applyFill="1" applyBorder="1" applyAlignment="1">
      <alignment horizontal="center"/>
    </xf>
    <xf numFmtId="164" fontId="5" fillId="18" borderId="25" xfId="0" applyNumberFormat="1" applyFont="1" applyFill="1" applyBorder="1" applyAlignment="1">
      <alignment horizontal="center"/>
    </xf>
    <xf numFmtId="165" fontId="5" fillId="18" borderId="95" xfId="1" applyNumberFormat="1" applyFont="1" applyFill="1" applyBorder="1" applyAlignment="1">
      <alignment horizontal="left"/>
    </xf>
    <xf numFmtId="165" fontId="5" fillId="18" borderId="174" xfId="1" applyNumberFormat="1" applyFont="1" applyFill="1" applyBorder="1" applyAlignment="1">
      <alignment horizontal="left"/>
    </xf>
    <xf numFmtId="165" fontId="5" fillId="18" borderId="189" xfId="1" applyNumberFormat="1" applyFont="1" applyFill="1" applyBorder="1" applyAlignment="1">
      <alignment horizontal="left"/>
    </xf>
    <xf numFmtId="9" fontId="5" fillId="18" borderId="24" xfId="3" applyFont="1" applyFill="1" applyBorder="1" applyAlignment="1">
      <alignment horizontal="center"/>
    </xf>
    <xf numFmtId="0" fontId="5" fillId="18" borderId="25" xfId="0" applyFont="1" applyFill="1" applyBorder="1" applyAlignment="1">
      <alignment horizontal="center"/>
    </xf>
    <xf numFmtId="0" fontId="5" fillId="18" borderId="23" xfId="0" applyFont="1" applyFill="1" applyBorder="1" applyAlignment="1">
      <alignment horizontal="center"/>
    </xf>
    <xf numFmtId="9" fontId="5" fillId="18" borderId="44" xfId="3" applyFont="1" applyFill="1" applyBorder="1" applyAlignment="1">
      <alignment horizontal="center"/>
    </xf>
    <xf numFmtId="9" fontId="5" fillId="18" borderId="117" xfId="3" applyFont="1" applyFill="1" applyBorder="1" applyAlignment="1">
      <alignment horizontal="center"/>
    </xf>
    <xf numFmtId="0" fontId="5" fillId="18" borderId="132" xfId="0" applyFont="1" applyFill="1" applyBorder="1" applyAlignment="1">
      <alignment horizontal="center"/>
    </xf>
    <xf numFmtId="0" fontId="5" fillId="18" borderId="44" xfId="0" applyFont="1" applyFill="1" applyBorder="1" applyAlignment="1">
      <alignment horizontal="center"/>
    </xf>
    <xf numFmtId="0" fontId="5" fillId="18" borderId="30" xfId="0" applyFont="1" applyFill="1" applyBorder="1" applyAlignment="1">
      <alignment horizontal="center"/>
    </xf>
    <xf numFmtId="0" fontId="5" fillId="18" borderId="133" xfId="0" applyFont="1" applyFill="1" applyBorder="1" applyAlignment="1">
      <alignment horizontal="center"/>
    </xf>
    <xf numFmtId="165" fontId="5" fillId="18" borderId="117" xfId="1" applyNumberFormat="1" applyFont="1" applyFill="1" applyBorder="1" applyAlignment="1">
      <alignment horizontal="left"/>
    </xf>
    <xf numFmtId="165" fontId="5" fillId="18" borderId="70" xfId="1" applyNumberFormat="1" applyFont="1" applyFill="1" applyBorder="1" applyAlignment="1">
      <alignment horizontal="left"/>
    </xf>
    <xf numFmtId="0" fontId="5" fillId="18" borderId="37" xfId="0" applyFont="1" applyFill="1" applyBorder="1" applyAlignment="1">
      <alignment horizontal="center"/>
    </xf>
    <xf numFmtId="0" fontId="5" fillId="18" borderId="96" xfId="0" applyFont="1" applyFill="1" applyBorder="1" applyAlignment="1">
      <alignment horizontal="center"/>
    </xf>
    <xf numFmtId="0" fontId="5" fillId="18" borderId="97" xfId="0" applyFont="1" applyFill="1" applyBorder="1" applyAlignment="1">
      <alignment horizontal="center"/>
    </xf>
    <xf numFmtId="0" fontId="5" fillId="18" borderId="98" xfId="0" applyFont="1" applyFill="1" applyBorder="1" applyAlignment="1">
      <alignment horizontal="center"/>
    </xf>
    <xf numFmtId="0" fontId="5" fillId="18" borderId="99" xfId="0" applyFont="1" applyFill="1" applyBorder="1" applyAlignment="1">
      <alignment horizontal="center"/>
    </xf>
    <xf numFmtId="0" fontId="5" fillId="18" borderId="58" xfId="0" applyFont="1" applyFill="1" applyBorder="1" applyAlignment="1">
      <alignment horizontal="center"/>
    </xf>
    <xf numFmtId="9" fontId="2" fillId="18" borderId="67" xfId="3" applyFont="1" applyFill="1" applyBorder="1" applyAlignment="1">
      <alignment horizontal="center"/>
    </xf>
    <xf numFmtId="9" fontId="2" fillId="18" borderId="52" xfId="3" applyFont="1" applyFill="1" applyBorder="1" applyAlignment="1">
      <alignment horizontal="center"/>
    </xf>
    <xf numFmtId="9" fontId="2" fillId="18" borderId="106" xfId="3" applyFont="1" applyFill="1" applyBorder="1" applyAlignment="1">
      <alignment horizontal="center"/>
    </xf>
    <xf numFmtId="0" fontId="5" fillId="18" borderId="21" xfId="0" applyFont="1" applyFill="1" applyBorder="1" applyAlignment="1">
      <alignment horizontal="center"/>
    </xf>
    <xf numFmtId="2" fontId="5" fillId="18" borderId="28" xfId="0" applyNumberFormat="1" applyFont="1" applyFill="1" applyBorder="1" applyAlignment="1">
      <alignment horizontal="center"/>
    </xf>
    <xf numFmtId="0" fontId="5" fillId="18" borderId="27" xfId="0" applyFont="1" applyFill="1" applyBorder="1" applyAlignment="1">
      <alignment horizontal="center"/>
    </xf>
    <xf numFmtId="0" fontId="5" fillId="18" borderId="34" xfId="0" applyFont="1" applyFill="1" applyBorder="1" applyAlignment="1">
      <alignment horizontal="center"/>
    </xf>
    <xf numFmtId="0" fontId="5" fillId="18" borderId="53" xfId="0" applyFont="1" applyFill="1" applyBorder="1" applyAlignment="1">
      <alignment horizontal="center"/>
    </xf>
    <xf numFmtId="0" fontId="5" fillId="18" borderId="54" xfId="0" applyFont="1" applyFill="1" applyBorder="1" applyAlignment="1">
      <alignment horizontal="center"/>
    </xf>
    <xf numFmtId="165" fontId="5" fillId="18" borderId="106" xfId="1" applyNumberFormat="1" applyFont="1" applyFill="1" applyBorder="1" applyAlignment="1">
      <alignment horizontal="left"/>
    </xf>
    <xf numFmtId="0" fontId="5" fillId="18" borderId="106" xfId="0" applyFont="1" applyFill="1" applyBorder="1" applyAlignment="1">
      <alignment horizontal="center"/>
    </xf>
    <xf numFmtId="10" fontId="5" fillId="18" borderId="28" xfId="3" applyNumberFormat="1" applyFont="1" applyFill="1" applyBorder="1" applyAlignment="1">
      <alignment horizontal="center"/>
    </xf>
    <xf numFmtId="9" fontId="5" fillId="18" borderId="75" xfId="0" applyNumberFormat="1" applyFont="1" applyFill="1" applyBorder="1" applyAlignment="1">
      <alignment horizontal="center"/>
    </xf>
    <xf numFmtId="9" fontId="5" fillId="18" borderId="31" xfId="3" applyFont="1" applyFill="1" applyBorder="1" applyAlignment="1">
      <alignment horizontal="center" wrapText="1"/>
    </xf>
    <xf numFmtId="0" fontId="5" fillId="18" borderId="32" xfId="0" applyFont="1" applyFill="1" applyBorder="1" applyAlignment="1">
      <alignment horizontal="center" wrapText="1"/>
    </xf>
    <xf numFmtId="164" fontId="5" fillId="18" borderId="32" xfId="0" applyNumberFormat="1" applyFont="1" applyFill="1" applyBorder="1" applyAlignment="1">
      <alignment horizontal="center" wrapText="1"/>
    </xf>
    <xf numFmtId="9" fontId="5" fillId="18" borderId="38" xfId="3" applyFont="1" applyFill="1" applyBorder="1" applyAlignment="1">
      <alignment horizontal="center" wrapText="1"/>
    </xf>
    <xf numFmtId="164" fontId="5" fillId="18" borderId="181" xfId="0" applyNumberFormat="1" applyFont="1" applyFill="1" applyBorder="1" applyAlignment="1">
      <alignment horizontal="center" wrapText="1"/>
    </xf>
    <xf numFmtId="1" fontId="5" fillId="3" borderId="54" xfId="3" applyNumberFormat="1" applyFont="1" applyFill="1" applyBorder="1" applyAlignment="1">
      <alignment horizontal="center"/>
    </xf>
    <xf numFmtId="9" fontId="5" fillId="18" borderId="25" xfId="3" applyFont="1" applyFill="1" applyBorder="1" applyAlignment="1">
      <alignment horizontal="center"/>
    </xf>
    <xf numFmtId="164" fontId="5" fillId="18" borderId="40" xfId="0" applyNumberFormat="1" applyFont="1" applyFill="1" applyBorder="1" applyAlignment="1">
      <alignment horizontal="center" wrapText="1"/>
    </xf>
    <xf numFmtId="9" fontId="5" fillId="18" borderId="38" xfId="3" applyFont="1" applyFill="1" applyBorder="1" applyAlignment="1">
      <alignment horizontal="center"/>
    </xf>
    <xf numFmtId="9" fontId="5" fillId="18" borderId="66" xfId="3" applyFont="1" applyFill="1" applyBorder="1" applyAlignment="1">
      <alignment horizontal="center"/>
    </xf>
    <xf numFmtId="37" fontId="5" fillId="18" borderId="106" xfId="1" applyNumberFormat="1" applyFont="1" applyFill="1" applyBorder="1" applyAlignment="1">
      <alignment horizontal="center"/>
    </xf>
    <xf numFmtId="3" fontId="5" fillId="18" borderId="106" xfId="1" applyNumberFormat="1" applyFont="1" applyFill="1" applyBorder="1" applyAlignment="1">
      <alignment horizontal="center"/>
    </xf>
    <xf numFmtId="0" fontId="5" fillId="18" borderId="52" xfId="0" applyFont="1" applyFill="1" applyBorder="1" applyAlignment="1">
      <alignment horizontal="center"/>
    </xf>
    <xf numFmtId="3" fontId="5" fillId="18" borderId="106" xfId="0" applyNumberFormat="1" applyFont="1" applyFill="1" applyBorder="1" applyAlignment="1">
      <alignment horizontal="center"/>
    </xf>
    <xf numFmtId="9" fontId="5" fillId="18" borderId="71" xfId="3" applyFont="1" applyFill="1" applyBorder="1" applyAlignment="1">
      <alignment horizontal="center"/>
    </xf>
    <xf numFmtId="9" fontId="5" fillId="18" borderId="67" xfId="3" applyFont="1" applyFill="1" applyBorder="1" applyAlignment="1">
      <alignment horizontal="center"/>
    </xf>
    <xf numFmtId="0" fontId="5" fillId="18" borderId="67" xfId="0" applyFont="1" applyFill="1" applyBorder="1" applyAlignment="1">
      <alignment horizontal="center"/>
    </xf>
    <xf numFmtId="2" fontId="2" fillId="18" borderId="28" xfId="0" applyNumberFormat="1" applyFont="1" applyFill="1" applyBorder="1" applyAlignment="1">
      <alignment horizontal="center"/>
    </xf>
    <xf numFmtId="0" fontId="2" fillId="18" borderId="28" xfId="0" applyFont="1" applyFill="1" applyBorder="1" applyAlignment="1">
      <alignment horizontal="center"/>
    </xf>
    <xf numFmtId="164" fontId="2" fillId="18" borderId="28" xfId="0" applyNumberFormat="1" applyFont="1" applyFill="1" applyBorder="1" applyAlignment="1">
      <alignment horizontal="center"/>
    </xf>
    <xf numFmtId="4" fontId="5" fillId="18" borderId="54" xfId="0" applyNumberFormat="1" applyFont="1" applyFill="1" applyBorder="1" applyAlignment="1">
      <alignment horizontal="center"/>
    </xf>
    <xf numFmtId="9" fontId="2" fillId="18" borderId="54" xfId="3" applyFont="1" applyFill="1" applyBorder="1" applyAlignment="1">
      <alignment horizontal="center"/>
    </xf>
    <xf numFmtId="9" fontId="2" fillId="18" borderId="28" xfId="3" applyFont="1" applyFill="1" applyBorder="1" applyAlignment="1">
      <alignment horizontal="center"/>
    </xf>
    <xf numFmtId="9" fontId="5" fillId="18" borderId="27" xfId="3" applyFont="1" applyFill="1" applyBorder="1" applyAlignment="1">
      <alignment horizontal="center"/>
    </xf>
    <xf numFmtId="9" fontId="5" fillId="18" borderId="31" xfId="3" applyFont="1" applyFill="1" applyBorder="1" applyAlignment="1">
      <alignment horizontal="center"/>
    </xf>
    <xf numFmtId="9" fontId="5" fillId="18" borderId="54" xfId="3" applyFont="1" applyFill="1" applyBorder="1" applyAlignment="1">
      <alignment horizontal="center"/>
    </xf>
    <xf numFmtId="9" fontId="5" fillId="18" borderId="132" xfId="3" applyFont="1" applyFill="1" applyBorder="1" applyAlignment="1">
      <alignment horizontal="center"/>
    </xf>
    <xf numFmtId="9" fontId="5" fillId="18" borderId="33" xfId="3" applyFont="1" applyFill="1" applyBorder="1" applyAlignment="1">
      <alignment horizontal="center"/>
    </xf>
    <xf numFmtId="9" fontId="5" fillId="18" borderId="129" xfId="3" applyFont="1" applyFill="1" applyBorder="1" applyAlignment="1">
      <alignment horizontal="center"/>
    </xf>
    <xf numFmtId="9" fontId="23" fillId="18" borderId="24" xfId="3" applyFont="1" applyFill="1" applyBorder="1" applyAlignment="1">
      <alignment horizontal="center"/>
    </xf>
    <xf numFmtId="9" fontId="2" fillId="18" borderId="25" xfId="3" applyFont="1" applyFill="1" applyBorder="1" applyAlignment="1">
      <alignment horizontal="center"/>
    </xf>
    <xf numFmtId="9" fontId="2" fillId="18" borderId="53" xfId="3" applyFont="1" applyFill="1" applyBorder="1" applyAlignment="1">
      <alignment horizontal="center"/>
    </xf>
    <xf numFmtId="1" fontId="2" fillId="18" borderId="54" xfId="3" applyNumberFormat="1" applyFont="1" applyFill="1" applyBorder="1" applyAlignment="1">
      <alignment horizontal="center"/>
    </xf>
    <xf numFmtId="9" fontId="5" fillId="18" borderId="106" xfId="3" applyFont="1" applyFill="1" applyBorder="1" applyAlignment="1">
      <alignment horizontal="center"/>
    </xf>
    <xf numFmtId="9" fontId="5" fillId="18" borderId="28" xfId="3" applyNumberFormat="1" applyFont="1" applyFill="1" applyBorder="1" applyAlignment="1">
      <alignment horizontal="center"/>
    </xf>
    <xf numFmtId="4" fontId="5" fillId="18" borderId="106" xfId="0" applyNumberFormat="1" applyFont="1" applyFill="1" applyBorder="1" applyAlignment="1">
      <alignment horizontal="center"/>
    </xf>
    <xf numFmtId="0" fontId="0" fillId="18" borderId="54" xfId="0" applyFill="1" applyBorder="1" applyAlignment="1">
      <alignment horizontal="center"/>
    </xf>
    <xf numFmtId="9" fontId="23" fillId="18" borderId="54" xfId="3" applyFont="1" applyFill="1" applyBorder="1" applyAlignment="1">
      <alignment horizontal="center"/>
    </xf>
    <xf numFmtId="9" fontId="5" fillId="18" borderId="53" xfId="3" applyFont="1" applyFill="1" applyBorder="1" applyAlignment="1">
      <alignment horizontal="center"/>
    </xf>
    <xf numFmtId="2" fontId="5" fillId="19" borderId="39" xfId="0" applyNumberFormat="1" applyFont="1" applyFill="1" applyBorder="1" applyAlignment="1">
      <alignment horizontal="center"/>
    </xf>
    <xf numFmtId="2" fontId="0" fillId="19" borderId="40" xfId="0" applyNumberFormat="1" applyFill="1" applyBorder="1" applyAlignment="1">
      <alignment horizontal="center"/>
    </xf>
    <xf numFmtId="2" fontId="0" fillId="19" borderId="192" xfId="0" applyNumberFormat="1" applyFill="1" applyBorder="1" applyAlignment="1">
      <alignment horizontal="center"/>
    </xf>
    <xf numFmtId="2" fontId="5" fillId="19" borderId="120" xfId="0" applyNumberFormat="1" applyFont="1" applyFill="1" applyBorder="1" applyAlignment="1">
      <alignment horizontal="center"/>
    </xf>
    <xf numFmtId="2" fontId="0" fillId="19" borderId="32" xfId="0" applyNumberFormat="1" applyFill="1" applyBorder="1" applyAlignment="1">
      <alignment horizontal="center"/>
    </xf>
    <xf numFmtId="2" fontId="0" fillId="19" borderId="190" xfId="0" applyNumberFormat="1" applyFill="1" applyBorder="1" applyAlignment="1">
      <alignment horizontal="center"/>
    </xf>
    <xf numFmtId="2" fontId="5" fillId="19" borderId="180" xfId="0" applyNumberFormat="1" applyFont="1" applyFill="1" applyBorder="1" applyAlignment="1">
      <alignment horizontal="center"/>
    </xf>
    <xf numFmtId="2" fontId="0" fillId="19" borderId="181" xfId="0" applyNumberFormat="1" applyFill="1" applyBorder="1" applyAlignment="1">
      <alignment horizontal="center"/>
    </xf>
    <xf numFmtId="2" fontId="5" fillId="19" borderId="151" xfId="0" applyNumberFormat="1" applyFont="1" applyFill="1" applyBorder="1" applyAlignment="1">
      <alignment horizontal="center"/>
    </xf>
    <xf numFmtId="2" fontId="0" fillId="19" borderId="83" xfId="0" applyNumberFormat="1" applyFill="1" applyBorder="1" applyAlignment="1">
      <alignment horizontal="center"/>
    </xf>
    <xf numFmtId="164" fontId="5" fillId="18" borderId="120" xfId="3" applyNumberFormat="1" applyFont="1" applyFill="1" applyBorder="1" applyAlignment="1">
      <alignment horizontal="center"/>
    </xf>
    <xf numFmtId="164" fontId="5" fillId="18" borderId="31" xfId="3" applyNumberFormat="1" applyFont="1" applyFill="1" applyBorder="1" applyAlignment="1">
      <alignment horizontal="center"/>
    </xf>
    <xf numFmtId="164" fontId="5" fillId="18" borderId="188" xfId="3" applyNumberFormat="1" applyFont="1" applyFill="1" applyBorder="1" applyAlignment="1">
      <alignment horizontal="center"/>
    </xf>
    <xf numFmtId="164" fontId="5" fillId="18" borderId="32" xfId="3" applyNumberFormat="1" applyFont="1" applyFill="1" applyBorder="1" applyAlignment="1">
      <alignment horizontal="center"/>
    </xf>
    <xf numFmtId="164" fontId="5" fillId="18" borderId="180" xfId="3" applyNumberFormat="1" applyFont="1" applyFill="1" applyBorder="1" applyAlignment="1">
      <alignment horizontal="center"/>
    </xf>
    <xf numFmtId="164" fontId="5" fillId="18" borderId="38" xfId="3" applyNumberFormat="1" applyFont="1" applyFill="1" applyBorder="1" applyAlignment="1">
      <alignment horizontal="center"/>
    </xf>
    <xf numFmtId="164" fontId="5" fillId="18" borderId="193" xfId="3" applyNumberFormat="1" applyFont="1" applyFill="1" applyBorder="1" applyAlignment="1">
      <alignment horizontal="center"/>
    </xf>
    <xf numFmtId="164" fontId="5" fillId="18" borderId="181" xfId="3" applyNumberFormat="1" applyFont="1" applyFill="1" applyBorder="1" applyAlignment="1">
      <alignment horizontal="center"/>
    </xf>
    <xf numFmtId="164" fontId="5" fillId="18" borderId="54" xfId="3" applyNumberFormat="1" applyFont="1" applyFill="1" applyBorder="1" applyAlignment="1">
      <alignment horizontal="center"/>
    </xf>
    <xf numFmtId="2" fontId="23" fillId="18" borderId="28" xfId="3" applyNumberFormat="1" applyFont="1" applyFill="1" applyBorder="1" applyAlignment="1">
      <alignment horizontal="center"/>
    </xf>
    <xf numFmtId="169" fontId="5" fillId="18" borderId="28" xfId="3" applyNumberFormat="1" applyFont="1" applyFill="1" applyBorder="1" applyAlignment="1">
      <alignment horizontal="center"/>
    </xf>
    <xf numFmtId="9" fontId="5" fillId="18" borderId="84" xfId="3" applyFont="1" applyFill="1" applyBorder="1" applyAlignment="1">
      <alignment horizontal="center"/>
    </xf>
    <xf numFmtId="1" fontId="5" fillId="18" borderId="25" xfId="0" applyNumberFormat="1" applyFont="1" applyFill="1" applyBorder="1" applyAlignment="1">
      <alignment horizontal="center"/>
    </xf>
    <xf numFmtId="0" fontId="5" fillId="18" borderId="22" xfId="0" applyFont="1" applyFill="1" applyBorder="1" applyAlignment="1">
      <alignment horizontal="center" wrapText="1"/>
    </xf>
    <xf numFmtId="0" fontId="5" fillId="18" borderId="53" xfId="0" applyFont="1" applyFill="1" applyBorder="1" applyAlignment="1">
      <alignment horizontal="center" wrapText="1"/>
    </xf>
    <xf numFmtId="172" fontId="18" fillId="18" borderId="31" xfId="3" applyNumberFormat="1" applyFont="1" applyFill="1" applyBorder="1" applyAlignment="1">
      <alignment horizontal="center"/>
    </xf>
    <xf numFmtId="172" fontId="18" fillId="18" borderId="28" xfId="3" applyNumberFormat="1" applyFont="1" applyFill="1" applyBorder="1" applyAlignment="1">
      <alignment horizontal="center"/>
    </xf>
    <xf numFmtId="172" fontId="18" fillId="18" borderId="29" xfId="3" applyNumberFormat="1" applyFont="1" applyFill="1" applyBorder="1" applyAlignment="1">
      <alignment horizontal="center"/>
    </xf>
    <xf numFmtId="172" fontId="18" fillId="18" borderId="67" xfId="3" applyNumberFormat="1" applyFont="1" applyFill="1" applyBorder="1" applyAlignment="1">
      <alignment horizontal="center"/>
    </xf>
    <xf numFmtId="172" fontId="18" fillId="18" borderId="52" xfId="3" applyNumberFormat="1" applyFont="1" applyFill="1" applyBorder="1" applyAlignment="1">
      <alignment horizontal="center"/>
    </xf>
    <xf numFmtId="172" fontId="18" fillId="18" borderId="66" xfId="3" applyNumberFormat="1" applyFont="1" applyFill="1" applyBorder="1" applyAlignment="1">
      <alignment horizontal="center"/>
    </xf>
    <xf numFmtId="172" fontId="18" fillId="18" borderId="26" xfId="3" applyNumberFormat="1" applyFont="1" applyFill="1" applyBorder="1" applyAlignment="1">
      <alignment horizontal="center"/>
    </xf>
    <xf numFmtId="9" fontId="18" fillId="18" borderId="28" xfId="3" applyFont="1" applyFill="1" applyBorder="1" applyAlignment="1">
      <alignment horizontal="center"/>
    </xf>
    <xf numFmtId="9" fontId="18" fillId="18" borderId="54" xfId="3" applyFont="1" applyFill="1" applyBorder="1" applyAlignment="1">
      <alignment horizontal="center"/>
    </xf>
    <xf numFmtId="2" fontId="18" fillId="18" borderId="26" xfId="3" applyNumberFormat="1" applyFont="1" applyFill="1" applyBorder="1" applyAlignment="1">
      <alignment horizontal="center"/>
    </xf>
    <xf numFmtId="10" fontId="18" fillId="18" borderId="28" xfId="3" applyNumberFormat="1" applyFont="1" applyFill="1" applyBorder="1" applyAlignment="1">
      <alignment horizontal="center"/>
    </xf>
    <xf numFmtId="10" fontId="18" fillId="18" borderId="30" xfId="3" applyNumberFormat="1" applyFont="1" applyFill="1" applyBorder="1" applyAlignment="1">
      <alignment horizontal="center"/>
    </xf>
    <xf numFmtId="169" fontId="18" fillId="18" borderId="31" xfId="3" applyNumberFormat="1" applyFont="1" applyFill="1" applyBorder="1" applyAlignment="1">
      <alignment horizontal="center"/>
    </xf>
    <xf numFmtId="169" fontId="18" fillId="18" borderId="28" xfId="3" applyNumberFormat="1" applyFont="1" applyFill="1" applyBorder="1" applyAlignment="1">
      <alignment horizontal="center"/>
    </xf>
    <xf numFmtId="169" fontId="18" fillId="18" borderId="54" xfId="3" applyNumberFormat="1" applyFont="1" applyFill="1" applyBorder="1" applyAlignment="1">
      <alignment horizontal="center"/>
    </xf>
    <xf numFmtId="172" fontId="15" fillId="18" borderId="28" xfId="3" applyNumberFormat="1" applyFont="1" applyFill="1" applyBorder="1" applyAlignment="1">
      <alignment horizontal="center"/>
    </xf>
    <xf numFmtId="164" fontId="16" fillId="20" borderId="55" xfId="3" applyNumberFormat="1" applyFont="1" applyFill="1" applyBorder="1" applyAlignment="1">
      <alignment horizontal="center"/>
    </xf>
    <xf numFmtId="164" fontId="16" fillId="20" borderId="52" xfId="3" applyNumberFormat="1" applyFont="1" applyFill="1" applyBorder="1" applyAlignment="1">
      <alignment horizontal="center"/>
    </xf>
    <xf numFmtId="164" fontId="16" fillId="20" borderId="106" xfId="3" applyNumberFormat="1" applyFont="1" applyFill="1" applyBorder="1" applyAlignment="1">
      <alignment horizontal="center"/>
    </xf>
    <xf numFmtId="164" fontId="2" fillId="18" borderId="54" xfId="3" applyNumberFormat="1" applyFont="1" applyFill="1" applyBorder="1" applyAlignment="1">
      <alignment horizontal="center"/>
    </xf>
    <xf numFmtId="164" fontId="2" fillId="18" borderId="13" xfId="3" applyNumberFormat="1" applyFont="1" applyFill="1" applyBorder="1" applyAlignment="1">
      <alignment horizontal="center"/>
    </xf>
    <xf numFmtId="164" fontId="2" fillId="18" borderId="123" xfId="3" applyNumberFormat="1" applyFont="1" applyFill="1" applyBorder="1" applyAlignment="1">
      <alignment horizontal="center"/>
    </xf>
    <xf numFmtId="37" fontId="5" fillId="18" borderId="35" xfId="1" applyNumberFormat="1" applyFont="1" applyFill="1" applyBorder="1" applyAlignment="1">
      <alignment horizontal="center"/>
    </xf>
    <xf numFmtId="10" fontId="5" fillId="18" borderId="35" xfId="3" applyNumberFormat="1" applyFont="1" applyFill="1" applyBorder="1" applyAlignment="1">
      <alignment horizontal="center"/>
    </xf>
    <xf numFmtId="0" fontId="2" fillId="15" borderId="0" xfId="0" applyFont="1" applyFill="1" applyAlignment="1">
      <alignment horizontal="left"/>
    </xf>
    <xf numFmtId="0" fontId="2" fillId="15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2" fillId="18" borderId="0" xfId="0" applyFont="1" applyFill="1" applyAlignment="1">
      <alignment horizontal="left"/>
    </xf>
    <xf numFmtId="0" fontId="2" fillId="18" borderId="0" xfId="0" applyFont="1" applyFill="1" applyAlignment="1">
      <alignment horizontal="center"/>
    </xf>
    <xf numFmtId="10" fontId="16" fillId="20" borderId="127" xfId="3" applyNumberFormat="1" applyFont="1" applyFill="1" applyBorder="1" applyAlignment="1">
      <alignment horizontal="center"/>
    </xf>
    <xf numFmtId="10" fontId="16" fillId="20" borderId="67" xfId="3" applyNumberFormat="1" applyFont="1" applyFill="1" applyBorder="1" applyAlignment="1">
      <alignment horizontal="center"/>
    </xf>
    <xf numFmtId="10" fontId="16" fillId="20" borderId="52" xfId="3" applyNumberFormat="1" applyFont="1" applyFill="1" applyBorder="1" applyAlignment="1">
      <alignment horizontal="center"/>
    </xf>
    <xf numFmtId="10" fontId="16" fillId="20" borderId="106" xfId="3" applyNumberFormat="1" applyFont="1" applyFill="1" applyBorder="1" applyAlignment="1">
      <alignment horizontal="center"/>
    </xf>
    <xf numFmtId="9" fontId="2" fillId="21" borderId="169" xfId="3" applyFont="1" applyFill="1" applyBorder="1" applyAlignment="1">
      <alignment horizontal="center" vertical="center"/>
    </xf>
    <xf numFmtId="0" fontId="2" fillId="15" borderId="28" xfId="0" applyFont="1" applyFill="1" applyBorder="1" applyAlignment="1">
      <alignment horizontal="center"/>
    </xf>
    <xf numFmtId="2" fontId="19" fillId="0" borderId="0" xfId="0" applyNumberFormat="1" applyFont="1" applyAlignment="1">
      <alignment horizontal="center" wrapText="1"/>
    </xf>
    <xf numFmtId="2" fontId="19" fillId="0" borderId="0" xfId="3" applyNumberFormat="1" applyFont="1" applyAlignment="1">
      <alignment horizontal="center" wrapText="1"/>
    </xf>
    <xf numFmtId="0" fontId="2" fillId="0" borderId="20" xfId="0" applyFont="1" applyBorder="1" applyAlignment="1">
      <alignment horizontal="left"/>
    </xf>
    <xf numFmtId="0" fontId="2" fillId="0" borderId="74" xfId="0" applyFont="1" applyBorder="1" applyAlignment="1">
      <alignment horizontal="left"/>
    </xf>
    <xf numFmtId="0" fontId="2" fillId="2" borderId="49" xfId="0" applyFont="1" applyFill="1" applyBorder="1" applyAlignment="1">
      <alignment horizontal="center"/>
    </xf>
    <xf numFmtId="0" fontId="24" fillId="22" borderId="0" xfId="0" applyFont="1" applyFill="1"/>
    <xf numFmtId="0" fontId="25" fillId="22" borderId="0" xfId="0" applyFont="1" applyFill="1"/>
    <xf numFmtId="0" fontId="25" fillId="0" borderId="0" xfId="0" applyFont="1"/>
    <xf numFmtId="0" fontId="25" fillId="0" borderId="0" xfId="0" applyFont="1" applyFill="1"/>
    <xf numFmtId="0" fontId="25" fillId="0" borderId="68" xfId="0" applyFont="1" applyBorder="1"/>
    <xf numFmtId="3" fontId="25" fillId="0" borderId="0" xfId="0" applyNumberFormat="1" applyFont="1"/>
    <xf numFmtId="3" fontId="25" fillId="0" borderId="68" xfId="0" applyNumberFormat="1" applyFont="1" applyBorder="1"/>
    <xf numFmtId="0" fontId="25" fillId="0" borderId="0" xfId="0" applyFont="1" applyBorder="1"/>
    <xf numFmtId="0" fontId="25" fillId="0" borderId="0" xfId="0" applyFont="1" applyAlignment="1">
      <alignment horizontal="right"/>
    </xf>
    <xf numFmtId="0" fontId="25" fillId="24" borderId="0" xfId="0" applyFont="1" applyFill="1"/>
    <xf numFmtId="3" fontId="25" fillId="0" borderId="0" xfId="0" applyNumberFormat="1" applyFont="1" applyAlignment="1">
      <alignment horizontal="right"/>
    </xf>
    <xf numFmtId="3" fontId="25" fillId="24" borderId="0" xfId="0" applyNumberFormat="1" applyFont="1" applyFill="1"/>
    <xf numFmtId="3" fontId="25" fillId="0" borderId="194" xfId="0" applyNumberFormat="1" applyFont="1" applyBorder="1"/>
    <xf numFmtId="3" fontId="25" fillId="0" borderId="68" xfId="0" applyNumberFormat="1" applyFont="1" applyBorder="1" applyAlignment="1">
      <alignment horizontal="right"/>
    </xf>
    <xf numFmtId="3" fontId="25" fillId="0" borderId="0" xfId="0" applyNumberFormat="1" applyFont="1" applyBorder="1" applyAlignment="1">
      <alignment horizontal="right"/>
    </xf>
    <xf numFmtId="3" fontId="25" fillId="0" borderId="195" xfId="0" applyNumberFormat="1" applyFont="1" applyBorder="1" applyAlignment="1">
      <alignment horizontal="right"/>
    </xf>
    <xf numFmtId="169" fontId="25" fillId="0" borderId="0" xfId="3" applyNumberFormat="1" applyFont="1" applyBorder="1" applyAlignment="1">
      <alignment horizontal="right"/>
    </xf>
    <xf numFmtId="10" fontId="25" fillId="0" borderId="0" xfId="3" applyNumberFormat="1" applyFont="1" applyBorder="1"/>
    <xf numFmtId="3" fontId="25" fillId="0" borderId="0" xfId="0" applyNumberFormat="1" applyFont="1" applyBorder="1"/>
    <xf numFmtId="0" fontId="24" fillId="0" borderId="0" xfId="0" applyFont="1" applyFill="1"/>
    <xf numFmtId="0" fontId="24" fillId="24" borderId="0" xfId="0" applyFont="1" applyFill="1"/>
    <xf numFmtId="3" fontId="25" fillId="0" borderId="191" xfId="0" applyNumberFormat="1" applyFont="1" applyBorder="1"/>
    <xf numFmtId="3" fontId="25" fillId="24" borderId="0" xfId="0" applyNumberFormat="1" applyFont="1" applyFill="1" applyBorder="1"/>
    <xf numFmtId="3" fontId="25" fillId="0" borderId="0" xfId="0" applyNumberFormat="1" applyFont="1" applyFill="1"/>
    <xf numFmtId="3" fontId="25" fillId="0" borderId="68" xfId="0" applyNumberFormat="1" applyFont="1" applyFill="1" applyBorder="1"/>
    <xf numFmtId="0" fontId="25" fillId="0" borderId="0" xfId="0" applyFont="1" applyFill="1" applyAlignment="1">
      <alignment horizontal="left" indent="1"/>
    </xf>
    <xf numFmtId="3" fontId="25" fillId="0" borderId="0" xfId="0" applyNumberFormat="1" applyFont="1" applyFill="1" applyBorder="1" applyAlignment="1">
      <alignment horizontal="right"/>
    </xf>
    <xf numFmtId="3" fontId="25" fillId="23" borderId="0" xfId="0" applyNumberFormat="1" applyFont="1" applyFill="1" applyBorder="1" applyAlignment="1">
      <alignment horizontal="right"/>
    </xf>
    <xf numFmtId="169" fontId="25" fillId="23" borderId="0" xfId="3" applyNumberFormat="1" applyFont="1" applyFill="1" applyBorder="1"/>
    <xf numFmtId="169" fontId="23" fillId="25" borderId="24" xfId="3" applyNumberFormat="1" applyFont="1" applyFill="1" applyBorder="1" applyAlignment="1">
      <alignment horizontal="center"/>
    </xf>
    <xf numFmtId="4" fontId="2" fillId="25" borderId="0" xfId="0" applyNumberFormat="1" applyFont="1" applyFill="1" applyBorder="1" applyAlignment="1">
      <alignment horizontal="center"/>
    </xf>
    <xf numFmtId="3" fontId="25" fillId="23" borderId="70" xfId="0" applyNumberFormat="1" applyFont="1" applyFill="1" applyBorder="1"/>
    <xf numFmtId="3" fontId="25" fillId="0" borderId="191" xfId="0" applyNumberFormat="1" applyFont="1" applyFill="1" applyBorder="1"/>
    <xf numFmtId="3" fontId="25" fillId="0" borderId="0" xfId="0" applyNumberFormat="1" applyFont="1" applyFill="1" applyBorder="1"/>
    <xf numFmtId="3" fontId="25" fillId="0" borderId="70" xfId="0" applyNumberFormat="1" applyFont="1" applyFill="1" applyBorder="1" applyAlignment="1">
      <alignment horizontal="right"/>
    </xf>
    <xf numFmtId="3" fontId="25" fillId="0" borderId="195" xfId="0" applyNumberFormat="1" applyFont="1" applyFill="1" applyBorder="1" applyAlignment="1">
      <alignment horizontal="right"/>
    </xf>
    <xf numFmtId="169" fontId="25" fillId="0" borderId="0" xfId="3" applyNumberFormat="1" applyFont="1" applyFill="1" applyBorder="1" applyAlignment="1">
      <alignment horizontal="right"/>
    </xf>
    <xf numFmtId="3" fontId="25" fillId="0" borderId="70" xfId="0" applyNumberFormat="1" applyFont="1" applyBorder="1" applyAlignment="1">
      <alignment horizontal="right"/>
    </xf>
    <xf numFmtId="4" fontId="2" fillId="15" borderId="25" xfId="0" applyNumberFormat="1" applyFont="1" applyFill="1" applyBorder="1" applyAlignment="1">
      <alignment horizontal="center"/>
    </xf>
    <xf numFmtId="4" fontId="2" fillId="3" borderId="157" xfId="0" applyNumberFormat="1" applyFont="1" applyFill="1" applyBorder="1" applyAlignment="1">
      <alignment horizontal="center"/>
    </xf>
    <xf numFmtId="4" fontId="2" fillId="3" borderId="25" xfId="0" applyNumberFormat="1" applyFont="1" applyFill="1" applyBorder="1" applyAlignment="1">
      <alignment horizontal="center"/>
    </xf>
    <xf numFmtId="2" fontId="2" fillId="3" borderId="50" xfId="3" applyNumberFormat="1" applyFont="1" applyFill="1" applyBorder="1" applyAlignment="1">
      <alignment horizontal="center"/>
    </xf>
    <xf numFmtId="2" fontId="5" fillId="18" borderId="38" xfId="0" applyNumberFormat="1" applyFont="1" applyFill="1" applyBorder="1" applyAlignment="1">
      <alignment horizontal="center"/>
    </xf>
    <xf numFmtId="2" fontId="5" fillId="18" borderId="37" xfId="0" applyNumberFormat="1" applyFont="1" applyFill="1" applyBorder="1" applyAlignment="1">
      <alignment horizontal="center"/>
    </xf>
    <xf numFmtId="2" fontId="5" fillId="18" borderId="36" xfId="1" applyNumberFormat="1" applyFont="1" applyFill="1" applyBorder="1" applyAlignment="1">
      <alignment horizontal="left"/>
    </xf>
    <xf numFmtId="2" fontId="2" fillId="3" borderId="50" xfId="0" applyNumberFormat="1" applyFont="1" applyFill="1" applyBorder="1" applyAlignment="1">
      <alignment horizontal="center"/>
    </xf>
    <xf numFmtId="172" fontId="2" fillId="3" borderId="25" xfId="0" applyNumberFormat="1" applyFont="1" applyFill="1" applyBorder="1" applyAlignment="1"/>
    <xf numFmtId="172" fontId="2" fillId="3" borderId="22" xfId="0" applyNumberFormat="1" applyFont="1" applyFill="1" applyBorder="1" applyAlignment="1"/>
    <xf numFmtId="172" fontId="2" fillId="3" borderId="24" xfId="0" applyNumberFormat="1" applyFont="1" applyFill="1" applyBorder="1" applyAlignment="1"/>
    <xf numFmtId="172" fontId="2" fillId="3" borderId="39" xfId="0" applyNumberFormat="1" applyFont="1" applyFill="1" applyBorder="1" applyAlignment="1">
      <alignment horizontal="center"/>
    </xf>
    <xf numFmtId="172" fontId="2" fillId="3" borderId="40" xfId="0" applyNumberFormat="1" applyFont="1" applyFill="1" applyBorder="1" applyAlignment="1">
      <alignment horizontal="center"/>
    </xf>
    <xf numFmtId="172" fontId="5" fillId="3" borderId="31" xfId="0" applyNumberFormat="1" applyFont="1" applyFill="1" applyBorder="1" applyAlignment="1"/>
    <xf numFmtId="172" fontId="5" fillId="3" borderId="28" xfId="0" applyNumberFormat="1" applyFont="1" applyFill="1" applyBorder="1" applyAlignment="1"/>
    <xf numFmtId="172" fontId="5" fillId="3" borderId="29" xfId="0" applyNumberFormat="1" applyFont="1" applyFill="1" applyBorder="1" applyAlignment="1"/>
    <xf numFmtId="172" fontId="5" fillId="3" borderId="120" xfId="0" applyNumberFormat="1" applyFont="1" applyFill="1" applyBorder="1" applyAlignment="1">
      <alignment horizontal="center"/>
    </xf>
    <xf numFmtId="172" fontId="5" fillId="3" borderId="32" xfId="0" applyNumberFormat="1" applyFont="1" applyFill="1" applyBorder="1" applyAlignment="1">
      <alignment horizontal="center"/>
    </xf>
    <xf numFmtId="172" fontId="5" fillId="3" borderId="38" xfId="0" applyNumberFormat="1" applyFont="1" applyFill="1" applyBorder="1" applyAlignment="1"/>
    <xf numFmtId="172" fontId="5" fillId="3" borderId="35" xfId="0" applyNumberFormat="1" applyFont="1" applyFill="1" applyBorder="1" applyAlignment="1"/>
    <xf numFmtId="172" fontId="5" fillId="3" borderId="36" xfId="0" applyNumberFormat="1" applyFont="1" applyFill="1" applyBorder="1" applyAlignment="1"/>
    <xf numFmtId="172" fontId="5" fillId="3" borderId="180" xfId="0" applyNumberFormat="1" applyFont="1" applyFill="1" applyBorder="1" applyAlignment="1">
      <alignment horizontal="center"/>
    </xf>
    <xf numFmtId="172" fontId="5" fillId="3" borderId="181" xfId="0" applyNumberFormat="1" applyFont="1" applyFill="1" applyBorder="1" applyAlignment="1">
      <alignment horizontal="center"/>
    </xf>
    <xf numFmtId="172" fontId="5" fillId="3" borderId="25" xfId="0" applyNumberFormat="1" applyFont="1" applyFill="1" applyBorder="1" applyAlignment="1"/>
    <xf numFmtId="172" fontId="5" fillId="3" borderId="22" xfId="0" applyNumberFormat="1" applyFont="1" applyFill="1" applyBorder="1" applyAlignment="1"/>
    <xf numFmtId="172" fontId="5" fillId="3" borderId="24" xfId="0" applyNumberFormat="1" applyFont="1" applyFill="1" applyBorder="1" applyAlignment="1"/>
    <xf numFmtId="172" fontId="5" fillId="3" borderId="39" xfId="0" applyNumberFormat="1" applyFont="1" applyFill="1" applyBorder="1" applyAlignment="1">
      <alignment horizontal="center"/>
    </xf>
    <xf numFmtId="172" fontId="5" fillId="3" borderId="40" xfId="0" applyNumberFormat="1" applyFont="1" applyFill="1" applyBorder="1" applyAlignment="1">
      <alignment horizontal="center"/>
    </xf>
    <xf numFmtId="172" fontId="5" fillId="3" borderId="85" xfId="0" applyNumberFormat="1" applyFont="1" applyFill="1" applyBorder="1" applyAlignment="1">
      <alignment horizontal="center"/>
    </xf>
    <xf numFmtId="172" fontId="5" fillId="3" borderId="82" xfId="0" applyNumberFormat="1" applyFont="1" applyFill="1" applyBorder="1" applyAlignment="1">
      <alignment horizontal="center"/>
    </xf>
    <xf numFmtId="172" fontId="5" fillId="3" borderId="196" xfId="0" applyNumberFormat="1" applyFont="1" applyFill="1" applyBorder="1" applyAlignment="1">
      <alignment horizontal="center"/>
    </xf>
    <xf numFmtId="172" fontId="5" fillId="3" borderId="197" xfId="0" applyNumberFormat="1" applyFont="1" applyFill="1" applyBorder="1" applyAlignment="1">
      <alignment horizontal="center"/>
    </xf>
    <xf numFmtId="172" fontId="5" fillId="3" borderId="132" xfId="0" applyNumberFormat="1" applyFont="1" applyFill="1" applyBorder="1" applyAlignment="1"/>
    <xf numFmtId="172" fontId="5" fillId="3" borderId="44" xfId="0" applyNumberFormat="1" applyFont="1" applyFill="1" applyBorder="1" applyAlignment="1"/>
    <xf numFmtId="172" fontId="5" fillId="3" borderId="117" xfId="0" applyNumberFormat="1" applyFont="1" applyFill="1" applyBorder="1" applyAlignment="1"/>
    <xf numFmtId="172" fontId="5" fillId="3" borderId="98" xfId="0" applyNumberFormat="1" applyFont="1" applyFill="1" applyBorder="1" applyAlignment="1"/>
    <xf numFmtId="172" fontId="5" fillId="3" borderId="96" xfId="0" applyNumberFormat="1" applyFont="1" applyFill="1" applyBorder="1" applyAlignment="1"/>
    <xf numFmtId="172" fontId="5" fillId="3" borderId="97" xfId="0" applyNumberFormat="1" applyFont="1" applyFill="1" applyBorder="1" applyAlignment="1"/>
    <xf numFmtId="172" fontId="5" fillId="3" borderId="16" xfId="0" applyNumberFormat="1" applyFont="1" applyFill="1" applyBorder="1" applyAlignment="1">
      <alignment horizontal="center"/>
    </xf>
    <xf numFmtId="172" fontId="5" fillId="3" borderId="17" xfId="0" applyNumberFormat="1" applyFont="1" applyFill="1" applyBorder="1" applyAlignment="1">
      <alignment horizontal="center"/>
    </xf>
    <xf numFmtId="172" fontId="2" fillId="3" borderId="50" xfId="0" applyNumberFormat="1" applyFont="1" applyFill="1" applyBorder="1" applyAlignment="1"/>
    <xf numFmtId="172" fontId="2" fillId="3" borderId="130" xfId="0" applyNumberFormat="1" applyFont="1" applyFill="1" applyBorder="1" applyAlignment="1"/>
    <xf numFmtId="172" fontId="2" fillId="3" borderId="49" xfId="0" applyNumberFormat="1" applyFont="1" applyFill="1" applyBorder="1" applyAlignment="1"/>
    <xf numFmtId="172" fontId="2" fillId="3" borderId="122" xfId="0" applyNumberFormat="1" applyFont="1" applyFill="1" applyBorder="1" applyAlignment="1"/>
    <xf numFmtId="172" fontId="2" fillId="3" borderId="21" xfId="0" applyNumberFormat="1" applyFont="1" applyFill="1" applyBorder="1" applyAlignment="1"/>
    <xf numFmtId="172" fontId="2" fillId="3" borderId="39" xfId="0" applyNumberFormat="1" applyFont="1" applyFill="1" applyBorder="1" applyAlignment="1"/>
    <xf numFmtId="172" fontId="2" fillId="3" borderId="80" xfId="0" applyNumberFormat="1" applyFont="1" applyFill="1" applyBorder="1" applyAlignment="1"/>
    <xf numFmtId="172" fontId="2" fillId="3" borderId="52" xfId="0" applyNumberFormat="1" applyFont="1" applyFill="1" applyBorder="1" applyAlignment="1"/>
    <xf numFmtId="172" fontId="2" fillId="3" borderId="131" xfId="0" applyNumberFormat="1" applyFont="1" applyFill="1" applyBorder="1" applyAlignment="1"/>
    <xf numFmtId="172" fontId="2" fillId="3" borderId="151" xfId="0" applyNumberFormat="1" applyFont="1" applyFill="1" applyBorder="1" applyAlignment="1"/>
    <xf numFmtId="172" fontId="2" fillId="3" borderId="198" xfId="0" applyNumberFormat="1" applyFont="1" applyFill="1" applyBorder="1" applyAlignment="1"/>
    <xf numFmtId="0" fontId="24" fillId="0" borderId="68" xfId="0" applyFont="1" applyBorder="1" applyAlignment="1">
      <alignment vertical="top" wrapText="1"/>
    </xf>
    <xf numFmtId="0" fontId="25" fillId="0" borderId="0" xfId="0" applyFont="1" applyAlignment="1">
      <alignment vertical="top" wrapText="1"/>
    </xf>
    <xf numFmtId="0" fontId="25" fillId="0" borderId="68" xfId="0" applyFont="1" applyBorder="1" applyAlignment="1">
      <alignment vertical="top" wrapText="1"/>
    </xf>
    <xf numFmtId="0" fontId="2" fillId="0" borderId="42" xfId="0" applyFont="1" applyBorder="1" applyAlignment="1">
      <alignment horizontal="right"/>
    </xf>
    <xf numFmtId="4" fontId="2" fillId="27" borderId="0" xfId="0" applyNumberFormat="1" applyFont="1" applyFill="1" applyAlignment="1">
      <alignment horizontal="center"/>
    </xf>
    <xf numFmtId="4" fontId="2" fillId="0" borderId="43" xfId="0" applyNumberFormat="1" applyFont="1" applyBorder="1" applyAlignment="1">
      <alignment horizontal="left"/>
    </xf>
    <xf numFmtId="169" fontId="2" fillId="15" borderId="24" xfId="3" applyNumberFormat="1" applyFont="1" applyFill="1" applyBorder="1" applyAlignment="1">
      <alignment horizontal="center"/>
    </xf>
    <xf numFmtId="169" fontId="2" fillId="15" borderId="29" xfId="3" applyNumberFormat="1" applyFont="1" applyFill="1" applyBorder="1" applyAlignment="1">
      <alignment horizontal="center"/>
    </xf>
    <xf numFmtId="169" fontId="5" fillId="18" borderId="36" xfId="3" applyNumberFormat="1" applyFont="1" applyFill="1" applyBorder="1" applyAlignment="1">
      <alignment horizontal="center"/>
    </xf>
    <xf numFmtId="169" fontId="2" fillId="0" borderId="187" xfId="0" applyNumberFormat="1" applyFont="1" applyBorder="1" applyAlignment="1">
      <alignment horizontal="center"/>
    </xf>
    <xf numFmtId="173" fontId="2" fillId="0" borderId="56" xfId="0" applyNumberFormat="1" applyFont="1" applyBorder="1" applyAlignment="1">
      <alignment horizontal="center"/>
    </xf>
    <xf numFmtId="173" fontId="2" fillId="0" borderId="122" xfId="0" applyNumberFormat="1" applyFont="1" applyBorder="1" applyAlignment="1">
      <alignment horizontal="center"/>
    </xf>
    <xf numFmtId="169" fontId="2" fillId="0" borderId="199" xfId="0" applyNumberFormat="1" applyFont="1" applyBorder="1" applyAlignment="1">
      <alignment horizontal="center"/>
    </xf>
    <xf numFmtId="0" fontId="25" fillId="0" borderId="68" xfId="0" applyFont="1" applyFill="1" applyBorder="1" applyAlignment="1">
      <alignment vertical="top" wrapText="1"/>
    </xf>
    <xf numFmtId="0" fontId="25" fillId="28" borderId="71" xfId="0" applyFont="1" applyFill="1" applyBorder="1" applyAlignment="1">
      <alignment vertical="top" wrapText="1"/>
    </xf>
    <xf numFmtId="0" fontId="25" fillId="28" borderId="0" xfId="0" applyFont="1" applyFill="1" applyAlignment="1">
      <alignment vertical="top" wrapText="1"/>
    </xf>
    <xf numFmtId="0" fontId="25" fillId="28" borderId="68" xfId="0" applyFont="1" applyFill="1" applyBorder="1" applyAlignment="1">
      <alignment vertical="top" wrapText="1"/>
    </xf>
    <xf numFmtId="0" fontId="25" fillId="28" borderId="0" xfId="0" applyFont="1" applyFill="1" applyBorder="1" applyAlignment="1">
      <alignment vertical="top" wrapText="1"/>
    </xf>
    <xf numFmtId="0" fontId="2" fillId="0" borderId="74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5" fillId="0" borderId="0" xfId="0" applyFont="1" applyFill="1" applyBorder="1" applyAlignment="1">
      <alignment vertical="top" wrapText="1"/>
    </xf>
    <xf numFmtId="0" fontId="25" fillId="0" borderId="0" xfId="0" applyFont="1" applyFill="1" applyAlignment="1">
      <alignment vertical="top" wrapText="1"/>
    </xf>
    <xf numFmtId="0" fontId="25" fillId="0" borderId="70" xfId="0" applyFont="1" applyFill="1" applyBorder="1" applyAlignment="1">
      <alignment vertical="top" wrapText="1"/>
    </xf>
    <xf numFmtId="169" fontId="5" fillId="15" borderId="28" xfId="3" applyNumberFormat="1" applyFont="1" applyFill="1" applyBorder="1" applyAlignment="1">
      <alignment horizontal="center"/>
    </xf>
    <xf numFmtId="0" fontId="5" fillId="0" borderId="26" xfId="0" applyFont="1" applyBorder="1" applyAlignment="1">
      <alignment horizontal="left"/>
    </xf>
    <xf numFmtId="0" fontId="15" fillId="0" borderId="0" xfId="0" applyFont="1" applyBorder="1"/>
    <xf numFmtId="0" fontId="2" fillId="2" borderId="188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2" fontId="5" fillId="18" borderId="28" xfId="3" applyNumberFormat="1" applyFont="1" applyFill="1" applyBorder="1" applyAlignment="1">
      <alignment horizontal="center"/>
    </xf>
    <xf numFmtId="2" fontId="5" fillId="0" borderId="28" xfId="3" applyNumberFormat="1" applyFont="1" applyFill="1" applyBorder="1" applyAlignment="1">
      <alignment horizontal="center"/>
    </xf>
    <xf numFmtId="9" fontId="5" fillId="0" borderId="27" xfId="3" applyFont="1" applyFill="1" applyBorder="1" applyAlignment="1">
      <alignment horizontal="center"/>
    </xf>
    <xf numFmtId="9" fontId="5" fillId="0" borderId="31" xfId="3" applyFont="1" applyFill="1" applyBorder="1" applyAlignment="1">
      <alignment horizontal="center"/>
    </xf>
    <xf numFmtId="1" fontId="2" fillId="3" borderId="13" xfId="3" applyNumberFormat="1" applyFont="1" applyFill="1" applyBorder="1" applyAlignment="1">
      <alignment horizontal="right"/>
    </xf>
    <xf numFmtId="4" fontId="2" fillId="0" borderId="28" xfId="0" applyNumberFormat="1" applyFont="1" applyFill="1" applyBorder="1" applyAlignment="1">
      <alignment horizontal="center"/>
    </xf>
    <xf numFmtId="4" fontId="2" fillId="15" borderId="28" xfId="0" applyNumberFormat="1" applyFont="1" applyFill="1" applyBorder="1" applyAlignment="1">
      <alignment horizontal="center"/>
    </xf>
    <xf numFmtId="4" fontId="2" fillId="3" borderId="50" xfId="0" applyNumberFormat="1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9" fontId="5" fillId="0" borderId="35" xfId="3" applyFont="1" applyFill="1" applyBorder="1" applyAlignment="1">
      <alignment horizontal="center"/>
    </xf>
    <xf numFmtId="9" fontId="5" fillId="0" borderId="36" xfId="3" applyFont="1" applyFill="1" applyBorder="1" applyAlignment="1">
      <alignment horizontal="center"/>
    </xf>
    <xf numFmtId="9" fontId="2" fillId="3" borderId="50" xfId="3" applyNumberFormat="1" applyFont="1" applyFill="1" applyBorder="1" applyAlignment="1">
      <alignment horizontal="center"/>
    </xf>
    <xf numFmtId="9" fontId="2" fillId="3" borderId="130" xfId="3" applyNumberFormat="1" applyFont="1" applyFill="1" applyBorder="1" applyAlignment="1">
      <alignment horizontal="center"/>
    </xf>
    <xf numFmtId="0" fontId="5" fillId="0" borderId="141" xfId="0" applyFont="1" applyBorder="1" applyAlignment="1">
      <alignment horizontal="left"/>
    </xf>
    <xf numFmtId="0" fontId="5" fillId="0" borderId="214" xfId="0" applyFont="1" applyBorder="1" applyAlignment="1">
      <alignment horizontal="left"/>
    </xf>
    <xf numFmtId="0" fontId="5" fillId="0" borderId="142" xfId="0" applyFont="1" applyBorder="1" applyAlignment="1">
      <alignment horizontal="left"/>
    </xf>
    <xf numFmtId="164" fontId="5" fillId="0" borderId="120" xfId="3" applyNumberFormat="1" applyFont="1" applyFill="1" applyBorder="1" applyAlignment="1">
      <alignment horizontal="center"/>
    </xf>
    <xf numFmtId="164" fontId="5" fillId="0" borderId="31" xfId="3" applyNumberFormat="1" applyFont="1" applyFill="1" applyBorder="1" applyAlignment="1">
      <alignment horizontal="center"/>
    </xf>
    <xf numFmtId="164" fontId="5" fillId="0" borderId="188" xfId="3" applyNumberFormat="1" applyFont="1" applyFill="1" applyBorder="1" applyAlignment="1">
      <alignment horizontal="center"/>
    </xf>
    <xf numFmtId="164" fontId="5" fillId="0" borderId="32" xfId="3" applyNumberFormat="1" applyFont="1" applyFill="1" applyBorder="1" applyAlignment="1">
      <alignment horizontal="center"/>
    </xf>
    <xf numFmtId="206" fontId="5" fillId="3" borderId="52" xfId="1" applyNumberFormat="1" applyFont="1" applyFill="1" applyBorder="1" applyAlignment="1">
      <alignment horizontal="center"/>
    </xf>
    <xf numFmtId="3" fontId="25" fillId="0" borderId="68" xfId="0" applyNumberFormat="1" applyFont="1" applyFill="1" applyBorder="1" applyAlignment="1">
      <alignment horizontal="right"/>
    </xf>
    <xf numFmtId="0" fontId="24" fillId="0" borderId="0" xfId="0" applyFont="1" applyFill="1" applyBorder="1" applyAlignment="1">
      <alignment horizontal="left" indent="1"/>
    </xf>
    <xf numFmtId="3" fontId="25" fillId="0" borderId="0" xfId="0" applyNumberFormat="1" applyFont="1" applyFill="1" applyBorder="1" applyAlignment="1">
      <alignment horizontal="right" indent="1"/>
    </xf>
    <xf numFmtId="0" fontId="25" fillId="0" borderId="0" xfId="0" applyFont="1" applyFill="1" applyBorder="1" applyAlignment="1">
      <alignment horizontal="left" indent="1"/>
    </xf>
    <xf numFmtId="0" fontId="25" fillId="0" borderId="68" xfId="0" applyFont="1" applyFill="1" applyBorder="1" applyAlignment="1">
      <alignment horizontal="left" indent="1"/>
    </xf>
    <xf numFmtId="3" fontId="25" fillId="0" borderId="68" xfId="0" applyNumberFormat="1" applyFont="1" applyFill="1" applyBorder="1" applyAlignment="1">
      <alignment horizontal="right" indent="1"/>
    </xf>
    <xf numFmtId="14" fontId="25" fillId="0" borderId="0" xfId="0" applyNumberFormat="1" applyFont="1" applyFill="1"/>
    <xf numFmtId="0" fontId="25" fillId="0" borderId="68" xfId="0" applyFont="1" applyFill="1" applyBorder="1"/>
    <xf numFmtId="0" fontId="25" fillId="0" borderId="71" xfId="0" applyFont="1" applyFill="1" applyBorder="1"/>
    <xf numFmtId="0" fontId="25" fillId="0" borderId="71" xfId="0" applyFont="1" applyFill="1" applyBorder="1" applyAlignment="1">
      <alignment horizontal="right"/>
    </xf>
    <xf numFmtId="0" fontId="25" fillId="0" borderId="0" xfId="0" applyFont="1" applyFill="1" applyBorder="1"/>
    <xf numFmtId="0" fontId="25" fillId="0" borderId="0" xfId="0" applyFont="1" applyFill="1" applyBorder="1" applyAlignment="1">
      <alignment horizontal="right"/>
    </xf>
    <xf numFmtId="169" fontId="25" fillId="0" borderId="0" xfId="3" applyNumberFormat="1" applyFont="1" applyFill="1" applyBorder="1"/>
    <xf numFmtId="10" fontId="5" fillId="15" borderId="28" xfId="3" applyNumberFormat="1" applyFont="1" applyFill="1" applyBorder="1" applyAlignment="1">
      <alignment horizontal="center"/>
    </xf>
    <xf numFmtId="0" fontId="25" fillId="0" borderId="200" xfId="0" applyFont="1" applyFill="1" applyBorder="1" applyAlignment="1">
      <alignment vertical="top" wrapText="1"/>
    </xf>
    <xf numFmtId="0" fontId="25" fillId="0" borderId="0" xfId="0" applyFont="1" applyFill="1" applyAlignment="1">
      <alignment vertical="center" wrapText="1"/>
    </xf>
    <xf numFmtId="10" fontId="5" fillId="15" borderId="54" xfId="3" applyNumberFormat="1" applyFont="1" applyFill="1" applyBorder="1" applyAlignment="1">
      <alignment horizontal="center"/>
    </xf>
    <xf numFmtId="3" fontId="25" fillId="0" borderId="0" xfId="3" applyNumberFormat="1" applyFont="1" applyFill="1" applyBorder="1"/>
    <xf numFmtId="165" fontId="25" fillId="0" borderId="0" xfId="1" applyNumberFormat="1" applyFont="1"/>
    <xf numFmtId="0" fontId="2" fillId="27" borderId="0" xfId="0" applyFont="1" applyFill="1" applyAlignment="1">
      <alignment horizontal="center"/>
    </xf>
    <xf numFmtId="3" fontId="25" fillId="23" borderId="0" xfId="0" applyNumberFormat="1" applyFont="1" applyFill="1"/>
    <xf numFmtId="169" fontId="25" fillId="0" borderId="68" xfId="3" applyNumberFormat="1" applyFont="1" applyFill="1" applyBorder="1"/>
    <xf numFmtId="10" fontId="24" fillId="0" borderId="0" xfId="3" applyNumberFormat="1" applyFont="1" applyFill="1"/>
    <xf numFmtId="0" fontId="2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0" fontId="15" fillId="0" borderId="0" xfId="0" applyFont="1" applyFill="1"/>
    <xf numFmtId="0" fontId="1" fillId="0" borderId="43" xfId="0" applyFont="1" applyFill="1" applyBorder="1" applyAlignment="1">
      <alignment horizontal="left"/>
    </xf>
    <xf numFmtId="0" fontId="1" fillId="0" borderId="133" xfId="0" applyFont="1" applyFill="1" applyBorder="1" applyAlignment="1">
      <alignment horizontal="left"/>
    </xf>
    <xf numFmtId="0" fontId="1" fillId="0" borderId="70" xfId="0" applyFont="1" applyFill="1" applyBorder="1" applyAlignment="1">
      <alignment horizontal="left"/>
    </xf>
    <xf numFmtId="0" fontId="1" fillId="0" borderId="133" xfId="0" applyFont="1" applyFill="1" applyBorder="1" applyAlignment="1">
      <alignment horizontal="right"/>
    </xf>
    <xf numFmtId="16" fontId="1" fillId="0" borderId="0" xfId="0" applyNumberFormat="1" applyFont="1" applyAlignment="1">
      <alignment horizontal="right"/>
    </xf>
    <xf numFmtId="0" fontId="1" fillId="0" borderId="128" xfId="0" applyFont="1" applyFill="1" applyBorder="1" applyAlignment="1">
      <alignment horizontal="right"/>
    </xf>
    <xf numFmtId="0" fontId="1" fillId="0" borderId="124" xfId="0" applyFont="1" applyFill="1" applyBorder="1" applyAlignment="1">
      <alignment horizontal="right"/>
    </xf>
    <xf numFmtId="2" fontId="1" fillId="23" borderId="178" xfId="0" applyNumberFormat="1" applyFont="1" applyFill="1" applyBorder="1"/>
    <xf numFmtId="2" fontId="1" fillId="23" borderId="15" xfId="0" applyNumberFormat="1" applyFont="1" applyFill="1" applyBorder="1"/>
    <xf numFmtId="2" fontId="1" fillId="0" borderId="178" xfId="0" applyNumberFormat="1" applyFont="1" applyBorder="1"/>
    <xf numFmtId="2" fontId="1" fillId="0" borderId="15" xfId="0" applyNumberFormat="1" applyFont="1" applyBorder="1"/>
    <xf numFmtId="43" fontId="1" fillId="0" borderId="178" xfId="1" applyFont="1" applyBorder="1"/>
    <xf numFmtId="2" fontId="1" fillId="0" borderId="178" xfId="3" applyNumberFormat="1" applyFont="1" applyBorder="1"/>
    <xf numFmtId="2" fontId="1" fillId="0" borderId="15" xfId="3" applyNumberFormat="1" applyFont="1" applyBorder="1"/>
    <xf numFmtId="2" fontId="1" fillId="0" borderId="178" xfId="3" applyNumberFormat="1" applyFont="1" applyFill="1" applyBorder="1"/>
    <xf numFmtId="2" fontId="1" fillId="0" borderId="15" xfId="0" applyNumberFormat="1" applyFont="1" applyFill="1" applyBorder="1"/>
    <xf numFmtId="2" fontId="1" fillId="0" borderId="178" xfId="0" applyNumberFormat="1" applyFont="1" applyFill="1" applyBorder="1"/>
    <xf numFmtId="2" fontId="1" fillId="0" borderId="0" xfId="0" applyNumberFormat="1" applyFont="1" applyFill="1" applyBorder="1"/>
    <xf numFmtId="169" fontId="1" fillId="0" borderId="15" xfId="3" applyNumberFormat="1" applyFont="1" applyBorder="1"/>
    <xf numFmtId="1" fontId="1" fillId="0" borderId="0" xfId="0" applyNumberFormat="1" applyFont="1" applyBorder="1"/>
    <xf numFmtId="1" fontId="1" fillId="0" borderId="0" xfId="3" applyNumberFormat="1" applyFont="1"/>
    <xf numFmtId="2" fontId="1" fillId="0" borderId="15" xfId="3" applyNumberFormat="1" applyFont="1" applyFill="1" applyBorder="1"/>
    <xf numFmtId="1" fontId="1" fillId="0" borderId="0" xfId="0" applyNumberFormat="1" applyFont="1"/>
    <xf numFmtId="2" fontId="1" fillId="0" borderId="0" xfId="0" applyNumberFormat="1" applyFont="1" applyBorder="1"/>
    <xf numFmtId="2" fontId="1" fillId="0" borderId="128" xfId="0" applyNumberFormat="1" applyFont="1" applyBorder="1"/>
    <xf numFmtId="2" fontId="1" fillId="0" borderId="124" xfId="0" applyNumberFormat="1" applyFont="1" applyBorder="1"/>
    <xf numFmtId="2" fontId="1" fillId="0" borderId="68" xfId="0" applyNumberFormat="1" applyFont="1" applyBorder="1"/>
    <xf numFmtId="2" fontId="2" fillId="0" borderId="128" xfId="0" applyNumberFormat="1" applyFont="1" applyBorder="1"/>
    <xf numFmtId="2" fontId="2" fillId="0" borderId="124" xfId="0" applyNumberFormat="1" applyFont="1" applyBorder="1"/>
    <xf numFmtId="207" fontId="18" fillId="18" borderId="25" xfId="3" applyNumberFormat="1" applyFont="1" applyFill="1" applyBorder="1" applyAlignment="1">
      <alignment horizontal="center"/>
    </xf>
    <xf numFmtId="207" fontId="18" fillId="18" borderId="22" xfId="3" applyNumberFormat="1" applyFont="1" applyFill="1" applyBorder="1" applyAlignment="1">
      <alignment horizontal="center"/>
    </xf>
    <xf numFmtId="207" fontId="18" fillId="18" borderId="24" xfId="3" applyNumberFormat="1" applyFont="1" applyFill="1" applyBorder="1" applyAlignment="1">
      <alignment horizontal="center"/>
    </xf>
    <xf numFmtId="207" fontId="18" fillId="18" borderId="81" xfId="3" applyNumberFormat="1" applyFont="1" applyFill="1" applyBorder="1" applyAlignment="1">
      <alignment horizontal="center"/>
    </xf>
    <xf numFmtId="207" fontId="18" fillId="18" borderId="75" xfId="3" applyNumberFormat="1" applyFont="1" applyFill="1" applyBorder="1" applyAlignment="1">
      <alignment horizontal="center"/>
    </xf>
    <xf numFmtId="207" fontId="18" fillId="18" borderId="41" xfId="3" applyNumberFormat="1" applyFont="1" applyFill="1" applyBorder="1" applyAlignment="1">
      <alignment horizontal="center"/>
    </xf>
    <xf numFmtId="0" fontId="15" fillId="0" borderId="68" xfId="0" applyFont="1" applyBorder="1"/>
    <xf numFmtId="43" fontId="1" fillId="0" borderId="128" xfId="1" applyFont="1" applyBorder="1"/>
    <xf numFmtId="169" fontId="1" fillId="0" borderId="124" xfId="3" applyNumberFormat="1" applyFont="1" applyBorder="1"/>
    <xf numFmtId="2" fontId="0" fillId="15" borderId="24" xfId="0" applyNumberFormat="1" applyFill="1" applyBorder="1"/>
    <xf numFmtId="2" fontId="0" fillId="15" borderId="29" xfId="0" applyNumberFormat="1" applyFill="1" applyBorder="1"/>
    <xf numFmtId="2" fontId="5" fillId="16" borderId="39" xfId="0" applyNumberFormat="1" applyFont="1" applyFill="1" applyBorder="1" applyAlignment="1">
      <alignment horizontal="center"/>
    </xf>
    <xf numFmtId="2" fontId="2" fillId="29" borderId="106" xfId="0" applyNumberFormat="1" applyFont="1" applyFill="1" applyBorder="1" applyAlignment="1">
      <alignment horizontal="center"/>
    </xf>
    <xf numFmtId="169" fontId="2" fillId="29" borderId="39" xfId="3" applyNumberFormat="1" applyFont="1" applyFill="1" applyBorder="1" applyAlignment="1">
      <alignment horizontal="center"/>
    </xf>
    <xf numFmtId="169" fontId="2" fillId="29" borderId="120" xfId="3" applyNumberFormat="1" applyFont="1" applyFill="1" applyBorder="1" applyAlignment="1">
      <alignment horizontal="center"/>
    </xf>
    <xf numFmtId="169" fontId="2" fillId="29" borderId="180" xfId="3" applyNumberFormat="1" applyFont="1" applyFill="1" applyBorder="1" applyAlignment="1">
      <alignment horizontal="center"/>
    </xf>
    <xf numFmtId="0" fontId="2" fillId="29" borderId="24" xfId="0" applyFont="1" applyFill="1" applyBorder="1" applyAlignment="1">
      <alignment horizontal="center"/>
    </xf>
    <xf numFmtId="9" fontId="5" fillId="29" borderId="22" xfId="3" applyNumberFormat="1" applyFont="1" applyFill="1" applyBorder="1" applyAlignment="1">
      <alignment horizontal="center"/>
    </xf>
    <xf numFmtId="9" fontId="5" fillId="29" borderId="75" xfId="3" applyFont="1" applyFill="1" applyBorder="1" applyAlignment="1">
      <alignment horizontal="center"/>
    </xf>
    <xf numFmtId="9" fontId="5" fillId="29" borderId="28" xfId="3" applyFont="1" applyFill="1" applyBorder="1" applyAlignment="1">
      <alignment horizontal="center"/>
    </xf>
    <xf numFmtId="0" fontId="5" fillId="29" borderId="24" xfId="0" applyFont="1" applyFill="1" applyBorder="1" applyAlignment="1">
      <alignment horizontal="center"/>
    </xf>
    <xf numFmtId="0" fontId="5" fillId="29" borderId="28" xfId="0" applyFont="1" applyFill="1" applyBorder="1" applyAlignment="1">
      <alignment horizontal="center"/>
    </xf>
    <xf numFmtId="0" fontId="15" fillId="0" borderId="124" xfId="0" applyFont="1" applyBorder="1"/>
    <xf numFmtId="0" fontId="15" fillId="0" borderId="128" xfId="0" applyFont="1" applyBorder="1"/>
    <xf numFmtId="2" fontId="5" fillId="15" borderId="29" xfId="0" applyNumberFormat="1" applyFont="1" applyFill="1" applyBorder="1" applyAlignment="1">
      <alignment horizontal="center"/>
    </xf>
    <xf numFmtId="9" fontId="1" fillId="0" borderId="178" xfId="3" applyFont="1" applyBorder="1"/>
    <xf numFmtId="2" fontId="5" fillId="15" borderId="28" xfId="0" applyNumberFormat="1" applyFont="1" applyFill="1" applyBorder="1" applyAlignment="1">
      <alignment horizontal="center"/>
    </xf>
    <xf numFmtId="2" fontId="5" fillId="15" borderId="39" xfId="0" applyNumberFormat="1" applyFont="1" applyFill="1" applyBorder="1" applyAlignment="1">
      <alignment horizontal="center"/>
    </xf>
    <xf numFmtId="0" fontId="15" fillId="23" borderId="0" xfId="0" applyFont="1" applyFill="1"/>
    <xf numFmtId="2" fontId="1" fillId="23" borderId="0" xfId="0" applyNumberFormat="1" applyFont="1" applyFill="1" applyBorder="1"/>
    <xf numFmtId="4" fontId="1" fillId="29" borderId="31" xfId="0" applyNumberFormat="1" applyFont="1" applyFill="1" applyBorder="1" applyAlignment="1">
      <alignment horizontal="center"/>
    </xf>
    <xf numFmtId="169" fontId="1" fillId="29" borderId="28" xfId="3" applyNumberFormat="1" applyFont="1" applyFill="1" applyBorder="1" applyAlignment="1">
      <alignment horizontal="center"/>
    </xf>
    <xf numFmtId="4" fontId="1" fillId="15" borderId="31" xfId="0" applyNumberFormat="1" applyFont="1" applyFill="1" applyBorder="1" applyAlignment="1">
      <alignment horizontal="center"/>
    </xf>
    <xf numFmtId="169" fontId="1" fillId="18" borderId="28" xfId="3" applyNumberFormat="1" applyFont="1" applyFill="1" applyBorder="1" applyAlignment="1">
      <alignment horizontal="center"/>
    </xf>
    <xf numFmtId="4" fontId="1" fillId="15" borderId="38" xfId="0" applyNumberFormat="1" applyFont="1" applyFill="1" applyBorder="1" applyAlignment="1">
      <alignment horizontal="center"/>
    </xf>
    <xf numFmtId="169" fontId="1" fillId="18" borderId="35" xfId="3" applyNumberFormat="1" applyFont="1" applyFill="1" applyBorder="1" applyAlignment="1">
      <alignment horizontal="center"/>
    </xf>
    <xf numFmtId="169" fontId="1" fillId="26" borderId="28" xfId="3" applyNumberFormat="1" applyFont="1" applyFill="1" applyBorder="1" applyAlignment="1">
      <alignment horizontal="center"/>
    </xf>
    <xf numFmtId="4" fontId="1" fillId="15" borderId="25" xfId="0" applyNumberFormat="1" applyFont="1" applyFill="1" applyBorder="1" applyAlignment="1">
      <alignment horizontal="center"/>
    </xf>
    <xf numFmtId="169" fontId="1" fillId="18" borderId="22" xfId="3" applyNumberFormat="1" applyFont="1" applyFill="1" applyBorder="1" applyAlignment="1">
      <alignment horizontal="center"/>
    </xf>
    <xf numFmtId="4" fontId="1" fillId="29" borderId="38" xfId="0" applyNumberFormat="1" applyFont="1" applyFill="1" applyBorder="1" applyAlignment="1">
      <alignment horizontal="center"/>
    </xf>
    <xf numFmtId="169" fontId="1" fillId="29" borderId="35" xfId="3" applyNumberFormat="1" applyFont="1" applyFill="1" applyBorder="1" applyAlignment="1">
      <alignment horizontal="center"/>
    </xf>
    <xf numFmtId="4" fontId="1" fillId="29" borderId="132" xfId="0" applyNumberFormat="1" applyFont="1" applyFill="1" applyBorder="1" applyAlignment="1">
      <alignment horizontal="center"/>
    </xf>
    <xf numFmtId="169" fontId="1" fillId="29" borderId="44" xfId="3" applyNumberFormat="1" applyFont="1" applyFill="1" applyBorder="1" applyAlignment="1">
      <alignment horizontal="center"/>
    </xf>
    <xf numFmtId="4" fontId="1" fillId="15" borderId="132" xfId="0" applyNumberFormat="1" applyFont="1" applyFill="1" applyBorder="1" applyAlignment="1">
      <alignment horizontal="center"/>
    </xf>
    <xf numFmtId="169" fontId="1" fillId="18" borderId="44" xfId="3" applyNumberFormat="1" applyFont="1" applyFill="1" applyBorder="1" applyAlignment="1">
      <alignment horizontal="center"/>
    </xf>
    <xf numFmtId="4" fontId="1" fillId="29" borderId="98" xfId="0" applyNumberFormat="1" applyFont="1" applyFill="1" applyBorder="1" applyAlignment="1">
      <alignment horizontal="center"/>
    </xf>
    <xf numFmtId="169" fontId="1" fillId="29" borderId="96" xfId="3" applyNumberFormat="1" applyFont="1" applyFill="1" applyBorder="1" applyAlignment="1">
      <alignment horizontal="center"/>
    </xf>
    <xf numFmtId="2" fontId="1" fillId="30" borderId="31" xfId="0" applyNumberFormat="1" applyFont="1" applyFill="1" applyBorder="1" applyAlignment="1">
      <alignment horizontal="center"/>
    </xf>
    <xf numFmtId="2" fontId="1" fillId="30" borderId="28" xfId="0" applyNumberFormat="1" applyFont="1" applyFill="1" applyBorder="1" applyAlignment="1">
      <alignment horizontal="center"/>
    </xf>
    <xf numFmtId="0" fontId="1" fillId="30" borderId="28" xfId="0" applyFont="1" applyFill="1" applyBorder="1" applyAlignment="1">
      <alignment horizontal="center"/>
    </xf>
    <xf numFmtId="0" fontId="1" fillId="30" borderId="29" xfId="0" applyFont="1" applyFill="1" applyBorder="1" applyAlignment="1">
      <alignment horizontal="center"/>
    </xf>
    <xf numFmtId="0" fontId="1" fillId="18" borderId="31" xfId="0" applyFont="1" applyFill="1" applyBorder="1" applyAlignment="1">
      <alignment horizontal="center"/>
    </xf>
    <xf numFmtId="0" fontId="1" fillId="18" borderId="28" xfId="0" applyFont="1" applyFill="1" applyBorder="1" applyAlignment="1">
      <alignment horizontal="center"/>
    </xf>
    <xf numFmtId="0" fontId="1" fillId="18" borderId="29" xfId="0" applyFont="1" applyFill="1" applyBorder="1" applyAlignment="1">
      <alignment horizontal="center"/>
    </xf>
    <xf numFmtId="0" fontId="1" fillId="18" borderId="38" xfId="0" applyFont="1" applyFill="1" applyBorder="1" applyAlignment="1">
      <alignment horizontal="center"/>
    </xf>
    <xf numFmtId="0" fontId="1" fillId="18" borderId="35" xfId="0" applyFont="1" applyFill="1" applyBorder="1" applyAlignment="1">
      <alignment horizontal="center"/>
    </xf>
    <xf numFmtId="0" fontId="1" fillId="18" borderId="36" xfId="0" applyFont="1" applyFill="1" applyBorder="1" applyAlignment="1">
      <alignment horizontal="center"/>
    </xf>
    <xf numFmtId="0" fontId="1" fillId="18" borderId="22" xfId="0" applyFont="1" applyFill="1" applyBorder="1" applyAlignment="1">
      <alignment horizontal="center"/>
    </xf>
    <xf numFmtId="0" fontId="1" fillId="18" borderId="24" xfId="0" applyFont="1" applyFill="1" applyBorder="1" applyAlignment="1">
      <alignment horizontal="center"/>
    </xf>
    <xf numFmtId="164" fontId="1" fillId="18" borderId="31" xfId="0" applyNumberFormat="1" applyFont="1" applyFill="1" applyBorder="1" applyAlignment="1">
      <alignment horizontal="center"/>
    </xf>
    <xf numFmtId="164" fontId="1" fillId="18" borderId="38" xfId="0" applyNumberFormat="1" applyFont="1" applyFill="1" applyBorder="1" applyAlignment="1">
      <alignment horizontal="center"/>
    </xf>
    <xf numFmtId="2" fontId="1" fillId="30" borderId="81" xfId="0" applyNumberFormat="1" applyFont="1" applyFill="1" applyBorder="1" applyAlignment="1">
      <alignment horizontal="center"/>
    </xf>
    <xf numFmtId="0" fontId="1" fillId="30" borderId="7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 wrapText="1"/>
    </xf>
    <xf numFmtId="0" fontId="2" fillId="0" borderId="201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2" xfId="0" applyFont="1" applyBorder="1" applyAlignment="1">
      <alignment horizontal="center"/>
    </xf>
    <xf numFmtId="0" fontId="2" fillId="0" borderId="171" xfId="0" applyFont="1" applyBorder="1" applyAlignment="1">
      <alignment horizontal="center"/>
    </xf>
    <xf numFmtId="0" fontId="2" fillId="2" borderId="10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4" fillId="0" borderId="116" xfId="0" applyFont="1" applyBorder="1" applyAlignment="1">
      <alignment horizontal="left"/>
    </xf>
    <xf numFmtId="0" fontId="4" fillId="0" borderId="65" xfId="0" applyFont="1" applyBorder="1" applyAlignment="1">
      <alignment horizontal="left"/>
    </xf>
    <xf numFmtId="0" fontId="4" fillId="0" borderId="93" xfId="0" applyFont="1" applyBorder="1" applyAlignment="1">
      <alignment horizontal="left"/>
    </xf>
    <xf numFmtId="0" fontId="4" fillId="2" borderId="116" xfId="0" applyFont="1" applyFill="1" applyBorder="1" applyAlignment="1">
      <alignment horizontal="left"/>
    </xf>
    <xf numFmtId="0" fontId="4" fillId="2" borderId="93" xfId="0" applyFont="1" applyFill="1" applyBorder="1" applyAlignment="1">
      <alignment horizontal="left"/>
    </xf>
    <xf numFmtId="0" fontId="2" fillId="0" borderId="123" xfId="0" applyFont="1" applyFill="1" applyBorder="1" applyAlignment="1">
      <alignment horizontal="center" wrapText="1"/>
    </xf>
    <xf numFmtId="0" fontId="2" fillId="0" borderId="125" xfId="0" applyFont="1" applyFill="1" applyBorder="1" applyAlignment="1">
      <alignment horizontal="center" wrapText="1"/>
    </xf>
    <xf numFmtId="0" fontId="2" fillId="12" borderId="3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2" fillId="12" borderId="5" xfId="0" applyFont="1" applyFill="1" applyBorder="1" applyAlignment="1">
      <alignment horizontal="left"/>
    </xf>
    <xf numFmtId="0" fontId="2" fillId="0" borderId="184" xfId="0" applyFont="1" applyBorder="1" applyAlignment="1">
      <alignment horizontal="left"/>
    </xf>
    <xf numFmtId="0" fontId="2" fillId="0" borderId="185" xfId="0" applyFont="1" applyBorder="1" applyAlignment="1">
      <alignment horizontal="left"/>
    </xf>
    <xf numFmtId="0" fontId="2" fillId="2" borderId="11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7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5" fillId="15" borderId="131" xfId="0" applyFont="1" applyFill="1" applyBorder="1" applyAlignment="1">
      <alignment horizontal="center" wrapText="1"/>
    </xf>
    <xf numFmtId="0" fontId="5" fillId="15" borderId="84" xfId="0" applyFont="1" applyFill="1" applyBorder="1" applyAlignment="1">
      <alignment horizontal="center" wrapText="1"/>
    </xf>
    <xf numFmtId="0" fontId="5" fillId="15" borderId="198" xfId="0" applyFont="1" applyFill="1" applyBorder="1" applyAlignment="1">
      <alignment horizontal="center" wrapText="1"/>
    </xf>
    <xf numFmtId="1" fontId="9" fillId="0" borderId="108" xfId="0" applyNumberFormat="1" applyFont="1" applyBorder="1" applyAlignment="1">
      <alignment horizontal="left" wrapText="1"/>
    </xf>
    <xf numFmtId="0" fontId="9" fillId="0" borderId="164" xfId="0" applyFont="1" applyBorder="1" applyAlignment="1">
      <alignment horizontal="left" wrapText="1"/>
    </xf>
    <xf numFmtId="0" fontId="9" fillId="0" borderId="202" xfId="0" applyFont="1" applyBorder="1" applyAlignment="1">
      <alignment horizontal="left" wrapText="1"/>
    </xf>
    <xf numFmtId="0" fontId="4" fillId="2" borderId="205" xfId="0" applyFont="1" applyFill="1" applyBorder="1" applyAlignment="1">
      <alignment horizontal="center"/>
    </xf>
    <xf numFmtId="0" fontId="4" fillId="2" borderId="65" xfId="0" applyFont="1" applyFill="1" applyBorder="1" applyAlignment="1">
      <alignment horizontal="center"/>
    </xf>
    <xf numFmtId="0" fontId="4" fillId="2" borderId="93" xfId="0" applyFont="1" applyFill="1" applyBorder="1" applyAlignment="1">
      <alignment horizontal="center"/>
    </xf>
    <xf numFmtId="1" fontId="9" fillId="0" borderId="134" xfId="0" applyNumberFormat="1" applyFont="1" applyBorder="1" applyAlignment="1">
      <alignment horizontal="center" wrapText="1"/>
    </xf>
    <xf numFmtId="1" fontId="9" fillId="0" borderId="84" xfId="0" applyNumberFormat="1" applyFont="1" applyBorder="1" applyAlignment="1">
      <alignment horizontal="center" wrapText="1"/>
    </xf>
    <xf numFmtId="1" fontId="9" fillId="0" borderId="127" xfId="0" applyNumberFormat="1" applyFont="1" applyBorder="1" applyAlignment="1">
      <alignment horizontal="center" wrapText="1"/>
    </xf>
    <xf numFmtId="0" fontId="4" fillId="2" borderId="65" xfId="0" applyFont="1" applyFill="1" applyBorder="1" applyAlignment="1">
      <alignment horizontal="left"/>
    </xf>
    <xf numFmtId="0" fontId="4" fillId="2" borderId="108" xfId="0" applyFont="1" applyFill="1" applyBorder="1" applyAlignment="1">
      <alignment horizontal="left"/>
    </xf>
    <xf numFmtId="0" fontId="4" fillId="2" borderId="111" xfId="0" applyFont="1" applyFill="1" applyBorder="1" applyAlignment="1">
      <alignment horizontal="left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2" fillId="15" borderId="203" xfId="0" applyFont="1" applyFill="1" applyBorder="1" applyAlignment="1">
      <alignment horizontal="center" wrapText="1"/>
    </xf>
    <xf numFmtId="0" fontId="2" fillId="15" borderId="170" xfId="0" applyFont="1" applyFill="1" applyBorder="1" applyAlignment="1">
      <alignment horizontal="center" wrapText="1"/>
    </xf>
    <xf numFmtId="0" fontId="2" fillId="15" borderId="204" xfId="0" applyFont="1" applyFill="1" applyBorder="1" applyAlignment="1">
      <alignment horizontal="center" wrapText="1"/>
    </xf>
    <xf numFmtId="1" fontId="9" fillId="0" borderId="73" xfId="0" applyNumberFormat="1" applyFont="1" applyBorder="1" applyAlignment="1">
      <alignment horizontal="left"/>
    </xf>
    <xf numFmtId="0" fontId="9" fillId="0" borderId="68" xfId="0" applyFont="1" applyBorder="1" applyAlignment="1">
      <alignment horizontal="left"/>
    </xf>
    <xf numFmtId="0" fontId="9" fillId="0" borderId="72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2" fillId="0" borderId="76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9" fontId="5" fillId="15" borderId="21" xfId="3" applyFont="1" applyFill="1" applyBorder="1" applyAlignment="1">
      <alignment horizontal="left"/>
    </xf>
    <xf numFmtId="9" fontId="5" fillId="15" borderId="79" xfId="3" applyFont="1" applyFill="1" applyBorder="1" applyAlignment="1">
      <alignment horizontal="left"/>
    </xf>
    <xf numFmtId="9" fontId="5" fillId="15" borderId="80" xfId="3" applyFont="1" applyFill="1" applyBorder="1" applyAlignment="1">
      <alignment horizontal="left"/>
    </xf>
    <xf numFmtId="1" fontId="9" fillId="0" borderId="164" xfId="0" applyNumberFormat="1" applyFont="1" applyBorder="1" applyAlignment="1">
      <alignment horizontal="left" wrapText="1"/>
    </xf>
    <xf numFmtId="0" fontId="4" fillId="2" borderId="206" xfId="0" applyFont="1" applyFill="1" applyBorder="1" applyAlignment="1">
      <alignment horizontal="left"/>
    </xf>
    <xf numFmtId="172" fontId="11" fillId="0" borderId="108" xfId="0" applyNumberFormat="1" applyFont="1" applyBorder="1" applyAlignment="1">
      <alignment horizontal="left"/>
    </xf>
    <xf numFmtId="172" fontId="11" fillId="0" borderId="164" xfId="0" applyNumberFormat="1" applyFont="1" applyBorder="1" applyAlignment="1">
      <alignment horizontal="left"/>
    </xf>
    <xf numFmtId="172" fontId="11" fillId="0" borderId="202" xfId="0" applyNumberFormat="1" applyFont="1" applyBorder="1" applyAlignment="1">
      <alignment horizontal="left"/>
    </xf>
    <xf numFmtId="172" fontId="11" fillId="0" borderId="76" xfId="0" applyNumberFormat="1" applyFont="1" applyBorder="1" applyAlignment="1">
      <alignment horizontal="left"/>
    </xf>
    <xf numFmtId="172" fontId="11" fillId="0" borderId="71" xfId="0" applyNumberFormat="1" applyFont="1" applyBorder="1" applyAlignment="1">
      <alignment horizontal="left"/>
    </xf>
    <xf numFmtId="172" fontId="11" fillId="0" borderId="77" xfId="0" applyNumberFormat="1" applyFont="1" applyBorder="1" applyAlignment="1">
      <alignment horizontal="left"/>
    </xf>
    <xf numFmtId="0" fontId="2" fillId="2" borderId="201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01" xfId="0" applyFont="1" applyFill="1" applyBorder="1" applyAlignment="1">
      <alignment horizontal="center"/>
    </xf>
    <xf numFmtId="0" fontId="2" fillId="0" borderId="46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145" xfId="0" applyFont="1" applyBorder="1" applyAlignment="1">
      <alignment horizontal="center" vertical="center"/>
    </xf>
    <xf numFmtId="0" fontId="2" fillId="0" borderId="128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207" xfId="0" applyFont="1" applyBorder="1" applyAlignment="1">
      <alignment horizontal="center" vertical="center"/>
    </xf>
    <xf numFmtId="0" fontId="2" fillId="2" borderId="94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2" borderId="188" xfId="0" applyFont="1" applyFill="1" applyBorder="1" applyAlignment="1">
      <alignment horizontal="center" vertical="center"/>
    </xf>
    <xf numFmtId="0" fontId="2" fillId="2" borderId="71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11" fillId="0" borderId="76" xfId="0" applyFont="1" applyBorder="1" applyAlignment="1">
      <alignment horizontal="left"/>
    </xf>
    <xf numFmtId="0" fontId="11" fillId="0" borderId="71" xfId="0" applyFont="1" applyBorder="1" applyAlignment="1">
      <alignment horizontal="left"/>
    </xf>
    <xf numFmtId="0" fontId="11" fillId="0" borderId="77" xfId="0" applyFont="1" applyBorder="1" applyAlignment="1">
      <alignment horizontal="left"/>
    </xf>
    <xf numFmtId="3" fontId="11" fillId="0" borderId="108" xfId="0" applyNumberFormat="1" applyFont="1" applyBorder="1" applyAlignment="1">
      <alignment horizontal="left"/>
    </xf>
    <xf numFmtId="3" fontId="11" fillId="0" borderId="164" xfId="0" applyNumberFormat="1" applyFont="1" applyBorder="1" applyAlignment="1">
      <alignment horizontal="left"/>
    </xf>
    <xf numFmtId="0" fontId="0" fillId="2" borderId="57" xfId="0" applyFill="1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2" borderId="59" xfId="0" applyFill="1" applyBorder="1" applyAlignment="1">
      <alignment horizontal="center"/>
    </xf>
    <xf numFmtId="0" fontId="0" fillId="2" borderId="6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2" borderId="61" xfId="0" applyFill="1" applyBorder="1" applyAlignment="1">
      <alignment horizontal="center"/>
    </xf>
    <xf numFmtId="0" fontId="0" fillId="2" borderId="208" xfId="0" applyFill="1" applyBorder="1" applyAlignment="1">
      <alignment horizontal="center"/>
    </xf>
    <xf numFmtId="0" fontId="0" fillId="2" borderId="63" xfId="0" applyFill="1" applyBorder="1" applyAlignment="1">
      <alignment horizontal="center"/>
    </xf>
    <xf numFmtId="0" fontId="0" fillId="2" borderId="64" xfId="0" applyFill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4" fillId="2" borderId="116" xfId="0" applyFont="1" applyFill="1" applyBorder="1" applyAlignment="1">
      <alignment horizontal="center"/>
    </xf>
    <xf numFmtId="0" fontId="2" fillId="0" borderId="45" xfId="0" applyFont="1" applyBorder="1" applyAlignment="1">
      <alignment horizontal="center" vertical="center"/>
    </xf>
    <xf numFmtId="0" fontId="2" fillId="0" borderId="121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11" fillId="0" borderId="210" xfId="0" applyFont="1" applyBorder="1" applyAlignment="1">
      <alignment horizontal="center"/>
    </xf>
    <xf numFmtId="0" fontId="11" fillId="0" borderId="104" xfId="0" applyFont="1" applyBorder="1" applyAlignment="1">
      <alignment horizontal="center"/>
    </xf>
    <xf numFmtId="0" fontId="11" fillId="0" borderId="21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92" xfId="0" applyFont="1" applyBorder="1" applyAlignment="1">
      <alignment horizontal="center"/>
    </xf>
    <xf numFmtId="0" fontId="11" fillId="0" borderId="170" xfId="0" applyFont="1" applyBorder="1" applyAlignment="1">
      <alignment horizontal="center"/>
    </xf>
    <xf numFmtId="0" fontId="11" fillId="0" borderId="212" xfId="0" applyFont="1" applyBorder="1" applyAlignment="1">
      <alignment horizontal="center"/>
    </xf>
    <xf numFmtId="164" fontId="16" fillId="15" borderId="50" xfId="3" applyNumberFormat="1" applyFont="1" applyFill="1" applyBorder="1" applyAlignment="1">
      <alignment horizontal="center"/>
    </xf>
    <xf numFmtId="164" fontId="16" fillId="15" borderId="167" xfId="3" applyNumberFormat="1" applyFont="1" applyFill="1" applyBorder="1" applyAlignment="1">
      <alignment horizontal="center"/>
    </xf>
    <xf numFmtId="164" fontId="2" fillId="15" borderId="203" xfId="3" applyNumberFormat="1" applyFont="1" applyFill="1" applyBorder="1" applyAlignment="1">
      <alignment horizontal="center" vertical="center" wrapText="1"/>
    </xf>
    <xf numFmtId="164" fontId="2" fillId="15" borderId="213" xfId="3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61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11" fillId="0" borderId="61" xfId="0" applyFont="1" applyBorder="1" applyAlignment="1">
      <alignment horizontal="center" wrapText="1"/>
    </xf>
    <xf numFmtId="164" fontId="2" fillId="18" borderId="50" xfId="3" applyNumberFormat="1" applyFont="1" applyFill="1" applyBorder="1" applyAlignment="1">
      <alignment horizontal="center" vertical="center"/>
    </xf>
    <xf numFmtId="164" fontId="2" fillId="18" borderId="159" xfId="3" applyNumberFormat="1" applyFont="1" applyFill="1" applyBorder="1" applyAlignment="1">
      <alignment horizontal="center" vertical="center"/>
    </xf>
    <xf numFmtId="9" fontId="2" fillId="18" borderId="167" xfId="3" applyFont="1" applyFill="1" applyBorder="1" applyAlignment="1">
      <alignment horizontal="center" vertical="center"/>
    </xf>
    <xf numFmtId="9" fontId="2" fillId="18" borderId="168" xfId="3" applyFont="1" applyFill="1" applyBorder="1" applyAlignment="1">
      <alignment horizontal="center" vertical="center"/>
    </xf>
    <xf numFmtId="0" fontId="1" fillId="0" borderId="68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 wrapText="1"/>
    </xf>
    <xf numFmtId="0" fontId="2" fillId="0" borderId="178" xfId="0" applyFont="1" applyBorder="1" applyAlignment="1">
      <alignment horizontal="center"/>
    </xf>
    <xf numFmtId="172" fontId="11" fillId="0" borderId="76" xfId="0" applyNumberFormat="1" applyFont="1" applyBorder="1" applyAlignment="1">
      <alignment horizontal="center"/>
    </xf>
    <xf numFmtId="172" fontId="11" fillId="0" borderId="71" xfId="0" applyNumberFormat="1" applyFont="1" applyBorder="1" applyAlignment="1">
      <alignment horizontal="center"/>
    </xf>
    <xf numFmtId="172" fontId="11" fillId="0" borderId="77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58" xfId="0" applyFont="1" applyBorder="1" applyAlignment="1">
      <alignment horizontal="center" wrapText="1"/>
    </xf>
    <xf numFmtId="0" fontId="2" fillId="0" borderId="68" xfId="0" applyFont="1" applyBorder="1" applyAlignment="1">
      <alignment horizontal="center" wrapText="1"/>
    </xf>
    <xf numFmtId="0" fontId="2" fillId="2" borderId="147" xfId="0" applyFont="1" applyFill="1" applyBorder="1" applyAlignment="1">
      <alignment horizontal="center" wrapText="1"/>
    </xf>
    <xf numFmtId="0" fontId="2" fillId="2" borderId="82" xfId="0" applyFont="1" applyFill="1" applyBorder="1" applyAlignment="1">
      <alignment horizontal="center" wrapText="1"/>
    </xf>
    <xf numFmtId="0" fontId="2" fillId="0" borderId="76" xfId="0" applyFont="1" applyBorder="1" applyAlignment="1">
      <alignment horizontal="right"/>
    </xf>
    <xf numFmtId="0" fontId="2" fillId="0" borderId="30" xfId="0" applyFont="1" applyBorder="1" applyAlignment="1">
      <alignment horizontal="right"/>
    </xf>
    <xf numFmtId="0" fontId="12" fillId="0" borderId="69" xfId="0" applyFont="1" applyBorder="1" applyAlignment="1">
      <alignment horizontal="center"/>
    </xf>
    <xf numFmtId="0" fontId="12" fillId="0" borderId="80" xfId="0" applyFont="1" applyBorder="1" applyAlignment="1">
      <alignment horizontal="center"/>
    </xf>
    <xf numFmtId="0" fontId="11" fillId="16" borderId="76" xfId="0" applyFont="1" applyFill="1" applyBorder="1" applyAlignment="1">
      <alignment horizontal="left"/>
    </xf>
    <xf numFmtId="0" fontId="11" fillId="16" borderId="77" xfId="0" applyFont="1" applyFill="1" applyBorder="1" applyAlignment="1">
      <alignment horizontal="left"/>
    </xf>
    <xf numFmtId="0" fontId="4" fillId="0" borderId="116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4" fillId="0" borderId="93" xfId="0" applyFont="1" applyBorder="1" applyAlignment="1">
      <alignment horizontal="center"/>
    </xf>
    <xf numFmtId="0" fontId="4" fillId="0" borderId="116" xfId="0" applyFont="1" applyFill="1" applyBorder="1" applyAlignment="1">
      <alignment horizontal="center"/>
    </xf>
    <xf numFmtId="0" fontId="4" fillId="0" borderId="65" xfId="0" applyFont="1" applyFill="1" applyBorder="1" applyAlignment="1">
      <alignment horizontal="center"/>
    </xf>
    <xf numFmtId="0" fontId="4" fillId="0" borderId="93" xfId="0" applyFont="1" applyFill="1" applyBorder="1" applyAlignment="1">
      <alignment horizontal="center"/>
    </xf>
    <xf numFmtId="0" fontId="11" fillId="0" borderId="27" xfId="0" applyFont="1" applyFill="1" applyBorder="1" applyAlignment="1">
      <alignment horizontal="center"/>
    </xf>
    <xf numFmtId="0" fontId="11" fillId="0" borderId="77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center"/>
    </xf>
    <xf numFmtId="0" fontId="6" fillId="2" borderId="209" xfId="0" applyFont="1" applyFill="1" applyBorder="1" applyAlignment="1">
      <alignment horizontal="center"/>
    </xf>
    <xf numFmtId="0" fontId="2" fillId="2" borderId="186" xfId="0" applyFont="1" applyFill="1" applyBorder="1" applyAlignment="1">
      <alignment horizontal="center"/>
    </xf>
    <xf numFmtId="0" fontId="2" fillId="2" borderId="189" xfId="0" applyFont="1" applyFill="1" applyBorder="1" applyAlignment="1">
      <alignment horizontal="center"/>
    </xf>
    <xf numFmtId="0" fontId="2" fillId="2" borderId="184" xfId="0" applyFont="1" applyFill="1" applyBorder="1" applyAlignment="1">
      <alignment horizontal="center"/>
    </xf>
    <xf numFmtId="0" fontId="2" fillId="2" borderId="185" xfId="0" applyFont="1" applyFill="1" applyBorder="1" applyAlignment="1">
      <alignment horizontal="center"/>
    </xf>
    <xf numFmtId="0" fontId="2" fillId="0" borderId="16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164" fontId="11" fillId="0" borderId="6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1" fillId="0" borderId="61" xfId="0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1" xfId="0" applyFont="1" applyFill="1" applyBorder="1" applyAlignment="1">
      <alignment horizontal="center"/>
    </xf>
    <xf numFmtId="0" fontId="11" fillId="0" borderId="78" xfId="0" applyFont="1" applyBorder="1" applyAlignment="1">
      <alignment horizontal="left"/>
    </xf>
    <xf numFmtId="0" fontId="11" fillId="0" borderId="58" xfId="0" applyFont="1" applyBorder="1" applyAlignment="1">
      <alignment horizontal="left"/>
    </xf>
    <xf numFmtId="0" fontId="11" fillId="0" borderId="59" xfId="0" applyFont="1" applyBorder="1" applyAlignment="1">
      <alignment horizontal="left"/>
    </xf>
    <xf numFmtId="0" fontId="2" fillId="15" borderId="28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5" fillId="0" borderId="38" xfId="0" applyFont="1" applyFill="1" applyBorder="1" applyAlignment="1">
      <alignment horizontal="center"/>
    </xf>
    <xf numFmtId="0" fontId="5" fillId="0" borderId="35" xfId="0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/>
    </xf>
    <xf numFmtId="0" fontId="7" fillId="2" borderId="116" xfId="0" applyFont="1" applyFill="1" applyBorder="1" applyAlignment="1">
      <alignment horizontal="center"/>
    </xf>
    <xf numFmtId="0" fontId="7" fillId="2" borderId="65" xfId="0" applyFont="1" applyFill="1" applyBorder="1" applyAlignment="1">
      <alignment horizontal="center"/>
    </xf>
    <xf numFmtId="0" fontId="7" fillId="2" borderId="93" xfId="0" applyFont="1" applyFill="1" applyBorder="1" applyAlignment="1">
      <alignment horizontal="center"/>
    </xf>
    <xf numFmtId="0" fontId="2" fillId="0" borderId="144" xfId="0" applyFont="1" applyBorder="1" applyAlignment="1">
      <alignment horizontal="right" vertical="center"/>
    </xf>
    <xf numFmtId="0" fontId="2" fillId="0" borderId="155" xfId="0" applyFont="1" applyBorder="1" applyAlignment="1">
      <alignment horizontal="right" vertical="center"/>
    </xf>
    <xf numFmtId="43" fontId="1" fillId="0" borderId="178" xfId="3" applyNumberFormat="1" applyFont="1" applyBorder="1"/>
  </cellXfs>
  <cellStyles count="4">
    <cellStyle name="Comma" xfId="1" builtinId="3"/>
    <cellStyle name="Normal" xfId="0" builtinId="0"/>
    <cellStyle name="Normal 2" xfId="2"/>
    <cellStyle name="Percent" xfId="3" builtinId="5"/>
  </cellStyles>
  <dxfs count="17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49</xdr:row>
      <xdr:rowOff>0</xdr:rowOff>
    </xdr:from>
    <xdr:to>
      <xdr:col>2</xdr:col>
      <xdr:colOff>571500</xdr:colOff>
      <xdr:row>50</xdr:row>
      <xdr:rowOff>0</xdr:rowOff>
    </xdr:to>
    <xdr:sp macro="" textlink="">
      <xdr:nvSpPr>
        <xdr:cNvPr id="23608" name="Text Box 1"/>
        <xdr:cNvSpPr txBox="1">
          <a:spLocks noChangeArrowheads="1"/>
        </xdr:cNvSpPr>
      </xdr:nvSpPr>
      <xdr:spPr bwMode="auto">
        <a:xfrm>
          <a:off x="2905125" y="9896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495300</xdr:colOff>
      <xdr:row>49</xdr:row>
      <xdr:rowOff>0</xdr:rowOff>
    </xdr:from>
    <xdr:to>
      <xdr:col>3</xdr:col>
      <xdr:colOff>571500</xdr:colOff>
      <xdr:row>50</xdr:row>
      <xdr:rowOff>0</xdr:rowOff>
    </xdr:to>
    <xdr:sp macro="" textlink="">
      <xdr:nvSpPr>
        <xdr:cNvPr id="23609" name="Text Box 2"/>
        <xdr:cNvSpPr txBox="1">
          <a:spLocks noChangeArrowheads="1"/>
        </xdr:cNvSpPr>
      </xdr:nvSpPr>
      <xdr:spPr bwMode="auto">
        <a:xfrm>
          <a:off x="4038600" y="9896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495300</xdr:colOff>
      <xdr:row>49</xdr:row>
      <xdr:rowOff>0</xdr:rowOff>
    </xdr:from>
    <xdr:to>
      <xdr:col>4</xdr:col>
      <xdr:colOff>571500</xdr:colOff>
      <xdr:row>50</xdr:row>
      <xdr:rowOff>0</xdr:rowOff>
    </xdr:to>
    <xdr:sp macro="" textlink="">
      <xdr:nvSpPr>
        <xdr:cNvPr id="23610" name="Text Box 3"/>
        <xdr:cNvSpPr txBox="1">
          <a:spLocks noChangeArrowheads="1"/>
        </xdr:cNvSpPr>
      </xdr:nvSpPr>
      <xdr:spPr bwMode="auto">
        <a:xfrm>
          <a:off x="5200650" y="9896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495300</xdr:colOff>
      <xdr:row>49</xdr:row>
      <xdr:rowOff>0</xdr:rowOff>
    </xdr:from>
    <xdr:to>
      <xdr:col>5</xdr:col>
      <xdr:colOff>571500</xdr:colOff>
      <xdr:row>50</xdr:row>
      <xdr:rowOff>0</xdr:rowOff>
    </xdr:to>
    <xdr:sp macro="" textlink="">
      <xdr:nvSpPr>
        <xdr:cNvPr id="23611" name="Text Box 4"/>
        <xdr:cNvSpPr txBox="1">
          <a:spLocks noChangeArrowheads="1"/>
        </xdr:cNvSpPr>
      </xdr:nvSpPr>
      <xdr:spPr bwMode="auto">
        <a:xfrm>
          <a:off x="6362700" y="9896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495300</xdr:colOff>
      <xdr:row>49</xdr:row>
      <xdr:rowOff>0</xdr:rowOff>
    </xdr:from>
    <xdr:to>
      <xdr:col>3</xdr:col>
      <xdr:colOff>571500</xdr:colOff>
      <xdr:row>50</xdr:row>
      <xdr:rowOff>0</xdr:rowOff>
    </xdr:to>
    <xdr:sp macro="" textlink="">
      <xdr:nvSpPr>
        <xdr:cNvPr id="23612" name="Text Box 6"/>
        <xdr:cNvSpPr txBox="1">
          <a:spLocks noChangeArrowheads="1"/>
        </xdr:cNvSpPr>
      </xdr:nvSpPr>
      <xdr:spPr bwMode="auto">
        <a:xfrm>
          <a:off x="4038600" y="9896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76200</xdr:colOff>
      <xdr:row>50</xdr:row>
      <xdr:rowOff>0</xdr:rowOff>
    </xdr:to>
    <xdr:sp macro="" textlink="">
      <xdr:nvSpPr>
        <xdr:cNvPr id="23613" name="Text Box 8"/>
        <xdr:cNvSpPr txBox="1">
          <a:spLocks noChangeArrowheads="1"/>
        </xdr:cNvSpPr>
      </xdr:nvSpPr>
      <xdr:spPr bwMode="auto">
        <a:xfrm>
          <a:off x="7058025" y="9896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495300</xdr:colOff>
      <xdr:row>56</xdr:row>
      <xdr:rowOff>0</xdr:rowOff>
    </xdr:from>
    <xdr:to>
      <xdr:col>2</xdr:col>
      <xdr:colOff>571500</xdr:colOff>
      <xdr:row>57</xdr:row>
      <xdr:rowOff>0</xdr:rowOff>
    </xdr:to>
    <xdr:sp macro="" textlink="">
      <xdr:nvSpPr>
        <xdr:cNvPr id="23614" name="Text Box 9"/>
        <xdr:cNvSpPr txBox="1">
          <a:spLocks noChangeArrowheads="1"/>
        </xdr:cNvSpPr>
      </xdr:nvSpPr>
      <xdr:spPr bwMode="auto">
        <a:xfrm>
          <a:off x="2905125" y="11915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495300</xdr:colOff>
      <xdr:row>56</xdr:row>
      <xdr:rowOff>0</xdr:rowOff>
    </xdr:from>
    <xdr:to>
      <xdr:col>3</xdr:col>
      <xdr:colOff>571500</xdr:colOff>
      <xdr:row>57</xdr:row>
      <xdr:rowOff>0</xdr:rowOff>
    </xdr:to>
    <xdr:sp macro="" textlink="">
      <xdr:nvSpPr>
        <xdr:cNvPr id="23615" name="Text Box 10"/>
        <xdr:cNvSpPr txBox="1">
          <a:spLocks noChangeArrowheads="1"/>
        </xdr:cNvSpPr>
      </xdr:nvSpPr>
      <xdr:spPr bwMode="auto">
        <a:xfrm>
          <a:off x="4038600" y="11915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23616" name="Text Box 11"/>
        <xdr:cNvSpPr txBox="1">
          <a:spLocks noChangeArrowheads="1"/>
        </xdr:cNvSpPr>
      </xdr:nvSpPr>
      <xdr:spPr bwMode="auto">
        <a:xfrm>
          <a:off x="4705350" y="11915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495300</xdr:colOff>
      <xdr:row>56</xdr:row>
      <xdr:rowOff>0</xdr:rowOff>
    </xdr:from>
    <xdr:to>
      <xdr:col>3</xdr:col>
      <xdr:colOff>571500</xdr:colOff>
      <xdr:row>57</xdr:row>
      <xdr:rowOff>0</xdr:rowOff>
    </xdr:to>
    <xdr:sp macro="" textlink="">
      <xdr:nvSpPr>
        <xdr:cNvPr id="23617" name="Text Box 13"/>
        <xdr:cNvSpPr txBox="1">
          <a:spLocks noChangeArrowheads="1"/>
        </xdr:cNvSpPr>
      </xdr:nvSpPr>
      <xdr:spPr bwMode="auto">
        <a:xfrm>
          <a:off x="4038600" y="11915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76200</xdr:colOff>
      <xdr:row>57</xdr:row>
      <xdr:rowOff>0</xdr:rowOff>
    </xdr:to>
    <xdr:sp macro="" textlink="">
      <xdr:nvSpPr>
        <xdr:cNvPr id="23618" name="Text Box 14"/>
        <xdr:cNvSpPr txBox="1">
          <a:spLocks noChangeArrowheads="1"/>
        </xdr:cNvSpPr>
      </xdr:nvSpPr>
      <xdr:spPr bwMode="auto">
        <a:xfrm>
          <a:off x="4705350" y="11915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54</xdr:row>
      <xdr:rowOff>38100</xdr:rowOff>
    </xdr:from>
    <xdr:to>
      <xdr:col>4</xdr:col>
      <xdr:colOff>76200</xdr:colOff>
      <xdr:row>55</xdr:row>
      <xdr:rowOff>47625</xdr:rowOff>
    </xdr:to>
    <xdr:sp macro="" textlink="">
      <xdr:nvSpPr>
        <xdr:cNvPr id="23619" name="Text Box 15"/>
        <xdr:cNvSpPr txBox="1">
          <a:spLocks noChangeArrowheads="1"/>
        </xdr:cNvSpPr>
      </xdr:nvSpPr>
      <xdr:spPr bwMode="auto">
        <a:xfrm>
          <a:off x="4705350" y="11572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66675</xdr:colOff>
      <xdr:row>42</xdr:row>
      <xdr:rowOff>76200</xdr:rowOff>
    </xdr:from>
    <xdr:to>
      <xdr:col>4</xdr:col>
      <xdr:colOff>142875</xdr:colOff>
      <xdr:row>43</xdr:row>
      <xdr:rowOff>9525</xdr:rowOff>
    </xdr:to>
    <xdr:sp macro="" textlink="">
      <xdr:nvSpPr>
        <xdr:cNvPr id="23620" name="Text Box 16"/>
        <xdr:cNvSpPr txBox="1">
          <a:spLocks noChangeArrowheads="1"/>
        </xdr:cNvSpPr>
      </xdr:nvSpPr>
      <xdr:spPr bwMode="auto">
        <a:xfrm>
          <a:off x="4772025" y="86391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495300</xdr:colOff>
      <xdr:row>56</xdr:row>
      <xdr:rowOff>0</xdr:rowOff>
    </xdr:from>
    <xdr:to>
      <xdr:col>3</xdr:col>
      <xdr:colOff>571500</xdr:colOff>
      <xdr:row>57</xdr:row>
      <xdr:rowOff>0</xdr:rowOff>
    </xdr:to>
    <xdr:sp macro="" textlink="">
      <xdr:nvSpPr>
        <xdr:cNvPr id="23621" name="Text Box 22"/>
        <xdr:cNvSpPr txBox="1">
          <a:spLocks noChangeArrowheads="1"/>
        </xdr:cNvSpPr>
      </xdr:nvSpPr>
      <xdr:spPr bwMode="auto">
        <a:xfrm>
          <a:off x="4038600" y="11915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52</xdr:row>
      <xdr:rowOff>0</xdr:rowOff>
    </xdr:from>
    <xdr:to>
      <xdr:col>6</xdr:col>
      <xdr:colOff>571500</xdr:colOff>
      <xdr:row>53</xdr:row>
      <xdr:rowOff>9525</xdr:rowOff>
    </xdr:to>
    <xdr:sp macro="" textlink="">
      <xdr:nvSpPr>
        <xdr:cNvPr id="24628" name="Text Box 1"/>
        <xdr:cNvSpPr txBox="1">
          <a:spLocks noChangeArrowheads="1"/>
        </xdr:cNvSpPr>
      </xdr:nvSpPr>
      <xdr:spPr bwMode="auto">
        <a:xfrm>
          <a:off x="8181975" y="110204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571500</xdr:colOff>
      <xdr:row>52</xdr:row>
      <xdr:rowOff>0</xdr:rowOff>
    </xdr:from>
    <xdr:to>
      <xdr:col>7</xdr:col>
      <xdr:colOff>647700</xdr:colOff>
      <xdr:row>53</xdr:row>
      <xdr:rowOff>9525</xdr:rowOff>
    </xdr:to>
    <xdr:sp macro="" textlink="">
      <xdr:nvSpPr>
        <xdr:cNvPr id="24629" name="Text Box 2"/>
        <xdr:cNvSpPr txBox="1">
          <a:spLocks noChangeArrowheads="1"/>
        </xdr:cNvSpPr>
      </xdr:nvSpPr>
      <xdr:spPr bwMode="auto">
        <a:xfrm>
          <a:off x="9420225" y="110204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495300</xdr:colOff>
      <xdr:row>49</xdr:row>
      <xdr:rowOff>0</xdr:rowOff>
    </xdr:from>
    <xdr:to>
      <xdr:col>3</xdr:col>
      <xdr:colOff>571500</xdr:colOff>
      <xdr:row>50</xdr:row>
      <xdr:rowOff>0</xdr:rowOff>
    </xdr:to>
    <xdr:sp macro="" textlink="">
      <xdr:nvSpPr>
        <xdr:cNvPr id="24630" name="Text Box 3"/>
        <xdr:cNvSpPr txBox="1">
          <a:spLocks noChangeArrowheads="1"/>
        </xdr:cNvSpPr>
      </xdr:nvSpPr>
      <xdr:spPr bwMode="auto">
        <a:xfrm>
          <a:off x="4695825" y="10429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495300</xdr:colOff>
      <xdr:row>49</xdr:row>
      <xdr:rowOff>0</xdr:rowOff>
    </xdr:from>
    <xdr:to>
      <xdr:col>4</xdr:col>
      <xdr:colOff>571500</xdr:colOff>
      <xdr:row>50</xdr:row>
      <xdr:rowOff>0</xdr:rowOff>
    </xdr:to>
    <xdr:sp macro="" textlink="">
      <xdr:nvSpPr>
        <xdr:cNvPr id="24631" name="Text Box 4"/>
        <xdr:cNvSpPr txBox="1">
          <a:spLocks noChangeArrowheads="1"/>
        </xdr:cNvSpPr>
      </xdr:nvSpPr>
      <xdr:spPr bwMode="auto">
        <a:xfrm>
          <a:off x="5857875" y="10429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495300</xdr:colOff>
      <xdr:row>49</xdr:row>
      <xdr:rowOff>0</xdr:rowOff>
    </xdr:from>
    <xdr:to>
      <xdr:col>5</xdr:col>
      <xdr:colOff>571500</xdr:colOff>
      <xdr:row>50</xdr:row>
      <xdr:rowOff>0</xdr:rowOff>
    </xdr:to>
    <xdr:sp macro="" textlink="">
      <xdr:nvSpPr>
        <xdr:cNvPr id="24632" name="Text Box 5"/>
        <xdr:cNvSpPr txBox="1">
          <a:spLocks noChangeArrowheads="1"/>
        </xdr:cNvSpPr>
      </xdr:nvSpPr>
      <xdr:spPr bwMode="auto">
        <a:xfrm>
          <a:off x="7019925" y="10429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495300</xdr:colOff>
      <xdr:row>52</xdr:row>
      <xdr:rowOff>0</xdr:rowOff>
    </xdr:from>
    <xdr:to>
      <xdr:col>4</xdr:col>
      <xdr:colOff>571500</xdr:colOff>
      <xdr:row>53</xdr:row>
      <xdr:rowOff>9525</xdr:rowOff>
    </xdr:to>
    <xdr:sp macro="" textlink="">
      <xdr:nvSpPr>
        <xdr:cNvPr id="24633" name="Text Box 6"/>
        <xdr:cNvSpPr txBox="1">
          <a:spLocks noChangeArrowheads="1"/>
        </xdr:cNvSpPr>
      </xdr:nvSpPr>
      <xdr:spPr bwMode="auto">
        <a:xfrm>
          <a:off x="5857875" y="110204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495300</xdr:colOff>
      <xdr:row>49</xdr:row>
      <xdr:rowOff>0</xdr:rowOff>
    </xdr:from>
    <xdr:to>
      <xdr:col>4</xdr:col>
      <xdr:colOff>571500</xdr:colOff>
      <xdr:row>50</xdr:row>
      <xdr:rowOff>0</xdr:rowOff>
    </xdr:to>
    <xdr:sp macro="" textlink="">
      <xdr:nvSpPr>
        <xdr:cNvPr id="24634" name="Text Box 7"/>
        <xdr:cNvSpPr txBox="1">
          <a:spLocks noChangeArrowheads="1"/>
        </xdr:cNvSpPr>
      </xdr:nvSpPr>
      <xdr:spPr bwMode="auto">
        <a:xfrm>
          <a:off x="5857875" y="10429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76200</xdr:colOff>
      <xdr:row>50</xdr:row>
      <xdr:rowOff>0</xdr:rowOff>
    </xdr:to>
    <xdr:sp macro="" textlink="">
      <xdr:nvSpPr>
        <xdr:cNvPr id="24635" name="Text Box 8"/>
        <xdr:cNvSpPr txBox="1">
          <a:spLocks noChangeArrowheads="1"/>
        </xdr:cNvSpPr>
      </xdr:nvSpPr>
      <xdr:spPr bwMode="auto">
        <a:xfrm>
          <a:off x="7686675" y="10429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495300</xdr:colOff>
      <xdr:row>57</xdr:row>
      <xdr:rowOff>0</xdr:rowOff>
    </xdr:from>
    <xdr:to>
      <xdr:col>3</xdr:col>
      <xdr:colOff>571500</xdr:colOff>
      <xdr:row>58</xdr:row>
      <xdr:rowOff>0</xdr:rowOff>
    </xdr:to>
    <xdr:sp macro="" textlink="">
      <xdr:nvSpPr>
        <xdr:cNvPr id="24636" name="Text Box 9"/>
        <xdr:cNvSpPr txBox="1">
          <a:spLocks noChangeArrowheads="1"/>
        </xdr:cNvSpPr>
      </xdr:nvSpPr>
      <xdr:spPr bwMode="auto">
        <a:xfrm>
          <a:off x="4695825" y="12334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24637" name="Text Box 10"/>
        <xdr:cNvSpPr txBox="1">
          <a:spLocks noChangeArrowheads="1"/>
        </xdr:cNvSpPr>
      </xdr:nvSpPr>
      <xdr:spPr bwMode="auto">
        <a:xfrm>
          <a:off x="5362575" y="12334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24638" name="Text Box 12"/>
        <xdr:cNvSpPr txBox="1">
          <a:spLocks noChangeArrowheads="1"/>
        </xdr:cNvSpPr>
      </xdr:nvSpPr>
      <xdr:spPr bwMode="auto">
        <a:xfrm>
          <a:off x="5362575" y="12334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55</xdr:row>
      <xdr:rowOff>38100</xdr:rowOff>
    </xdr:from>
    <xdr:to>
      <xdr:col>4</xdr:col>
      <xdr:colOff>76200</xdr:colOff>
      <xdr:row>56</xdr:row>
      <xdr:rowOff>47625</xdr:rowOff>
    </xdr:to>
    <xdr:sp macro="" textlink="">
      <xdr:nvSpPr>
        <xdr:cNvPr id="24639" name="Text Box 13"/>
        <xdr:cNvSpPr txBox="1">
          <a:spLocks noChangeArrowheads="1"/>
        </xdr:cNvSpPr>
      </xdr:nvSpPr>
      <xdr:spPr bwMode="auto">
        <a:xfrm>
          <a:off x="5362575" y="11991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66675</xdr:colOff>
      <xdr:row>42</xdr:row>
      <xdr:rowOff>76200</xdr:rowOff>
    </xdr:from>
    <xdr:to>
      <xdr:col>4</xdr:col>
      <xdr:colOff>142875</xdr:colOff>
      <xdr:row>43</xdr:row>
      <xdr:rowOff>9525</xdr:rowOff>
    </xdr:to>
    <xdr:sp macro="" textlink="">
      <xdr:nvSpPr>
        <xdr:cNvPr id="24640" name="Text Box 14"/>
        <xdr:cNvSpPr txBox="1">
          <a:spLocks noChangeArrowheads="1"/>
        </xdr:cNvSpPr>
      </xdr:nvSpPr>
      <xdr:spPr bwMode="auto">
        <a:xfrm>
          <a:off x="5429250" y="91725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52</xdr:row>
      <xdr:rowOff>0</xdr:rowOff>
    </xdr:from>
    <xdr:to>
      <xdr:col>6</xdr:col>
      <xdr:colOff>571500</xdr:colOff>
      <xdr:row>53</xdr:row>
      <xdr:rowOff>9525</xdr:rowOff>
    </xdr:to>
    <xdr:sp macro="" textlink="">
      <xdr:nvSpPr>
        <xdr:cNvPr id="25652" name="Text Box 1"/>
        <xdr:cNvSpPr txBox="1">
          <a:spLocks noChangeArrowheads="1"/>
        </xdr:cNvSpPr>
      </xdr:nvSpPr>
      <xdr:spPr bwMode="auto">
        <a:xfrm>
          <a:off x="8181975" y="110204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571500</xdr:colOff>
      <xdr:row>52</xdr:row>
      <xdr:rowOff>0</xdr:rowOff>
    </xdr:from>
    <xdr:to>
      <xdr:col>7</xdr:col>
      <xdr:colOff>647700</xdr:colOff>
      <xdr:row>53</xdr:row>
      <xdr:rowOff>9525</xdr:rowOff>
    </xdr:to>
    <xdr:sp macro="" textlink="">
      <xdr:nvSpPr>
        <xdr:cNvPr id="25653" name="Text Box 2"/>
        <xdr:cNvSpPr txBox="1">
          <a:spLocks noChangeArrowheads="1"/>
        </xdr:cNvSpPr>
      </xdr:nvSpPr>
      <xdr:spPr bwMode="auto">
        <a:xfrm>
          <a:off x="9420225" y="110204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495300</xdr:colOff>
      <xdr:row>49</xdr:row>
      <xdr:rowOff>0</xdr:rowOff>
    </xdr:from>
    <xdr:to>
      <xdr:col>3</xdr:col>
      <xdr:colOff>571500</xdr:colOff>
      <xdr:row>50</xdr:row>
      <xdr:rowOff>0</xdr:rowOff>
    </xdr:to>
    <xdr:sp macro="" textlink="">
      <xdr:nvSpPr>
        <xdr:cNvPr id="25654" name="Text Box 3"/>
        <xdr:cNvSpPr txBox="1">
          <a:spLocks noChangeArrowheads="1"/>
        </xdr:cNvSpPr>
      </xdr:nvSpPr>
      <xdr:spPr bwMode="auto">
        <a:xfrm>
          <a:off x="4695825" y="10429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495300</xdr:colOff>
      <xdr:row>49</xdr:row>
      <xdr:rowOff>0</xdr:rowOff>
    </xdr:from>
    <xdr:to>
      <xdr:col>4</xdr:col>
      <xdr:colOff>571500</xdr:colOff>
      <xdr:row>50</xdr:row>
      <xdr:rowOff>0</xdr:rowOff>
    </xdr:to>
    <xdr:sp macro="" textlink="">
      <xdr:nvSpPr>
        <xdr:cNvPr id="25655" name="Text Box 4"/>
        <xdr:cNvSpPr txBox="1">
          <a:spLocks noChangeArrowheads="1"/>
        </xdr:cNvSpPr>
      </xdr:nvSpPr>
      <xdr:spPr bwMode="auto">
        <a:xfrm>
          <a:off x="5857875" y="10429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495300</xdr:colOff>
      <xdr:row>49</xdr:row>
      <xdr:rowOff>0</xdr:rowOff>
    </xdr:from>
    <xdr:to>
      <xdr:col>5</xdr:col>
      <xdr:colOff>571500</xdr:colOff>
      <xdr:row>50</xdr:row>
      <xdr:rowOff>0</xdr:rowOff>
    </xdr:to>
    <xdr:sp macro="" textlink="">
      <xdr:nvSpPr>
        <xdr:cNvPr id="25656" name="Text Box 5"/>
        <xdr:cNvSpPr txBox="1">
          <a:spLocks noChangeArrowheads="1"/>
        </xdr:cNvSpPr>
      </xdr:nvSpPr>
      <xdr:spPr bwMode="auto">
        <a:xfrm>
          <a:off x="7019925" y="10429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495300</xdr:colOff>
      <xdr:row>52</xdr:row>
      <xdr:rowOff>0</xdr:rowOff>
    </xdr:from>
    <xdr:to>
      <xdr:col>4</xdr:col>
      <xdr:colOff>571500</xdr:colOff>
      <xdr:row>53</xdr:row>
      <xdr:rowOff>9525</xdr:rowOff>
    </xdr:to>
    <xdr:sp macro="" textlink="">
      <xdr:nvSpPr>
        <xdr:cNvPr id="25657" name="Text Box 6"/>
        <xdr:cNvSpPr txBox="1">
          <a:spLocks noChangeArrowheads="1"/>
        </xdr:cNvSpPr>
      </xdr:nvSpPr>
      <xdr:spPr bwMode="auto">
        <a:xfrm>
          <a:off x="5857875" y="110204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495300</xdr:colOff>
      <xdr:row>49</xdr:row>
      <xdr:rowOff>0</xdr:rowOff>
    </xdr:from>
    <xdr:to>
      <xdr:col>4</xdr:col>
      <xdr:colOff>571500</xdr:colOff>
      <xdr:row>50</xdr:row>
      <xdr:rowOff>0</xdr:rowOff>
    </xdr:to>
    <xdr:sp macro="" textlink="">
      <xdr:nvSpPr>
        <xdr:cNvPr id="25658" name="Text Box 7"/>
        <xdr:cNvSpPr txBox="1">
          <a:spLocks noChangeArrowheads="1"/>
        </xdr:cNvSpPr>
      </xdr:nvSpPr>
      <xdr:spPr bwMode="auto">
        <a:xfrm>
          <a:off x="5857875" y="10429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76200</xdr:colOff>
      <xdr:row>50</xdr:row>
      <xdr:rowOff>0</xdr:rowOff>
    </xdr:to>
    <xdr:sp macro="" textlink="">
      <xdr:nvSpPr>
        <xdr:cNvPr id="25659" name="Text Box 8"/>
        <xdr:cNvSpPr txBox="1">
          <a:spLocks noChangeArrowheads="1"/>
        </xdr:cNvSpPr>
      </xdr:nvSpPr>
      <xdr:spPr bwMode="auto">
        <a:xfrm>
          <a:off x="7686675" y="10429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495300</xdr:colOff>
      <xdr:row>57</xdr:row>
      <xdr:rowOff>0</xdr:rowOff>
    </xdr:from>
    <xdr:to>
      <xdr:col>3</xdr:col>
      <xdr:colOff>571500</xdr:colOff>
      <xdr:row>58</xdr:row>
      <xdr:rowOff>0</xdr:rowOff>
    </xdr:to>
    <xdr:sp macro="" textlink="">
      <xdr:nvSpPr>
        <xdr:cNvPr id="25660" name="Text Box 9"/>
        <xdr:cNvSpPr txBox="1">
          <a:spLocks noChangeArrowheads="1"/>
        </xdr:cNvSpPr>
      </xdr:nvSpPr>
      <xdr:spPr bwMode="auto">
        <a:xfrm>
          <a:off x="4695825" y="12334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25661" name="Text Box 10"/>
        <xdr:cNvSpPr txBox="1">
          <a:spLocks noChangeArrowheads="1"/>
        </xdr:cNvSpPr>
      </xdr:nvSpPr>
      <xdr:spPr bwMode="auto">
        <a:xfrm>
          <a:off x="5362575" y="12334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76200</xdr:colOff>
      <xdr:row>58</xdr:row>
      <xdr:rowOff>0</xdr:rowOff>
    </xdr:to>
    <xdr:sp macro="" textlink="">
      <xdr:nvSpPr>
        <xdr:cNvPr id="25662" name="Text Box 11"/>
        <xdr:cNvSpPr txBox="1">
          <a:spLocks noChangeArrowheads="1"/>
        </xdr:cNvSpPr>
      </xdr:nvSpPr>
      <xdr:spPr bwMode="auto">
        <a:xfrm>
          <a:off x="5362575" y="12334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55</xdr:row>
      <xdr:rowOff>38100</xdr:rowOff>
    </xdr:from>
    <xdr:to>
      <xdr:col>4</xdr:col>
      <xdr:colOff>76200</xdr:colOff>
      <xdr:row>56</xdr:row>
      <xdr:rowOff>47625</xdr:rowOff>
    </xdr:to>
    <xdr:sp macro="" textlink="">
      <xdr:nvSpPr>
        <xdr:cNvPr id="25663" name="Text Box 12"/>
        <xdr:cNvSpPr txBox="1">
          <a:spLocks noChangeArrowheads="1"/>
        </xdr:cNvSpPr>
      </xdr:nvSpPr>
      <xdr:spPr bwMode="auto">
        <a:xfrm>
          <a:off x="5362575" y="11991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66675</xdr:colOff>
      <xdr:row>42</xdr:row>
      <xdr:rowOff>76200</xdr:rowOff>
    </xdr:from>
    <xdr:to>
      <xdr:col>4</xdr:col>
      <xdr:colOff>142875</xdr:colOff>
      <xdr:row>43</xdr:row>
      <xdr:rowOff>9525</xdr:rowOff>
    </xdr:to>
    <xdr:sp macro="" textlink="">
      <xdr:nvSpPr>
        <xdr:cNvPr id="25664" name="Text Box 13"/>
        <xdr:cNvSpPr txBox="1">
          <a:spLocks noChangeArrowheads="1"/>
        </xdr:cNvSpPr>
      </xdr:nvSpPr>
      <xdr:spPr bwMode="auto">
        <a:xfrm>
          <a:off x="5429250" y="91725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65"/>
  <sheetViews>
    <sheetView topLeftCell="A22" workbookViewId="0">
      <selection activeCell="D42" sqref="D42:E42"/>
    </sheetView>
  </sheetViews>
  <sheetFormatPr defaultColWidth="9.1796875" defaultRowHeight="14.5" x14ac:dyDescent="0.25"/>
  <cols>
    <col min="1" max="1" width="28.81640625" style="1585" bestFit="1" customWidth="1"/>
    <col min="2" max="2" width="36.26953125" style="1585" customWidth="1"/>
    <col min="3" max="3" width="59.81640625" style="1585" customWidth="1"/>
    <col min="4" max="4" width="65.26953125" style="1585" bestFit="1" customWidth="1"/>
    <col min="5" max="16384" width="9.1796875" style="1585"/>
  </cols>
  <sheetData>
    <row r="1" spans="1:5" x14ac:dyDescent="0.25">
      <c r="A1" s="1584" t="s">
        <v>686</v>
      </c>
      <c r="B1" s="1584" t="s">
        <v>687</v>
      </c>
      <c r="C1" s="1584" t="s">
        <v>246</v>
      </c>
      <c r="D1" s="1584" t="s">
        <v>725</v>
      </c>
    </row>
    <row r="2" spans="1:5" x14ac:dyDescent="0.25">
      <c r="A2" s="1585" t="s">
        <v>688</v>
      </c>
      <c r="B2" s="1585" t="s">
        <v>689</v>
      </c>
      <c r="C2" s="1585" t="s">
        <v>780</v>
      </c>
      <c r="D2" s="1585" t="s">
        <v>781</v>
      </c>
      <c r="E2" s="1585" t="s">
        <v>782</v>
      </c>
    </row>
    <row r="3" spans="1:5" x14ac:dyDescent="0.25">
      <c r="B3" s="1585" t="s">
        <v>690</v>
      </c>
      <c r="C3" s="1585" t="s">
        <v>783</v>
      </c>
      <c r="D3" s="1585" t="s">
        <v>781</v>
      </c>
      <c r="E3" s="1585" t="s">
        <v>782</v>
      </c>
    </row>
    <row r="4" spans="1:5" x14ac:dyDescent="0.25">
      <c r="B4" s="1585" t="s">
        <v>5</v>
      </c>
      <c r="C4" s="1585" t="s">
        <v>692</v>
      </c>
    </row>
    <row r="5" spans="1:5" x14ac:dyDescent="0.25">
      <c r="B5" s="1585" t="s">
        <v>691</v>
      </c>
      <c r="C5" s="1585" t="s">
        <v>692</v>
      </c>
    </row>
    <row r="6" spans="1:5" x14ac:dyDescent="0.25">
      <c r="B6" s="1585" t="s">
        <v>693</v>
      </c>
      <c r="C6" s="1585" t="s">
        <v>716</v>
      </c>
    </row>
    <row r="7" spans="1:5" ht="29" x14ac:dyDescent="0.25">
      <c r="B7" s="1585" t="s">
        <v>719</v>
      </c>
      <c r="C7" s="1585" t="s">
        <v>784</v>
      </c>
      <c r="D7" s="1585" t="s">
        <v>785</v>
      </c>
      <c r="E7" s="1585" t="s">
        <v>782</v>
      </c>
    </row>
    <row r="8" spans="1:5" ht="29" x14ac:dyDescent="0.25">
      <c r="B8" s="1585" t="s">
        <v>97</v>
      </c>
      <c r="C8" s="1585" t="s">
        <v>786</v>
      </c>
      <c r="D8" s="1585" t="s">
        <v>785</v>
      </c>
      <c r="E8" s="1585" t="s">
        <v>782</v>
      </c>
    </row>
    <row r="9" spans="1:5" x14ac:dyDescent="0.25">
      <c r="A9" s="1586"/>
      <c r="B9" s="1597" t="s">
        <v>694</v>
      </c>
      <c r="C9" s="1586" t="s">
        <v>720</v>
      </c>
      <c r="D9" s="1586" t="s">
        <v>721</v>
      </c>
    </row>
    <row r="10" spans="1:5" x14ac:dyDescent="0.25">
      <c r="A10" s="1606" t="s">
        <v>695</v>
      </c>
      <c r="B10" s="1606"/>
      <c r="C10" s="1606"/>
      <c r="D10" s="1606"/>
    </row>
    <row r="11" spans="1:5" s="1605" customFormat="1" x14ac:dyDescent="0.25">
      <c r="A11" s="1604" t="s">
        <v>74</v>
      </c>
      <c r="B11" s="1604" t="s">
        <v>722</v>
      </c>
      <c r="C11" s="1604" t="s">
        <v>720</v>
      </c>
      <c r="D11" s="1604" t="s">
        <v>787</v>
      </c>
      <c r="E11" s="1605" t="s">
        <v>782</v>
      </c>
    </row>
    <row r="12" spans="1:5" s="1605" customFormat="1" x14ac:dyDescent="0.25">
      <c r="A12" s="1604"/>
      <c r="B12" s="1604" t="s">
        <v>723</v>
      </c>
      <c r="C12" s="1604" t="s">
        <v>720</v>
      </c>
      <c r="D12" s="1604" t="s">
        <v>721</v>
      </c>
    </row>
    <row r="13" spans="1:5" s="1605" customFormat="1" x14ac:dyDescent="0.25">
      <c r="A13" s="1604"/>
      <c r="B13" s="1604" t="s">
        <v>724</v>
      </c>
      <c r="C13" s="1585" t="s">
        <v>692</v>
      </c>
      <c r="D13" s="1604"/>
    </row>
    <row r="14" spans="1:5" s="1605" customFormat="1" x14ac:dyDescent="0.25">
      <c r="A14" s="1604" t="s">
        <v>629</v>
      </c>
      <c r="B14" s="1604" t="s">
        <v>88</v>
      </c>
      <c r="C14" s="1604" t="s">
        <v>720</v>
      </c>
      <c r="D14" s="1604" t="s">
        <v>730</v>
      </c>
      <c r="E14" s="1605" t="s">
        <v>782</v>
      </c>
    </row>
    <row r="15" spans="1:5" s="1605" customFormat="1" ht="29" x14ac:dyDescent="0.25">
      <c r="A15" s="1604"/>
      <c r="B15" s="1604" t="s">
        <v>92</v>
      </c>
      <c r="C15" s="1604" t="s">
        <v>720</v>
      </c>
      <c r="D15" s="1604" t="s">
        <v>788</v>
      </c>
      <c r="E15" s="1605" t="s">
        <v>782</v>
      </c>
    </row>
    <row r="16" spans="1:5" s="1605" customFormat="1" x14ac:dyDescent="0.25">
      <c r="A16" s="1604"/>
      <c r="B16" s="1604" t="s">
        <v>97</v>
      </c>
      <c r="C16" s="1604" t="s">
        <v>720</v>
      </c>
      <c r="D16" s="1604" t="s">
        <v>726</v>
      </c>
      <c r="E16" s="1605" t="s">
        <v>782</v>
      </c>
    </row>
    <row r="17" spans="1:4" s="1605" customFormat="1" x14ac:dyDescent="0.25">
      <c r="A17" s="1604"/>
      <c r="B17" s="1604" t="s">
        <v>728</v>
      </c>
      <c r="C17" s="1604" t="s">
        <v>720</v>
      </c>
      <c r="D17" s="1604" t="s">
        <v>729</v>
      </c>
    </row>
    <row r="18" spans="1:4" s="1605" customFormat="1" x14ac:dyDescent="0.25">
      <c r="A18" s="1604"/>
      <c r="B18" s="1604" t="s">
        <v>727</v>
      </c>
      <c r="C18" s="1604" t="s">
        <v>720</v>
      </c>
      <c r="D18" s="1604" t="s">
        <v>726</v>
      </c>
    </row>
    <row r="19" spans="1:4" s="1605" customFormat="1" x14ac:dyDescent="0.25">
      <c r="A19" s="1604" t="s">
        <v>153</v>
      </c>
      <c r="B19" s="1604" t="s">
        <v>734</v>
      </c>
      <c r="C19" s="1604" t="s">
        <v>697</v>
      </c>
      <c r="D19" s="1604"/>
    </row>
    <row r="20" spans="1:4" s="1605" customFormat="1" x14ac:dyDescent="0.25">
      <c r="A20" s="1604" t="s">
        <v>148</v>
      </c>
      <c r="B20" s="1604" t="s">
        <v>734</v>
      </c>
      <c r="C20" s="1604" t="s">
        <v>735</v>
      </c>
      <c r="D20" s="1604" t="s">
        <v>736</v>
      </c>
    </row>
    <row r="21" spans="1:4" s="1605" customFormat="1" x14ac:dyDescent="0.25">
      <c r="A21" s="1604" t="s">
        <v>160</v>
      </c>
      <c r="B21" s="1604" t="s">
        <v>732</v>
      </c>
      <c r="C21" s="1604" t="s">
        <v>720</v>
      </c>
      <c r="D21" s="1604" t="s">
        <v>721</v>
      </c>
    </row>
    <row r="22" spans="1:4" s="1605" customFormat="1" x14ac:dyDescent="0.25">
      <c r="A22" s="1604"/>
      <c r="B22" s="1604" t="s">
        <v>163</v>
      </c>
      <c r="C22" s="1585" t="s">
        <v>763</v>
      </c>
      <c r="D22" s="1604" t="s">
        <v>764</v>
      </c>
    </row>
    <row r="23" spans="1:4" s="1605" customFormat="1" x14ac:dyDescent="0.25">
      <c r="A23" s="1604"/>
      <c r="B23" s="1604" t="s">
        <v>731</v>
      </c>
      <c r="C23" s="1604" t="s">
        <v>720</v>
      </c>
      <c r="D23" s="1604" t="s">
        <v>765</v>
      </c>
    </row>
    <row r="24" spans="1:4" s="1605" customFormat="1" x14ac:dyDescent="0.25">
      <c r="A24" s="1604"/>
      <c r="B24" s="1604" t="s">
        <v>5</v>
      </c>
      <c r="C24" s="1585" t="s">
        <v>692</v>
      </c>
      <c r="D24" s="1604"/>
    </row>
    <row r="25" spans="1:4" s="1605" customFormat="1" x14ac:dyDescent="0.25">
      <c r="A25" s="1604" t="s">
        <v>733</v>
      </c>
      <c r="B25" s="1604" t="s">
        <v>737</v>
      </c>
      <c r="C25" s="1604" t="s">
        <v>720</v>
      </c>
      <c r="D25" s="1604" t="s">
        <v>738</v>
      </c>
    </row>
    <row r="26" spans="1:4" s="1605" customFormat="1" x14ac:dyDescent="0.25">
      <c r="A26" s="1604" t="s">
        <v>181</v>
      </c>
      <c r="B26" s="1604" t="s">
        <v>734</v>
      </c>
      <c r="C26" s="1604" t="s">
        <v>697</v>
      </c>
      <c r="D26" s="1604"/>
    </row>
    <row r="27" spans="1:4" s="1605" customFormat="1" x14ac:dyDescent="0.25">
      <c r="A27" s="1604" t="s">
        <v>196</v>
      </c>
      <c r="B27" s="1604" t="s">
        <v>734</v>
      </c>
      <c r="C27" s="1604" t="s">
        <v>697</v>
      </c>
      <c r="D27" s="1604"/>
    </row>
    <row r="28" spans="1:4" s="1605" customFormat="1" x14ac:dyDescent="0.25">
      <c r="A28" s="1604" t="s">
        <v>202</v>
      </c>
      <c r="B28" s="1604" t="s">
        <v>734</v>
      </c>
      <c r="C28" s="1604" t="s">
        <v>697</v>
      </c>
      <c r="D28" s="1604"/>
    </row>
    <row r="29" spans="1:4" s="1605" customFormat="1" x14ac:dyDescent="0.25">
      <c r="A29" s="1597" t="s">
        <v>207</v>
      </c>
      <c r="B29" s="1597" t="s">
        <v>734</v>
      </c>
      <c r="C29" s="1597" t="s">
        <v>697</v>
      </c>
      <c r="D29" s="1597"/>
    </row>
    <row r="30" spans="1:4" s="1605" customFormat="1" x14ac:dyDescent="0.25">
      <c r="A30" s="1605" t="s">
        <v>698</v>
      </c>
    </row>
    <row r="31" spans="1:4" s="1605" customFormat="1" x14ac:dyDescent="0.25">
      <c r="A31" s="1605" t="s">
        <v>699</v>
      </c>
      <c r="B31" s="1604" t="s">
        <v>734</v>
      </c>
      <c r="C31" s="1605" t="s">
        <v>739</v>
      </c>
      <c r="D31" s="1605" t="s">
        <v>740</v>
      </c>
    </row>
    <row r="32" spans="1:4" x14ac:dyDescent="0.25">
      <c r="A32" s="1605" t="s">
        <v>700</v>
      </c>
      <c r="B32" s="1604" t="s">
        <v>734</v>
      </c>
      <c r="C32" s="1605" t="s">
        <v>739</v>
      </c>
      <c r="D32" s="1605" t="s">
        <v>741</v>
      </c>
    </row>
    <row r="33" spans="1:5" x14ac:dyDescent="0.25">
      <c r="A33" s="1605" t="s">
        <v>701</v>
      </c>
      <c r="B33" s="1605"/>
      <c r="C33" s="1605" t="s">
        <v>697</v>
      </c>
      <c r="D33" s="1605"/>
    </row>
    <row r="34" spans="1:5" x14ac:dyDescent="0.25">
      <c r="A34" s="1605" t="s">
        <v>702</v>
      </c>
      <c r="B34" s="1605"/>
      <c r="C34" s="1605" t="s">
        <v>697</v>
      </c>
      <c r="D34" s="1605"/>
    </row>
    <row r="35" spans="1:5" ht="29" x14ac:dyDescent="0.25">
      <c r="A35" s="1647" t="s">
        <v>704</v>
      </c>
      <c r="B35" s="1647" t="s">
        <v>742</v>
      </c>
      <c r="C35" s="1605" t="s">
        <v>739</v>
      </c>
      <c r="D35" s="1647" t="s">
        <v>705</v>
      </c>
    </row>
    <row r="36" spans="1:5" x14ac:dyDescent="0.25">
      <c r="A36" s="1605"/>
      <c r="B36" s="1648" t="s">
        <v>706</v>
      </c>
      <c r="C36" s="1605" t="s">
        <v>707</v>
      </c>
      <c r="D36" s="1605"/>
    </row>
    <row r="37" spans="1:5" ht="29" x14ac:dyDescent="0.25">
      <c r="A37" s="1605"/>
      <c r="B37" s="1648"/>
      <c r="C37" s="1605" t="s">
        <v>708</v>
      </c>
      <c r="D37" s="1605"/>
    </row>
    <row r="38" spans="1:5" ht="29" x14ac:dyDescent="0.25">
      <c r="A38" s="1647"/>
      <c r="B38" s="1647"/>
      <c r="C38" s="1647" t="s">
        <v>709</v>
      </c>
      <c r="D38" s="1647"/>
    </row>
    <row r="39" spans="1:5" x14ac:dyDescent="0.25">
      <c r="A39" s="1599"/>
      <c r="B39" s="1599" t="s">
        <v>330</v>
      </c>
      <c r="C39" s="1599"/>
      <c r="D39" s="1599"/>
    </row>
    <row r="40" spans="1:5" x14ac:dyDescent="0.25">
      <c r="A40" s="1599"/>
      <c r="B40" s="1599" t="s">
        <v>336</v>
      </c>
      <c r="C40" s="1599" t="s">
        <v>697</v>
      </c>
      <c r="D40" s="1599"/>
    </row>
    <row r="41" spans="1:5" x14ac:dyDescent="0.25">
      <c r="A41" s="1600"/>
      <c r="B41" s="1600" t="s">
        <v>342</v>
      </c>
      <c r="C41" s="1600" t="s">
        <v>697</v>
      </c>
      <c r="D41" s="1600"/>
    </row>
    <row r="42" spans="1:5" ht="87" x14ac:dyDescent="0.25">
      <c r="A42" s="1598" t="s">
        <v>710</v>
      </c>
      <c r="B42" s="1598" t="s">
        <v>711</v>
      </c>
      <c r="C42" s="1599" t="s">
        <v>703</v>
      </c>
      <c r="D42" s="1599" t="s">
        <v>789</v>
      </c>
      <c r="E42" s="1585" t="s">
        <v>782</v>
      </c>
    </row>
    <row r="43" spans="1:5" x14ac:dyDescent="0.25">
      <c r="A43" s="1598" t="s">
        <v>712</v>
      </c>
      <c r="B43" s="1598" t="s">
        <v>696</v>
      </c>
      <c r="C43" s="1598" t="s">
        <v>697</v>
      </c>
      <c r="D43" s="1598"/>
    </row>
    <row r="44" spans="1:5" x14ac:dyDescent="0.25">
      <c r="A44" s="1599" t="s">
        <v>358</v>
      </c>
      <c r="B44" s="1599" t="s">
        <v>359</v>
      </c>
      <c r="C44" s="1601" t="s">
        <v>697</v>
      </c>
      <c r="D44" s="1599"/>
    </row>
    <row r="45" spans="1:5" x14ac:dyDescent="0.25">
      <c r="A45" s="1599"/>
      <c r="B45" s="1599" t="s">
        <v>278</v>
      </c>
      <c r="C45" s="1601" t="s">
        <v>697</v>
      </c>
      <c r="D45" s="1599"/>
    </row>
    <row r="46" spans="1:5" x14ac:dyDescent="0.25">
      <c r="A46" s="1599"/>
      <c r="B46" s="1599" t="s">
        <v>295</v>
      </c>
      <c r="C46" s="1601" t="s">
        <v>697</v>
      </c>
      <c r="D46" s="1599"/>
    </row>
    <row r="47" spans="1:5" x14ac:dyDescent="0.25">
      <c r="A47" s="1599"/>
      <c r="B47" s="1599" t="s">
        <v>299</v>
      </c>
      <c r="C47" s="1601" t="s">
        <v>697</v>
      </c>
      <c r="D47" s="1599"/>
    </row>
    <row r="48" spans="1:5" x14ac:dyDescent="0.25">
      <c r="A48" s="1599"/>
      <c r="B48" s="1599" t="s">
        <v>713</v>
      </c>
      <c r="C48" s="1601" t="s">
        <v>697</v>
      </c>
      <c r="D48" s="1599"/>
    </row>
    <row r="49" spans="1:4" x14ac:dyDescent="0.25">
      <c r="A49" s="1599"/>
      <c r="B49" s="1599" t="s">
        <v>330</v>
      </c>
      <c r="C49" s="1601" t="s">
        <v>697</v>
      </c>
      <c r="D49" s="1599"/>
    </row>
    <row r="50" spans="1:4" x14ac:dyDescent="0.25">
      <c r="A50" s="1599"/>
      <c r="B50" s="1599" t="s">
        <v>336</v>
      </c>
      <c r="C50" s="1601" t="s">
        <v>697</v>
      </c>
      <c r="D50" s="1599"/>
    </row>
    <row r="51" spans="1:4" x14ac:dyDescent="0.25">
      <c r="A51" s="1599"/>
      <c r="B51" s="1599" t="s">
        <v>342</v>
      </c>
      <c r="C51" s="1601" t="s">
        <v>697</v>
      </c>
      <c r="D51" s="1599"/>
    </row>
    <row r="52" spans="1:4" x14ac:dyDescent="0.25">
      <c r="A52" s="1599"/>
      <c r="B52" s="1599" t="s">
        <v>524</v>
      </c>
      <c r="C52" s="1601" t="s">
        <v>697</v>
      </c>
      <c r="D52" s="1599"/>
    </row>
    <row r="53" spans="1:4" ht="15" customHeight="1" x14ac:dyDescent="0.25">
      <c r="A53" s="1599"/>
      <c r="B53" s="1599" t="s">
        <v>523</v>
      </c>
      <c r="C53" s="1601" t="s">
        <v>697</v>
      </c>
      <c r="D53" s="1599"/>
    </row>
    <row r="54" spans="1:4" x14ac:dyDescent="0.25">
      <c r="A54" s="1599"/>
      <c r="B54" s="1599" t="s">
        <v>448</v>
      </c>
      <c r="C54" s="1599" t="s">
        <v>714</v>
      </c>
      <c r="D54" s="1599"/>
    </row>
    <row r="55" spans="1:4" x14ac:dyDescent="0.25">
      <c r="A55" s="1599"/>
      <c r="B55" s="1599" t="s">
        <v>623</v>
      </c>
      <c r="C55" s="1601" t="s">
        <v>697</v>
      </c>
      <c r="D55" s="1599"/>
    </row>
    <row r="56" spans="1:4" x14ac:dyDescent="0.25">
      <c r="A56" s="1599"/>
      <c r="B56" s="1599" t="s">
        <v>417</v>
      </c>
      <c r="C56" s="1601" t="s">
        <v>697</v>
      </c>
      <c r="D56" s="1599"/>
    </row>
    <row r="57" spans="1:4" x14ac:dyDescent="0.25">
      <c r="A57" s="1599"/>
      <c r="B57" s="1599" t="s">
        <v>420</v>
      </c>
      <c r="C57" s="1601" t="s">
        <v>697</v>
      </c>
      <c r="D57" s="1599"/>
    </row>
    <row r="58" spans="1:4" x14ac:dyDescent="0.25">
      <c r="A58" s="1599"/>
      <c r="B58" s="1599" t="s">
        <v>422</v>
      </c>
      <c r="C58" s="1601" t="s">
        <v>697</v>
      </c>
      <c r="D58" s="1599"/>
    </row>
    <row r="59" spans="1:4" x14ac:dyDescent="0.25">
      <c r="A59" s="1599"/>
      <c r="B59" s="1599" t="s">
        <v>424</v>
      </c>
      <c r="C59" s="1601" t="s">
        <v>697</v>
      </c>
      <c r="D59" s="1599"/>
    </row>
    <row r="60" spans="1:4" x14ac:dyDescent="0.25">
      <c r="A60" s="1599"/>
      <c r="B60" s="1599" t="s">
        <v>425</v>
      </c>
      <c r="C60" s="1601" t="s">
        <v>697</v>
      </c>
      <c r="D60" s="1599"/>
    </row>
    <row r="61" spans="1:4" x14ac:dyDescent="0.25">
      <c r="A61" s="1599"/>
      <c r="B61" s="1599" t="s">
        <v>429</v>
      </c>
      <c r="C61" s="1601" t="s">
        <v>697</v>
      </c>
      <c r="D61" s="1599"/>
    </row>
    <row r="62" spans="1:4" x14ac:dyDescent="0.25">
      <c r="A62" s="1599"/>
      <c r="B62" s="1599" t="s">
        <v>715</v>
      </c>
      <c r="C62" s="1601" t="s">
        <v>697</v>
      </c>
      <c r="D62" s="1599"/>
    </row>
    <row r="63" spans="1:4" x14ac:dyDescent="0.25">
      <c r="A63" s="1599"/>
      <c r="B63" s="1599" t="s">
        <v>629</v>
      </c>
      <c r="C63" s="1601" t="s">
        <v>697</v>
      </c>
      <c r="D63" s="1599"/>
    </row>
    <row r="64" spans="1:4" x14ac:dyDescent="0.25">
      <c r="A64" s="1600"/>
      <c r="B64" s="1600" t="s">
        <v>438</v>
      </c>
      <c r="C64" s="1600" t="s">
        <v>697</v>
      </c>
      <c r="D64" s="1600"/>
    </row>
    <row r="65" spans="1:4" x14ac:dyDescent="0.25">
      <c r="A65" s="1598" t="s">
        <v>538</v>
      </c>
      <c r="B65" s="1598" t="s">
        <v>696</v>
      </c>
      <c r="C65" s="1598" t="s">
        <v>697</v>
      </c>
      <c r="D65" s="159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46"/>
  </sheetPr>
  <dimension ref="A3:AM79"/>
  <sheetViews>
    <sheetView topLeftCell="A22" workbookViewId="0">
      <selection activeCell="F47" sqref="F47"/>
    </sheetView>
  </sheetViews>
  <sheetFormatPr defaultColWidth="31.26953125" defaultRowHeight="14" x14ac:dyDescent="0.3"/>
  <cols>
    <col min="1" max="1" width="9.1796875" style="670" customWidth="1"/>
    <col min="2" max="2" width="36.81640625" style="670" customWidth="1"/>
    <col min="3" max="3" width="17" style="670" customWidth="1"/>
    <col min="4" max="7" width="17.453125" style="670" customWidth="1"/>
    <col min="8" max="8" width="24.54296875" style="670" customWidth="1"/>
    <col min="9" max="12" width="32" style="670" bestFit="1" customWidth="1"/>
    <col min="13" max="16384" width="31.26953125" style="670"/>
  </cols>
  <sheetData>
    <row r="3" spans="2:12" ht="14.5" thickBot="1" x14ac:dyDescent="0.35">
      <c r="E3" s="671"/>
    </row>
    <row r="4" spans="2:12" ht="20.5" thickTop="1" x14ac:dyDescent="0.4">
      <c r="B4" s="1871" t="s">
        <v>625</v>
      </c>
      <c r="C4" s="1872"/>
      <c r="D4" s="1872"/>
      <c r="E4" s="1872"/>
      <c r="F4" s="1872"/>
      <c r="G4" s="1873"/>
      <c r="H4" s="672"/>
    </row>
    <row r="5" spans="2:12" ht="28" x14ac:dyDescent="0.3">
      <c r="B5" s="673"/>
      <c r="C5" s="674" t="s">
        <v>10</v>
      </c>
      <c r="D5" s="674" t="s">
        <v>11</v>
      </c>
      <c r="E5" s="674" t="s">
        <v>12</v>
      </c>
      <c r="F5" s="674" t="s">
        <v>495</v>
      </c>
      <c r="G5" s="675" t="s">
        <v>496</v>
      </c>
      <c r="H5" s="672"/>
    </row>
    <row r="6" spans="2:12" ht="14.5" thickBot="1" x14ac:dyDescent="0.35">
      <c r="B6" s="676"/>
      <c r="C6" s="677" t="s">
        <v>497</v>
      </c>
      <c r="D6" s="677" t="s">
        <v>497</v>
      </c>
      <c r="E6" s="677" t="s">
        <v>497</v>
      </c>
      <c r="F6" s="677" t="s">
        <v>498</v>
      </c>
      <c r="G6" s="678"/>
      <c r="H6" s="1006"/>
      <c r="I6" s="1006"/>
      <c r="J6" s="1006"/>
      <c r="K6" s="1006"/>
    </row>
    <row r="7" spans="2:12" x14ac:dyDescent="0.3">
      <c r="B7" s="679" t="s">
        <v>499</v>
      </c>
      <c r="C7" s="1153">
        <f t="shared" ref="C7:C22" si="0">SUMIF($B$29:$B$53,$B7,C$29:C$53)</f>
        <v>172729.95796835376</v>
      </c>
      <c r="D7" s="1154">
        <f t="shared" ref="D7:G22" si="1">SUMIF($B$29:$B$53,$B7,D$29:D$53)</f>
        <v>43308.650552946136</v>
      </c>
      <c r="E7" s="1154">
        <f t="shared" si="1"/>
        <v>2941140.8968455065</v>
      </c>
      <c r="F7" s="1154">
        <f t="shared" si="1"/>
        <v>2160421.7623359612</v>
      </c>
      <c r="G7" s="1155">
        <f t="shared" si="1"/>
        <v>25322.344089544225</v>
      </c>
      <c r="H7" s="1490">
        <f>'Existing Loads'!F7-'Loads with Future Practices'!F7</f>
        <v>1087.3737754113972</v>
      </c>
      <c r="I7" s="1005"/>
      <c r="J7" s="1005"/>
      <c r="K7" s="1005"/>
      <c r="L7" s="1005"/>
    </row>
    <row r="8" spans="2:12" x14ac:dyDescent="0.3">
      <c r="B8" s="684" t="s">
        <v>40</v>
      </c>
      <c r="C8" s="1156">
        <f t="shared" si="0"/>
        <v>421.54827726953704</v>
      </c>
      <c r="D8" s="1157">
        <f t="shared" si="1"/>
        <v>84.309655453907425</v>
      </c>
      <c r="E8" s="1157">
        <f t="shared" si="1"/>
        <v>286652.82854328526</v>
      </c>
      <c r="F8" s="1157">
        <f t="shared" si="1"/>
        <v>0</v>
      </c>
      <c r="G8" s="1158">
        <f t="shared" si="1"/>
        <v>267.99681954375001</v>
      </c>
      <c r="H8" s="1490">
        <f>'Existing Loads'!F8-'Loads with Future Practices'!F8</f>
        <v>0</v>
      </c>
      <c r="I8" s="1005"/>
      <c r="J8" s="1005"/>
      <c r="K8" s="1005"/>
      <c r="L8" s="1005"/>
    </row>
    <row r="9" spans="2:12" x14ac:dyDescent="0.3">
      <c r="B9" s="684" t="s">
        <v>148</v>
      </c>
      <c r="C9" s="1156">
        <f t="shared" si="0"/>
        <v>1951.7236832775334</v>
      </c>
      <c r="D9" s="1157">
        <f t="shared" si="1"/>
        <v>325.2872805462556</v>
      </c>
      <c r="E9" s="1157">
        <f t="shared" si="1"/>
        <v>13011.491221850221</v>
      </c>
      <c r="F9" s="1157">
        <f t="shared" si="1"/>
        <v>1476804.2536800003</v>
      </c>
      <c r="G9" s="1158">
        <f t="shared" si="1"/>
        <v>0</v>
      </c>
      <c r="H9" s="1490">
        <f>'Existing Loads'!F9-'Loads with Future Practices'!F9</f>
        <v>0</v>
      </c>
      <c r="I9" s="1005"/>
      <c r="J9" s="1005"/>
      <c r="K9" s="1005"/>
      <c r="L9" s="1005"/>
    </row>
    <row r="10" spans="2:12" x14ac:dyDescent="0.3">
      <c r="B10" s="684" t="s">
        <v>153</v>
      </c>
      <c r="C10" s="1156">
        <f t="shared" si="0"/>
        <v>0</v>
      </c>
      <c r="D10" s="1157">
        <f t="shared" si="1"/>
        <v>0</v>
      </c>
      <c r="E10" s="1157">
        <f t="shared" si="1"/>
        <v>0</v>
      </c>
      <c r="F10" s="1157">
        <f t="shared" si="1"/>
        <v>0</v>
      </c>
      <c r="G10" s="1158">
        <f t="shared" si="1"/>
        <v>0</v>
      </c>
      <c r="H10" s="1490">
        <f>'Existing Loads'!F10-'Loads with Future Practices'!F10</f>
        <v>0</v>
      </c>
      <c r="I10" s="1005"/>
      <c r="J10" s="1005"/>
      <c r="K10" s="1005"/>
      <c r="L10" s="1005"/>
    </row>
    <row r="11" spans="2:12" x14ac:dyDescent="0.3">
      <c r="B11" s="684" t="s">
        <v>232</v>
      </c>
      <c r="C11" s="1156">
        <f t="shared" si="0"/>
        <v>0</v>
      </c>
      <c r="D11" s="1157">
        <f t="shared" si="1"/>
        <v>0</v>
      </c>
      <c r="E11" s="1157">
        <f t="shared" si="1"/>
        <v>3922983.5369412447</v>
      </c>
      <c r="F11" s="1157">
        <f t="shared" si="1"/>
        <v>0</v>
      </c>
      <c r="G11" s="1158">
        <f t="shared" si="1"/>
        <v>0</v>
      </c>
      <c r="H11" s="1490">
        <f>'Existing Loads'!F11-'Loads with Future Practices'!F11</f>
        <v>0</v>
      </c>
      <c r="I11" s="1005"/>
      <c r="J11" s="1005"/>
      <c r="K11" s="1005"/>
      <c r="L11" s="1005"/>
    </row>
    <row r="12" spans="2:12" x14ac:dyDescent="0.3">
      <c r="B12" s="684" t="s">
        <v>202</v>
      </c>
      <c r="C12" s="1156">
        <f t="shared" si="0"/>
        <v>0</v>
      </c>
      <c r="D12" s="1157">
        <f t="shared" si="1"/>
        <v>0</v>
      </c>
      <c r="E12" s="1157">
        <f t="shared" si="1"/>
        <v>0</v>
      </c>
      <c r="F12" s="1157">
        <f t="shared" si="1"/>
        <v>0</v>
      </c>
      <c r="G12" s="1158">
        <f t="shared" si="1"/>
        <v>0</v>
      </c>
      <c r="H12" s="1490">
        <f>'Existing Loads'!F12-'Loads with Future Practices'!F12</f>
        <v>0</v>
      </c>
      <c r="I12" s="1005"/>
      <c r="J12" s="1005"/>
      <c r="K12" s="1005"/>
      <c r="L12" s="1005"/>
    </row>
    <row r="13" spans="2:12" x14ac:dyDescent="0.3">
      <c r="B13" s="684" t="s">
        <v>37</v>
      </c>
      <c r="C13" s="1156">
        <f t="shared" si="0"/>
        <v>0</v>
      </c>
      <c r="D13" s="1157">
        <f t="shared" si="1"/>
        <v>0</v>
      </c>
      <c r="E13" s="1157">
        <f t="shared" si="1"/>
        <v>0</v>
      </c>
      <c r="F13" s="1157">
        <f t="shared" si="1"/>
        <v>0</v>
      </c>
      <c r="G13" s="1158">
        <f t="shared" si="1"/>
        <v>0</v>
      </c>
      <c r="H13" s="1490">
        <f>'Existing Loads'!F13-'Loads with Future Practices'!F13</f>
        <v>0</v>
      </c>
      <c r="I13" s="1005"/>
      <c r="J13" s="1005"/>
      <c r="K13" s="1005"/>
      <c r="L13" s="1005"/>
    </row>
    <row r="14" spans="2:12" x14ac:dyDescent="0.3">
      <c r="B14" s="684" t="s">
        <v>500</v>
      </c>
      <c r="C14" s="1156">
        <f t="shared" si="0"/>
        <v>0</v>
      </c>
      <c r="D14" s="1157">
        <f t="shared" si="1"/>
        <v>0</v>
      </c>
      <c r="E14" s="1157">
        <f t="shared" si="1"/>
        <v>0</v>
      </c>
      <c r="F14" s="1157">
        <f t="shared" si="1"/>
        <v>0</v>
      </c>
      <c r="G14" s="1158">
        <f t="shared" si="1"/>
        <v>0</v>
      </c>
      <c r="H14" s="1490">
        <f>'Existing Loads'!F14-'Loads with Future Practices'!F14</f>
        <v>0</v>
      </c>
      <c r="I14" s="1005"/>
      <c r="J14" s="1005"/>
      <c r="K14" s="1005"/>
      <c r="L14" s="1005"/>
    </row>
    <row r="15" spans="2:12" x14ac:dyDescent="0.3">
      <c r="B15" s="684" t="s">
        <v>181</v>
      </c>
      <c r="C15" s="1156">
        <f t="shared" si="0"/>
        <v>0</v>
      </c>
      <c r="D15" s="1157">
        <f t="shared" si="1"/>
        <v>0</v>
      </c>
      <c r="E15" s="1157">
        <f t="shared" si="1"/>
        <v>0</v>
      </c>
      <c r="F15" s="1157">
        <f t="shared" si="1"/>
        <v>0</v>
      </c>
      <c r="G15" s="1158">
        <f t="shared" si="1"/>
        <v>0</v>
      </c>
      <c r="H15" s="1490">
        <f>'Existing Loads'!F15-'Loads with Future Practices'!F15</f>
        <v>0</v>
      </c>
      <c r="I15" s="1005"/>
      <c r="J15" s="1005"/>
      <c r="K15" s="1005"/>
      <c r="L15" s="1005"/>
    </row>
    <row r="16" spans="2:12" x14ac:dyDescent="0.3">
      <c r="B16" s="684" t="s">
        <v>160</v>
      </c>
      <c r="C16" s="1156">
        <f t="shared" si="0"/>
        <v>1106.7933342687224</v>
      </c>
      <c r="D16" s="1157">
        <f t="shared" si="1"/>
        <v>293.52719392731279</v>
      </c>
      <c r="E16" s="1157">
        <f t="shared" si="1"/>
        <v>8087.5228768612342</v>
      </c>
      <c r="F16" s="1157">
        <f>SUMIF($B$29:$B$53,$B16,F$29:F$53)</f>
        <v>672096.91720499983</v>
      </c>
      <c r="G16" s="1158">
        <f t="shared" si="1"/>
        <v>0</v>
      </c>
      <c r="H16" s="1490">
        <f>'Existing Loads'!F16-'Loads with Future Practices'!F16</f>
        <v>0</v>
      </c>
      <c r="I16" s="1005"/>
      <c r="J16" s="1005"/>
      <c r="K16" s="1005"/>
      <c r="L16" s="1005"/>
    </row>
    <row r="17" spans="2:12" x14ac:dyDescent="0.3">
      <c r="B17" s="684" t="s">
        <v>196</v>
      </c>
      <c r="C17" s="1156">
        <f t="shared" si="0"/>
        <v>0</v>
      </c>
      <c r="D17" s="1157">
        <f t="shared" si="1"/>
        <v>0</v>
      </c>
      <c r="E17" s="1157">
        <f t="shared" si="1"/>
        <v>0</v>
      </c>
      <c r="F17" s="1157">
        <f t="shared" si="1"/>
        <v>0</v>
      </c>
      <c r="G17" s="1158">
        <f t="shared" si="1"/>
        <v>0</v>
      </c>
      <c r="H17" s="1490">
        <f>'Existing Loads'!F17-'Loads with Future Practices'!F17</f>
        <v>0</v>
      </c>
      <c r="I17" s="1005"/>
      <c r="J17" s="1005"/>
      <c r="K17" s="1005"/>
      <c r="L17" s="1005"/>
    </row>
    <row r="18" spans="2:12" x14ac:dyDescent="0.3">
      <c r="B18" s="684" t="s">
        <v>502</v>
      </c>
      <c r="C18" s="1156">
        <f t="shared" si="0"/>
        <v>0</v>
      </c>
      <c r="D18" s="1157">
        <f t="shared" si="1"/>
        <v>0</v>
      </c>
      <c r="E18" s="1157">
        <f t="shared" si="1"/>
        <v>0</v>
      </c>
      <c r="F18" s="1157">
        <f t="shared" si="1"/>
        <v>0</v>
      </c>
      <c r="G18" s="1158">
        <f t="shared" si="1"/>
        <v>0</v>
      </c>
      <c r="H18" s="1490">
        <f>'Existing Loads'!F18-'Loads with Future Practices'!F18</f>
        <v>0</v>
      </c>
      <c r="I18" s="1005"/>
      <c r="J18" s="1005"/>
      <c r="K18" s="1005"/>
      <c r="L18" s="1005"/>
    </row>
    <row r="19" spans="2:12" x14ac:dyDescent="0.3">
      <c r="B19" s="684" t="s">
        <v>503</v>
      </c>
      <c r="C19" s="1156">
        <f t="shared" si="0"/>
        <v>20198.082240000003</v>
      </c>
      <c r="D19" s="1157">
        <f t="shared" si="1"/>
        <v>3366.3470400000006</v>
      </c>
      <c r="E19" s="1157">
        <f t="shared" si="1"/>
        <v>134653.88160000002</v>
      </c>
      <c r="F19" s="1157">
        <f t="shared" si="1"/>
        <v>210841.67160000006</v>
      </c>
      <c r="G19" s="1158">
        <f t="shared" si="1"/>
        <v>0</v>
      </c>
      <c r="H19" s="1490">
        <f>'Existing Loads'!F19-'Loads with Future Practices'!F19</f>
        <v>0</v>
      </c>
      <c r="I19" s="1005"/>
      <c r="J19" s="1005"/>
      <c r="K19" s="1005"/>
      <c r="L19" s="1005"/>
    </row>
    <row r="20" spans="2:12" ht="14.5" thickBot="1" x14ac:dyDescent="0.35">
      <c r="B20" s="689" t="s">
        <v>39</v>
      </c>
      <c r="C20" s="1159">
        <f t="shared" si="0"/>
        <v>0</v>
      </c>
      <c r="D20" s="1160">
        <f t="shared" si="1"/>
        <v>0</v>
      </c>
      <c r="E20" s="1160">
        <f t="shared" si="1"/>
        <v>0</v>
      </c>
      <c r="F20" s="1160">
        <f t="shared" si="1"/>
        <v>0</v>
      </c>
      <c r="G20" s="1161">
        <f t="shared" si="1"/>
        <v>0</v>
      </c>
      <c r="H20" s="1490">
        <f>'Existing Loads'!F20-'Loads with Future Practices'!F20</f>
        <v>0</v>
      </c>
      <c r="I20" s="1005"/>
      <c r="J20" s="1005"/>
      <c r="K20" s="1005"/>
      <c r="L20" s="1005"/>
    </row>
    <row r="21" spans="2:12" ht="14.5" thickBot="1" x14ac:dyDescent="0.35">
      <c r="B21" s="769" t="s">
        <v>529</v>
      </c>
      <c r="C21" s="1162">
        <f t="shared" si="0"/>
        <v>174127.36808726206</v>
      </c>
      <c r="D21" s="1163">
        <f t="shared" si="1"/>
        <v>43555.60384867317</v>
      </c>
      <c r="E21" s="1163">
        <f t="shared" si="1"/>
        <v>7157283.007940961</v>
      </c>
      <c r="F21" s="1163">
        <f t="shared" si="1"/>
        <v>2898823.8891759613</v>
      </c>
      <c r="G21" s="1164">
        <f t="shared" si="1"/>
        <v>25590.340909087976</v>
      </c>
      <c r="H21" s="1490">
        <f>'Existing Loads'!F21-'Loads with Future Practices'!F21</f>
        <v>1087.3737754113972</v>
      </c>
      <c r="I21" s="1009"/>
      <c r="J21" s="1009"/>
      <c r="K21" s="1009"/>
      <c r="L21" s="1009"/>
    </row>
    <row r="22" spans="2:12" ht="14.5" thickBot="1" x14ac:dyDescent="0.35">
      <c r="B22" s="769" t="s">
        <v>530</v>
      </c>
      <c r="C22" s="1162">
        <f t="shared" si="0"/>
        <v>22280.737415907493</v>
      </c>
      <c r="D22" s="1163">
        <f t="shared" si="1"/>
        <v>3822.5178742004409</v>
      </c>
      <c r="E22" s="1163">
        <f t="shared" si="1"/>
        <v>149247.15008778637</v>
      </c>
      <c r="F22" s="1163">
        <f t="shared" si="1"/>
        <v>1621340.7156449999</v>
      </c>
      <c r="G22" s="1164">
        <f t="shared" si="1"/>
        <v>0</v>
      </c>
      <c r="H22" s="1490">
        <f>'Existing Loads'!F22-'Loads with Future Practices'!F22</f>
        <v>0</v>
      </c>
      <c r="I22" s="1009"/>
      <c r="J22" s="1009"/>
      <c r="K22" s="1009"/>
      <c r="L22" s="1009"/>
    </row>
    <row r="23" spans="2:12" ht="14.5" thickBot="1" x14ac:dyDescent="0.35">
      <c r="B23" s="690" t="s">
        <v>518</v>
      </c>
      <c r="C23" s="1165">
        <f>C22+C21</f>
        <v>196408.10550316956</v>
      </c>
      <c r="D23" s="1166">
        <f>D22+D21</f>
        <v>47378.121722873613</v>
      </c>
      <c r="E23" s="1166">
        <f>E22+E21</f>
        <v>7306530.1580287479</v>
      </c>
      <c r="F23" s="1166">
        <f>F22+F21</f>
        <v>4520164.6048209611</v>
      </c>
      <c r="G23" s="1167">
        <f>G22+G21</f>
        <v>25590.340909087976</v>
      </c>
      <c r="H23" s="1490">
        <f>'Existing Loads'!F23-'Loads with Future Practices'!F23</f>
        <v>1087.3737754113972</v>
      </c>
      <c r="I23" s="1009"/>
      <c r="J23" s="1009"/>
      <c r="K23" s="1009"/>
      <c r="L23" s="1009"/>
    </row>
    <row r="24" spans="2:12" ht="14.25" customHeight="1" thickTop="1" x14ac:dyDescent="0.3">
      <c r="E24" s="710"/>
      <c r="H24" s="1490"/>
    </row>
    <row r="25" spans="2:12" ht="14.5" thickBot="1" x14ac:dyDescent="0.35">
      <c r="E25" s="671"/>
      <c r="H25" s="1490"/>
    </row>
    <row r="26" spans="2:12" ht="30" customHeight="1" thickTop="1" x14ac:dyDescent="0.4">
      <c r="B26" s="1871" t="s">
        <v>532</v>
      </c>
      <c r="C26" s="1872"/>
      <c r="D26" s="1872"/>
      <c r="E26" s="1872"/>
      <c r="F26" s="1872"/>
      <c r="G26" s="1873"/>
      <c r="H26" s="1490"/>
    </row>
    <row r="27" spans="2:12" ht="28" x14ac:dyDescent="0.3">
      <c r="B27" s="673"/>
      <c r="C27" s="674" t="s">
        <v>10</v>
      </c>
      <c r="D27" s="674" t="s">
        <v>11</v>
      </c>
      <c r="E27" s="674" t="s">
        <v>12</v>
      </c>
      <c r="F27" s="674" t="s">
        <v>495</v>
      </c>
      <c r="G27" s="675" t="s">
        <v>496</v>
      </c>
      <c r="H27" s="1490"/>
    </row>
    <row r="28" spans="2:12" ht="14.5" thickBot="1" x14ac:dyDescent="0.35">
      <c r="B28" s="676"/>
      <c r="C28" s="677" t="s">
        <v>497</v>
      </c>
      <c r="D28" s="677" t="s">
        <v>497</v>
      </c>
      <c r="E28" s="677" t="s">
        <v>497</v>
      </c>
      <c r="F28" s="677" t="s">
        <v>498</v>
      </c>
      <c r="G28" s="678"/>
      <c r="H28" s="1490"/>
      <c r="I28" s="710"/>
      <c r="J28" s="710"/>
      <c r="K28" s="710"/>
      <c r="L28" s="710"/>
    </row>
    <row r="29" spans="2:12" x14ac:dyDescent="0.3">
      <c r="B29" s="679" t="s">
        <v>499</v>
      </c>
      <c r="C29" s="1168">
        <f>'Existing Loads'!C29-'Future Management Practices'!C388-'Future Management Practices'!C389-'Future Management Practices'!C391-'Future Management Practices'!C392-'Future Management Practices'!C393-'Future Management Practices'!C394-'Future Management Practices'!C396-'Future Management Practices'!C397-'Future Management Practices'!C398</f>
        <v>172729.95796835376</v>
      </c>
      <c r="D29" s="1169">
        <f>'Existing Loads'!D29-'Future Management Practices'!D388-'Future Management Practices'!D389-'Future Management Practices'!D391-'Future Management Practices'!D392-'Future Management Practices'!D393-'Future Management Practices'!D394-'Future Management Practices'!D396-'Future Management Practices'!D397-'Future Management Practices'!D398</f>
        <v>43308.650552946136</v>
      </c>
      <c r="E29" s="1169">
        <f>'Existing Loads'!E29-'Future Management Practices'!E388-'Future Management Practices'!E389-'Future Management Practices'!E391-'Future Management Practices'!E392-'Future Management Practices'!E393-'Future Management Practices'!E394-'Future Management Practices'!E396-'Future Management Practices'!E397-'Future Management Practices'!E398</f>
        <v>2941140.8968455065</v>
      </c>
      <c r="F29" s="1169">
        <f>'Existing Loads'!F29-'Future Management Practices'!F388-'Future Management Practices'!F389-'Future Management Practices'!F391-'Future Management Practices'!F392-'Future Management Practices'!F393-'Future Management Practices'!F394-'Future Management Practices'!F396-'Future Management Practices'!F397-'Future Management Practices'!F398</f>
        <v>2160421.7623359612</v>
      </c>
      <c r="G29" s="1170">
        <f>'Existing Loads'!G29-'Future Management Practices'!G388-'Future Management Practices'!G389-'Future Management Practices'!G391-'Future Management Practices'!G392-'Future Management Practices'!G393-'Future Management Practices'!G394-'Future Management Practices'!G396-'Future Management Practices'!G397-'Future Management Practices'!G398</f>
        <v>25322.344089544225</v>
      </c>
      <c r="H29" s="1490">
        <f>'Existing Loads'!F29-'Loads with Future Practices'!F29</f>
        <v>1087.3737754113972</v>
      </c>
      <c r="I29" s="710"/>
      <c r="J29" s="710"/>
      <c r="K29" s="710"/>
      <c r="L29" s="1254"/>
    </row>
    <row r="30" spans="2:12" x14ac:dyDescent="0.3">
      <c r="B30" s="684" t="s">
        <v>40</v>
      </c>
      <c r="C30" s="1171">
        <f>'Existing Loads'!C30-'Future Management Practices'!C390</f>
        <v>421.54827726953704</v>
      </c>
      <c r="D30" s="1172">
        <f>'Existing Loads'!D30-'Future Management Practices'!D390</f>
        <v>84.309655453907425</v>
      </c>
      <c r="E30" s="1172">
        <f>'Existing Loads'!E30-'Future Management Practices'!E390</f>
        <v>286652.82854328526</v>
      </c>
      <c r="F30" s="1172">
        <f>'Existing Loads'!F30-'Future Management Practices'!F390</f>
        <v>0</v>
      </c>
      <c r="G30" s="1173">
        <f>'Existing Loads'!G30-'Future Management Practices'!G390</f>
        <v>267.99681954375001</v>
      </c>
      <c r="H30" s="1490">
        <f>'Existing Loads'!F30-'Loads with Future Practices'!F30</f>
        <v>0</v>
      </c>
      <c r="I30" s="710"/>
      <c r="J30" s="710"/>
      <c r="K30" s="710"/>
      <c r="L30" s="710"/>
    </row>
    <row r="31" spans="2:12" x14ac:dyDescent="0.3">
      <c r="B31" s="684" t="s">
        <v>148</v>
      </c>
      <c r="C31" s="1174">
        <f>'Existing Loads'!C31-'Future Management Practices'!C401/2</f>
        <v>975.86184163876669</v>
      </c>
      <c r="D31" s="1172">
        <f>'Existing Loads'!D31-'Future Management Practices'!D401/2</f>
        <v>162.6436402731278</v>
      </c>
      <c r="E31" s="1172">
        <f>'Existing Loads'!E31-'Future Management Practices'!E401/2</f>
        <v>6505.7456109251107</v>
      </c>
      <c r="F31" s="1172">
        <f>'Existing Loads'!F31-'Future Management Practices'!F401/2</f>
        <v>738402.12684000016</v>
      </c>
      <c r="G31" s="1173">
        <f>'Existing Loads'!G31-'Future Management Practices'!G401/2</f>
        <v>0</v>
      </c>
      <c r="H31" s="1490">
        <f>'Existing Loads'!F31-'Loads with Future Practices'!F31</f>
        <v>0</v>
      </c>
      <c r="I31" s="710"/>
      <c r="J31" s="710"/>
      <c r="K31" s="710"/>
      <c r="L31" s="710"/>
    </row>
    <row r="32" spans="2:12" x14ac:dyDescent="0.3">
      <c r="B32" s="684" t="s">
        <v>153</v>
      </c>
      <c r="C32" s="1174">
        <f>'Existing Loads'!C32-'Future Management Practices'!C400</f>
        <v>0</v>
      </c>
      <c r="D32" s="1172">
        <f>'Existing Loads'!D32-'Future Management Practices'!D400</f>
        <v>0</v>
      </c>
      <c r="E32" s="1172">
        <f>'Existing Loads'!E32-'Future Management Practices'!E400</f>
        <v>0</v>
      </c>
      <c r="F32" s="1172">
        <f>'Existing Loads'!F32-'Future Management Practices'!F400</f>
        <v>0</v>
      </c>
      <c r="G32" s="1173">
        <f>'Existing Loads'!G32-'Future Management Practices'!G400</f>
        <v>0</v>
      </c>
      <c r="H32" s="1490">
        <f>'Existing Loads'!F32-'Loads with Future Practices'!F32</f>
        <v>0</v>
      </c>
      <c r="I32" s="710"/>
      <c r="J32" s="710"/>
      <c r="K32" s="710"/>
      <c r="L32" s="710"/>
    </row>
    <row r="33" spans="2:39" x14ac:dyDescent="0.3">
      <c r="B33" s="684" t="s">
        <v>232</v>
      </c>
      <c r="C33" s="1174">
        <f>'Existing Loads'!C33-'Future Management Practices'!C403</f>
        <v>0</v>
      </c>
      <c r="D33" s="1172">
        <f>'Existing Loads'!D33-'Future Management Practices'!D403</f>
        <v>0</v>
      </c>
      <c r="E33" s="1172">
        <f>'Existing Loads'!E33-'Future Management Practices'!E403</f>
        <v>3922983.5369412447</v>
      </c>
      <c r="F33" s="1172">
        <f>'Existing Loads'!F33-'Future Management Practices'!F403</f>
        <v>0</v>
      </c>
      <c r="G33" s="1173">
        <f>'Existing Loads'!G33-'Future Management Practices'!G403</f>
        <v>0</v>
      </c>
      <c r="H33" s="1490">
        <f>'Existing Loads'!F33-'Loads with Future Practices'!F33</f>
        <v>0</v>
      </c>
      <c r="I33" s="1255"/>
      <c r="J33" s="1255"/>
      <c r="K33" s="1255"/>
      <c r="L33" s="1255"/>
    </row>
    <row r="34" spans="2:39" x14ac:dyDescent="0.3">
      <c r="B34" s="684" t="s">
        <v>202</v>
      </c>
      <c r="C34" s="1174">
        <f>'Existing Loads'!C34-'Future Management Practices'!C392</f>
        <v>0</v>
      </c>
      <c r="D34" s="1174">
        <f>'Existing Loads'!D34-'Future Management Practices'!D392</f>
        <v>0</v>
      </c>
      <c r="E34" s="1174">
        <f>'Existing Loads'!E34-'Future Management Practices'!E392</f>
        <v>0</v>
      </c>
      <c r="F34" s="1174">
        <f>'Existing Loads'!F34-'Future Management Practices'!F392</f>
        <v>0</v>
      </c>
      <c r="G34" s="1175">
        <f>'Existing Loads'!G34-'Future Management Practices'!G392</f>
        <v>0</v>
      </c>
      <c r="H34" s="1490">
        <f>'Existing Loads'!F34-'Loads with Future Practices'!F34</f>
        <v>0</v>
      </c>
      <c r="I34" s="710"/>
      <c r="J34" s="710"/>
      <c r="K34" s="710"/>
      <c r="L34" s="710"/>
    </row>
    <row r="35" spans="2:39" x14ac:dyDescent="0.3">
      <c r="B35" s="684" t="s">
        <v>37</v>
      </c>
      <c r="C35" s="1172">
        <f>'Existing Loads'!C35</f>
        <v>0</v>
      </c>
      <c r="D35" s="1172">
        <f>'Existing Loads'!D35</f>
        <v>0</v>
      </c>
      <c r="E35" s="1172">
        <f>'Existing Loads'!E35</f>
        <v>0</v>
      </c>
      <c r="F35" s="1172">
        <f>'Existing Loads'!F35</f>
        <v>0</v>
      </c>
      <c r="G35" s="1176">
        <f>'Existing Loads'!G35</f>
        <v>0</v>
      </c>
      <c r="H35" s="1490">
        <f>'Existing Loads'!F35-'Loads with Future Practices'!F35</f>
        <v>0</v>
      </c>
    </row>
    <row r="36" spans="2:39" x14ac:dyDescent="0.3">
      <c r="B36" s="684" t="s">
        <v>500</v>
      </c>
      <c r="C36" s="1172">
        <f>'Existing Loads'!C36</f>
        <v>0</v>
      </c>
      <c r="D36" s="1172">
        <f>'Existing Loads'!D36</f>
        <v>0</v>
      </c>
      <c r="E36" s="1172">
        <f>'Existing Loads'!E36</f>
        <v>0</v>
      </c>
      <c r="F36" s="1172">
        <f>'Existing Loads'!F36</f>
        <v>0</v>
      </c>
      <c r="G36" s="1176">
        <f>'Existing Loads'!G36</f>
        <v>0</v>
      </c>
      <c r="H36" s="1490">
        <f>'Existing Loads'!F36-'Loads with Future Practices'!F36</f>
        <v>0</v>
      </c>
    </row>
    <row r="37" spans="2:39" x14ac:dyDescent="0.3">
      <c r="B37" s="684" t="s">
        <v>181</v>
      </c>
      <c r="C37" s="1172">
        <f>'Existing Loads'!C37</f>
        <v>0</v>
      </c>
      <c r="D37" s="1172">
        <f>'Existing Loads'!D37</f>
        <v>0</v>
      </c>
      <c r="E37" s="1172">
        <f>'Existing Loads'!E37</f>
        <v>0</v>
      </c>
      <c r="F37" s="1172">
        <f>'Existing Loads'!F37</f>
        <v>0</v>
      </c>
      <c r="G37" s="1176">
        <f>'Existing Loads'!G37</f>
        <v>0</v>
      </c>
      <c r="H37" s="1490">
        <f>'Existing Loads'!F37-'Loads with Future Practices'!F37</f>
        <v>0</v>
      </c>
    </row>
    <row r="38" spans="2:39" ht="14.5" thickBot="1" x14ac:dyDescent="0.35">
      <c r="B38" s="689" t="s">
        <v>39</v>
      </c>
      <c r="C38" s="1172">
        <f>'Existing Loads'!C38</f>
        <v>0</v>
      </c>
      <c r="D38" s="1172">
        <f>'Existing Loads'!D38</f>
        <v>0</v>
      </c>
      <c r="E38" s="1172">
        <f>'Existing Loads'!E38</f>
        <v>0</v>
      </c>
      <c r="F38" s="1172">
        <f>'Existing Loads'!F38</f>
        <v>0</v>
      </c>
      <c r="G38" s="1176">
        <f>'Existing Loads'!G38</f>
        <v>0</v>
      </c>
      <c r="H38" s="1490">
        <f>'Existing Loads'!F38-'Loads with Future Practices'!F38</f>
        <v>0</v>
      </c>
    </row>
    <row r="39" spans="2:39" ht="14.5" thickBot="1" x14ac:dyDescent="0.35">
      <c r="B39" s="690" t="s">
        <v>529</v>
      </c>
      <c r="C39" s="1177">
        <f>SUM(C29:C38)</f>
        <v>174127.36808726206</v>
      </c>
      <c r="D39" s="1177">
        <f>SUM(D29:D38)</f>
        <v>43555.60384867317</v>
      </c>
      <c r="E39" s="1177">
        <f>SUM(E29:E38)</f>
        <v>7157283.007940961</v>
      </c>
      <c r="F39" s="1177">
        <f>SUM(F29:F38)</f>
        <v>2898823.8891759613</v>
      </c>
      <c r="G39" s="1178">
        <f>SUM(G29:G38)</f>
        <v>25590.340909087976</v>
      </c>
      <c r="H39" s="1490">
        <f>'Existing Loads'!F39-'Loads with Future Practices'!F39</f>
        <v>1087.3737754113972</v>
      </c>
    </row>
    <row r="40" spans="2:39" s="716" customFormat="1" ht="34.5" customHeight="1" thickTop="1" thickBot="1" x14ac:dyDescent="0.35">
      <c r="H40" s="1490"/>
    </row>
    <row r="41" spans="2:39" ht="27" customHeight="1" thickTop="1" x14ac:dyDescent="0.4">
      <c r="B41" s="1871" t="s">
        <v>531</v>
      </c>
      <c r="C41" s="1872"/>
      <c r="D41" s="1872"/>
      <c r="E41" s="1872"/>
      <c r="F41" s="1873"/>
      <c r="H41" s="1490"/>
    </row>
    <row r="42" spans="2:39" x14ac:dyDescent="0.3">
      <c r="B42" s="695"/>
      <c r="C42" s="674" t="s">
        <v>10</v>
      </c>
      <c r="D42" s="674" t="s">
        <v>11</v>
      </c>
      <c r="E42" s="674" t="s">
        <v>12</v>
      </c>
      <c r="F42" s="696" t="s">
        <v>495</v>
      </c>
      <c r="H42" s="1490"/>
    </row>
    <row r="43" spans="2:39" x14ac:dyDescent="0.3">
      <c r="B43" s="697"/>
      <c r="C43" s="674" t="s">
        <v>497</v>
      </c>
      <c r="D43" s="674" t="s">
        <v>497</v>
      </c>
      <c r="E43" s="674" t="s">
        <v>497</v>
      </c>
      <c r="F43" s="696" t="s">
        <v>498</v>
      </c>
      <c r="H43" s="1490"/>
    </row>
    <row r="44" spans="2:39" x14ac:dyDescent="0.3">
      <c r="B44" s="684" t="s">
        <v>37</v>
      </c>
      <c r="C44" s="1172">
        <f>'Existing Loads'!C44</f>
        <v>0</v>
      </c>
      <c r="D44" s="1172">
        <f>'Existing Loads'!D44</f>
        <v>0</v>
      </c>
      <c r="E44" s="1172">
        <f>'Existing Loads'!E44</f>
        <v>0</v>
      </c>
      <c r="F44" s="1176">
        <v>0</v>
      </c>
      <c r="G44" s="694"/>
      <c r="H44" s="1490">
        <f>'Existing Loads'!F44-'Loads with Future Practices'!F44</f>
        <v>0</v>
      </c>
      <c r="AK44" s="694"/>
      <c r="AL44" s="694"/>
      <c r="AM44" s="694"/>
    </row>
    <row r="45" spans="2:39" x14ac:dyDescent="0.3">
      <c r="B45" s="684" t="s">
        <v>500</v>
      </c>
      <c r="C45" s="1172">
        <f>'Existing Loads'!C45</f>
        <v>0</v>
      </c>
      <c r="D45" s="1172">
        <f>'Existing Loads'!D45</f>
        <v>0</v>
      </c>
      <c r="E45" s="1172">
        <f>'Existing Loads'!E45</f>
        <v>0</v>
      </c>
      <c r="F45" s="1176">
        <v>0</v>
      </c>
      <c r="G45" s="694"/>
      <c r="H45" s="1490">
        <f>'Existing Loads'!F45-'Loads with Future Practices'!F45</f>
        <v>0</v>
      </c>
      <c r="AK45" s="694"/>
      <c r="AL45" s="694"/>
      <c r="AM45" s="694"/>
    </row>
    <row r="46" spans="2:39" x14ac:dyDescent="0.3">
      <c r="B46" s="698" t="s">
        <v>148</v>
      </c>
      <c r="C46" s="1172">
        <f>C31</f>
        <v>975.86184163876669</v>
      </c>
      <c r="D46" s="1172">
        <f>D31</f>
        <v>162.6436402731278</v>
      </c>
      <c r="E46" s="1172">
        <f>E31</f>
        <v>6505.7456109251107</v>
      </c>
      <c r="F46" s="1176">
        <f>F31</f>
        <v>738402.12684000016</v>
      </c>
      <c r="G46" s="712"/>
      <c r="H46" s="1490">
        <f>'Existing Loads'!F46-'Loads with Future Practices'!F46</f>
        <v>0</v>
      </c>
    </row>
    <row r="47" spans="2:39" x14ac:dyDescent="0.3">
      <c r="B47" s="698" t="s">
        <v>160</v>
      </c>
      <c r="C47" s="1174">
        <f>'Existing Loads'!C47-'Future Management Practices'!C399</f>
        <v>1106.7933342687224</v>
      </c>
      <c r="D47" s="1172">
        <f>'Existing Loads'!D47-'Future Management Practices'!D399</f>
        <v>293.52719392731279</v>
      </c>
      <c r="E47" s="1172">
        <f>'Existing Loads'!E47-'Future Management Practices'!E399</f>
        <v>8087.5228768612342</v>
      </c>
      <c r="F47" s="1176">
        <f>'Existing Loads'!F47-'Future Management Practices'!F399</f>
        <v>672096.91720499983</v>
      </c>
      <c r="H47" s="1490">
        <f>'Existing Loads'!F47-'Loads with Future Practices'!F47</f>
        <v>0</v>
      </c>
      <c r="L47" s="712"/>
    </row>
    <row r="48" spans="2:39" x14ac:dyDescent="0.3">
      <c r="B48" s="698" t="s">
        <v>196</v>
      </c>
      <c r="C48" s="1179">
        <f>'Existing Loads'!C48-'Future Management Practices'!C395</f>
        <v>0</v>
      </c>
      <c r="D48" s="1179">
        <f>'Existing Loads'!D48-'Future Management Practices'!D395</f>
        <v>0</v>
      </c>
      <c r="E48" s="1179">
        <f>'Existing Loads'!E48-'Future Management Practices'!E395</f>
        <v>0</v>
      </c>
      <c r="F48" s="1180">
        <f>'Existing Loads'!F48-'Future Management Practices'!F395</f>
        <v>0</v>
      </c>
      <c r="H48" s="1490">
        <f>'Existing Loads'!F48-'Loads with Future Practices'!F48</f>
        <v>0</v>
      </c>
    </row>
    <row r="49" spans="1:39" x14ac:dyDescent="0.3">
      <c r="B49" s="698" t="s">
        <v>502</v>
      </c>
      <c r="C49" s="1179">
        <f>'Existing Loads'!C49-'Future Management Practices'!C404</f>
        <v>0</v>
      </c>
      <c r="D49" s="1179">
        <f>'Existing Loads'!D49-'Future Management Practices'!D404</f>
        <v>0</v>
      </c>
      <c r="E49" s="1179">
        <f>'Existing Loads'!E49-'Future Management Practices'!E404</f>
        <v>0</v>
      </c>
      <c r="F49" s="1180">
        <f>'Existing Loads'!F49-'Future Management Practices'!F404</f>
        <v>0</v>
      </c>
      <c r="H49" s="1490">
        <f>'Existing Loads'!F49-'Loads with Future Practices'!F49</f>
        <v>0</v>
      </c>
    </row>
    <row r="50" spans="1:39" ht="14.5" thickBot="1" x14ac:dyDescent="0.35">
      <c r="B50" s="705" t="s">
        <v>503</v>
      </c>
      <c r="C50" s="1181">
        <f>'Existing Loads'!C50-'Future Management Practices'!C402</f>
        <v>20198.082240000003</v>
      </c>
      <c r="D50" s="1181">
        <f>'Existing Loads'!D50-'Future Management Practices'!D402</f>
        <v>3366.3470400000006</v>
      </c>
      <c r="E50" s="1181">
        <f>'Existing Loads'!E50-'Future Management Practices'!E402</f>
        <v>134653.88160000002</v>
      </c>
      <c r="F50" s="1182">
        <f>'Existing Loads'!F50-'Future Management Practices'!F402</f>
        <v>210841.67160000006</v>
      </c>
      <c r="H50" s="1490">
        <f>'Existing Loads'!F50-'Loads with Future Practices'!F50</f>
        <v>0</v>
      </c>
    </row>
    <row r="51" spans="1:39" ht="15" thickTop="1" thickBot="1" x14ac:dyDescent="0.35">
      <c r="B51" s="769" t="s">
        <v>530</v>
      </c>
      <c r="C51" s="1177">
        <f>SUM(C41:C50)</f>
        <v>22280.737415907493</v>
      </c>
      <c r="D51" s="1177">
        <f>SUM(D41:D50)</f>
        <v>3822.5178742004409</v>
      </c>
      <c r="E51" s="1177">
        <f>SUM(E41:E50)</f>
        <v>149247.15008778637</v>
      </c>
      <c r="F51" s="1183">
        <f>SUM(F41:F50)</f>
        <v>1621340.7156449999</v>
      </c>
      <c r="H51" s="1490">
        <f>'Existing Loads'!F51-'Loads with Future Practices'!F51</f>
        <v>0</v>
      </c>
    </row>
    <row r="52" spans="1:39" x14ac:dyDescent="0.3">
      <c r="D52" s="694"/>
      <c r="E52" s="694"/>
      <c r="F52" s="694"/>
      <c r="G52" s="694"/>
      <c r="H52" s="694"/>
      <c r="I52" s="672"/>
      <c r="AK52" s="694"/>
      <c r="AL52" s="694"/>
      <c r="AM52" s="694"/>
    </row>
    <row r="53" spans="1:39" ht="14.5" thickBot="1" x14ac:dyDescent="0.35">
      <c r="AH53" s="694"/>
      <c r="AI53" s="694"/>
      <c r="AJ53" s="694"/>
    </row>
    <row r="54" spans="1:39" ht="43.5" customHeight="1" thickTop="1" x14ac:dyDescent="0.4">
      <c r="B54" s="1874" t="s">
        <v>537</v>
      </c>
      <c r="C54" s="1875"/>
      <c r="D54" s="1875"/>
      <c r="E54" s="1876"/>
      <c r="F54" s="694"/>
      <c r="G54" s="694"/>
      <c r="AK54" s="694"/>
      <c r="AL54" s="694"/>
      <c r="AM54" s="694"/>
    </row>
    <row r="55" spans="1:39" x14ac:dyDescent="0.3">
      <c r="B55" s="1014"/>
      <c r="C55" s="674" t="s">
        <v>10</v>
      </c>
      <c r="D55" s="674" t="s">
        <v>11</v>
      </c>
      <c r="E55" s="696" t="s">
        <v>495</v>
      </c>
      <c r="F55" s="694"/>
      <c r="G55" s="694"/>
      <c r="AK55" s="694"/>
      <c r="AL55" s="694"/>
      <c r="AM55" s="694"/>
    </row>
    <row r="56" spans="1:39" x14ac:dyDescent="0.3">
      <c r="B56" s="1014"/>
      <c r="C56" s="674" t="s">
        <v>497</v>
      </c>
      <c r="D56" s="674" t="s">
        <v>497</v>
      </c>
      <c r="E56" s="696" t="s">
        <v>498</v>
      </c>
      <c r="F56" s="694"/>
      <c r="G56" s="694"/>
      <c r="AK56" s="694"/>
      <c r="AL56" s="694"/>
      <c r="AM56" s="694"/>
    </row>
    <row r="57" spans="1:39" x14ac:dyDescent="0.3">
      <c r="B57" s="766" t="s">
        <v>499</v>
      </c>
      <c r="C57" s="1186">
        <f>'Existing Loads'!C56-SUM('Future Management Practices'!C411:'Future Management Practices'!C413)</f>
        <v>1014501.0195982239</v>
      </c>
      <c r="D57" s="1186">
        <f>'Existing Loads'!D56-SUM('Future Management Practices'!D411:'Future Management Practices'!D413)</f>
        <v>71678.458599470658</v>
      </c>
      <c r="E57" s="1187">
        <f>'Existing Loads'!E56-SUM('Future Management Practices'!F411:'Future Management Practices'!F413)</f>
        <v>4968.5412981350783</v>
      </c>
      <c r="F57" s="694"/>
      <c r="G57" s="1045"/>
      <c r="H57" s="1046"/>
      <c r="I57" s="1046"/>
      <c r="J57" s="1046"/>
      <c r="AK57" s="694"/>
      <c r="AL57" s="694"/>
      <c r="AM57" s="694"/>
    </row>
    <row r="58" spans="1:39" ht="14.5" thickBot="1" x14ac:dyDescent="0.35">
      <c r="A58" s="1012"/>
      <c r="B58" s="1013" t="s">
        <v>636</v>
      </c>
      <c r="C58" s="1184">
        <f>'Existing Loads'!C57-'Future Management Practices'!C414</f>
        <v>199763.31497472004</v>
      </c>
      <c r="D58" s="1184">
        <f>'Existing Loads'!D57-'Future Management Practices'!D414</f>
        <v>0</v>
      </c>
      <c r="E58" s="1185">
        <f>'Existing Loads'!E57-'Future Management Practices'!F414</f>
        <v>0</v>
      </c>
      <c r="F58" s="694"/>
      <c r="G58" s="1045"/>
      <c r="H58" s="1046"/>
      <c r="I58" s="1046"/>
      <c r="J58" s="1046"/>
      <c r="AK58" s="694"/>
      <c r="AL58" s="694"/>
      <c r="AM58" s="694"/>
    </row>
    <row r="59" spans="1:39" ht="15" thickTop="1" thickBot="1" x14ac:dyDescent="0.35">
      <c r="A59" s="1012"/>
      <c r="B59" s="706" t="s">
        <v>41</v>
      </c>
      <c r="C59" s="1166">
        <f>SUM(C57:C58)</f>
        <v>1214264.3345729439</v>
      </c>
      <c r="D59" s="1166">
        <f>SUM(D57:D58)</f>
        <v>71678.458599470658</v>
      </c>
      <c r="E59" s="1167">
        <f>SUM(E57:E58)</f>
        <v>4968.5412981350783</v>
      </c>
      <c r="F59" s="774"/>
      <c r="G59" s="694"/>
      <c r="AK59" s="694"/>
      <c r="AL59" s="694"/>
      <c r="AM59" s="694"/>
    </row>
    <row r="60" spans="1:39" ht="14.5" thickTop="1" x14ac:dyDescent="0.3">
      <c r="A60" s="1012"/>
      <c r="C60" s="694"/>
      <c r="D60" s="694"/>
      <c r="E60" s="694"/>
      <c r="F60" s="694"/>
      <c r="G60" s="694"/>
      <c r="I60" s="1046"/>
      <c r="AK60" s="694"/>
      <c r="AL60" s="694"/>
      <c r="AM60" s="694"/>
    </row>
    <row r="61" spans="1:39" x14ac:dyDescent="0.3">
      <c r="C61" s="694"/>
      <c r="D61" s="694"/>
      <c r="E61" s="694"/>
      <c r="F61" s="694"/>
      <c r="G61" s="694"/>
      <c r="I61" s="1046"/>
      <c r="AK61" s="694"/>
      <c r="AL61" s="694"/>
      <c r="AM61" s="694"/>
    </row>
    <row r="62" spans="1:39" x14ac:dyDescent="0.3">
      <c r="C62" s="1035"/>
      <c r="D62" s="1035"/>
      <c r="E62" s="1035"/>
      <c r="F62" s="694"/>
      <c r="G62" s="1037"/>
      <c r="AK62" s="694"/>
      <c r="AL62" s="694"/>
      <c r="AM62" s="694"/>
    </row>
    <row r="63" spans="1:39" x14ac:dyDescent="0.3">
      <c r="C63" s="1035"/>
      <c r="D63" s="1035"/>
      <c r="E63" s="1035"/>
      <c r="F63" s="694"/>
      <c r="G63" s="1037"/>
      <c r="AK63" s="694"/>
      <c r="AL63" s="694"/>
      <c r="AM63" s="694"/>
    </row>
    <row r="64" spans="1:39" x14ac:dyDescent="0.3">
      <c r="C64" s="694"/>
      <c r="D64" s="694"/>
      <c r="E64" s="694"/>
      <c r="F64" s="694"/>
      <c r="G64" s="694"/>
      <c r="AK64" s="694"/>
      <c r="AL64" s="694"/>
      <c r="AM64" s="694"/>
    </row>
    <row r="65" spans="3:39" x14ac:dyDescent="0.3">
      <c r="C65" s="694"/>
      <c r="D65" s="694"/>
      <c r="E65" s="694"/>
      <c r="F65" s="694"/>
      <c r="G65" s="694"/>
      <c r="AK65" s="694"/>
      <c r="AL65" s="694"/>
      <c r="AM65" s="694"/>
    </row>
    <row r="66" spans="3:39" x14ac:dyDescent="0.3">
      <c r="C66" s="694"/>
      <c r="D66" s="694"/>
      <c r="E66" s="694"/>
      <c r="F66" s="694"/>
      <c r="G66" s="694"/>
      <c r="AK66" s="694"/>
      <c r="AL66" s="694"/>
      <c r="AM66" s="694"/>
    </row>
    <row r="67" spans="3:39" x14ac:dyDescent="0.3">
      <c r="C67" s="694"/>
      <c r="D67" s="694"/>
      <c r="E67" s="694"/>
      <c r="F67" s="694"/>
      <c r="G67" s="694"/>
      <c r="AK67" s="694"/>
      <c r="AL67" s="694"/>
      <c r="AM67" s="694"/>
    </row>
    <row r="68" spans="3:39" x14ac:dyDescent="0.3">
      <c r="C68" s="694"/>
      <c r="D68" s="694"/>
      <c r="E68" s="694"/>
      <c r="F68" s="694"/>
      <c r="G68" s="694"/>
      <c r="AK68" s="694"/>
      <c r="AL68" s="694"/>
      <c r="AM68" s="694"/>
    </row>
    <row r="69" spans="3:39" x14ac:dyDescent="0.3">
      <c r="C69" s="694"/>
      <c r="D69" s="694"/>
      <c r="E69" s="694"/>
      <c r="F69" s="694"/>
      <c r="G69" s="694"/>
      <c r="AK69" s="694"/>
      <c r="AL69" s="694"/>
      <c r="AM69" s="694"/>
    </row>
    <row r="70" spans="3:39" x14ac:dyDescent="0.3">
      <c r="C70" s="694"/>
      <c r="D70" s="694"/>
      <c r="E70" s="694"/>
      <c r="F70" s="694"/>
      <c r="G70" s="694"/>
      <c r="AK70" s="694"/>
      <c r="AL70" s="694"/>
      <c r="AM70" s="694"/>
    </row>
    <row r="71" spans="3:39" x14ac:dyDescent="0.3">
      <c r="C71" s="694"/>
      <c r="D71" s="694"/>
      <c r="E71" s="694"/>
      <c r="F71" s="694"/>
      <c r="G71" s="694"/>
      <c r="AK71" s="694"/>
      <c r="AL71" s="694"/>
      <c r="AM71" s="694"/>
    </row>
    <row r="72" spans="3:39" x14ac:dyDescent="0.3">
      <c r="C72" s="694"/>
      <c r="D72" s="694"/>
      <c r="E72" s="694"/>
      <c r="F72" s="694"/>
      <c r="G72" s="694"/>
      <c r="AK72" s="694"/>
      <c r="AL72" s="694"/>
      <c r="AM72" s="694"/>
    </row>
    <row r="73" spans="3:39" x14ac:dyDescent="0.3">
      <c r="C73" s="694"/>
      <c r="D73" s="694"/>
      <c r="E73" s="694"/>
      <c r="F73" s="694"/>
      <c r="G73" s="694"/>
      <c r="AK73" s="694"/>
      <c r="AL73" s="694"/>
      <c r="AM73" s="694"/>
    </row>
    <row r="74" spans="3:39" x14ac:dyDescent="0.3">
      <c r="C74" s="694"/>
      <c r="D74" s="694"/>
      <c r="E74" s="694"/>
      <c r="F74" s="694"/>
      <c r="G74" s="694"/>
      <c r="AK74" s="694"/>
      <c r="AL74" s="694"/>
      <c r="AM74" s="694"/>
    </row>
    <row r="75" spans="3:39" x14ac:dyDescent="0.3">
      <c r="C75" s="693"/>
      <c r="AK75" s="694"/>
      <c r="AL75" s="694"/>
      <c r="AM75" s="694"/>
    </row>
    <row r="76" spans="3:39" x14ac:dyDescent="0.3">
      <c r="C76" s="693"/>
    </row>
    <row r="77" spans="3:39" x14ac:dyDescent="0.3">
      <c r="C77" s="693"/>
    </row>
    <row r="78" spans="3:39" x14ac:dyDescent="0.3">
      <c r="C78" s="693"/>
    </row>
    <row r="79" spans="3:39" x14ac:dyDescent="0.3">
      <c r="C79" s="693"/>
    </row>
  </sheetData>
  <mergeCells count="4">
    <mergeCell ref="B26:G26"/>
    <mergeCell ref="B41:F41"/>
    <mergeCell ref="B54:E54"/>
    <mergeCell ref="B4:G4"/>
  </mergeCells>
  <phoneticPr fontId="15" type="noConversion"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11"/>
  </sheetPr>
  <dimension ref="A1:BY133"/>
  <sheetViews>
    <sheetView topLeftCell="A71" workbookViewId="0">
      <selection activeCell="E100" sqref="E100"/>
    </sheetView>
  </sheetViews>
  <sheetFormatPr defaultRowHeight="12.5" x14ac:dyDescent="0.25"/>
  <cols>
    <col min="2" max="2" width="43.7265625" customWidth="1"/>
    <col min="3" max="3" width="32.7265625" customWidth="1"/>
    <col min="4" max="4" width="23.453125" customWidth="1"/>
    <col min="5" max="5" width="21.81640625" customWidth="1"/>
    <col min="6" max="6" width="24" customWidth="1"/>
    <col min="7" max="7" width="15" customWidth="1"/>
    <col min="8" max="8" width="10.26953125" customWidth="1"/>
    <col min="10" max="10" width="16.54296875" customWidth="1"/>
    <col min="14" max="15" width="17" style="114" customWidth="1"/>
    <col min="16" max="16" width="12.54296875" customWidth="1"/>
    <col min="18" max="18" width="17.54296875" customWidth="1"/>
    <col min="19" max="19" width="22.1796875" customWidth="1"/>
    <col min="20" max="20" width="14.1796875" customWidth="1"/>
    <col min="22" max="22" width="28.7265625" customWidth="1"/>
  </cols>
  <sheetData>
    <row r="1" spans="2:22" s="1" customFormat="1" ht="13.5" thickBot="1" x14ac:dyDescent="0.35">
      <c r="P1" s="112"/>
      <c r="Q1" s="112"/>
      <c r="R1" s="112"/>
      <c r="S1" s="112"/>
    </row>
    <row r="2" spans="2:22" s="1" customFormat="1" ht="23.25" customHeight="1" thickTop="1" x14ac:dyDescent="0.4">
      <c r="B2" s="1818" t="s">
        <v>538</v>
      </c>
      <c r="C2" s="1819"/>
      <c r="D2" s="1819"/>
      <c r="E2" s="1819"/>
      <c r="F2" s="1819"/>
      <c r="G2" s="1820"/>
      <c r="H2" s="126"/>
      <c r="I2" s="126"/>
      <c r="J2" s="126"/>
      <c r="K2" s="1760" t="s">
        <v>627</v>
      </c>
      <c r="L2" s="1761"/>
      <c r="M2" s="1761"/>
      <c r="N2" s="1761"/>
      <c r="O2" s="1790"/>
      <c r="P2" s="1760" t="s">
        <v>539</v>
      </c>
      <c r="Q2" s="1761"/>
      <c r="R2" s="1761"/>
      <c r="S2" s="1761"/>
      <c r="T2" s="1951"/>
    </row>
    <row r="3" spans="2:22" s="1" customFormat="1" ht="12.75" customHeight="1" thickBot="1" x14ac:dyDescent="0.35">
      <c r="B3" s="86"/>
      <c r="C3" s="87"/>
      <c r="D3" s="777"/>
      <c r="E3" s="778"/>
      <c r="F3" s="779"/>
      <c r="G3" s="1770" t="s">
        <v>5</v>
      </c>
      <c r="H3" s="1771"/>
      <c r="I3" s="1771"/>
      <c r="J3" s="1771"/>
      <c r="K3" s="1770"/>
      <c r="L3" s="1771"/>
      <c r="M3" s="1771"/>
      <c r="N3" s="1771"/>
      <c r="O3" s="1772"/>
      <c r="P3" s="1762"/>
      <c r="Q3" s="1763"/>
      <c r="R3" s="1763"/>
      <c r="S3" s="1763"/>
      <c r="T3" s="1952"/>
    </row>
    <row r="4" spans="2:22" s="1" customFormat="1" ht="13" x14ac:dyDescent="0.3">
      <c r="B4" s="86"/>
      <c r="C4" s="87" t="s">
        <v>389</v>
      </c>
      <c r="D4" s="777" t="s">
        <v>611</v>
      </c>
      <c r="E4" s="778" t="s">
        <v>540</v>
      </c>
      <c r="F4" s="779" t="str">
        <f>'Primary Sources'!F8</f>
        <v>Turf</v>
      </c>
      <c r="G4" s="21" t="s">
        <v>10</v>
      </c>
      <c r="H4" s="23" t="s">
        <v>11</v>
      </c>
      <c r="I4" s="23" t="s">
        <v>12</v>
      </c>
      <c r="J4" s="24" t="s">
        <v>13</v>
      </c>
      <c r="K4" s="21" t="s">
        <v>10</v>
      </c>
      <c r="L4" s="23" t="s">
        <v>11</v>
      </c>
      <c r="M4" s="23" t="s">
        <v>12</v>
      </c>
      <c r="N4" s="24" t="s">
        <v>13</v>
      </c>
      <c r="O4" s="24" t="s">
        <v>14</v>
      </c>
      <c r="P4" s="21" t="s">
        <v>10</v>
      </c>
      <c r="Q4" s="23" t="s">
        <v>11</v>
      </c>
      <c r="R4" s="23" t="s">
        <v>12</v>
      </c>
      <c r="S4" s="842" t="s">
        <v>13</v>
      </c>
      <c r="T4" s="1944" t="s">
        <v>571</v>
      </c>
    </row>
    <row r="5" spans="2:22" s="1" customFormat="1" ht="13.5" thickBot="1" x14ac:dyDescent="0.35">
      <c r="B5" s="90"/>
      <c r="C5" s="107"/>
      <c r="D5" s="780" t="s">
        <v>15</v>
      </c>
      <c r="E5" s="781" t="s">
        <v>541</v>
      </c>
      <c r="F5" s="823" t="str">
        <f>'Primary Sources'!F9</f>
        <v>Cover (%)</v>
      </c>
      <c r="G5" s="17" t="s">
        <v>17</v>
      </c>
      <c r="H5" s="30" t="s">
        <v>17</v>
      </c>
      <c r="I5" s="30" t="s">
        <v>17</v>
      </c>
      <c r="J5" s="20" t="s">
        <v>18</v>
      </c>
      <c r="K5" s="17" t="s">
        <v>542</v>
      </c>
      <c r="L5" s="30" t="s">
        <v>542</v>
      </c>
      <c r="M5" s="30" t="s">
        <v>542</v>
      </c>
      <c r="N5" s="20" t="s">
        <v>543</v>
      </c>
      <c r="O5" s="20" t="s">
        <v>22</v>
      </c>
      <c r="P5" s="17" t="s">
        <v>23</v>
      </c>
      <c r="Q5" s="30" t="s">
        <v>23</v>
      </c>
      <c r="R5" s="30" t="s">
        <v>24</v>
      </c>
      <c r="S5" s="843" t="s">
        <v>25</v>
      </c>
      <c r="T5" s="1944"/>
    </row>
    <row r="6" spans="2:22" s="1" customFormat="1" ht="13.5" thickTop="1" x14ac:dyDescent="0.3">
      <c r="B6" s="486"/>
      <c r="C6" s="782"/>
      <c r="D6" s="1262"/>
      <c r="E6" s="783"/>
      <c r="F6" s="784"/>
      <c r="G6" s="785"/>
      <c r="H6" s="786"/>
      <c r="I6" s="786"/>
      <c r="J6" s="787"/>
      <c r="K6" s="35"/>
      <c r="L6" s="34"/>
      <c r="M6" s="34"/>
      <c r="N6" s="36"/>
      <c r="O6" s="36"/>
      <c r="P6" s="37"/>
      <c r="Q6" s="38"/>
      <c r="R6" s="38"/>
      <c r="S6" s="844"/>
      <c r="T6" s="844"/>
    </row>
    <row r="7" spans="2:22" s="1" customFormat="1" ht="13" x14ac:dyDescent="0.3">
      <c r="B7" s="39" t="str">
        <f>IF('Primary Sources'!B11&gt;0,'Primary Sources'!B11,"")</f>
        <v>11 LDR</v>
      </c>
      <c r="C7" s="40" t="str">
        <f>IF('Primary Sources'!C11&gt;0,'Primary Sources'!C11,"")</f>
        <v>LDR (&lt;1du/acre)</v>
      </c>
      <c r="D7" s="1263"/>
      <c r="E7" s="41">
        <f>'Primary Sources'!E11</f>
        <v>0.11388279998986102</v>
      </c>
      <c r="F7" s="42">
        <f>'Primary Sources'!F11</f>
        <v>0.70889376000811122</v>
      </c>
      <c r="G7" s="99">
        <f>'Primary Sources'!G11</f>
        <v>2</v>
      </c>
      <c r="H7" s="50">
        <f>'Primary Sources'!H11</f>
        <v>0.3</v>
      </c>
      <c r="I7" s="51">
        <f>'Primary Sources'!I11</f>
        <v>49</v>
      </c>
      <c r="J7" s="43">
        <f>'Primary Sources'!J11</f>
        <v>8345</v>
      </c>
      <c r="K7" s="44">
        <f>0.226*G7*$O7-('Existing Management Practices'!C$176+'Future Management Practices'!C$388)/(MAX('Primary Sources'!$F$53,0.01)-'Existing Management Practices'!$C$6+'Future Management Practices'!$C$20)*'New Development'!$F7</f>
        <v>5.8754046416811061</v>
      </c>
      <c r="L7" s="44">
        <f>0.226*H7*$O7-('Existing Management Practices'!D$176+'Future Management Practices'!D$388)/(MAX('Primary Sources'!$F$53,0.01)-'Existing Management Practices'!$C$6+'Future Management Practices'!$C$20)*'New Development'!$F7</f>
        <v>1.6750901486928238</v>
      </c>
      <c r="M7" s="45">
        <f>0.226*I7*$O7</f>
        <v>104.02993920056444</v>
      </c>
      <c r="N7" s="788">
        <f t="shared" ref="N7:N31" si="0">0.00103*J7*$O7</f>
        <v>80.745325799852964</v>
      </c>
      <c r="O7" s="788">
        <f>'Primary Sources'!$C$62*0.9*('Primary Sources'!$D$74*$E7+'Existing Management Practices'!$C$32*$F7+'Primary Sources'!$F$74*(1-$F7-$E7))</f>
        <v>9.3940707242698611</v>
      </c>
      <c r="P7" s="46">
        <f t="shared" ref="P7:P31" si="1">$D7*K7</f>
        <v>0</v>
      </c>
      <c r="Q7" s="47">
        <f t="shared" ref="Q7:Q31" si="2">$D7*L7</f>
        <v>0</v>
      </c>
      <c r="R7" s="48">
        <f>$D7*M7</f>
        <v>0</v>
      </c>
      <c r="S7" s="802">
        <f t="shared" ref="S7:S31" si="3">N7*D7</f>
        <v>0</v>
      </c>
      <c r="T7" s="802">
        <f>O7*D7/12</f>
        <v>0</v>
      </c>
      <c r="V7" s="1056"/>
    </row>
    <row r="8" spans="2:22" s="1" customFormat="1" ht="13" x14ac:dyDescent="0.3">
      <c r="B8" s="39" t="str">
        <f>IF('Primary Sources'!B12&gt;0,'Primary Sources'!B12,"")</f>
        <v>12 MDR</v>
      </c>
      <c r="C8" s="40" t="str">
        <f>IF('Primary Sources'!C12&gt;0,'Primary Sources'!C12,"")</f>
        <v>MDR (1-4 du/acre)</v>
      </c>
      <c r="D8" s="1263"/>
      <c r="E8" s="41">
        <f>'Primary Sources'!E12</f>
        <v>0.24507359751810645</v>
      </c>
      <c r="F8" s="42">
        <f>'Primary Sources'!F12</f>
        <v>0.60394112198551486</v>
      </c>
      <c r="G8" s="789">
        <f>'Primary Sources'!G12</f>
        <v>2</v>
      </c>
      <c r="H8" s="50">
        <f>'Primary Sources'!H12</f>
        <v>0.3</v>
      </c>
      <c r="I8" s="51">
        <f>'Primary Sources'!I12</f>
        <v>49</v>
      </c>
      <c r="J8" s="43">
        <f>'Primary Sources'!J12</f>
        <v>8345</v>
      </c>
      <c r="K8" s="44">
        <f>0.226*G8*$O8-('Existing Management Practices'!C$176+'Future Management Practices'!C$388)/(MAX('Primary Sources'!$F$53,0.01)-'Existing Management Practices'!$C$6+'Future Management Practices'!$C$20)*'New Development'!$F8</f>
        <v>7.3279368813940184</v>
      </c>
      <c r="L8" s="44">
        <f>0.226*H8*$O8-('Existing Management Practices'!D$176+'Future Management Practices'!D$388)/(MAX('Primary Sources'!$F$53,0.01)-'Existing Management Practices'!$C$6+'Future Management Practices'!$C$20)*'New Development'!$F8</f>
        <v>1.7754499100749386</v>
      </c>
      <c r="M8" s="45">
        <f t="shared" ref="M8:M31" si="4">0.226*I8*$O8</f>
        <v>145.52681280389285</v>
      </c>
      <c r="N8" s="788">
        <f t="shared" si="0"/>
        <v>112.95411688946547</v>
      </c>
      <c r="O8" s="788">
        <f>'Primary Sources'!$C$62*0.9*('Primary Sources'!$D$74*$E8+'Existing Management Practices'!$C$32*$F8+'Primary Sources'!$F$74*(1-$F8-$E8))</f>
        <v>13.141305111422508</v>
      </c>
      <c r="P8" s="46">
        <f t="shared" si="1"/>
        <v>0</v>
      </c>
      <c r="Q8" s="47">
        <f t="shared" si="2"/>
        <v>0</v>
      </c>
      <c r="R8" s="47">
        <f t="shared" ref="R8:R31" si="5">$D8*M8</f>
        <v>0</v>
      </c>
      <c r="S8" s="802">
        <f t="shared" si="3"/>
        <v>0</v>
      </c>
      <c r="T8" s="802">
        <f t="shared" ref="T8:T31" si="6">O8*D8/12</f>
        <v>0</v>
      </c>
    </row>
    <row r="9" spans="2:22" s="1" customFormat="1" ht="13" x14ac:dyDescent="0.3">
      <c r="B9" s="39" t="str">
        <f>IF('Primary Sources'!B13&gt;0,'Primary Sources'!B13,"")</f>
        <v>13 HDR</v>
      </c>
      <c r="C9" s="40" t="str">
        <f>IF('Primary Sources'!C13&gt;0,'Primary Sources'!C13,"")</f>
        <v>HDR (&gt;4 du/acre)</v>
      </c>
      <c r="D9" s="1263"/>
      <c r="E9" s="41">
        <f>'Primary Sources'!E13</f>
        <v>0.44295490240071794</v>
      </c>
      <c r="F9" s="42">
        <f>'Primary Sources'!F13</f>
        <v>0.44563607807942562</v>
      </c>
      <c r="G9" s="789">
        <f>'Primary Sources'!G13</f>
        <v>2</v>
      </c>
      <c r="H9" s="50">
        <f>'Primary Sources'!H13</f>
        <v>0.3</v>
      </c>
      <c r="I9" s="51">
        <f>'Primary Sources'!I13</f>
        <v>49</v>
      </c>
      <c r="J9" s="43">
        <f>'Primary Sources'!J13</f>
        <v>8345</v>
      </c>
      <c r="K9" s="44">
        <f>0.226*G9*$O9-('Existing Management Practices'!C$176+'Future Management Practices'!C$388)/(MAX('Primary Sources'!$F$53,0.01)-'Existing Management Practices'!$C$6+'Future Management Practices'!$C$20)*'New Development'!$F9</f>
        <v>9.5188601808470157</v>
      </c>
      <c r="L9" s="44">
        <f>0.226*H9*$O9-('Existing Management Practices'!D$176+'Future Management Practices'!D$388)/(MAX('Primary Sources'!$F$53,0.01)-'Existing Management Practices'!$C$6+'Future Management Practices'!$C$20)*'New Development'!$F9</f>
        <v>1.926827300213334</v>
      </c>
      <c r="M9" s="45">
        <f t="shared" si="4"/>
        <v>208.11851627613905</v>
      </c>
      <c r="N9" s="788">
        <f t="shared" si="0"/>
        <v>161.53616478906557</v>
      </c>
      <c r="O9" s="788">
        <f>'Primary Sources'!$C$62*0.9*('Primary Sources'!$D$74*$E9+'Existing Management Practices'!$C$32*$F9+'Primary Sources'!$F$74*(1-$F9-$E9))</f>
        <v>18.79343654290582</v>
      </c>
      <c r="P9" s="46">
        <f t="shared" si="1"/>
        <v>0</v>
      </c>
      <c r="Q9" s="47">
        <f t="shared" si="2"/>
        <v>0</v>
      </c>
      <c r="R9" s="47">
        <f t="shared" si="5"/>
        <v>0</v>
      </c>
      <c r="S9" s="802">
        <f t="shared" si="3"/>
        <v>0</v>
      </c>
      <c r="T9" s="802">
        <f t="shared" si="6"/>
        <v>0</v>
      </c>
    </row>
    <row r="10" spans="2:22" s="1" customFormat="1" ht="13" x14ac:dyDescent="0.3">
      <c r="B10" s="39" t="str">
        <f>IF('Primary Sources'!B14&gt;0,'Primary Sources'!B14,"")</f>
        <v/>
      </c>
      <c r="C10" s="40" t="str">
        <f>IF('Primary Sources'!C14&gt;0,'Primary Sources'!C14,"")</f>
        <v>Multifamily</v>
      </c>
      <c r="D10" s="1263"/>
      <c r="E10" s="41">
        <f>'Primary Sources'!E14</f>
        <v>0</v>
      </c>
      <c r="F10" s="42">
        <f>'Primary Sources'!F14</f>
        <v>0</v>
      </c>
      <c r="G10" s="789">
        <f>'Primary Sources'!G14</f>
        <v>2.1</v>
      </c>
      <c r="H10" s="50">
        <f>'Primary Sources'!H14</f>
        <v>0.31</v>
      </c>
      <c r="I10" s="51">
        <f>'Primary Sources'!I14</f>
        <v>49</v>
      </c>
      <c r="J10" s="43">
        <f>'Primary Sources'!J14</f>
        <v>20000</v>
      </c>
      <c r="K10" s="44">
        <f>0.226*G10*$O10-('Existing Management Practices'!C$176+'Future Management Practices'!C$388)/(MAX('Primary Sources'!$F$53,0.01)-'Existing Management Practices'!$C$6+'Future Management Practices'!$C$20)*'New Development'!$F10</f>
        <v>0.56681019146828548</v>
      </c>
      <c r="L10" s="50">
        <f>0.226*H10*$O10-('Existing Management Practices'!D$176+'Future Management Practices'!D$388)/(MAX('Primary Sources'!$F$53,0.01)-'Existing Management Practices'!$C$6+'Future Management Practices'!$C$20)*'New Development'!$F10</f>
        <v>8.3671980645318333E-2</v>
      </c>
      <c r="M10" s="51">
        <f t="shared" si="4"/>
        <v>13.225571134259994</v>
      </c>
      <c r="N10" s="788">
        <f t="shared" si="0"/>
        <v>24.602380834906619</v>
      </c>
      <c r="O10" s="788">
        <f>'Primary Sources'!$C$62*0.9*('Primary Sources'!$D$74*$E10+'Existing Management Practices'!$C$32*$F10+'Primary Sources'!$F$74*(1-$F10-$E10))</f>
        <v>1.1942903317915834</v>
      </c>
      <c r="P10" s="46">
        <f t="shared" si="1"/>
        <v>0</v>
      </c>
      <c r="Q10" s="47">
        <f t="shared" si="2"/>
        <v>0</v>
      </c>
      <c r="R10" s="47">
        <f t="shared" si="5"/>
        <v>0</v>
      </c>
      <c r="S10" s="802">
        <f t="shared" si="3"/>
        <v>0</v>
      </c>
      <c r="T10" s="802">
        <f t="shared" si="6"/>
        <v>0</v>
      </c>
      <c r="V10" s="790"/>
    </row>
    <row r="11" spans="2:22" s="1" customFormat="1" ht="13" x14ac:dyDescent="0.3">
      <c r="B11" s="39" t="str">
        <f>IF('Primary Sources'!B15&gt;0,'Primary Sources'!B15,"")</f>
        <v>18 Open Urban</v>
      </c>
      <c r="C11" s="40" t="str">
        <f>IF('Primary Sources'!C15&gt;0,'Primary Sources'!C15,"")</f>
        <v>Vacant Lots</v>
      </c>
      <c r="D11" s="1263"/>
      <c r="E11" s="41">
        <f>'Primary Sources'!E15</f>
        <v>5.7853153701596043E-2</v>
      </c>
      <c r="F11" s="42">
        <f>'Primary Sources'!F15</f>
        <v>0.75371747703872316</v>
      </c>
      <c r="G11" s="789">
        <f>'Primary Sources'!G15</f>
        <v>1.33</v>
      </c>
      <c r="H11" s="50">
        <f>'Primary Sources'!H15</f>
        <v>0.31</v>
      </c>
      <c r="I11" s="51">
        <f>'Primary Sources'!I15</f>
        <v>48.5</v>
      </c>
      <c r="J11" s="43">
        <f>'Primary Sources'!J15</f>
        <v>7200</v>
      </c>
      <c r="K11" s="44">
        <f>0.226*G11*$O11-('Existing Management Practices'!C$176+'Future Management Practices'!C$388)/(MAX('Primary Sources'!$F$53,0.01)-'Existing Management Practices'!$C$6+'Future Management Practices'!$C$20)*'New Development'!$F11</f>
        <v>4.0749302456665131</v>
      </c>
      <c r="L11" s="50">
        <f>0.226*H11*$O11-('Existing Management Practices'!D$176+'Future Management Practices'!D$388)/(MAX('Primary Sources'!$F$53,0.01)-'Existing Management Practices'!$C$6+'Future Management Practices'!$C$20)*'New Development'!$F11</f>
        <v>1.6498417035224573</v>
      </c>
      <c r="M11" s="51">
        <f t="shared" si="4"/>
        <v>85.426553065830632</v>
      </c>
      <c r="N11" s="788">
        <f t="shared" si="0"/>
        <v>57.797948867457343</v>
      </c>
      <c r="O11" s="788">
        <f>'Primary Sources'!$C$62*0.9*('Primary Sources'!$D$74*$E11+'Existing Management Practices'!$C$32*$F11+'Primary Sources'!$F$74*(1-$F11-$E11))</f>
        <v>7.7936824254931691</v>
      </c>
      <c r="P11" s="46">
        <f t="shared" si="1"/>
        <v>0</v>
      </c>
      <c r="Q11" s="47">
        <f t="shared" si="2"/>
        <v>0</v>
      </c>
      <c r="R11" s="47">
        <f t="shared" si="5"/>
        <v>0</v>
      </c>
      <c r="S11" s="802">
        <f t="shared" si="3"/>
        <v>0</v>
      </c>
      <c r="T11" s="802">
        <f t="shared" si="6"/>
        <v>0</v>
      </c>
    </row>
    <row r="12" spans="2:22" s="1" customFormat="1" ht="13" x14ac:dyDescent="0.3">
      <c r="B12" s="39" t="str">
        <f>IF('Primary Sources'!B16&gt;0,'Primary Sources'!B16,"")</f>
        <v/>
      </c>
      <c r="C12" s="40" t="str">
        <f>IF('Primary Sources'!C16&gt;0,'Primary Sources'!C16,"")</f>
        <v/>
      </c>
      <c r="D12" s="1263"/>
      <c r="E12" s="41">
        <f>'Primary Sources'!E16</f>
        <v>0</v>
      </c>
      <c r="F12" s="42">
        <f>'Primary Sources'!F16</f>
        <v>0</v>
      </c>
      <c r="G12" s="789">
        <f>'Primary Sources'!G16</f>
        <v>2.1</v>
      </c>
      <c r="H12" s="50">
        <f>'Primary Sources'!H16</f>
        <v>0.31</v>
      </c>
      <c r="I12" s="51">
        <f>'Primary Sources'!I16</f>
        <v>49</v>
      </c>
      <c r="J12" s="43">
        <f>'Primary Sources'!J16</f>
        <v>20000</v>
      </c>
      <c r="K12" s="44">
        <f>0.226*G12*$O12-('Existing Management Practices'!C$176+'Future Management Practices'!C$388)/(MAX('Primary Sources'!$F$53,0.01)-'Existing Management Practices'!$C$6+'Future Management Practices'!$C$20)*'New Development'!$F12</f>
        <v>0.56681019146828548</v>
      </c>
      <c r="L12" s="50">
        <f>0.226*H12*$O12-('Existing Management Practices'!D$176+'Future Management Practices'!D$388)/(MAX('Primary Sources'!$F$53,0.01)-'Existing Management Practices'!$C$6+'Future Management Practices'!$C$20)*'New Development'!$F12</f>
        <v>8.3671980645318333E-2</v>
      </c>
      <c r="M12" s="51">
        <f t="shared" si="4"/>
        <v>13.225571134259994</v>
      </c>
      <c r="N12" s="788">
        <f t="shared" si="0"/>
        <v>24.602380834906619</v>
      </c>
      <c r="O12" s="788">
        <f>'Primary Sources'!$C$62*0.9*('Primary Sources'!$D$74*$E12+'Existing Management Practices'!$C$32*$F12+'Primary Sources'!$F$74*(1-$F12-$E12))</f>
        <v>1.1942903317915834</v>
      </c>
      <c r="P12" s="46">
        <f t="shared" si="1"/>
        <v>0</v>
      </c>
      <c r="Q12" s="47">
        <f t="shared" si="2"/>
        <v>0</v>
      </c>
      <c r="R12" s="47">
        <f t="shared" si="5"/>
        <v>0</v>
      </c>
      <c r="S12" s="802">
        <f t="shared" si="3"/>
        <v>0</v>
      </c>
      <c r="T12" s="802">
        <f t="shared" si="6"/>
        <v>0</v>
      </c>
    </row>
    <row r="13" spans="2:22" s="1" customFormat="1" ht="13" x14ac:dyDescent="0.3">
      <c r="B13" s="39" t="str">
        <f>IF('Primary Sources'!B17&gt;0,'Primary Sources'!B17,"")</f>
        <v/>
      </c>
      <c r="C13" s="40" t="str">
        <f>IF('Primary Sources'!C17&gt;0,'Primary Sources'!C17,"")</f>
        <v/>
      </c>
      <c r="D13" s="1263"/>
      <c r="E13" s="41">
        <f>'Primary Sources'!E18</f>
        <v>0</v>
      </c>
      <c r="F13" s="42">
        <f>'Primary Sources'!F18</f>
        <v>0</v>
      </c>
      <c r="G13" s="789">
        <f>'Primary Sources'!G18</f>
        <v>2.1</v>
      </c>
      <c r="H13" s="50">
        <f>'Primary Sources'!H18</f>
        <v>0.31</v>
      </c>
      <c r="I13" s="51">
        <f>'Primary Sources'!I18</f>
        <v>49</v>
      </c>
      <c r="J13" s="43">
        <f>'Primary Sources'!J18</f>
        <v>20000</v>
      </c>
      <c r="K13" s="44">
        <f>0.226*G13*$O13-('Existing Management Practices'!C$176+'Future Management Practices'!C$388)/(MAX('Primary Sources'!$F$53,0.01)-'Existing Management Practices'!$C$6+'Future Management Practices'!$C$20)*'New Development'!$F13</f>
        <v>0.56681019146828548</v>
      </c>
      <c r="L13" s="50">
        <f>0.226*H13*$O13-('Existing Management Practices'!D$176+'Future Management Practices'!D$388)/(MAX('Primary Sources'!$F$53,0.01)-'Existing Management Practices'!$C$6+'Future Management Practices'!$C$20)*'New Development'!$F13</f>
        <v>8.3671980645318333E-2</v>
      </c>
      <c r="M13" s="51">
        <f t="shared" si="4"/>
        <v>13.225571134259994</v>
      </c>
      <c r="N13" s="788">
        <f t="shared" si="0"/>
        <v>24.602380834906619</v>
      </c>
      <c r="O13" s="788">
        <f>'Primary Sources'!$C$62*0.9*('Primary Sources'!$D$74*$E13+'Existing Management Practices'!$C$32*$F13+'Primary Sources'!$F$74*(1-$F13-$E13))</f>
        <v>1.1942903317915834</v>
      </c>
      <c r="P13" s="46">
        <f t="shared" si="1"/>
        <v>0</v>
      </c>
      <c r="Q13" s="47">
        <f t="shared" si="2"/>
        <v>0</v>
      </c>
      <c r="R13" s="47">
        <f t="shared" si="5"/>
        <v>0</v>
      </c>
      <c r="S13" s="802">
        <f t="shared" si="3"/>
        <v>0</v>
      </c>
      <c r="T13" s="802">
        <f t="shared" si="6"/>
        <v>0</v>
      </c>
    </row>
    <row r="14" spans="2:22" s="1" customFormat="1" ht="13" x14ac:dyDescent="0.3">
      <c r="B14" s="39" t="str">
        <f>IF('Primary Sources'!B18&gt;0,'Primary Sources'!B18,"")</f>
        <v/>
      </c>
      <c r="C14" s="40" t="str">
        <f>IF('Primary Sources'!C18&gt;0,'Primary Sources'!C18,"")</f>
        <v/>
      </c>
      <c r="D14" s="1263"/>
      <c r="E14" s="41">
        <f>'Primary Sources'!E19</f>
        <v>0</v>
      </c>
      <c r="F14" s="42">
        <f>'Primary Sources'!F19</f>
        <v>0</v>
      </c>
      <c r="G14" s="789">
        <f>'Primary Sources'!G19</f>
        <v>2.1</v>
      </c>
      <c r="H14" s="50">
        <f>'Primary Sources'!H19</f>
        <v>0.31</v>
      </c>
      <c r="I14" s="51">
        <f>'Primary Sources'!I19</f>
        <v>49</v>
      </c>
      <c r="J14" s="43">
        <f>'Primary Sources'!J19</f>
        <v>20000</v>
      </c>
      <c r="K14" s="44">
        <f>0.226*G14*$O14-('Existing Management Practices'!C$176+'Future Management Practices'!C$388)/(MAX('Primary Sources'!$F$53,0.01)-'Existing Management Practices'!$C$6+'Future Management Practices'!$C$20)*'New Development'!$F14</f>
        <v>0.56681019146828548</v>
      </c>
      <c r="L14" s="50">
        <f>0.226*H14*$O14-('Existing Management Practices'!D$176+'Future Management Practices'!D$388)/(MAX('Primary Sources'!$F$53,0.01)-'Existing Management Practices'!$C$6+'Future Management Practices'!$C$20)*'New Development'!$F14</f>
        <v>8.3671980645318333E-2</v>
      </c>
      <c r="M14" s="51">
        <f>0.226*I14*$O14</f>
        <v>13.225571134259994</v>
      </c>
      <c r="N14" s="788">
        <f>0.00103*J14*$O14</f>
        <v>24.602380834906619</v>
      </c>
      <c r="O14" s="788">
        <f>'Primary Sources'!$C$62*0.9*('Primary Sources'!$D$74*$E14+'Existing Management Practices'!$C$32*$F14+'Primary Sources'!$F$74*(1-$F14-$E14))</f>
        <v>1.1942903317915834</v>
      </c>
      <c r="P14" s="46">
        <f t="shared" ref="P14:R16" si="7">$D14*K14</f>
        <v>0</v>
      </c>
      <c r="Q14" s="47">
        <f t="shared" si="7"/>
        <v>0</v>
      </c>
      <c r="R14" s="47">
        <f t="shared" si="7"/>
        <v>0</v>
      </c>
      <c r="S14" s="802">
        <f>N14*D14</f>
        <v>0</v>
      </c>
      <c r="T14" s="802">
        <f>O14*D14/12</f>
        <v>0</v>
      </c>
    </row>
    <row r="15" spans="2:22" s="1" customFormat="1" ht="13" x14ac:dyDescent="0.3">
      <c r="B15" s="39" t="str">
        <f>IF('Primary Sources'!B19&gt;0,'Primary Sources'!B19,"")</f>
        <v/>
      </c>
      <c r="C15" s="40" t="str">
        <f>IF('Primary Sources'!C19&gt;0,'Primary Sources'!C19,"")</f>
        <v/>
      </c>
      <c r="D15" s="1263"/>
      <c r="E15" s="41">
        <f>'Primary Sources'!E20</f>
        <v>0</v>
      </c>
      <c r="F15" s="42">
        <f>'Primary Sources'!F20</f>
        <v>0</v>
      </c>
      <c r="G15" s="789">
        <f>'Primary Sources'!G20</f>
        <v>2.1</v>
      </c>
      <c r="H15" s="50">
        <f>'Primary Sources'!H20</f>
        <v>0.31</v>
      </c>
      <c r="I15" s="51">
        <f>'Primary Sources'!I20</f>
        <v>49</v>
      </c>
      <c r="J15" s="43">
        <f>'Primary Sources'!J20</f>
        <v>20000</v>
      </c>
      <c r="K15" s="44">
        <f>0.226*G15*$O15-('Existing Management Practices'!C$176+'Future Management Practices'!C$388)/(MAX('Primary Sources'!$F$53,0.01)-'Existing Management Practices'!$C$6+'Future Management Practices'!$C$20)*'New Development'!$F15</f>
        <v>0.56681019146828548</v>
      </c>
      <c r="L15" s="50">
        <f>0.226*H15*$O15-('Existing Management Practices'!D$176+'Future Management Practices'!D$388)/(MAX('Primary Sources'!$F$53,0.01)-'Existing Management Practices'!$C$6+'Future Management Practices'!$C$20)*'New Development'!$F15</f>
        <v>8.3671980645318333E-2</v>
      </c>
      <c r="M15" s="51">
        <f>0.226*I15*$O15</f>
        <v>13.225571134259994</v>
      </c>
      <c r="N15" s="788">
        <f>0.00103*J15*$O15</f>
        <v>24.602380834906619</v>
      </c>
      <c r="O15" s="788">
        <f>'Primary Sources'!$C$62*0.9*('Primary Sources'!$D$74*$E15+'Existing Management Practices'!$C$32*$F15+'Primary Sources'!$F$74*(1-$F15-$E15))</f>
        <v>1.1942903317915834</v>
      </c>
      <c r="P15" s="46">
        <f t="shared" si="7"/>
        <v>0</v>
      </c>
      <c r="Q15" s="47">
        <f t="shared" si="7"/>
        <v>0</v>
      </c>
      <c r="R15" s="47">
        <f t="shared" si="7"/>
        <v>0</v>
      </c>
      <c r="S15" s="802">
        <f>N15*D15</f>
        <v>0</v>
      </c>
      <c r="T15" s="802">
        <f>O15*D15/12</f>
        <v>0</v>
      </c>
    </row>
    <row r="16" spans="2:22" s="1" customFormat="1" ht="13.5" thickBot="1" x14ac:dyDescent="0.35">
      <c r="B16" s="52" t="str">
        <f>IF('Primary Sources'!B20&gt;0,'Primary Sources'!B20,"")</f>
        <v/>
      </c>
      <c r="C16" s="53" t="str">
        <f>IF('Primary Sources'!C20&gt;0,'Primary Sources'!C20,"")</f>
        <v/>
      </c>
      <c r="D16" s="1264"/>
      <c r="E16" s="54">
        <f>'Primary Sources'!E21</f>
        <v>0</v>
      </c>
      <c r="F16" s="55">
        <f>'Primary Sources'!F21</f>
        <v>0</v>
      </c>
      <c r="G16" s="791">
        <f>'Primary Sources'!G21</f>
        <v>2.1</v>
      </c>
      <c r="H16" s="59">
        <f>'Primary Sources'!H21</f>
        <v>0.22</v>
      </c>
      <c r="I16" s="60">
        <f>'Primary Sources'!I21</f>
        <v>43</v>
      </c>
      <c r="J16" s="57">
        <f>'Primary Sources'!J21</f>
        <v>20000</v>
      </c>
      <c r="K16" s="58">
        <f>0.226*G16*$O16-('Existing Management Practices'!C$176+'Future Management Practices'!C$388)/(MAX('Primary Sources'!$F$53,0.01)-'Existing Management Practices'!$C$6+'Future Management Practices'!$C$20)*'New Development'!$F16</f>
        <v>0.56681019146828548</v>
      </c>
      <c r="L16" s="59">
        <f>0.226*H16*$O16-('Existing Management Practices'!D$176+'Future Management Practices'!D$388)/(MAX('Primary Sources'!$F$53,0.01)-'Existing Management Practices'!$C$6+'Future Management Practices'!$C$20)*'New Development'!$F16</f>
        <v>5.9380115296677527E-2</v>
      </c>
      <c r="M16" s="60">
        <f>0.226*I16*$O16</f>
        <v>11.606113444350607</v>
      </c>
      <c r="N16" s="792">
        <f>0.00103*J16*$O16</f>
        <v>24.602380834906619</v>
      </c>
      <c r="O16" s="792">
        <f>'Primary Sources'!$C$62*0.9*('Primary Sources'!$D$74*$E16+'Existing Management Practices'!$C$32*$F16+'Primary Sources'!$F$74*(1-$F16-$E16))</f>
        <v>1.1942903317915834</v>
      </c>
      <c r="P16" s="61">
        <f t="shared" si="7"/>
        <v>0</v>
      </c>
      <c r="Q16" s="62">
        <f t="shared" si="7"/>
        <v>0</v>
      </c>
      <c r="R16" s="62">
        <f t="shared" si="7"/>
        <v>0</v>
      </c>
      <c r="S16" s="809">
        <f>N16*D16</f>
        <v>0</v>
      </c>
      <c r="T16" s="809">
        <f>O16*D16/12</f>
        <v>0</v>
      </c>
    </row>
    <row r="17" spans="1:22" s="1" customFormat="1" ht="13" x14ac:dyDescent="0.3">
      <c r="B17" s="150" t="str">
        <f>IF('Primary Sources'!B21&gt;0,'Primary Sources'!B21,"")</f>
        <v>Commercial</v>
      </c>
      <c r="C17" s="793" t="str">
        <f>IF('Primary Sources'!C21&gt;0,'Primary Sources'!C21,"")</f>
        <v/>
      </c>
      <c r="D17" s="1265"/>
      <c r="E17" s="70">
        <f>'Primary Sources'!E21</f>
        <v>0</v>
      </c>
      <c r="F17" s="71">
        <f>'Primary Sources'!F21</f>
        <v>0</v>
      </c>
      <c r="G17" s="794">
        <f>'Primary Sources'!G21</f>
        <v>2.1</v>
      </c>
      <c r="H17" s="795">
        <f>'Primary Sources'!H21</f>
        <v>0.22</v>
      </c>
      <c r="I17" s="796">
        <f>'Primary Sources'!I21</f>
        <v>43</v>
      </c>
      <c r="J17" s="797">
        <f>'Primary Sources'!J21</f>
        <v>20000</v>
      </c>
      <c r="K17" s="63">
        <f>0.226*G17*$O17-('Existing Management Practices'!C$176+'Future Management Practices'!C$388)/(MAX('Primary Sources'!$F$53,0.01)-'Existing Management Practices'!$C$6+'Future Management Practices'!$C$20)*'New Development'!$F17</f>
        <v>0.56681019146828548</v>
      </c>
      <c r="L17" s="72">
        <f>0.226*H17*$O17-('Existing Management Practices'!D$176+'Future Management Practices'!D$388)/(MAX('Primary Sources'!$F$53,0.01)-'Existing Management Practices'!$C$6+'Future Management Practices'!$C$20)*'New Development'!$F17</f>
        <v>5.9380115296677527E-2</v>
      </c>
      <c r="M17" s="73">
        <f t="shared" si="4"/>
        <v>11.606113444350607</v>
      </c>
      <c r="N17" s="798">
        <f t="shared" si="0"/>
        <v>24.602380834906619</v>
      </c>
      <c r="O17" s="798">
        <f>'Primary Sources'!$C$62*0.9*('Primary Sources'!$D$74*$E17+'Existing Management Practices'!$C$32*$F17+'Primary Sources'!$F$74*(1-$F17-$E17))</f>
        <v>1.1942903317915834</v>
      </c>
      <c r="P17" s="64">
        <f t="shared" si="1"/>
        <v>0</v>
      </c>
      <c r="Q17" s="65">
        <f t="shared" si="2"/>
        <v>0</v>
      </c>
      <c r="R17" s="65">
        <f t="shared" si="5"/>
        <v>0</v>
      </c>
      <c r="S17" s="807">
        <f t="shared" si="3"/>
        <v>0</v>
      </c>
      <c r="T17" s="807">
        <f t="shared" si="6"/>
        <v>0</v>
      </c>
      <c r="V17" s="1056"/>
    </row>
    <row r="18" spans="1:22" s="1" customFormat="1" ht="13" x14ac:dyDescent="0.3">
      <c r="B18" s="39" t="str">
        <f>IF('Primary Sources'!B22&gt;0,'Primary Sources'!B22,"")</f>
        <v>14 COM</v>
      </c>
      <c r="C18" s="40" t="str">
        <f>IF('Primary Sources'!C22&gt;0,'Primary Sources'!C22,"")</f>
        <v>Commercial</v>
      </c>
      <c r="D18" s="1263"/>
      <c r="E18" s="41">
        <f>'Primary Sources'!E22</f>
        <v>0.38609822142166983</v>
      </c>
      <c r="F18" s="42">
        <f>'Primary Sources'!F22</f>
        <v>0.49112142286266414</v>
      </c>
      <c r="G18" s="789">
        <f>'Primary Sources'!G22</f>
        <v>2.2000000000000002</v>
      </c>
      <c r="H18" s="50">
        <f>'Primary Sources'!H22</f>
        <v>0.22</v>
      </c>
      <c r="I18" s="51">
        <f>'Primary Sources'!I22</f>
        <v>42</v>
      </c>
      <c r="J18" s="43">
        <f>'Primary Sources'!J22</f>
        <v>4300</v>
      </c>
      <c r="K18" s="44">
        <f>0.226*G18*$O18-('Existing Management Practices'!C$176+'Future Management Practices'!C$388)/(MAX('Primary Sources'!$F$53,0.01)-'Existing Management Practices'!$C$6+'Future Management Practices'!$C$20)*'New Development'!$F18</f>
        <v>9.6654063574254661</v>
      </c>
      <c r="L18" s="50">
        <f>0.226*H18*$O18-('Existing Management Practices'!D$176+'Future Management Practices'!D$388)/(MAX('Primary Sources'!$F$53,0.01)-'Existing Management Practices'!$C$6+'Future Management Practices'!$C$20)*'New Development'!$F18</f>
        <v>1.5729092465929011</v>
      </c>
      <c r="M18" s="51">
        <f t="shared" si="4"/>
        <v>162.97218639809631</v>
      </c>
      <c r="N18" s="788">
        <f t="shared" si="0"/>
        <v>76.043385330506581</v>
      </c>
      <c r="O18" s="788">
        <f>'Primary Sources'!$C$62*0.9*('Primary Sources'!$D$74*$E18+'Existing Management Practices'!$C$32*$F18+'Primary Sources'!$F$74*(1-$F18-$E18))</f>
        <v>17.169425452812504</v>
      </c>
      <c r="P18" s="46">
        <f t="shared" si="1"/>
        <v>0</v>
      </c>
      <c r="Q18" s="47">
        <f t="shared" si="2"/>
        <v>0</v>
      </c>
      <c r="R18" s="47">
        <f t="shared" si="5"/>
        <v>0</v>
      </c>
      <c r="S18" s="802">
        <f t="shared" si="3"/>
        <v>0</v>
      </c>
      <c r="T18" s="802">
        <f t="shared" si="6"/>
        <v>0</v>
      </c>
    </row>
    <row r="19" spans="1:22" s="1" customFormat="1" ht="13" x14ac:dyDescent="0.3">
      <c r="B19" s="39" t="str">
        <f>IF('Primary Sources'!B23&gt;0,'Primary Sources'!B23,"")</f>
        <v>16 INS</v>
      </c>
      <c r="C19" s="40" t="str">
        <f>IF('Primary Sources'!C23&gt;0,'Primary Sources'!C23,"")</f>
        <v>Institutional</v>
      </c>
      <c r="D19" s="1263"/>
      <c r="E19" s="41">
        <f>'Primary Sources'!E23</f>
        <v>0.23901182376643104</v>
      </c>
      <c r="F19" s="42">
        <f>'Primary Sources'!F23</f>
        <v>0.60879054098685526</v>
      </c>
      <c r="G19" s="789">
        <f>'Primary Sources'!G23</f>
        <v>2.2000000000000002</v>
      </c>
      <c r="H19" s="50">
        <f>'Primary Sources'!H23</f>
        <v>0.22</v>
      </c>
      <c r="I19" s="51">
        <f>'Primary Sources'!I23</f>
        <v>42</v>
      </c>
      <c r="J19" s="43">
        <f>'Primary Sources'!J23</f>
        <v>4300</v>
      </c>
      <c r="K19" s="44">
        <f>0.226*G19*$O19-('Existing Management Practices'!C$176+'Future Management Practices'!C$388)/(MAX('Primary Sources'!$F$53,0.01)-'Existing Management Practices'!$C$6+'Future Management Practices'!$C$20)*'New Development'!$F19</f>
        <v>7.8469823758922601</v>
      </c>
      <c r="L19" s="50">
        <f>0.226*H19*$O19-('Existing Management Practices'!D$176+'Future Management Practices'!D$388)/(MAX('Primary Sources'!$F$53,0.01)-'Existing Management Practices'!$C$6+'Future Management Practices'!$C$20)*'New Development'!$F19</f>
        <v>1.5363483539399105</v>
      </c>
      <c r="M19" s="51">
        <f t="shared" si="4"/>
        <v>123.0937861666369</v>
      </c>
      <c r="N19" s="788">
        <f t="shared" si="0"/>
        <v>57.435985981040332</v>
      </c>
      <c r="O19" s="788">
        <f>'Primary Sources'!$C$62*0.9*('Primary Sources'!$D$74*$E19+'Existing Management Practices'!$C$32*$F19+'Primary Sources'!$F$74*(1-$F19-$E19))</f>
        <v>12.968161205924662</v>
      </c>
      <c r="P19" s="46">
        <f t="shared" si="1"/>
        <v>0</v>
      </c>
      <c r="Q19" s="47">
        <f t="shared" si="2"/>
        <v>0</v>
      </c>
      <c r="R19" s="47">
        <f t="shared" si="5"/>
        <v>0</v>
      </c>
      <c r="S19" s="802">
        <f t="shared" si="3"/>
        <v>0</v>
      </c>
      <c r="T19" s="802">
        <f t="shared" si="6"/>
        <v>0</v>
      </c>
    </row>
    <row r="20" spans="1:22" s="1" customFormat="1" ht="13" x14ac:dyDescent="0.3">
      <c r="B20" s="39" t="str">
        <f>IF('Primary Sources'!B24&gt;0,'Primary Sources'!B24,"")</f>
        <v/>
      </c>
      <c r="C20" s="40" t="str">
        <f>IF('Primary Sources'!C24&gt;0,'Primary Sources'!C24,"")</f>
        <v/>
      </c>
      <c r="D20" s="1263"/>
      <c r="E20" s="41">
        <f>'Primary Sources'!E24</f>
        <v>0</v>
      </c>
      <c r="F20" s="42">
        <f>'Primary Sources'!F24</f>
        <v>0</v>
      </c>
      <c r="G20" s="789">
        <f>'Primary Sources'!G24</f>
        <v>2.1</v>
      </c>
      <c r="H20" s="50">
        <f>'Primary Sources'!H24</f>
        <v>0.22</v>
      </c>
      <c r="I20" s="51">
        <f>'Primary Sources'!I24</f>
        <v>43</v>
      </c>
      <c r="J20" s="43">
        <f>'Primary Sources'!J24</f>
        <v>20000</v>
      </c>
      <c r="K20" s="44">
        <f>0.226*G20*$O20-('Existing Management Practices'!C$176+'Future Management Practices'!C$388)/(MAX('Primary Sources'!$F$53,0.01)-'Existing Management Practices'!$C$6+'Future Management Practices'!$C$20)*'New Development'!$F20</f>
        <v>0.56681019146828548</v>
      </c>
      <c r="L20" s="50">
        <f>0.226*H20*$O20-('Existing Management Practices'!D$176+'Future Management Practices'!D$388)/(MAX('Primary Sources'!$F$53,0.01)-'Existing Management Practices'!$C$6+'Future Management Practices'!$C$20)*'New Development'!$F20</f>
        <v>5.9380115296677527E-2</v>
      </c>
      <c r="M20" s="51">
        <f t="shared" si="4"/>
        <v>11.606113444350607</v>
      </c>
      <c r="N20" s="788">
        <f t="shared" si="0"/>
        <v>24.602380834906619</v>
      </c>
      <c r="O20" s="788">
        <f>'Primary Sources'!$C$62*0.9*('Primary Sources'!$D$74*$E20+'Existing Management Practices'!$C$32*$F20+'Primary Sources'!$F$74*(1-$F20-$E20))</f>
        <v>1.1942903317915834</v>
      </c>
      <c r="P20" s="46">
        <f t="shared" si="1"/>
        <v>0</v>
      </c>
      <c r="Q20" s="47">
        <f t="shared" si="2"/>
        <v>0</v>
      </c>
      <c r="R20" s="47">
        <f t="shared" si="5"/>
        <v>0</v>
      </c>
      <c r="S20" s="802">
        <f t="shared" si="3"/>
        <v>0</v>
      </c>
      <c r="T20" s="802">
        <f t="shared" si="6"/>
        <v>0</v>
      </c>
    </row>
    <row r="21" spans="1:22" s="1" customFormat="1" ht="13.5" thickBot="1" x14ac:dyDescent="0.35">
      <c r="B21" s="52" t="str">
        <f>IF('Primary Sources'!B25&gt;0,'Primary Sources'!B25,"")</f>
        <v/>
      </c>
      <c r="C21" s="53" t="str">
        <f>IF('Primary Sources'!C25&gt;0,'Primary Sources'!C25,"")</f>
        <v/>
      </c>
      <c r="D21" s="1264"/>
      <c r="E21" s="54">
        <f>'Primary Sources'!E25</f>
        <v>0</v>
      </c>
      <c r="F21" s="55">
        <f>'Primary Sources'!F25</f>
        <v>0</v>
      </c>
      <c r="G21" s="791">
        <f>'Primary Sources'!G25</f>
        <v>2.1</v>
      </c>
      <c r="H21" s="59">
        <f>'Primary Sources'!H25</f>
        <v>0.22</v>
      </c>
      <c r="I21" s="60">
        <f>'Primary Sources'!I25</f>
        <v>43</v>
      </c>
      <c r="J21" s="57">
        <f>'Primary Sources'!J25</f>
        <v>20000</v>
      </c>
      <c r="K21" s="58">
        <f>0.226*G21*$O21-('Existing Management Practices'!C$176+'Future Management Practices'!C$388)/(MAX('Primary Sources'!$F$53,0.01)-'Existing Management Practices'!$C$6+'Future Management Practices'!$C$20)*'New Development'!$F21</f>
        <v>0.56681019146828548</v>
      </c>
      <c r="L21" s="59">
        <f>0.226*H21*$O21-('Existing Management Practices'!D$176+'Future Management Practices'!D$388)/(MAX('Primary Sources'!$F$53,0.01)-'Existing Management Practices'!$C$6+'Future Management Practices'!$C$20)*'New Development'!$F21</f>
        <v>5.9380115296677527E-2</v>
      </c>
      <c r="M21" s="60">
        <f t="shared" si="4"/>
        <v>11.606113444350607</v>
      </c>
      <c r="N21" s="792">
        <f t="shared" si="0"/>
        <v>24.602380834906619</v>
      </c>
      <c r="O21" s="792">
        <f>'Primary Sources'!$C$62*0.9*('Primary Sources'!$D$74*$E21+'Existing Management Practices'!$C$32*$F21+'Primary Sources'!$F$74*(1-$F21-$E21))</f>
        <v>1.1942903317915834</v>
      </c>
      <c r="P21" s="61">
        <f t="shared" si="1"/>
        <v>0</v>
      </c>
      <c r="Q21" s="62">
        <f t="shared" si="2"/>
        <v>0</v>
      </c>
      <c r="R21" s="62">
        <f t="shared" si="5"/>
        <v>0</v>
      </c>
      <c r="S21" s="809">
        <f t="shared" si="3"/>
        <v>0</v>
      </c>
      <c r="T21" s="809">
        <f t="shared" si="6"/>
        <v>0</v>
      </c>
    </row>
    <row r="22" spans="1:22" s="1" customFormat="1" ht="13" x14ac:dyDescent="0.3">
      <c r="B22" s="150" t="str">
        <f>IF('Primary Sources'!B26&gt;0,'Primary Sources'!B26,"")</f>
        <v>Roadway</v>
      </c>
      <c r="C22" s="793" t="str">
        <f>IF('Primary Sources'!C26&gt;0,'Primary Sources'!C26,"")</f>
        <v/>
      </c>
      <c r="D22" s="1265"/>
      <c r="E22" s="70">
        <f>'Primary Sources'!E26</f>
        <v>0</v>
      </c>
      <c r="F22" s="71">
        <f>'Primary Sources'!F26</f>
        <v>0</v>
      </c>
      <c r="G22" s="794">
        <f>'Primary Sources'!G26</f>
        <v>2.2999999999999998</v>
      </c>
      <c r="H22" s="795">
        <f>'Primary Sources'!H26</f>
        <v>0.25</v>
      </c>
      <c r="I22" s="796">
        <f>'Primary Sources'!I26</f>
        <v>134</v>
      </c>
      <c r="J22" s="797">
        <f>'Primary Sources'!J26</f>
        <v>20000</v>
      </c>
      <c r="K22" s="63">
        <f>0.226*G22*$O22-('Existing Management Practices'!C$176+'Future Management Practices'!C$388)/(MAX('Primary Sources'!$F$53,0.01)-'Existing Management Practices'!$C$6+'Future Management Practices'!$C$20)*'New Development'!$F22</f>
        <v>0.62079211446526494</v>
      </c>
      <c r="L22" s="72">
        <f>0.226*H22*$O22-('Existing Management Practices'!D$176+'Future Management Practices'!D$388)/(MAX('Primary Sources'!$F$53,0.01)-'Existing Management Practices'!$C$6+'Future Management Practices'!$C$20)*'New Development'!$F22</f>
        <v>6.7477403746224462E-2</v>
      </c>
      <c r="M22" s="73">
        <f t="shared" si="4"/>
        <v>36.167888407976314</v>
      </c>
      <c r="N22" s="798">
        <f t="shared" si="0"/>
        <v>24.602380834906619</v>
      </c>
      <c r="O22" s="798">
        <f>'Primary Sources'!$C$62*0.9*('Primary Sources'!$D$74*$E22+'Existing Management Practices'!$C$32*$F22+'Primary Sources'!$F$74*(1-$F22-$E22))</f>
        <v>1.1942903317915834</v>
      </c>
      <c r="P22" s="64">
        <f t="shared" si="1"/>
        <v>0</v>
      </c>
      <c r="Q22" s="65">
        <f t="shared" si="2"/>
        <v>0</v>
      </c>
      <c r="R22" s="65">
        <f t="shared" si="5"/>
        <v>0</v>
      </c>
      <c r="S22" s="807">
        <f t="shared" si="3"/>
        <v>0</v>
      </c>
      <c r="T22" s="807">
        <f t="shared" si="6"/>
        <v>0</v>
      </c>
    </row>
    <row r="23" spans="1:22" s="1" customFormat="1" ht="13" x14ac:dyDescent="0.3">
      <c r="B23" s="39" t="str">
        <f>IF('Primary Sources'!B27&gt;0,'Primary Sources'!B27,"")</f>
        <v>80 TRN</v>
      </c>
      <c r="C23" s="40" t="str">
        <f>IF('Primary Sources'!C27&gt;0,'Primary Sources'!C27,"")</f>
        <v>Roadway</v>
      </c>
      <c r="D23" s="1263"/>
      <c r="E23" s="41">
        <f>'Primary Sources'!E27</f>
        <v>0</v>
      </c>
      <c r="F23" s="42">
        <f>'Primary Sources'!F27</f>
        <v>0</v>
      </c>
      <c r="G23" s="789">
        <f>'Primary Sources'!G27</f>
        <v>2.2799999999999998</v>
      </c>
      <c r="H23" s="50">
        <f>'Primary Sources'!H27</f>
        <v>0.25</v>
      </c>
      <c r="I23" s="51">
        <f>'Primary Sources'!I27</f>
        <v>99</v>
      </c>
      <c r="J23" s="43">
        <f>'Primary Sources'!J27</f>
        <v>1700</v>
      </c>
      <c r="K23" s="44">
        <f>0.226*G23*$O23-('Existing Management Practices'!C$176+'Future Management Practices'!C$388)/(MAX('Primary Sources'!$F$53,0.01)-'Existing Management Practices'!$C$6+'Future Management Practices'!$C$20)*'New Development'!$F23</f>
        <v>0.6153939221655671</v>
      </c>
      <c r="L23" s="50">
        <f>0.226*H23*$O23-('Existing Management Practices'!D$176+'Future Management Practices'!D$388)/(MAX('Primary Sources'!$F$53,0.01)-'Existing Management Practices'!$C$6+'Future Management Practices'!$C$20)*'New Development'!$F23</f>
        <v>6.7477403746224462E-2</v>
      </c>
      <c r="M23" s="51">
        <f t="shared" si="4"/>
        <v>26.721051883504888</v>
      </c>
      <c r="N23" s="788">
        <f t="shared" si="0"/>
        <v>2.0912023709670629</v>
      </c>
      <c r="O23" s="788">
        <f>'Primary Sources'!$C$62*0.9*('Primary Sources'!$D$74*$E23+'Existing Management Practices'!$C$32*$F23+'Primary Sources'!$F$74*(1-$F23-$E23))</f>
        <v>1.1942903317915834</v>
      </c>
      <c r="P23" s="46">
        <f t="shared" si="1"/>
        <v>0</v>
      </c>
      <c r="Q23" s="47">
        <f t="shared" si="2"/>
        <v>0</v>
      </c>
      <c r="R23" s="47">
        <f t="shared" si="5"/>
        <v>0</v>
      </c>
      <c r="S23" s="802">
        <f t="shared" si="3"/>
        <v>0</v>
      </c>
      <c r="T23" s="802">
        <f t="shared" si="6"/>
        <v>0</v>
      </c>
    </row>
    <row r="24" spans="1:22" s="1" customFormat="1" ht="13" x14ac:dyDescent="0.3">
      <c r="B24" s="39" t="str">
        <f>IF('Primary Sources'!B28&gt;0,'Primary Sources'!B28,"")</f>
        <v/>
      </c>
      <c r="C24" s="40" t="str">
        <f>IF('Primary Sources'!C28&gt;0,'Primary Sources'!C28,"")</f>
        <v/>
      </c>
      <c r="D24" s="1263"/>
      <c r="E24" s="41">
        <f>'Primary Sources'!E28</f>
        <v>0</v>
      </c>
      <c r="F24" s="42">
        <f>'Primary Sources'!F28</f>
        <v>0</v>
      </c>
      <c r="G24" s="789">
        <f>'Primary Sources'!G28</f>
        <v>2.2999999999999998</v>
      </c>
      <c r="H24" s="50">
        <f>'Primary Sources'!H28</f>
        <v>0.25</v>
      </c>
      <c r="I24" s="51">
        <f>'Primary Sources'!I28</f>
        <v>134</v>
      </c>
      <c r="J24" s="43">
        <f>'Primary Sources'!J28</f>
        <v>20000</v>
      </c>
      <c r="K24" s="44">
        <f>0.226*G24*$O24-('Existing Management Practices'!C$176+'Future Management Practices'!C$388)/(MAX('Primary Sources'!$F$53,0.01)-'Existing Management Practices'!$C$6+'Future Management Practices'!$C$20)*'New Development'!$F24</f>
        <v>0.62079211446526494</v>
      </c>
      <c r="L24" s="50">
        <f>0.226*H24*$O24-('Existing Management Practices'!D$176+'Future Management Practices'!D$388)/(MAX('Primary Sources'!$F$53,0.01)-'Existing Management Practices'!$C$6+'Future Management Practices'!$C$20)*'New Development'!$F24</f>
        <v>6.7477403746224462E-2</v>
      </c>
      <c r="M24" s="51">
        <f t="shared" si="4"/>
        <v>36.167888407976314</v>
      </c>
      <c r="N24" s="788">
        <f t="shared" si="0"/>
        <v>24.602380834906619</v>
      </c>
      <c r="O24" s="788">
        <f>'Primary Sources'!$C$62*0.9*('Primary Sources'!$D$74*$E24+'Existing Management Practices'!$C$32*$F24+'Primary Sources'!$F$74*(1-$F24-$E24))</f>
        <v>1.1942903317915834</v>
      </c>
      <c r="P24" s="46">
        <f t="shared" si="1"/>
        <v>0</v>
      </c>
      <c r="Q24" s="47">
        <f t="shared" si="2"/>
        <v>0</v>
      </c>
      <c r="R24" s="47">
        <f t="shared" si="5"/>
        <v>0</v>
      </c>
      <c r="S24" s="802">
        <f t="shared" si="3"/>
        <v>0</v>
      </c>
      <c r="T24" s="802">
        <f t="shared" si="6"/>
        <v>0</v>
      </c>
    </row>
    <row r="25" spans="1:22" s="1" customFormat="1" ht="13" x14ac:dyDescent="0.3">
      <c r="B25" s="39" t="str">
        <f>IF('Primary Sources'!B29&gt;0,'Primary Sources'!B29,"")</f>
        <v/>
      </c>
      <c r="C25" s="40" t="str">
        <f>IF('Primary Sources'!C29&gt;0,'Primary Sources'!C29,"")</f>
        <v/>
      </c>
      <c r="D25" s="1263"/>
      <c r="E25" s="41">
        <f>'Primary Sources'!E29</f>
        <v>0</v>
      </c>
      <c r="F25" s="42">
        <f>'Primary Sources'!F29</f>
        <v>0</v>
      </c>
      <c r="G25" s="789">
        <f>'Primary Sources'!G29</f>
        <v>2.2999999999999998</v>
      </c>
      <c r="H25" s="50">
        <f>'Primary Sources'!H29</f>
        <v>0.25</v>
      </c>
      <c r="I25" s="51">
        <f>'Primary Sources'!I29</f>
        <v>134</v>
      </c>
      <c r="J25" s="43">
        <f>'Primary Sources'!J29</f>
        <v>20000</v>
      </c>
      <c r="K25" s="44">
        <f>0.226*G25*$O25-('Existing Management Practices'!C$176+'Future Management Practices'!C$388)/(MAX('Primary Sources'!$F$53,0.01)-'Existing Management Practices'!$C$6+'Future Management Practices'!$C$20)*'New Development'!$F25</f>
        <v>0.62079211446526494</v>
      </c>
      <c r="L25" s="50">
        <f>0.226*H25*$O25-('Existing Management Practices'!D$176+'Future Management Practices'!D$388)/(MAX('Primary Sources'!$F$53,0.01)-'Existing Management Practices'!$C$6+'Future Management Practices'!$C$20)*'New Development'!$F25</f>
        <v>6.7477403746224462E-2</v>
      </c>
      <c r="M25" s="51">
        <f t="shared" si="4"/>
        <v>36.167888407976314</v>
      </c>
      <c r="N25" s="788">
        <f t="shared" si="0"/>
        <v>24.602380834906619</v>
      </c>
      <c r="O25" s="788">
        <f>'Primary Sources'!$C$62*0.9*('Primary Sources'!$D$74*$E25+'Existing Management Practices'!$C$32*$F25+'Primary Sources'!$F$74*(1-$F25-$E25))</f>
        <v>1.1942903317915834</v>
      </c>
      <c r="P25" s="46">
        <f t="shared" si="1"/>
        <v>0</v>
      </c>
      <c r="Q25" s="47">
        <f t="shared" si="2"/>
        <v>0</v>
      </c>
      <c r="R25" s="47">
        <f t="shared" si="5"/>
        <v>0</v>
      </c>
      <c r="S25" s="802">
        <f t="shared" si="3"/>
        <v>0</v>
      </c>
      <c r="T25" s="802">
        <f t="shared" si="6"/>
        <v>0</v>
      </c>
    </row>
    <row r="26" spans="1:22" s="1" customFormat="1" ht="13.5" thickBot="1" x14ac:dyDescent="0.35">
      <c r="B26" s="52" t="str">
        <f>IF('Primary Sources'!B30&gt;0,'Primary Sources'!B30,"")</f>
        <v/>
      </c>
      <c r="C26" s="53" t="str">
        <f>IF('Primary Sources'!C30&gt;0,'Primary Sources'!C30,"")</f>
        <v/>
      </c>
      <c r="D26" s="1264"/>
      <c r="E26" s="54">
        <f>'Primary Sources'!E30</f>
        <v>0</v>
      </c>
      <c r="F26" s="55">
        <f>'Primary Sources'!F30</f>
        <v>0</v>
      </c>
      <c r="G26" s="791">
        <f>'Primary Sources'!G30</f>
        <v>2.2999999999999998</v>
      </c>
      <c r="H26" s="59">
        <f>'Primary Sources'!H30</f>
        <v>0.25</v>
      </c>
      <c r="I26" s="60">
        <f>'Primary Sources'!I30</f>
        <v>134</v>
      </c>
      <c r="J26" s="57">
        <f>'Primary Sources'!J30</f>
        <v>20000</v>
      </c>
      <c r="K26" s="58">
        <f>0.226*G26*$O26-('Existing Management Practices'!C$176+'Future Management Practices'!C$388)/(MAX('Primary Sources'!$F$53,0.01)-'Existing Management Practices'!$C$6+'Future Management Practices'!$C$20)*'New Development'!$F26</f>
        <v>0.62079211446526494</v>
      </c>
      <c r="L26" s="59">
        <f>0.226*H26*$O26-('Existing Management Practices'!D$176+'Future Management Practices'!D$388)/(MAX('Primary Sources'!$F$53,0.01)-'Existing Management Practices'!$C$6+'Future Management Practices'!$C$20)*'New Development'!$F26</f>
        <v>6.7477403746224462E-2</v>
      </c>
      <c r="M26" s="60">
        <f t="shared" si="4"/>
        <v>36.167888407976314</v>
      </c>
      <c r="N26" s="792">
        <f t="shared" si="0"/>
        <v>24.602380834906619</v>
      </c>
      <c r="O26" s="792">
        <f>'Primary Sources'!$C$62*0.9*('Primary Sources'!$D$74*$E26+'Existing Management Practices'!$C$32*$F26+'Primary Sources'!$F$74*(1-$F26-$E26))</f>
        <v>1.1942903317915834</v>
      </c>
      <c r="P26" s="61">
        <f t="shared" si="1"/>
        <v>0</v>
      </c>
      <c r="Q26" s="62">
        <f t="shared" si="2"/>
        <v>0</v>
      </c>
      <c r="R26" s="62">
        <f t="shared" si="5"/>
        <v>0</v>
      </c>
      <c r="S26" s="809">
        <f t="shared" si="3"/>
        <v>0</v>
      </c>
      <c r="T26" s="809">
        <f t="shared" si="6"/>
        <v>0</v>
      </c>
    </row>
    <row r="27" spans="1:22" s="1" customFormat="1" ht="13" x14ac:dyDescent="0.3">
      <c r="B27" s="150" t="str">
        <f>IF('Primary Sources'!B31&gt;0,'Primary Sources'!B31,"")</f>
        <v>Industrial</v>
      </c>
      <c r="C27" s="793" t="str">
        <f>IF('Primary Sources'!C31&gt;0,'Primary Sources'!C31,"")</f>
        <v/>
      </c>
      <c r="D27" s="1265"/>
      <c r="E27" s="41">
        <f>'Primary Sources'!E31</f>
        <v>0</v>
      </c>
      <c r="F27" s="42">
        <f>'Primary Sources'!F31</f>
        <v>0</v>
      </c>
      <c r="G27" s="794">
        <f>'Primary Sources'!G31</f>
        <v>2.2000000000000002</v>
      </c>
      <c r="H27" s="795">
        <f>'Primary Sources'!H31</f>
        <v>0.25</v>
      </c>
      <c r="I27" s="796">
        <f>'Primary Sources'!I31</f>
        <v>81</v>
      </c>
      <c r="J27" s="797">
        <f>'Primary Sources'!J31</f>
        <v>20000</v>
      </c>
      <c r="K27" s="74">
        <f>0.226*G27*$O27-('Existing Management Practices'!C$176+'Future Management Practices'!C$388)/(MAX('Primary Sources'!$F$53,0.01)-'Existing Management Practices'!$C$6+'Future Management Practices'!$C$20)*'New Development'!$F27</f>
        <v>0.59380115296677527</v>
      </c>
      <c r="L27" s="72">
        <f>0.226*H27*$O27-('Existing Management Practices'!D$176+'Future Management Practices'!D$388)/(MAX('Primary Sources'!$F$53,0.01)-'Existing Management Practices'!$C$6+'Future Management Practices'!$C$20)*'New Development'!$F27</f>
        <v>6.7477403746224462E-2</v>
      </c>
      <c r="M27" s="73">
        <f t="shared" si="4"/>
        <v>21.862678813776725</v>
      </c>
      <c r="N27" s="799">
        <f t="shared" si="0"/>
        <v>24.602380834906619</v>
      </c>
      <c r="O27" s="799">
        <f>'Primary Sources'!$C$62*0.9*('Primary Sources'!$D$74*$E27+'Existing Management Practices'!$C$32*$F27+'Primary Sources'!$F$74*(1-$F27-$E27))</f>
        <v>1.1942903317915834</v>
      </c>
      <c r="P27" s="64">
        <f t="shared" si="1"/>
        <v>0</v>
      </c>
      <c r="Q27" s="65">
        <f t="shared" si="2"/>
        <v>0</v>
      </c>
      <c r="R27" s="65">
        <f t="shared" si="5"/>
        <v>0</v>
      </c>
      <c r="S27" s="807">
        <f t="shared" si="3"/>
        <v>0</v>
      </c>
      <c r="T27" s="807">
        <f t="shared" si="6"/>
        <v>0</v>
      </c>
    </row>
    <row r="28" spans="1:22" s="1" customFormat="1" ht="13" x14ac:dyDescent="0.3">
      <c r="B28" s="39" t="str">
        <f>IF('Primary Sources'!B32&gt;0,'Primary Sources'!B32,"")</f>
        <v>15 IND</v>
      </c>
      <c r="C28" s="40" t="str">
        <f>IF('Primary Sources'!C32&gt;0,'Primary Sources'!C32,"")</f>
        <v>Industrial</v>
      </c>
      <c r="D28" s="1263"/>
      <c r="E28" s="41">
        <f>'Primary Sources'!E32</f>
        <v>0.2963777595128671</v>
      </c>
      <c r="F28" s="42">
        <f>'Primary Sources'!F32</f>
        <v>0.56289779238970628</v>
      </c>
      <c r="G28" s="789">
        <f>'Primary Sources'!G32</f>
        <v>2.13</v>
      </c>
      <c r="H28" s="50">
        <f>'Primary Sources'!H32</f>
        <v>0.26</v>
      </c>
      <c r="I28" s="51">
        <f>'Primary Sources'!I32</f>
        <v>77</v>
      </c>
      <c r="J28" s="43">
        <f>'Primary Sources'!J32</f>
        <v>2500</v>
      </c>
      <c r="K28" s="68">
        <f>0.226*G28*$O28-('Existing Management Practices'!C$176+'Future Management Practices'!C$388)/(MAX('Primary Sources'!$F$53,0.01)-'Existing Management Practices'!$C$6+'Future Management Practices'!$C$20)*'New Development'!$F28</f>
        <v>8.325117146985658</v>
      </c>
      <c r="L28" s="50">
        <f>0.226*H28*$O28-('Existing Management Practices'!D$176+'Future Management Practices'!D$388)/(MAX('Primary Sources'!$F$53,0.01)-'Existing Management Practices'!$C$6+'Future Management Practices'!$C$20)*'New Development'!$F28</f>
        <v>1.6826523921252146</v>
      </c>
      <c r="M28" s="51">
        <f t="shared" si="4"/>
        <v>254.18611120834686</v>
      </c>
      <c r="N28" s="800">
        <f t="shared" si="0"/>
        <v>37.612299526577011</v>
      </c>
      <c r="O28" s="800">
        <f>'Primary Sources'!$C$62*0.9*('Primary Sources'!$D$74*$E28+'Existing Management Practices'!$C$32*$F28+'Primary Sources'!$F$74*(1-$F28-$E28))</f>
        <v>14.606718262748354</v>
      </c>
      <c r="P28" s="46">
        <f t="shared" si="1"/>
        <v>0</v>
      </c>
      <c r="Q28" s="47">
        <f t="shared" si="2"/>
        <v>0</v>
      </c>
      <c r="R28" s="47">
        <f t="shared" si="5"/>
        <v>0</v>
      </c>
      <c r="S28" s="802">
        <f t="shared" si="3"/>
        <v>0</v>
      </c>
      <c r="T28" s="802">
        <f t="shared" si="6"/>
        <v>0</v>
      </c>
    </row>
    <row r="29" spans="1:22" s="1" customFormat="1" ht="13" x14ac:dyDescent="0.3">
      <c r="B29" s="39" t="str">
        <f>IF('Primary Sources'!B33&gt;0,'Primary Sources'!B33,"")</f>
        <v/>
      </c>
      <c r="C29" s="40" t="str">
        <f>IF('Primary Sources'!C33&gt;0,'Primary Sources'!C33,"")</f>
        <v/>
      </c>
      <c r="D29" s="1263"/>
      <c r="E29" s="41">
        <f>'Primary Sources'!E33</f>
        <v>0</v>
      </c>
      <c r="F29" s="42">
        <f>'Primary Sources'!F33</f>
        <v>0</v>
      </c>
      <c r="G29" s="789">
        <f>'Primary Sources'!G33</f>
        <v>2.2000000000000002</v>
      </c>
      <c r="H29" s="50">
        <f>'Primary Sources'!H33</f>
        <v>0.25</v>
      </c>
      <c r="I29" s="51">
        <f>'Primary Sources'!I33</f>
        <v>81</v>
      </c>
      <c r="J29" s="43">
        <f>'Primary Sources'!J33</f>
        <v>20000</v>
      </c>
      <c r="K29" s="68">
        <f>0.226*G29*$O29-('Existing Management Practices'!C$176+'Future Management Practices'!C$388)/(MAX('Primary Sources'!$F$53,0.01)-'Existing Management Practices'!$C$6+'Future Management Practices'!$C$20)*'New Development'!$F29</f>
        <v>0.59380115296677527</v>
      </c>
      <c r="L29" s="50">
        <f>0.226*H29*$O29-('Existing Management Practices'!D$176+'Future Management Practices'!D$388)/(MAX('Primary Sources'!$F$53,0.01)-'Existing Management Practices'!$C$6+'Future Management Practices'!$C$20)*'New Development'!$F29</f>
        <v>6.7477403746224462E-2</v>
      </c>
      <c r="M29" s="51">
        <f t="shared" si="4"/>
        <v>21.862678813776725</v>
      </c>
      <c r="N29" s="800">
        <f t="shared" si="0"/>
        <v>24.602380834906619</v>
      </c>
      <c r="O29" s="800">
        <f>'Primary Sources'!$C$62*0.9*('Primary Sources'!$D$74*$E29+'Existing Management Practices'!$C$32*$F29+'Primary Sources'!$F$74*(1-$F29-$E29))</f>
        <v>1.1942903317915834</v>
      </c>
      <c r="P29" s="46">
        <f t="shared" si="1"/>
        <v>0</v>
      </c>
      <c r="Q29" s="47">
        <f t="shared" si="2"/>
        <v>0</v>
      </c>
      <c r="R29" s="47">
        <f t="shared" si="5"/>
        <v>0</v>
      </c>
      <c r="S29" s="802">
        <f t="shared" si="3"/>
        <v>0</v>
      </c>
      <c r="T29" s="802">
        <f t="shared" si="6"/>
        <v>0</v>
      </c>
    </row>
    <row r="30" spans="1:22" s="1" customFormat="1" ht="13" x14ac:dyDescent="0.3">
      <c r="B30" s="39" t="str">
        <f>IF('Primary Sources'!B34&gt;0,'Primary Sources'!B34,"")</f>
        <v/>
      </c>
      <c r="C30" s="40" t="str">
        <f>IF('Primary Sources'!C34&gt;0,'Primary Sources'!C34,"")</f>
        <v/>
      </c>
      <c r="D30" s="1263"/>
      <c r="E30" s="41">
        <f>'Primary Sources'!E34</f>
        <v>0</v>
      </c>
      <c r="F30" s="42">
        <f>'Primary Sources'!F34</f>
        <v>0</v>
      </c>
      <c r="G30" s="789">
        <f>'Primary Sources'!G34</f>
        <v>2.2000000000000002</v>
      </c>
      <c r="H30" s="50">
        <f>'Primary Sources'!H34</f>
        <v>0.25</v>
      </c>
      <c r="I30" s="51">
        <f>'Primary Sources'!I34</f>
        <v>81</v>
      </c>
      <c r="J30" s="43">
        <f>'Primary Sources'!J34</f>
        <v>20000</v>
      </c>
      <c r="K30" s="68">
        <f>0.226*G30*$O30-('Existing Management Practices'!C$176+'Future Management Practices'!C$388)/(MAX('Primary Sources'!$F$53,0.01)-'Existing Management Practices'!$C$6+'Future Management Practices'!$C$20)*'New Development'!$F30</f>
        <v>0.59380115296677527</v>
      </c>
      <c r="L30" s="50">
        <f>0.226*H30*$O30-('Existing Management Practices'!D$176+'Future Management Practices'!D$388)/(MAX('Primary Sources'!$F$53,0.01)-'Existing Management Practices'!$C$6+'Future Management Practices'!$C$20)*'New Development'!$F30</f>
        <v>6.7477403746224462E-2</v>
      </c>
      <c r="M30" s="51">
        <f t="shared" si="4"/>
        <v>21.862678813776725</v>
      </c>
      <c r="N30" s="800">
        <f t="shared" si="0"/>
        <v>24.602380834906619</v>
      </c>
      <c r="O30" s="800">
        <f>'Primary Sources'!$C$62*0.9*('Primary Sources'!$D$74*$E30+'Existing Management Practices'!$C$32*$F30+'Primary Sources'!$F$74*(1-$F30-$E30))</f>
        <v>1.1942903317915834</v>
      </c>
      <c r="P30" s="46">
        <f t="shared" si="1"/>
        <v>0</v>
      </c>
      <c r="Q30" s="47">
        <f t="shared" si="2"/>
        <v>0</v>
      </c>
      <c r="R30" s="47">
        <f t="shared" si="5"/>
        <v>0</v>
      </c>
      <c r="S30" s="802">
        <f t="shared" si="3"/>
        <v>0</v>
      </c>
      <c r="T30" s="802">
        <f t="shared" si="6"/>
        <v>0</v>
      </c>
    </row>
    <row r="31" spans="1:22" s="1" customFormat="1" ht="13.5" thickBot="1" x14ac:dyDescent="0.35">
      <c r="B31" s="52" t="str">
        <f>IF('Primary Sources'!B35&gt;0,'Primary Sources'!B35,"")</f>
        <v/>
      </c>
      <c r="C31" s="53" t="str">
        <f>IF('Primary Sources'!C35&gt;0,'Primary Sources'!C35,"")</f>
        <v/>
      </c>
      <c r="D31" s="1264"/>
      <c r="E31" s="54">
        <f>'Primary Sources'!E35</f>
        <v>0</v>
      </c>
      <c r="F31" s="55">
        <f>'Primary Sources'!F35</f>
        <v>0</v>
      </c>
      <c r="G31" s="791">
        <f>'Primary Sources'!G35</f>
        <v>2.2000000000000002</v>
      </c>
      <c r="H31" s="59">
        <f>'Primary Sources'!H35</f>
        <v>0.25</v>
      </c>
      <c r="I31" s="60">
        <f>'Primary Sources'!I35</f>
        <v>81</v>
      </c>
      <c r="J31" s="57">
        <f>'Primary Sources'!J35</f>
        <v>20000</v>
      </c>
      <c r="K31" s="69">
        <f>0.226*G31*$O31-('Existing Management Practices'!C$176+'Future Management Practices'!C$388)/(MAX('Primary Sources'!$F$53,0.01)-'Existing Management Practices'!$C$6+'Future Management Practices'!$C$20)*'New Development'!$F31</f>
        <v>0.59380115296677527</v>
      </c>
      <c r="L31" s="59">
        <f>0.226*H31*$O31-('Existing Management Practices'!D$176+'Future Management Practices'!D$388)/(MAX('Primary Sources'!$F$53,0.01)-'Existing Management Practices'!$C$6+'Future Management Practices'!$C$20)*'New Development'!$F31</f>
        <v>6.7477403746224462E-2</v>
      </c>
      <c r="M31" s="60">
        <f t="shared" si="4"/>
        <v>21.862678813776725</v>
      </c>
      <c r="N31" s="1047">
        <f t="shared" si="0"/>
        <v>24.602380834906619</v>
      </c>
      <c r="O31" s="1047">
        <f>'Primary Sources'!$C$62*0.9*('Primary Sources'!$D$74*$E31+'Existing Management Practices'!$C$32*$F31+'Primary Sources'!$F$74*(1-$F31-$E31))</f>
        <v>1.1942903317915834</v>
      </c>
      <c r="P31" s="61">
        <f t="shared" si="1"/>
        <v>0</v>
      </c>
      <c r="Q31" s="62">
        <f t="shared" si="2"/>
        <v>0</v>
      </c>
      <c r="R31" s="62">
        <f t="shared" si="5"/>
        <v>0</v>
      </c>
      <c r="S31" s="809">
        <f t="shared" si="3"/>
        <v>0</v>
      </c>
      <c r="T31" s="809">
        <f t="shared" si="6"/>
        <v>0</v>
      </c>
    </row>
    <row r="32" spans="1:22" s="1" customFormat="1" ht="13" x14ac:dyDescent="0.3">
      <c r="A32" s="105"/>
      <c r="B32" s="264" t="str">
        <f>IF('Primary Sources'!B36&gt;0,'Primary Sources'!B36,"")</f>
        <v>Forest</v>
      </c>
      <c r="C32" s="1048" t="str">
        <f>IF('Primary Sources'!C36&gt;0,'Primary Sources'!C36,"")</f>
        <v/>
      </c>
      <c r="D32" s="1265"/>
      <c r="E32" s="89"/>
      <c r="F32" s="89"/>
      <c r="G32" s="89"/>
      <c r="H32" s="89"/>
      <c r="I32" s="89"/>
      <c r="J32" s="827"/>
      <c r="K32" s="74">
        <f>'Primary Sources'!K36</f>
        <v>2.5</v>
      </c>
      <c r="L32" s="72">
        <f>'Primary Sources'!L36</f>
        <v>0.2</v>
      </c>
      <c r="M32" s="73">
        <f>'Primary Sources'!M36</f>
        <v>100</v>
      </c>
      <c r="N32" s="799">
        <f>'Primary Sources'!N36</f>
        <v>12</v>
      </c>
      <c r="O32" s="799">
        <f>'Primary Sources'!O36</f>
        <v>0</v>
      </c>
      <c r="P32" s="1049">
        <f t="shared" ref="P32:S46" si="8">$D32*K32</f>
        <v>0</v>
      </c>
      <c r="Q32" s="65">
        <f t="shared" si="8"/>
        <v>0</v>
      </c>
      <c r="R32" s="65">
        <f t="shared" si="8"/>
        <v>0</v>
      </c>
      <c r="S32" s="807">
        <f t="shared" si="8"/>
        <v>0</v>
      </c>
      <c r="T32" s="807">
        <f t="shared" ref="T32:T46" si="9">O32*D32/12</f>
        <v>0</v>
      </c>
    </row>
    <row r="33" spans="1:20" s="1" customFormat="1" ht="13" x14ac:dyDescent="0.3">
      <c r="A33" s="105"/>
      <c r="B33" s="39" t="str">
        <f>IF('Primary Sources'!B37&gt;0,'Primary Sources'!B37,"")</f>
        <v>41 DEC</v>
      </c>
      <c r="C33" s="40" t="str">
        <f>IF('Primary Sources'!C37&gt;0,'Primary Sources'!C37,"")</f>
        <v>Forest</v>
      </c>
      <c r="D33" s="1263"/>
      <c r="E33" s="826"/>
      <c r="F33" s="826"/>
      <c r="G33" s="826"/>
      <c r="H33" s="826"/>
      <c r="I33" s="826"/>
      <c r="J33" s="825"/>
      <c r="K33" s="68">
        <f>'Primary Sources'!K37</f>
        <v>2.5</v>
      </c>
      <c r="L33" s="50">
        <f>'Primary Sources'!L37</f>
        <v>0.2</v>
      </c>
      <c r="M33" s="51">
        <f>'Primary Sources'!M37</f>
        <v>100</v>
      </c>
      <c r="N33" s="800">
        <f>'Primary Sources'!N37</f>
        <v>12</v>
      </c>
      <c r="O33" s="800">
        <f>'Primary Sources'!O37</f>
        <v>1.1942903317915834</v>
      </c>
      <c r="P33" s="803">
        <f t="shared" si="8"/>
        <v>0</v>
      </c>
      <c r="Q33" s="78">
        <f t="shared" si="8"/>
        <v>0</v>
      </c>
      <c r="R33" s="78">
        <f t="shared" si="8"/>
        <v>0</v>
      </c>
      <c r="S33" s="804">
        <f t="shared" si="8"/>
        <v>0</v>
      </c>
      <c r="T33" s="804">
        <f t="shared" si="9"/>
        <v>0</v>
      </c>
    </row>
    <row r="34" spans="1:20" s="1" customFormat="1" ht="13" x14ac:dyDescent="0.3">
      <c r="A34" s="105"/>
      <c r="B34" s="76" t="str">
        <f>IF('Primary Sources'!B38&gt;0,'Primary Sources'!B38,"")</f>
        <v>42 EVG</v>
      </c>
      <c r="C34" s="77" t="str">
        <f>IF('Primary Sources'!C38&gt;0,'Primary Sources'!C38,"")</f>
        <v>Forest</v>
      </c>
      <c r="D34" s="1263"/>
      <c r="E34" s="826"/>
      <c r="F34" s="826"/>
      <c r="G34" s="826"/>
      <c r="H34" s="826"/>
      <c r="I34" s="826"/>
      <c r="J34" s="825"/>
      <c r="K34" s="68">
        <f>'Primary Sources'!K38</f>
        <v>2.5</v>
      </c>
      <c r="L34" s="50">
        <f>'Primary Sources'!L38</f>
        <v>0.2</v>
      </c>
      <c r="M34" s="51">
        <f>'Primary Sources'!M38</f>
        <v>100</v>
      </c>
      <c r="N34" s="800">
        <f>'Primary Sources'!N38</f>
        <v>12</v>
      </c>
      <c r="O34" s="800">
        <f>'Primary Sources'!O38</f>
        <v>1.1942903317915834</v>
      </c>
      <c r="P34" s="803">
        <f t="shared" si="8"/>
        <v>0</v>
      </c>
      <c r="Q34" s="78">
        <f t="shared" si="8"/>
        <v>0</v>
      </c>
      <c r="R34" s="78">
        <f t="shared" si="8"/>
        <v>0</v>
      </c>
      <c r="S34" s="804">
        <f t="shared" si="8"/>
        <v>0</v>
      </c>
      <c r="T34" s="804">
        <f t="shared" si="9"/>
        <v>0</v>
      </c>
    </row>
    <row r="35" spans="1:20" s="1" customFormat="1" ht="13" x14ac:dyDescent="0.3">
      <c r="A35" s="105"/>
      <c r="B35" s="76" t="str">
        <f>IF('Primary Sources'!B39&gt;0,'Primary Sources'!B39,"")</f>
        <v>43 MIX</v>
      </c>
      <c r="C35" s="77" t="str">
        <f>IF('Primary Sources'!C39&gt;0,'Primary Sources'!C39,"")</f>
        <v>Forest</v>
      </c>
      <c r="D35" s="1263"/>
      <c r="E35" s="826"/>
      <c r="F35" s="826"/>
      <c r="G35" s="826"/>
      <c r="H35" s="826"/>
      <c r="I35" s="826"/>
      <c r="J35" s="825"/>
      <c r="K35" s="68">
        <f>'Primary Sources'!K39</f>
        <v>2.5</v>
      </c>
      <c r="L35" s="50">
        <f>'Primary Sources'!L39</f>
        <v>0.2</v>
      </c>
      <c r="M35" s="51">
        <f>'Primary Sources'!M39</f>
        <v>100</v>
      </c>
      <c r="N35" s="800">
        <f>'Primary Sources'!N39</f>
        <v>12</v>
      </c>
      <c r="O35" s="800">
        <f>'Primary Sources'!O39</f>
        <v>1.1942903317915834</v>
      </c>
      <c r="P35" s="803">
        <f t="shared" si="8"/>
        <v>0</v>
      </c>
      <c r="Q35" s="78">
        <f t="shared" si="8"/>
        <v>0</v>
      </c>
      <c r="R35" s="78">
        <f t="shared" si="8"/>
        <v>0</v>
      </c>
      <c r="S35" s="804">
        <f t="shared" si="8"/>
        <v>0</v>
      </c>
      <c r="T35" s="804">
        <f t="shared" si="9"/>
        <v>0</v>
      </c>
    </row>
    <row r="36" spans="1:20" s="1" customFormat="1" ht="13.5" thickBot="1" x14ac:dyDescent="0.35">
      <c r="A36" s="105"/>
      <c r="B36" s="76" t="str">
        <f>IF('Primary Sources'!B40&gt;0,'Primary Sources'!B40,"")</f>
        <v>44 BRUSH</v>
      </c>
      <c r="C36" s="77" t="str">
        <f>IF('Primary Sources'!C40&gt;0,'Primary Sources'!C40,"")</f>
        <v>Forest</v>
      </c>
      <c r="D36" s="1264"/>
      <c r="E36" s="828"/>
      <c r="F36" s="828"/>
      <c r="G36" s="828"/>
      <c r="H36" s="828"/>
      <c r="I36" s="828"/>
      <c r="J36" s="829"/>
      <c r="K36" s="820">
        <f>'Primary Sources'!K40</f>
        <v>2.5</v>
      </c>
      <c r="L36" s="818">
        <f>'Primary Sources'!L40</f>
        <v>0.2</v>
      </c>
      <c r="M36" s="819">
        <f>'Primary Sources'!M40</f>
        <v>100</v>
      </c>
      <c r="N36" s="821">
        <f>'Primary Sources'!N40</f>
        <v>12</v>
      </c>
      <c r="O36" s="821">
        <f>'Primary Sources'!O40</f>
        <v>1.1942903317915834</v>
      </c>
      <c r="P36" s="803">
        <f t="shared" si="8"/>
        <v>0</v>
      </c>
      <c r="Q36" s="78">
        <f t="shared" si="8"/>
        <v>0</v>
      </c>
      <c r="R36" s="78">
        <f t="shared" si="8"/>
        <v>0</v>
      </c>
      <c r="S36" s="804">
        <f t="shared" si="8"/>
        <v>0</v>
      </c>
      <c r="T36" s="804">
        <f t="shared" si="9"/>
        <v>0</v>
      </c>
    </row>
    <row r="37" spans="1:20" s="1" customFormat="1" ht="13" x14ac:dyDescent="0.3">
      <c r="A37" s="105"/>
      <c r="B37" s="32" t="str">
        <f>IF('Primary Sources'!B41&gt;0,'Primary Sources'!B41,"")</f>
        <v>Rural</v>
      </c>
      <c r="C37" s="33" t="str">
        <f>IF('Primary Sources'!C41&gt;0,'Primary Sources'!C41,"")</f>
        <v/>
      </c>
      <c r="D37" s="1265"/>
      <c r="E37" s="89"/>
      <c r="F37" s="89"/>
      <c r="G37" s="89"/>
      <c r="H37" s="89"/>
      <c r="I37" s="89"/>
      <c r="J37" s="827"/>
      <c r="K37" s="74">
        <f>'Primary Sources'!K41</f>
        <v>4.5999999999999996</v>
      </c>
      <c r="L37" s="72">
        <f>'Primary Sources'!L41</f>
        <v>0.7</v>
      </c>
      <c r="M37" s="73">
        <f>'Primary Sources'!M41</f>
        <v>100</v>
      </c>
      <c r="N37" s="799">
        <f>'Primary Sources'!N41</f>
        <v>39</v>
      </c>
      <c r="O37" s="799">
        <f>'Primary Sources'!O41</f>
        <v>0</v>
      </c>
      <c r="P37" s="806">
        <f t="shared" si="8"/>
        <v>0</v>
      </c>
      <c r="Q37" s="65">
        <f t="shared" si="8"/>
        <v>0</v>
      </c>
      <c r="R37" s="65">
        <f t="shared" si="8"/>
        <v>0</v>
      </c>
      <c r="S37" s="807">
        <f t="shared" si="8"/>
        <v>0</v>
      </c>
      <c r="T37" s="807">
        <f t="shared" si="9"/>
        <v>0</v>
      </c>
    </row>
    <row r="38" spans="1:20" s="1" customFormat="1" ht="13" x14ac:dyDescent="0.3">
      <c r="A38" s="105"/>
      <c r="B38" s="39" t="str">
        <f>IF('Primary Sources'!B42&gt;0,'Primary Sources'!B42,"")</f>
        <v>21 CROP</v>
      </c>
      <c r="C38" s="40" t="str">
        <f>IF('Primary Sources'!C42&gt;0,'Primary Sources'!C42,"")</f>
        <v>Rural</v>
      </c>
      <c r="D38" s="1266"/>
      <c r="E38" s="811"/>
      <c r="F38" s="811"/>
      <c r="G38" s="811"/>
      <c r="H38" s="811"/>
      <c r="I38" s="811"/>
      <c r="J38" s="824"/>
      <c r="K38" s="68">
        <f>'Primary Sources'!K42</f>
        <v>4.5999999999999996</v>
      </c>
      <c r="L38" s="50">
        <f>'Primary Sources'!L42</f>
        <v>0.7</v>
      </c>
      <c r="M38" s="51">
        <f>'Primary Sources'!M42</f>
        <v>100</v>
      </c>
      <c r="N38" s="800">
        <f>'Primary Sources'!N42</f>
        <v>39</v>
      </c>
      <c r="O38" s="800">
        <f>'Primary Sources'!O42</f>
        <v>1.1942903317915834</v>
      </c>
      <c r="P38" s="808">
        <f>$D38*K38</f>
        <v>0</v>
      </c>
      <c r="Q38" s="47">
        <f>$D38*L38</f>
        <v>0</v>
      </c>
      <c r="R38" s="47">
        <f>$D38*M38</f>
        <v>0</v>
      </c>
      <c r="S38" s="802">
        <f>$D38*N38</f>
        <v>0</v>
      </c>
      <c r="T38" s="802">
        <f>O38*D38/12</f>
        <v>0</v>
      </c>
    </row>
    <row r="39" spans="1:20" s="1" customFormat="1" ht="13" x14ac:dyDescent="0.3">
      <c r="A39" s="105"/>
      <c r="B39" s="39" t="str">
        <f>IF('Primary Sources'!B43&gt;0,'Primary Sources'!B43,"")</f>
        <v>22 PAS</v>
      </c>
      <c r="C39" s="40" t="str">
        <f>IF('Primary Sources'!C43&gt;0,'Primary Sources'!C43,"")</f>
        <v>Rural</v>
      </c>
      <c r="D39" s="1263"/>
      <c r="E39" s="811"/>
      <c r="F39" s="811"/>
      <c r="G39" s="811"/>
      <c r="H39" s="811"/>
      <c r="I39" s="811"/>
      <c r="J39" s="824"/>
      <c r="K39" s="68">
        <f>'Primary Sources'!K43</f>
        <v>4.5999999999999996</v>
      </c>
      <c r="L39" s="50">
        <f>'Primary Sources'!L43</f>
        <v>0.7</v>
      </c>
      <c r="M39" s="51">
        <f>'Primary Sources'!M43</f>
        <v>100</v>
      </c>
      <c r="N39" s="800">
        <f>'Primary Sources'!N43</f>
        <v>39</v>
      </c>
      <c r="O39" s="800">
        <f>'Primary Sources'!O43</f>
        <v>1.1942903317915834</v>
      </c>
      <c r="P39" s="808">
        <f t="shared" si="8"/>
        <v>0</v>
      </c>
      <c r="Q39" s="47">
        <f t="shared" si="8"/>
        <v>0</v>
      </c>
      <c r="R39" s="47">
        <f t="shared" si="8"/>
        <v>0</v>
      </c>
      <c r="S39" s="802">
        <f t="shared" si="8"/>
        <v>0</v>
      </c>
      <c r="T39" s="802">
        <f t="shared" si="9"/>
        <v>0</v>
      </c>
    </row>
    <row r="40" spans="1:20" s="1" customFormat="1" ht="13" x14ac:dyDescent="0.3">
      <c r="A40" s="105"/>
      <c r="B40" s="39">
        <f>IF('Primary Sources'!B44&gt;0,'Primary Sources'!B44,"")</f>
        <v>23</v>
      </c>
      <c r="C40" s="40" t="str">
        <f>IF('Primary Sources'!C44&gt;0,'Primary Sources'!C44,"")</f>
        <v>Rural</v>
      </c>
      <c r="D40" s="1263"/>
      <c r="E40" s="811"/>
      <c r="F40" s="811"/>
      <c r="G40" s="811"/>
      <c r="H40" s="811"/>
      <c r="I40" s="811"/>
      <c r="J40" s="824"/>
      <c r="K40" s="68">
        <f>'Primary Sources'!K44</f>
        <v>4.5999999999999996</v>
      </c>
      <c r="L40" s="50">
        <f>'Primary Sources'!L44</f>
        <v>0.7</v>
      </c>
      <c r="M40" s="51">
        <f>'Primary Sources'!M44</f>
        <v>100</v>
      </c>
      <c r="N40" s="800">
        <f>'Primary Sources'!N44</f>
        <v>39</v>
      </c>
      <c r="O40" s="800">
        <f>'Primary Sources'!O44</f>
        <v>1.1942903317915834</v>
      </c>
      <c r="P40" s="808">
        <f t="shared" si="8"/>
        <v>0</v>
      </c>
      <c r="Q40" s="47">
        <f t="shared" si="8"/>
        <v>0</v>
      </c>
      <c r="R40" s="47">
        <f t="shared" si="8"/>
        <v>0</v>
      </c>
      <c r="S40" s="802">
        <f t="shared" si="8"/>
        <v>0</v>
      </c>
      <c r="T40" s="802">
        <f t="shared" si="9"/>
        <v>0</v>
      </c>
    </row>
    <row r="41" spans="1:20" s="1" customFormat="1" ht="13" x14ac:dyDescent="0.3">
      <c r="A41" s="105"/>
      <c r="B41" s="39">
        <f>IF('Primary Sources'!B45&gt;0,'Primary Sources'!B45,"")</f>
        <v>25</v>
      </c>
      <c r="C41" s="40" t="str">
        <f>IF('Primary Sources'!C45&gt;0,'Primary Sources'!C45,"")</f>
        <v>Rural</v>
      </c>
      <c r="D41" s="1263"/>
      <c r="E41" s="811"/>
      <c r="F41" s="811"/>
      <c r="G41" s="811"/>
      <c r="H41" s="811"/>
      <c r="I41" s="811"/>
      <c r="J41" s="824"/>
      <c r="K41" s="68">
        <f>'Primary Sources'!K45</f>
        <v>4.5999999999999996</v>
      </c>
      <c r="L41" s="50">
        <f>'Primary Sources'!L45</f>
        <v>0.7</v>
      </c>
      <c r="M41" s="51">
        <f>'Primary Sources'!M45</f>
        <v>100</v>
      </c>
      <c r="N41" s="800">
        <f>'Primary Sources'!N45</f>
        <v>39</v>
      </c>
      <c r="O41" s="800">
        <f>'Primary Sources'!O45</f>
        <v>1.1942903317915834</v>
      </c>
      <c r="P41" s="808">
        <f t="shared" si="8"/>
        <v>0</v>
      </c>
      <c r="Q41" s="47">
        <f t="shared" si="8"/>
        <v>0</v>
      </c>
      <c r="R41" s="47">
        <f t="shared" si="8"/>
        <v>0</v>
      </c>
      <c r="S41" s="802">
        <f t="shared" si="8"/>
        <v>0</v>
      </c>
      <c r="T41" s="802">
        <f t="shared" si="9"/>
        <v>0</v>
      </c>
    </row>
    <row r="42" spans="1:20" s="1" customFormat="1" ht="13" x14ac:dyDescent="0.3">
      <c r="A42" s="105"/>
      <c r="B42" s="39">
        <f>IF('Primary Sources'!B46&gt;0,'Primary Sources'!B46,"")</f>
        <v>241</v>
      </c>
      <c r="C42" s="40" t="str">
        <f>IF('Primary Sources'!C46&gt;0,'Primary Sources'!C46,"")</f>
        <v>Rural</v>
      </c>
      <c r="D42" s="1263"/>
      <c r="E42" s="811"/>
      <c r="F42" s="811"/>
      <c r="G42" s="811"/>
      <c r="H42" s="811"/>
      <c r="I42" s="811"/>
      <c r="J42" s="824"/>
      <c r="K42" s="68">
        <f>'Primary Sources'!K46</f>
        <v>4.5999999999999996</v>
      </c>
      <c r="L42" s="50">
        <f>'Primary Sources'!L46</f>
        <v>0.7</v>
      </c>
      <c r="M42" s="51">
        <f>'Primary Sources'!M46</f>
        <v>100</v>
      </c>
      <c r="N42" s="800">
        <f>'Primary Sources'!N46</f>
        <v>39</v>
      </c>
      <c r="O42" s="800">
        <f>'Primary Sources'!O46</f>
        <v>1.1942903317915834</v>
      </c>
      <c r="P42" s="808">
        <f t="shared" si="8"/>
        <v>0</v>
      </c>
      <c r="Q42" s="47">
        <f t="shared" si="8"/>
        <v>0</v>
      </c>
      <c r="R42" s="47">
        <f t="shared" si="8"/>
        <v>0</v>
      </c>
      <c r="S42" s="802">
        <f t="shared" si="8"/>
        <v>0</v>
      </c>
      <c r="T42" s="802">
        <f t="shared" si="9"/>
        <v>0</v>
      </c>
    </row>
    <row r="43" spans="1:20" s="1" customFormat="1" ht="13" x14ac:dyDescent="0.3">
      <c r="A43" s="105"/>
      <c r="B43" s="39">
        <f>IF('Primary Sources'!B47&gt;0,'Primary Sources'!B47,"")</f>
        <v>242</v>
      </c>
      <c r="C43" s="40" t="str">
        <f>IF('Primary Sources'!C47&gt;0,'Primary Sources'!C47,"")</f>
        <v>Rural</v>
      </c>
      <c r="D43" s="1263"/>
      <c r="E43" s="811"/>
      <c r="F43" s="811"/>
      <c r="G43" s="811"/>
      <c r="H43" s="811"/>
      <c r="I43" s="811"/>
      <c r="J43" s="824"/>
      <c r="K43" s="68">
        <f>'Primary Sources'!K47</f>
        <v>4.5999999999999996</v>
      </c>
      <c r="L43" s="50">
        <f>'Primary Sources'!L47</f>
        <v>0.7</v>
      </c>
      <c r="M43" s="51">
        <f>'Primary Sources'!M47</f>
        <v>100</v>
      </c>
      <c r="N43" s="800">
        <f>'Primary Sources'!N47</f>
        <v>39</v>
      </c>
      <c r="O43" s="800">
        <f>'Primary Sources'!O47</f>
        <v>1.1942903317915834</v>
      </c>
      <c r="P43" s="808">
        <f t="shared" si="8"/>
        <v>0</v>
      </c>
      <c r="Q43" s="47">
        <f t="shared" si="8"/>
        <v>0</v>
      </c>
      <c r="R43" s="47">
        <f t="shared" si="8"/>
        <v>0</v>
      </c>
      <c r="S43" s="802">
        <f t="shared" si="8"/>
        <v>0</v>
      </c>
      <c r="T43" s="802">
        <f t="shared" si="9"/>
        <v>0</v>
      </c>
    </row>
    <row r="44" spans="1:20" s="1" customFormat="1" ht="13" x14ac:dyDescent="0.3">
      <c r="A44" s="105"/>
      <c r="B44" s="39" t="str">
        <f>IF('Primary Sources'!B48&gt;0,'Primary Sources'!B48,"")</f>
        <v>60 WETL</v>
      </c>
      <c r="C44" s="40" t="str">
        <f>IF('Primary Sources'!C48&gt;0,'Primary Sources'!C48,"")</f>
        <v>Forest</v>
      </c>
      <c r="D44" s="1263"/>
      <c r="E44" s="811"/>
      <c r="F44" s="811"/>
      <c r="G44" s="811"/>
      <c r="H44" s="811"/>
      <c r="I44" s="811"/>
      <c r="J44" s="824"/>
      <c r="K44" s="68">
        <f>'Primary Sources'!K48</f>
        <v>4.5999999999999996</v>
      </c>
      <c r="L44" s="50">
        <f>'Primary Sources'!L48</f>
        <v>0.7</v>
      </c>
      <c r="M44" s="51">
        <f>'Primary Sources'!M48</f>
        <v>100</v>
      </c>
      <c r="N44" s="800">
        <f>'Primary Sources'!N48</f>
        <v>39</v>
      </c>
      <c r="O44" s="800">
        <f>'Primary Sources'!O48</f>
        <v>1.1942903317915834</v>
      </c>
      <c r="P44" s="808">
        <f t="shared" si="8"/>
        <v>0</v>
      </c>
      <c r="Q44" s="47">
        <f t="shared" si="8"/>
        <v>0</v>
      </c>
      <c r="R44" s="47">
        <f t="shared" si="8"/>
        <v>0</v>
      </c>
      <c r="S44" s="802">
        <f t="shared" si="8"/>
        <v>0</v>
      </c>
      <c r="T44" s="802">
        <f t="shared" si="9"/>
        <v>0</v>
      </c>
    </row>
    <row r="45" spans="1:20" s="1" customFormat="1" ht="13" x14ac:dyDescent="0.3">
      <c r="A45" s="105"/>
      <c r="B45" s="39" t="str">
        <f>IF('Primary Sources'!B49&gt;0,'Primary Sources'!B49,"")</f>
        <v>Rural Not Modeled:</v>
      </c>
      <c r="C45" s="40">
        <f>IF('Primary Sources'!C49&gt;0,'Primary Sources'!C49,"")</f>
        <v>76381.200000000012</v>
      </c>
      <c r="D45" s="1263"/>
      <c r="E45" s="811"/>
      <c r="F45" s="811"/>
      <c r="G45" s="811"/>
      <c r="H45" s="811"/>
      <c r="I45" s="811"/>
      <c r="J45" s="824"/>
      <c r="K45" s="68">
        <f>'Primary Sources'!K49</f>
        <v>4.5999999999999996</v>
      </c>
      <c r="L45" s="50">
        <f>'Primary Sources'!L49</f>
        <v>0.7</v>
      </c>
      <c r="M45" s="51">
        <f>'Primary Sources'!M49</f>
        <v>100</v>
      </c>
      <c r="N45" s="800">
        <f>'Primary Sources'!N49</f>
        <v>39</v>
      </c>
      <c r="O45" s="800">
        <f>'Primary Sources'!O49</f>
        <v>1.1942903317915834</v>
      </c>
      <c r="P45" s="808">
        <f t="shared" si="8"/>
        <v>0</v>
      </c>
      <c r="Q45" s="47">
        <f t="shared" si="8"/>
        <v>0</v>
      </c>
      <c r="R45" s="47">
        <f t="shared" si="8"/>
        <v>0</v>
      </c>
      <c r="S45" s="802">
        <f t="shared" si="8"/>
        <v>0</v>
      </c>
      <c r="T45" s="802">
        <f t="shared" si="9"/>
        <v>0</v>
      </c>
    </row>
    <row r="46" spans="1:20" s="1" customFormat="1" ht="13.5" thickBot="1" x14ac:dyDescent="0.35">
      <c r="A46" s="105"/>
      <c r="B46" s="97" t="s">
        <v>40</v>
      </c>
      <c r="C46" s="817" t="str">
        <f>IF('Primary Sources'!C50&gt;0,'Primary Sources'!C50,"")</f>
        <v/>
      </c>
      <c r="D46" s="1267"/>
      <c r="E46" s="91"/>
      <c r="F46" s="91"/>
      <c r="G46" s="91"/>
      <c r="H46" s="91"/>
      <c r="I46" s="91"/>
      <c r="J46" s="846"/>
      <c r="K46" s="820">
        <f>'Primary Sources'!K50</f>
        <v>4.5999999999999996</v>
      </c>
      <c r="L46" s="818">
        <f>'Primary Sources'!L50</f>
        <v>0.7</v>
      </c>
      <c r="M46" s="819">
        <f>'Primary Sources'!M50</f>
        <v>100</v>
      </c>
      <c r="N46" s="821">
        <f>'Primary Sources'!N50</f>
        <v>39</v>
      </c>
      <c r="O46" s="821">
        <f>'Primary Sources'!O50</f>
        <v>0</v>
      </c>
      <c r="P46" s="847">
        <f t="shared" si="8"/>
        <v>0</v>
      </c>
      <c r="Q46" s="822">
        <f t="shared" si="8"/>
        <v>0</v>
      </c>
      <c r="R46" s="822">
        <f t="shared" si="8"/>
        <v>0</v>
      </c>
      <c r="S46" s="845">
        <f t="shared" si="8"/>
        <v>0</v>
      </c>
      <c r="T46" s="845">
        <f t="shared" si="9"/>
        <v>0</v>
      </c>
    </row>
    <row r="47" spans="1:20" s="1" customFormat="1" ht="13.5" thickTop="1" x14ac:dyDescent="0.3">
      <c r="A47" s="87"/>
      <c r="B47" s="87"/>
      <c r="C47" s="87" t="s">
        <v>578</v>
      </c>
      <c r="D47" s="1050"/>
      <c r="E47" s="885">
        <f>(SUMPRODUCT(D7:D31,E7:E31)+'Primary Sources'!E53)/'Primary Sources'!D53</f>
        <v>0.16599590736173356</v>
      </c>
      <c r="F47" s="849"/>
      <c r="G47" s="849"/>
      <c r="H47" s="849"/>
      <c r="I47" s="849"/>
      <c r="J47" s="849"/>
      <c r="K47" s="850"/>
      <c r="L47" s="850"/>
      <c r="M47" s="851"/>
      <c r="N47" s="852"/>
      <c r="O47" s="852"/>
      <c r="P47" s="853"/>
      <c r="Q47" s="853"/>
      <c r="R47" s="853"/>
      <c r="S47" s="853"/>
      <c r="T47" s="868"/>
    </row>
    <row r="48" spans="1:20" ht="25.5" customHeight="1" thickBot="1" x14ac:dyDescent="0.3"/>
    <row r="49" spans="2:8" ht="20.5" thickTop="1" x14ac:dyDescent="0.4">
      <c r="B49" s="125" t="s">
        <v>562</v>
      </c>
      <c r="C49" s="126"/>
      <c r="D49" s="812"/>
      <c r="E49" s="812"/>
      <c r="F49" s="812"/>
      <c r="G49" s="813"/>
    </row>
    <row r="50" spans="2:8" ht="12.75" customHeight="1" thickBot="1" x14ac:dyDescent="0.35">
      <c r="B50" s="90"/>
      <c r="C50" s="107"/>
      <c r="D50" s="814"/>
      <c r="E50" s="814"/>
      <c r="F50" s="814"/>
      <c r="G50" s="815"/>
    </row>
    <row r="51" spans="2:8" ht="36" customHeight="1" thickTop="1" x14ac:dyDescent="0.3">
      <c r="B51" s="1957" t="s">
        <v>378</v>
      </c>
      <c r="C51" s="859" t="s">
        <v>558</v>
      </c>
      <c r="D51" s="126" t="s">
        <v>560</v>
      </c>
      <c r="E51" s="126" t="s">
        <v>559</v>
      </c>
      <c r="F51" s="126" t="s">
        <v>561</v>
      </c>
      <c r="G51" s="813"/>
    </row>
    <row r="52" spans="2:8" ht="12.75" customHeight="1" x14ac:dyDescent="0.25">
      <c r="B52" s="1958"/>
      <c r="C52" s="1325">
        <f>'Future Management Practices'!C69</f>
        <v>1</v>
      </c>
      <c r="D52" s="1325">
        <f>'Existing Management Practices'!C145</f>
        <v>0.9</v>
      </c>
      <c r="E52" s="1328">
        <f>'Existing Management Practices'!D145</f>
        <v>1.2</v>
      </c>
      <c r="F52" s="1328">
        <f>'Existing Management Practices'!E145</f>
        <v>0.9</v>
      </c>
      <c r="G52" s="816"/>
    </row>
    <row r="53" spans="2:8" ht="12.75" customHeight="1" x14ac:dyDescent="0.3">
      <c r="B53" s="86"/>
      <c r="C53" s="87"/>
      <c r="D53" s="753"/>
      <c r="E53" s="753"/>
      <c r="F53" s="753"/>
      <c r="G53" s="816"/>
    </row>
    <row r="54" spans="2:8" ht="12.75" customHeight="1" x14ac:dyDescent="0.3">
      <c r="B54" s="926" t="s">
        <v>547</v>
      </c>
      <c r="C54" s="1956" t="s">
        <v>554</v>
      </c>
      <c r="D54" s="1956"/>
      <c r="E54" s="753"/>
      <c r="F54" s="753"/>
      <c r="G54" s="816"/>
    </row>
    <row r="55" spans="2:8" ht="12.75" customHeight="1" x14ac:dyDescent="0.3">
      <c r="B55" s="860"/>
      <c r="C55" s="848"/>
      <c r="D55" s="326"/>
      <c r="E55" s="753"/>
      <c r="F55" s="753"/>
      <c r="G55" s="816"/>
    </row>
    <row r="56" spans="2:8" ht="12.75" hidden="1" customHeight="1" x14ac:dyDescent="0.3">
      <c r="B56" s="860"/>
      <c r="C56" s="855" t="s">
        <v>557</v>
      </c>
      <c r="D56" s="753"/>
      <c r="E56" s="753" t="s">
        <v>377</v>
      </c>
      <c r="F56" s="753"/>
      <c r="G56" s="816"/>
    </row>
    <row r="57" spans="2:8" ht="12.75" hidden="1" customHeight="1" x14ac:dyDescent="0.3">
      <c r="B57" s="860"/>
      <c r="C57" s="856" t="s">
        <v>554</v>
      </c>
      <c r="D57" s="753"/>
      <c r="E57" s="753" t="s">
        <v>485</v>
      </c>
      <c r="F57" s="753"/>
      <c r="G57" s="816"/>
    </row>
    <row r="58" spans="2:8" ht="12.75" hidden="1" customHeight="1" x14ac:dyDescent="0.3">
      <c r="B58" s="860"/>
      <c r="C58" s="856" t="s">
        <v>555</v>
      </c>
      <c r="D58" s="753"/>
      <c r="E58" s="753"/>
      <c r="F58" s="753"/>
      <c r="G58" s="816"/>
    </row>
    <row r="59" spans="2:8" ht="12.75" customHeight="1" thickBot="1" x14ac:dyDescent="0.35">
      <c r="B59" s="924"/>
      <c r="C59" s="848" t="s">
        <v>10</v>
      </c>
      <c r="D59" s="87" t="s">
        <v>11</v>
      </c>
      <c r="E59" s="87" t="s">
        <v>12</v>
      </c>
      <c r="F59" s="326" t="s">
        <v>13</v>
      </c>
      <c r="G59" s="105" t="s">
        <v>556</v>
      </c>
      <c r="H59" s="269"/>
    </row>
    <row r="60" spans="2:8" ht="12.75" customHeight="1" thickBot="1" x14ac:dyDescent="0.35">
      <c r="B60" s="925" t="s">
        <v>564</v>
      </c>
      <c r="C60" s="1071" t="str">
        <f>IF($C$56=$C$54,"Enter Value","Leave Blank")</f>
        <v>Leave Blank</v>
      </c>
      <c r="D60" s="1072" t="str">
        <f>IF($C$56=$C$54,"Enter Value","Leave Blank")</f>
        <v>Leave Blank</v>
      </c>
      <c r="E60" s="1072" t="str">
        <f>IF($C$56=$C$54,"Enter Value","Leave Blank")</f>
        <v>Leave Blank</v>
      </c>
      <c r="F60" s="1072" t="str">
        <f>IF($C$56=$C$54,"Enter Value","Leave Blank")</f>
        <v>Leave Blank</v>
      </c>
      <c r="G60" s="1073" t="str">
        <f>IF($C$56=$C$54,"Enter Value","Leave Blank")</f>
        <v>Leave Blank</v>
      </c>
      <c r="H60" s="269"/>
    </row>
    <row r="61" spans="2:8" ht="12.75" customHeight="1" x14ac:dyDescent="0.25">
      <c r="B61" s="1965" t="s">
        <v>572</v>
      </c>
      <c r="C61" s="805">
        <v>0</v>
      </c>
      <c r="D61" s="883">
        <v>0</v>
      </c>
      <c r="E61" s="884">
        <v>0</v>
      </c>
      <c r="F61" s="66">
        <v>0</v>
      </c>
      <c r="G61" s="67">
        <v>0</v>
      </c>
      <c r="H61" s="269"/>
    </row>
    <row r="62" spans="2:8" ht="12.75" customHeight="1" thickBot="1" x14ac:dyDescent="0.3">
      <c r="B62" s="1966"/>
      <c r="C62" s="1959" t="s">
        <v>392</v>
      </c>
      <c r="D62" s="1960"/>
      <c r="E62" s="1961"/>
      <c r="F62" s="881" t="s">
        <v>593</v>
      </c>
      <c r="G62" s="882" t="s">
        <v>594</v>
      </c>
      <c r="H62" s="269"/>
    </row>
    <row r="63" spans="2:8" ht="12.75" customHeight="1" x14ac:dyDescent="0.3">
      <c r="B63" s="860"/>
      <c r="C63" s="856"/>
      <c r="D63" s="753"/>
      <c r="E63" s="753"/>
      <c r="F63" s="753"/>
      <c r="G63" s="816"/>
    </row>
    <row r="64" spans="2:8" ht="12.75" customHeight="1" x14ac:dyDescent="0.3">
      <c r="B64" s="860" t="s">
        <v>563</v>
      </c>
      <c r="C64" s="1215" t="s">
        <v>377</v>
      </c>
      <c r="D64" s="857"/>
      <c r="E64" s="857"/>
      <c r="F64" s="857"/>
      <c r="G64" s="858"/>
    </row>
    <row r="65" spans="1:77" ht="12.75" customHeight="1" thickBot="1" x14ac:dyDescent="0.35">
      <c r="B65" s="929"/>
      <c r="C65" s="920"/>
      <c r="D65" s="921"/>
      <c r="E65" s="921"/>
      <c r="F65" s="921"/>
      <c r="G65" s="922"/>
    </row>
    <row r="66" spans="1:77" ht="12.75" hidden="1" customHeight="1" thickTop="1" x14ac:dyDescent="0.3">
      <c r="B66" s="86" t="str">
        <f>C56</f>
        <v>Option  1:   Meet a specific Removal Percentage Target</v>
      </c>
      <c r="C66" s="861" t="e">
        <f>(C$60*(1-$G$60)+$G$60)*SUM(P$7:P$31)*$C$52*$D$52*$E$52*$F$52</f>
        <v>#VALUE!</v>
      </c>
      <c r="D66" s="862" t="e">
        <f>(D$60*(1-$G$60)+$G$60)*SUM(Q$7:Q$31)*$C$52*$D$52*$E$52*$F$52</f>
        <v>#VALUE!</v>
      </c>
      <c r="E66" s="862" t="e">
        <f>(E$60*(1-$G$60)+$G$60)*SUM(R$7:R$31)*$C$52*$D$52*$E$52*$F$52</f>
        <v>#VALUE!</v>
      </c>
      <c r="F66" s="862" t="e">
        <f>(F$60*(1-$G$60)+$G$60)*SUM(S$7:S$31)*$C$52*$D$52*$E$52*$F$52</f>
        <v>#VALUE!</v>
      </c>
      <c r="G66" s="928" t="e">
        <f>G$60*SUM(T$7:T$31)*$C$52*$D$52*$E$52*$F$52</f>
        <v>#VALUE!</v>
      </c>
    </row>
    <row r="67" spans="1:77" ht="12.75" hidden="1" customHeight="1" x14ac:dyDescent="0.3">
      <c r="B67" s="86" t="str">
        <f>C57</f>
        <v>Option 2:  Meet a Load Target</v>
      </c>
      <c r="C67" s="1055">
        <f>(SUM(P$7:P$31)/MAX(SUM($D$7:$D$31),0.001)-C61)*$C$52*$D$52*$E$52*$F$52*SUM($D$7:$D$31)</f>
        <v>0</v>
      </c>
      <c r="D67" s="864">
        <f>(SUM(Q$7:Q$31)/MAX(SUM($D$7:$D$31),0.001)-D61)*$C$52*$D$52*$E$52*$F$52*SUM($D$7:$D$31)</f>
        <v>0</v>
      </c>
      <c r="E67" s="864">
        <f>(SUM(R$7:R$31)/MAX(SUM($D$7:$D$31),0.001)-E61)*$C$52*$D$52*$E$52*$F$52*SUM($D$7:$D$31)</f>
        <v>0</v>
      </c>
      <c r="F67" s="864">
        <f>(SUM(S$7:S$31)/MAX(SUM($D$7:$D$31),0.001)-F61)*$C$52*$D$52*$E$52*$F$52*SUM($D$7:$D$31)</f>
        <v>0</v>
      </c>
      <c r="G67" s="863">
        <f>(SUM(T$7:T$31)/MAX(SUM($D$7:$D$31),0.001)-G61)*$C$52*$D$52*$E$52*$F$52*SUM($D$7:$D$31)</f>
        <v>0</v>
      </c>
    </row>
    <row r="68" spans="1:77" ht="12.75" hidden="1" customHeight="1" x14ac:dyDescent="0.3">
      <c r="B68" s="86" t="str">
        <f>C58</f>
        <v>Option 3:  Show no increase on each parcel.</v>
      </c>
      <c r="C68" s="865">
        <f>(SUM(P$7:P$31)+SUM(P32:P45))*$C$52*$D$52*$E$52*$F$52</f>
        <v>0</v>
      </c>
      <c r="D68" s="865">
        <f>(SUM(Q$7:Q$31)+SUM(Q32:Q45))*$C$52*$D$52*$E$52*$F$52</f>
        <v>0</v>
      </c>
      <c r="E68" s="865">
        <f>(SUM(R$7:R$31)+SUM(R32:R45))*$C$52*$D$52*$E$52*$F$52</f>
        <v>0</v>
      </c>
      <c r="F68" s="865">
        <f>(SUM(S$7:S$31)+SUM(S32:S45))*$C$52*$D$52*$E$52*$F$52</f>
        <v>0</v>
      </c>
      <c r="G68" s="866">
        <f>(SUM(T$7:T$31)+SUM(T32:T45))*$C$52*$D$52*$E$52*$F$52</f>
        <v>0</v>
      </c>
    </row>
    <row r="69" spans="1:77" ht="12.75" customHeight="1" thickTop="1" thickBot="1" x14ac:dyDescent="0.35">
      <c r="B69" s="90"/>
      <c r="C69" s="920"/>
      <c r="D69" s="921"/>
      <c r="E69" s="921"/>
      <c r="F69" s="921"/>
      <c r="G69" s="922"/>
    </row>
    <row r="70" spans="1:77" ht="14" thickTop="1" thickBot="1" x14ac:dyDescent="0.35">
      <c r="B70" s="269"/>
      <c r="C70" s="326" t="s">
        <v>10</v>
      </c>
      <c r="D70" s="326" t="s">
        <v>11</v>
      </c>
      <c r="E70" s="326" t="s">
        <v>12</v>
      </c>
      <c r="F70" s="326" t="s">
        <v>13</v>
      </c>
      <c r="G70" s="867" t="s">
        <v>556</v>
      </c>
    </row>
    <row r="71" spans="1:77" ht="13.5" thickTop="1" x14ac:dyDescent="0.3">
      <c r="B71" s="894" t="s">
        <v>569</v>
      </c>
      <c r="C71" s="899">
        <f>VLOOKUP($C$54,$B$66:$G$68,2,FALSE)</f>
        <v>0</v>
      </c>
      <c r="D71" s="895">
        <f>VLOOKUP($C$54,$B$66:$G$68,3,FALSE)</f>
        <v>0</v>
      </c>
      <c r="E71" s="895">
        <f>VLOOKUP($C$54,$B$66:$G$68,4,FALSE)</f>
        <v>0</v>
      </c>
      <c r="F71" s="895">
        <f>VLOOKUP($C$54,$B$66:$G$68,5,FALSE)</f>
        <v>0</v>
      </c>
      <c r="G71" s="896">
        <f>VLOOKUP($C$54,$B$66:$G$68,6,FALSE)</f>
        <v>0</v>
      </c>
    </row>
    <row r="72" spans="1:77" ht="13.5" thickBot="1" x14ac:dyDescent="0.35">
      <c r="B72" s="574" t="s">
        <v>570</v>
      </c>
      <c r="C72" s="900">
        <f>$G71/MAX(SUM($T7:$T31),0.001)*C71*(1-'Primary Sources'!B93)</f>
        <v>0</v>
      </c>
      <c r="D72" s="897">
        <f>$G71/MAX(SUM($T7:$T31),0.001)*D71*(1-'Primary Sources'!C93)</f>
        <v>0</v>
      </c>
      <c r="E72" s="897">
        <f>$G71/MAX(SUM($T7:$T31),0.001)*E71*(1-'Primary Sources'!D93)</f>
        <v>0</v>
      </c>
      <c r="F72" s="897">
        <f>$G71/MAX(SUM($T7:$T31),0.001)*F71*(1-'Primary Sources'!E93)</f>
        <v>0</v>
      </c>
      <c r="G72" s="898"/>
    </row>
    <row r="73" spans="1:77" s="2" customFormat="1" ht="20.25" customHeight="1" thickTop="1" thickBot="1" x14ac:dyDescent="0.35">
      <c r="A73" s="1"/>
      <c r="B73" s="114"/>
      <c r="C73" s="114"/>
      <c r="D73" s="114"/>
      <c r="E73" s="124"/>
      <c r="F73"/>
      <c r="G73" s="114"/>
      <c r="H73" s="114"/>
      <c r="I73" s="114"/>
      <c r="J73"/>
      <c r="K73" s="114"/>
      <c r="L73"/>
      <c r="M73" s="114"/>
      <c r="N73"/>
      <c r="O73"/>
      <c r="P73"/>
      <c r="Q73"/>
      <c r="R73"/>
      <c r="S73"/>
      <c r="T73"/>
      <c r="U73"/>
      <c r="V73"/>
    </row>
    <row r="74" spans="1:77" s="1" customFormat="1" ht="24.75" customHeight="1" thickTop="1" thickBot="1" x14ac:dyDescent="0.45">
      <c r="B74" s="873" t="s">
        <v>576</v>
      </c>
      <c r="C74" s="874"/>
      <c r="D74" s="874"/>
      <c r="E74" s="874"/>
      <c r="F74" s="902"/>
      <c r="G74" s="875"/>
      <c r="H74" s="130"/>
      <c r="I74" s="130"/>
      <c r="J74" s="130"/>
      <c r="K74" s="130"/>
      <c r="L74" s="131"/>
      <c r="M74" s="132"/>
      <c r="N74" s="114"/>
      <c r="O74"/>
      <c r="P74" s="114"/>
      <c r="Q74"/>
      <c r="R74" s="114"/>
      <c r="S74"/>
      <c r="T74"/>
      <c r="U74"/>
      <c r="V74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77" s="1" customFormat="1" ht="24.75" customHeight="1" x14ac:dyDescent="0.4">
      <c r="B75" s="906" t="s">
        <v>503</v>
      </c>
      <c r="C75" s="907"/>
      <c r="D75" s="908"/>
      <c r="E75" s="131"/>
      <c r="F75" s="903"/>
      <c r="G75" s="875"/>
      <c r="H75" s="130"/>
      <c r="I75" s="130"/>
      <c r="J75" s="130"/>
      <c r="K75" s="130"/>
      <c r="L75" s="131"/>
      <c r="M75" s="132"/>
      <c r="N75" s="114"/>
      <c r="O75"/>
      <c r="P75" s="114"/>
      <c r="Q75"/>
      <c r="R75" s="114"/>
      <c r="S75"/>
      <c r="T75"/>
      <c r="U75"/>
      <c r="V75"/>
      <c r="W75"/>
      <c r="X75"/>
      <c r="Y75"/>
      <c r="Z75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1:77" s="1" customFormat="1" ht="13" x14ac:dyDescent="0.3">
      <c r="B76" s="39" t="s">
        <v>548</v>
      </c>
      <c r="C76" s="220" t="s">
        <v>565</v>
      </c>
      <c r="D76" s="117" t="s">
        <v>568</v>
      </c>
      <c r="E76" s="87"/>
      <c r="F76" s="105"/>
      <c r="G76" s="875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7"/>
      <c r="U76"/>
      <c r="V76"/>
      <c r="W76"/>
      <c r="X76"/>
      <c r="Y76"/>
      <c r="Z76"/>
      <c r="AA76"/>
      <c r="AB76"/>
      <c r="AC76"/>
      <c r="AD7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</row>
    <row r="77" spans="1:77" s="1" customFormat="1" ht="27" customHeight="1" thickBot="1" x14ac:dyDescent="0.35">
      <c r="A77" s="87"/>
      <c r="B77" s="1268"/>
      <c r="C77" s="1478">
        <f>'Secondary Sources'!E18</f>
        <v>0.1</v>
      </c>
      <c r="D77" s="1269" t="s">
        <v>573</v>
      </c>
      <c r="E77" s="130"/>
      <c r="F77" s="141"/>
      <c r="G77" s="875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7"/>
      <c r="U77"/>
      <c r="V77"/>
      <c r="W77"/>
      <c r="X77"/>
      <c r="Y77"/>
      <c r="Z77"/>
      <c r="AA77"/>
      <c r="AB77"/>
      <c r="AC77"/>
      <c r="AD77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</row>
    <row r="78" spans="1:77" s="1" customFormat="1" ht="13" hidden="1" x14ac:dyDescent="0.3">
      <c r="A78" s="87"/>
      <c r="B78" s="86"/>
      <c r="C78" s="87"/>
      <c r="D78" s="923" t="s">
        <v>566</v>
      </c>
      <c r="E78" s="130">
        <v>1</v>
      </c>
      <c r="F78" s="141"/>
      <c r="G78" s="875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7"/>
      <c r="U78"/>
      <c r="V78"/>
      <c r="W78"/>
      <c r="X78"/>
      <c r="Y78"/>
      <c r="Z78"/>
      <c r="AA78"/>
      <c r="AB78"/>
      <c r="AC78"/>
      <c r="AD78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</row>
    <row r="79" spans="1:77" s="1" customFormat="1" ht="13" hidden="1" x14ac:dyDescent="0.3">
      <c r="A79" s="87"/>
      <c r="B79" s="86"/>
      <c r="C79" s="87"/>
      <c r="D79" s="923" t="s">
        <v>567</v>
      </c>
      <c r="E79" s="130">
        <v>0.75</v>
      </c>
      <c r="F79" s="141"/>
      <c r="G79" s="875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7"/>
      <c r="U79"/>
      <c r="V79"/>
      <c r="W79"/>
      <c r="X79"/>
      <c r="Y79"/>
      <c r="Z79"/>
      <c r="AA79"/>
      <c r="AB79"/>
      <c r="AC79"/>
      <c r="AD79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</row>
    <row r="80" spans="1:77" s="1" customFormat="1" ht="13" hidden="1" x14ac:dyDescent="0.3">
      <c r="A80" s="87"/>
      <c r="B80" s="86"/>
      <c r="C80" s="87"/>
      <c r="D80" s="923" t="s">
        <v>573</v>
      </c>
      <c r="E80" s="130">
        <v>0.5</v>
      </c>
      <c r="F80" s="141"/>
      <c r="G80" s="875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7"/>
      <c r="U80"/>
      <c r="V80"/>
      <c r="W80"/>
      <c r="X80"/>
      <c r="Y80"/>
      <c r="Z80"/>
      <c r="AA80"/>
      <c r="AB80"/>
      <c r="AC80"/>
      <c r="AD80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</row>
    <row r="81" spans="1:77" s="1" customFormat="1" ht="13" hidden="1" x14ac:dyDescent="0.3">
      <c r="A81" s="87"/>
      <c r="B81" s="86"/>
      <c r="C81" s="87"/>
      <c r="D81" s="174"/>
      <c r="E81" s="130"/>
      <c r="F81" s="141"/>
      <c r="G81" s="875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7"/>
      <c r="U81"/>
      <c r="V81"/>
      <c r="W81"/>
      <c r="X81"/>
      <c r="Y81"/>
      <c r="Z81"/>
      <c r="AA81"/>
      <c r="AB81"/>
      <c r="AC81"/>
      <c r="AD81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</row>
    <row r="82" spans="1:77" s="1" customFormat="1" ht="13" hidden="1" x14ac:dyDescent="0.3">
      <c r="A82" s="87"/>
      <c r="B82" s="86"/>
      <c r="C82" s="326" t="s">
        <v>10</v>
      </c>
      <c r="D82" s="326" t="s">
        <v>11</v>
      </c>
      <c r="E82" s="326" t="s">
        <v>12</v>
      </c>
      <c r="F82" s="867" t="s">
        <v>13</v>
      </c>
      <c r="G82" s="875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7"/>
      <c r="U82"/>
      <c r="V82"/>
      <c r="W82"/>
      <c r="X82"/>
      <c r="Y82"/>
      <c r="Z82"/>
      <c r="AA82"/>
      <c r="AB82"/>
      <c r="AC82"/>
      <c r="AD8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</row>
    <row r="83" spans="1:77" s="1" customFormat="1" ht="13" hidden="1" x14ac:dyDescent="0.3">
      <c r="A83" s="87"/>
      <c r="B83" s="86" t="s">
        <v>574</v>
      </c>
      <c r="C83" s="87">
        <f>'Loads with Future Practices'!C19*'New Development'!$B$77*'New Development'!$C$77/MAX('Secondary Sources'!$E$18*'Secondary Sources'!$C$18*'Secondary Sources'!$C$3,0.001)</f>
        <v>0</v>
      </c>
      <c r="D83" s="137">
        <f>'Loads with Future Practices'!D19*'New Development'!$B$77*'New Development'!$C$77/MAX('Secondary Sources'!$E$18*'Secondary Sources'!$C$18*'Secondary Sources'!$C$3,0.001)</f>
        <v>0</v>
      </c>
      <c r="E83" s="130">
        <f>'Loads with Future Practices'!E19*'New Development'!$B$77*'New Development'!$C$77/MAX('Secondary Sources'!$E$18*'Secondary Sources'!$C$18*'Secondary Sources'!$C$3,0.001)</f>
        <v>0</v>
      </c>
      <c r="F83" s="141">
        <f>'Loads with Future Practices'!F19*'New Development'!$B$77*'New Development'!$C$77/MAX('Secondary Sources'!$E$18*'Secondary Sources'!$C$18*'Secondary Sources'!$C$3,0.001)</f>
        <v>0</v>
      </c>
      <c r="G83" s="875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7"/>
      <c r="U83"/>
      <c r="V83"/>
      <c r="W83"/>
      <c r="X83"/>
      <c r="Y83"/>
      <c r="Z83"/>
      <c r="AA83"/>
      <c r="AB83"/>
      <c r="AC83"/>
      <c r="AD83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</row>
    <row r="84" spans="1:77" s="1" customFormat="1" ht="13" hidden="1" x14ac:dyDescent="0.3">
      <c r="A84" s="87"/>
      <c r="B84" s="86" t="s">
        <v>275</v>
      </c>
      <c r="C84" s="87">
        <f>'Loads with Future Practices'!C58*'New Development'!$B$77*(1-$C$77)*VLOOKUP($D$77,$D$78:$E$80,2,FALSE)/MAX('Secondary Sources'!$C$18*'Secondary Sources'!$C$3*(1-'Secondary Sources'!$E$18),0.001)</f>
        <v>0</v>
      </c>
      <c r="D84" s="137">
        <f>'Loads with Future Practices'!D58*'New Development'!$B$77*(1-$C$77)*VLOOKUP($D$77,$D$78:$E$80,2,FALSE)/MAX('Secondary Sources'!$C$18*'Secondary Sources'!$C$3*(1-'Secondary Sources'!$E$18),0.001)</f>
        <v>0</v>
      </c>
      <c r="E84" s="1">
        <v>0</v>
      </c>
      <c r="F84" s="130">
        <f>'Loads with Future Practices'!E58*'New Development'!$B$77*(1-$C$77)*VLOOKUP($D$77,$D$78:$E$80,2,FALSE)/MAX('Secondary Sources'!$C$18*'Secondary Sources'!$C$3*(1-'Secondary Sources'!$E$18),0.001)</f>
        <v>0</v>
      </c>
      <c r="G84" s="875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7"/>
      <c r="U84"/>
      <c r="V84"/>
      <c r="W84"/>
      <c r="X84"/>
      <c r="Y84"/>
      <c r="Z84"/>
      <c r="AA84"/>
      <c r="AB84"/>
      <c r="AC84"/>
      <c r="AD84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</row>
    <row r="85" spans="1:77" s="1" customFormat="1" ht="13.5" thickBot="1" x14ac:dyDescent="0.35">
      <c r="A85" s="87"/>
      <c r="B85" s="854"/>
      <c r="C85" s="871"/>
      <c r="D85" s="872"/>
      <c r="E85" s="904"/>
      <c r="F85" s="905"/>
      <c r="G85" s="875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7"/>
      <c r="U85"/>
      <c r="V85"/>
      <c r="W85"/>
      <c r="X85"/>
      <c r="Y85"/>
      <c r="Z85"/>
      <c r="AA85"/>
      <c r="AB85"/>
      <c r="AC85"/>
      <c r="AD85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</row>
    <row r="86" spans="1:77" s="1" customFormat="1" ht="20.25" customHeight="1" x14ac:dyDescent="0.35">
      <c r="B86" s="876" t="s">
        <v>148</v>
      </c>
      <c r="C86" s="910"/>
      <c r="D86" s="914"/>
      <c r="E86" s="914"/>
      <c r="F86" s="915"/>
      <c r="G86" s="875"/>
      <c r="T86" s="130"/>
      <c r="U86"/>
      <c r="V86"/>
      <c r="W86"/>
      <c r="X86"/>
      <c r="Y86"/>
      <c r="Z86"/>
      <c r="AA86"/>
      <c r="AB86"/>
      <c r="AC86"/>
      <c r="AD8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</row>
    <row r="87" spans="1:77" s="1" customFormat="1" ht="13.5" customHeight="1" x14ac:dyDescent="0.3">
      <c r="B87" s="913" t="s">
        <v>551</v>
      </c>
      <c r="C87" s="117" t="s">
        <v>552</v>
      </c>
      <c r="D87" s="326"/>
      <c r="E87" s="916"/>
      <c r="F87" s="917"/>
      <c r="G87" s="875"/>
      <c r="T87" s="130"/>
      <c r="U87"/>
      <c r="V87"/>
      <c r="W87"/>
      <c r="X87"/>
      <c r="Y87"/>
      <c r="Z87"/>
      <c r="AA87"/>
      <c r="AB87"/>
      <c r="AC87"/>
      <c r="AD87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</row>
    <row r="88" spans="1:77" s="1" customFormat="1" ht="13.5" customHeight="1" thickBot="1" x14ac:dyDescent="0.35">
      <c r="B88" s="1270"/>
      <c r="C88" s="1477">
        <f>'Secondary Sources'!E59</f>
        <v>140</v>
      </c>
      <c r="D88" s="916"/>
      <c r="E88" s="916"/>
      <c r="F88" s="917"/>
      <c r="G88" s="875"/>
      <c r="T88" s="130"/>
      <c r="U88"/>
      <c r="V88"/>
      <c r="W88"/>
      <c r="X88"/>
      <c r="Y88"/>
      <c r="Z88"/>
      <c r="AA88"/>
      <c r="AB88"/>
      <c r="AC88"/>
      <c r="AD88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</row>
    <row r="89" spans="1:77" s="1" customFormat="1" ht="13.5" hidden="1" customHeight="1" thickBot="1" x14ac:dyDescent="0.35">
      <c r="B89" s="911"/>
      <c r="C89" s="912" t="s">
        <v>10</v>
      </c>
      <c r="D89" s="916" t="s">
        <v>11</v>
      </c>
      <c r="E89" s="916" t="s">
        <v>12</v>
      </c>
      <c r="F89" s="917" t="s">
        <v>13</v>
      </c>
      <c r="G89" s="875"/>
      <c r="T89" s="130"/>
      <c r="U89"/>
      <c r="V89"/>
      <c r="W89"/>
      <c r="X89"/>
      <c r="Y89"/>
      <c r="Z89"/>
      <c r="AA89"/>
      <c r="AB89"/>
      <c r="AC89"/>
      <c r="AD89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</row>
    <row r="90" spans="1:77" s="1" customFormat="1" ht="13.5" hidden="1" customHeight="1" thickBot="1" x14ac:dyDescent="0.35">
      <c r="B90" s="911"/>
      <c r="C90" s="912">
        <f>$C$88*$B$88/MAX('Secondary Sources'!$E$59*'Secondary Sources'!$C$59,0.001)*'Loads with Future Practices'!C9</f>
        <v>0</v>
      </c>
      <c r="D90" s="918">
        <f>$C$88*$B$88/MAX('Secondary Sources'!$E$59*'Secondary Sources'!$C$59,0.001)*'Loads with Future Practices'!D9</f>
        <v>0</v>
      </c>
      <c r="E90" s="918">
        <f>$C$88*$B$88/MAX('Secondary Sources'!$E$59*'Secondary Sources'!$C$59,0.001)*'Loads with Future Practices'!E9</f>
        <v>0</v>
      </c>
      <c r="F90" s="919">
        <f>$C$88*$B$88/MAX('Secondary Sources'!$E$59*'Secondary Sources'!$C$59,0.001)*'Loads with Future Practices'!F9</f>
        <v>0</v>
      </c>
      <c r="G90" s="875"/>
      <c r="T90" s="130"/>
      <c r="U90"/>
      <c r="V90"/>
      <c r="W90"/>
      <c r="X90"/>
      <c r="Y90"/>
      <c r="Z90"/>
      <c r="AA90"/>
      <c r="AB90"/>
      <c r="AC90"/>
      <c r="AD90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</row>
    <row r="91" spans="1:77" s="1" customFormat="1" ht="13.5" hidden="1" customHeight="1" x14ac:dyDescent="0.3">
      <c r="B91" s="870"/>
      <c r="C91" s="869"/>
      <c r="D91" s="916"/>
      <c r="E91" s="916"/>
      <c r="F91" s="917"/>
      <c r="G91" s="875"/>
      <c r="T91" s="130"/>
      <c r="U91"/>
      <c r="V91"/>
      <c r="W91"/>
      <c r="X91"/>
      <c r="Y91"/>
      <c r="Z91"/>
      <c r="AA91"/>
      <c r="AB91"/>
      <c r="AC91"/>
      <c r="AD91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</row>
    <row r="92" spans="1:77" s="1" customFormat="1" ht="13.5" customHeight="1" thickBot="1" x14ac:dyDescent="0.35">
      <c r="B92" s="173"/>
      <c r="C92" s="918"/>
      <c r="D92" s="916"/>
      <c r="E92" s="916"/>
      <c r="F92" s="917"/>
      <c r="G92" s="875"/>
      <c r="T92" s="130"/>
      <c r="U92"/>
      <c r="V92"/>
      <c r="W92"/>
      <c r="X92"/>
      <c r="Y92"/>
      <c r="Z92"/>
      <c r="AA92"/>
      <c r="AB92"/>
      <c r="AC92"/>
      <c r="AD9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</row>
    <row r="93" spans="1:77" s="1" customFormat="1" ht="21" customHeight="1" x14ac:dyDescent="0.35">
      <c r="B93" s="876" t="s">
        <v>153</v>
      </c>
      <c r="C93" s="910"/>
      <c r="D93" s="931"/>
      <c r="E93" s="901"/>
      <c r="F93" s="930"/>
      <c r="G93" s="875"/>
      <c r="H93" s="87"/>
      <c r="T93" s="130"/>
      <c r="U93"/>
      <c r="V93"/>
      <c r="W93"/>
      <c r="X93"/>
      <c r="Y93"/>
      <c r="Z93"/>
      <c r="AA93"/>
      <c r="AB93"/>
      <c r="AC93"/>
      <c r="AD93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</row>
    <row r="94" spans="1:77" s="1" customFormat="1" ht="13.5" customHeight="1" x14ac:dyDescent="0.3">
      <c r="B94" s="933" t="s">
        <v>553</v>
      </c>
      <c r="C94" s="1275"/>
      <c r="D94" s="932"/>
      <c r="E94" s="130"/>
      <c r="F94" s="891"/>
      <c r="G94" s="875"/>
      <c r="H94" s="87"/>
      <c r="T94" s="130"/>
      <c r="U94"/>
      <c r="V94"/>
      <c r="W94"/>
      <c r="X94"/>
      <c r="Y94"/>
      <c r="Z94"/>
      <c r="AA94"/>
      <c r="AB94"/>
      <c r="AC94"/>
      <c r="AD94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</row>
    <row r="95" spans="1:77" s="1" customFormat="1" ht="13.5" hidden="1" customHeight="1" x14ac:dyDescent="0.3">
      <c r="B95" s="933"/>
      <c r="C95" s="1271">
        <f>$C$94*SUMPRODUCT($D$7:$D$31,$E$7:$E$31)/MAX('Secondary Sources'!$C$64*'Secondary Sources'!$C$65,0.001)*'Loads with Future Practices'!C10</f>
        <v>0</v>
      </c>
      <c r="D95" s="932">
        <f>$C$94*SUMPRODUCT($D$7:$D$31,$E$7:$E$31)/MAX('Secondary Sources'!$C$64*'Secondary Sources'!$C$65,0.001)*'Loads with Future Practices'!D10</f>
        <v>0</v>
      </c>
      <c r="E95" s="130">
        <f>$C$94*SUMPRODUCT($D$7:$D$31,$E$7:$E$31)/MAX('Secondary Sources'!$C$64*'Secondary Sources'!$C$65,0.001)*'Loads with Future Practices'!E10</f>
        <v>0</v>
      </c>
      <c r="F95" s="891">
        <f>$C$94*SUMPRODUCT($D$7:$D$31,$E$7:$E$31)/MAX('Secondary Sources'!$C$64*'Secondary Sources'!$C$65,0.001)*'Loads with Future Practices'!F10</f>
        <v>0</v>
      </c>
      <c r="G95" s="875"/>
      <c r="H95" s="87"/>
      <c r="T95" s="130"/>
      <c r="U95"/>
      <c r="V95"/>
      <c r="W95"/>
      <c r="X95"/>
      <c r="Y95"/>
      <c r="Z95"/>
      <c r="AA95"/>
      <c r="AB95"/>
      <c r="AC95"/>
      <c r="AD95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</row>
    <row r="96" spans="1:77" s="1" customFormat="1" ht="13.5" customHeight="1" thickBot="1" x14ac:dyDescent="0.35">
      <c r="B96" s="52"/>
      <c r="C96" s="1272"/>
      <c r="D96" s="877"/>
      <c r="E96" s="130"/>
      <c r="F96" s="891"/>
      <c r="G96" s="875"/>
      <c r="H96" s="87"/>
      <c r="T96" s="130"/>
      <c r="U96"/>
      <c r="V96"/>
      <c r="W96"/>
      <c r="X96"/>
      <c r="Y96"/>
      <c r="Z96"/>
      <c r="AA96"/>
      <c r="AB96"/>
      <c r="AC96"/>
      <c r="AD9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</row>
    <row r="97" spans="1:77" s="1" customFormat="1" ht="13.5" customHeight="1" x14ac:dyDescent="0.35">
      <c r="B97" s="876" t="s">
        <v>160</v>
      </c>
      <c r="C97" s="934"/>
      <c r="D97" s="877"/>
      <c r="E97" s="130"/>
      <c r="F97" s="891"/>
      <c r="G97" s="875"/>
      <c r="H97" s="87"/>
      <c r="T97" s="130"/>
      <c r="U97"/>
      <c r="V97"/>
      <c r="W97"/>
      <c r="X97"/>
      <c r="Y97"/>
      <c r="Z97"/>
      <c r="AA97"/>
      <c r="AB97"/>
      <c r="AC97"/>
      <c r="AD97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</row>
    <row r="98" spans="1:77" s="1" customFormat="1" ht="13.5" customHeight="1" x14ac:dyDescent="0.3">
      <c r="B98" s="39" t="s">
        <v>582</v>
      </c>
      <c r="C98" s="1273"/>
      <c r="D98" s="877"/>
      <c r="E98" s="130"/>
      <c r="F98" s="891"/>
      <c r="U98"/>
      <c r="V98"/>
      <c r="W98"/>
      <c r="X98"/>
      <c r="Y98"/>
      <c r="Z98"/>
      <c r="AA98"/>
      <c r="AB98"/>
      <c r="AC98"/>
      <c r="AD98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</row>
    <row r="99" spans="1:77" s="1" customFormat="1" ht="13.5" customHeight="1" x14ac:dyDescent="0.3">
      <c r="B99" s="86" t="s">
        <v>10</v>
      </c>
      <c r="C99" s="909" t="s">
        <v>11</v>
      </c>
      <c r="D99" s="130" t="s">
        <v>12</v>
      </c>
      <c r="E99" s="130" t="s">
        <v>13</v>
      </c>
      <c r="F99" s="891"/>
      <c r="U99"/>
      <c r="V99"/>
      <c r="W99"/>
      <c r="X99"/>
      <c r="Y99"/>
      <c r="Z99"/>
      <c r="AA99"/>
      <c r="AB99"/>
      <c r="AC99"/>
      <c r="AD99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</row>
    <row r="100" spans="1:77" s="1" customFormat="1" ht="13.5" customHeight="1" x14ac:dyDescent="0.3">
      <c r="B100" s="909">
        <f>$C98*$C103*'Secondary Sources'!C136/MAX('Secondary Sources'!$C$73,0.001)</f>
        <v>0</v>
      </c>
      <c r="C100" s="909">
        <f>$C98*$C103*'Secondary Sources'!D136/MAX('Secondary Sources'!$C$73,0.001)</f>
        <v>0</v>
      </c>
      <c r="D100" s="909">
        <f>$C98*$C103*'Secondary Sources'!E136/MAX('Secondary Sources'!$C$73,0.001)</f>
        <v>0</v>
      </c>
      <c r="E100" s="909">
        <f>$C98*$C103*'Secondary Sources'!F136/MAX('Secondary Sources'!$C$73,0.001)</f>
        <v>0</v>
      </c>
      <c r="F100" s="891"/>
      <c r="U100"/>
      <c r="V100"/>
      <c r="W100"/>
      <c r="X100"/>
      <c r="Y100"/>
      <c r="Z100"/>
      <c r="AA100"/>
      <c r="AB100"/>
      <c r="AC100"/>
      <c r="AD100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</row>
    <row r="101" spans="1:77" s="1" customFormat="1" ht="13.5" customHeight="1" thickBot="1" x14ac:dyDescent="0.35">
      <c r="B101" s="86"/>
      <c r="C101" s="511"/>
      <c r="D101" s="130"/>
      <c r="E101" s="130"/>
      <c r="F101" s="891"/>
      <c r="U101"/>
      <c r="V101"/>
      <c r="W101"/>
      <c r="X101"/>
      <c r="Y101"/>
      <c r="Z101"/>
      <c r="AA101"/>
      <c r="AB101"/>
      <c r="AC101"/>
      <c r="AD101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</row>
    <row r="102" spans="1:77" s="1" customFormat="1" ht="24" customHeight="1" x14ac:dyDescent="0.35">
      <c r="A102" s="87"/>
      <c r="B102" s="1953" t="s">
        <v>587</v>
      </c>
      <c r="C102" s="1954"/>
      <c r="D102" s="1954"/>
      <c r="E102" s="1954"/>
      <c r="F102" s="1955"/>
      <c r="U102"/>
      <c r="V102"/>
      <c r="W102"/>
      <c r="X102"/>
      <c r="Y102"/>
      <c r="Z102"/>
    </row>
    <row r="103" spans="1:77" s="1" customFormat="1" ht="13" x14ac:dyDescent="0.3">
      <c r="A103" s="87"/>
      <c r="B103" s="386" t="s">
        <v>544</v>
      </c>
      <c r="C103" s="1276"/>
      <c r="D103" s="775"/>
      <c r="E103" s="775"/>
      <c r="F103" s="832"/>
    </row>
    <row r="104" spans="1:77" s="1" customFormat="1" ht="13" x14ac:dyDescent="0.3">
      <c r="A104" s="87"/>
      <c r="B104" s="386"/>
      <c r="C104" s="937"/>
      <c r="D104" s="775"/>
      <c r="E104" s="775"/>
      <c r="F104" s="832"/>
    </row>
    <row r="105" spans="1:77" s="1" customFormat="1" ht="13" x14ac:dyDescent="0.3">
      <c r="A105" s="87"/>
      <c r="B105" s="386"/>
      <c r="C105" s="830" t="s">
        <v>249</v>
      </c>
      <c r="D105" s="830" t="s">
        <v>250</v>
      </c>
      <c r="E105" s="830" t="s">
        <v>12</v>
      </c>
      <c r="F105" s="892" t="s">
        <v>549</v>
      </c>
    </row>
    <row r="106" spans="1:77" s="1" customFormat="1" ht="13" x14ac:dyDescent="0.3">
      <c r="A106" s="87"/>
      <c r="B106" s="39" t="s">
        <v>545</v>
      </c>
      <c r="C106" s="1413">
        <f>'Future Management Practices'!D291</f>
        <v>0.1</v>
      </c>
      <c r="D106" s="1413">
        <f>'Future Management Practices'!E291</f>
        <v>0.1</v>
      </c>
      <c r="E106" s="1413">
        <f>'Future Management Practices'!F291</f>
        <v>0.1</v>
      </c>
      <c r="F106" s="1474">
        <f>'Future Management Practices'!G291</f>
        <v>1</v>
      </c>
    </row>
    <row r="107" spans="1:77" s="1" customFormat="1" ht="13" x14ac:dyDescent="0.3">
      <c r="A107" s="87"/>
      <c r="B107" s="386" t="s">
        <v>595</v>
      </c>
      <c r="C107" s="1475">
        <f>$C$103*'Secondary Sources'!$E$3*'Secondary Sources'!$E$4*'Secondary Sources'!$E$6*3.04/1000*(1-C106)</f>
        <v>0</v>
      </c>
      <c r="D107" s="1475">
        <f>$C$103*'Secondary Sources'!$E$3*'Secondary Sources'!$E$4*'Secondary Sources'!$E$7*3.04/1000*(1-D106)</f>
        <v>0</v>
      </c>
      <c r="E107" s="1475">
        <f>$C$103*'Secondary Sources'!$E$3*'Secondary Sources'!$E$4*'Secondary Sources'!$E$8*3.04/1000*(1-E106)</f>
        <v>0</v>
      </c>
      <c r="F107" s="1476">
        <f>$C$103*'Secondary Sources'!$E$3*'Secondary Sources'!$E$4*'Secondary Sources'!$E$9*1.38*10^-5*10^-F106</f>
        <v>0</v>
      </c>
    </row>
    <row r="108" spans="1:77" s="1" customFormat="1" ht="13.5" thickBot="1" x14ac:dyDescent="0.35">
      <c r="A108" s="87"/>
      <c r="B108" s="839"/>
      <c r="C108" s="840"/>
      <c r="D108" s="841"/>
      <c r="E108" s="841"/>
      <c r="F108" s="893"/>
    </row>
    <row r="109" spans="1:77" s="1" customFormat="1" ht="13.5" thickTop="1" x14ac:dyDescent="0.3">
      <c r="A109" s="87"/>
      <c r="B109" s="490"/>
      <c r="C109" s="810"/>
      <c r="D109" s="775"/>
      <c r="E109" s="775"/>
      <c r="F109" s="848"/>
    </row>
    <row r="110" spans="1:77" s="1" customFormat="1" ht="13.5" thickBot="1" x14ac:dyDescent="0.35">
      <c r="A110" s="87"/>
      <c r="B110" s="490"/>
      <c r="C110" s="810"/>
      <c r="D110" s="775"/>
      <c r="E110" s="775"/>
      <c r="F110" s="848"/>
    </row>
    <row r="111" spans="1:77" s="1" customFormat="1" ht="20.5" thickTop="1" x14ac:dyDescent="0.4">
      <c r="A111" s="105"/>
      <c r="B111" s="1945" t="s">
        <v>40</v>
      </c>
      <c r="C111" s="1946"/>
      <c r="D111" s="1946"/>
      <c r="E111" s="1946"/>
      <c r="F111" s="1947"/>
    </row>
    <row r="112" spans="1:77" s="1" customFormat="1" ht="13" x14ac:dyDescent="0.3">
      <c r="A112" s="105"/>
      <c r="B112" s="86"/>
      <c r="C112" s="935"/>
      <c r="D112" s="326"/>
      <c r="E112" s="326"/>
      <c r="F112" s="867"/>
    </row>
    <row r="113" spans="1:20" s="1" customFormat="1" ht="13" x14ac:dyDescent="0.3">
      <c r="A113" s="105"/>
      <c r="B113" s="150"/>
      <c r="C113" s="39" t="s">
        <v>546</v>
      </c>
      <c r="D113" s="306" t="s">
        <v>296</v>
      </c>
      <c r="E113" s="306" t="s">
        <v>550</v>
      </c>
      <c r="F113" s="878" t="s">
        <v>575</v>
      </c>
    </row>
    <row r="114" spans="1:20" s="1" customFormat="1" ht="13" x14ac:dyDescent="0.3">
      <c r="A114" s="105"/>
      <c r="B114" s="86"/>
      <c r="C114" s="1051">
        <f>D46</f>
        <v>0</v>
      </c>
      <c r="D114" s="1413">
        <f>'Future Management Practices'!C67</f>
        <v>0.7</v>
      </c>
      <c r="E114" s="1274">
        <f>'Future Management Practices'!C69</f>
        <v>1</v>
      </c>
      <c r="F114" s="1276">
        <f>'Future Management Practices'!C70</f>
        <v>0.6</v>
      </c>
    </row>
    <row r="115" spans="1:20" s="1" customFormat="1" ht="13.5" thickBot="1" x14ac:dyDescent="0.35">
      <c r="A115" s="105"/>
      <c r="B115" s="97"/>
      <c r="C115" s="801"/>
      <c r="D115" s="879"/>
      <c r="E115" s="879"/>
      <c r="F115" s="880"/>
    </row>
    <row r="116" spans="1:20" ht="14" thickTop="1" thickBot="1" x14ac:dyDescent="0.35"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21" thickTop="1" thickBot="1" x14ac:dyDescent="0.45">
      <c r="B117" s="1962" t="s">
        <v>577</v>
      </c>
      <c r="C117" s="1963"/>
      <c r="D117" s="1963"/>
      <c r="E117" s="1963"/>
      <c r="F117" s="1963"/>
      <c r="G117" s="196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3" x14ac:dyDescent="0.3">
      <c r="B118" s="886"/>
      <c r="C118" s="116" t="s">
        <v>10</v>
      </c>
      <c r="D118" s="93" t="s">
        <v>11</v>
      </c>
      <c r="E118" s="93" t="s">
        <v>12</v>
      </c>
      <c r="F118" s="33" t="s">
        <v>13</v>
      </c>
      <c r="G118" s="94" t="s">
        <v>14</v>
      </c>
    </row>
    <row r="119" spans="1:20" ht="16" thickBot="1" x14ac:dyDescent="0.4">
      <c r="B119" s="887" t="s">
        <v>579</v>
      </c>
      <c r="C119" s="936" t="s">
        <v>497</v>
      </c>
      <c r="D119" s="608" t="s">
        <v>497</v>
      </c>
      <c r="E119" s="608" t="s">
        <v>497</v>
      </c>
      <c r="F119" s="608" t="s">
        <v>498</v>
      </c>
      <c r="G119" s="105" t="s">
        <v>588</v>
      </c>
    </row>
    <row r="120" spans="1:20" ht="13" x14ac:dyDescent="0.3">
      <c r="B120" s="1074" t="s">
        <v>499</v>
      </c>
      <c r="C120" s="1075">
        <f>SUM(P7:P31)-C71</f>
        <v>0</v>
      </c>
      <c r="D120" s="1076">
        <f>SUM(Q7:Q31)-D71</f>
        <v>0</v>
      </c>
      <c r="E120" s="1076">
        <f>SUM(R7:R31)-E71</f>
        <v>0</v>
      </c>
      <c r="F120" s="1076">
        <f>SUM(S7:S31)-F71</f>
        <v>0</v>
      </c>
      <c r="G120" s="1077">
        <f>SUM(T7:T31)-G71</f>
        <v>0</v>
      </c>
    </row>
    <row r="121" spans="1:20" ht="13" x14ac:dyDescent="0.3">
      <c r="B121" s="1078" t="s">
        <v>40</v>
      </c>
      <c r="C121" s="888">
        <f>$E121*'Primary Sources'!K52/MAX('Primary Sources'!$M52,0.001)</f>
        <v>0</v>
      </c>
      <c r="D121" s="1079">
        <f>$E121*'Primary Sources'!L52/MAX('Primary Sources'!$M52,0.001)</f>
        <v>0</v>
      </c>
      <c r="E121" s="1079">
        <f>C114*(1-D114*E114*F114)*'Primary Sources'!M52/MAX('Primary Sources'!D52,0.001)</f>
        <v>0</v>
      </c>
      <c r="F121" s="1079">
        <v>0</v>
      </c>
      <c r="G121" s="1080">
        <f>'Loads with Future Practices'!G8*'New Development'!D46/MAX('Primary Sources'!D52,0.001)</f>
        <v>0</v>
      </c>
    </row>
    <row r="122" spans="1:20" ht="13" x14ac:dyDescent="0.3">
      <c r="B122" s="1078" t="s">
        <v>148</v>
      </c>
      <c r="C122" s="888">
        <f>C90</f>
        <v>0</v>
      </c>
      <c r="D122" s="1079">
        <f>D90</f>
        <v>0</v>
      </c>
      <c r="E122" s="1079">
        <f>E90</f>
        <v>0</v>
      </c>
      <c r="F122" s="1079">
        <f>F90</f>
        <v>0</v>
      </c>
      <c r="G122" s="1080"/>
    </row>
    <row r="123" spans="1:20" ht="13" x14ac:dyDescent="0.3">
      <c r="B123" s="1078" t="s">
        <v>153</v>
      </c>
      <c r="C123" s="888">
        <f>C95</f>
        <v>0</v>
      </c>
      <c r="D123" s="1079">
        <f>D95</f>
        <v>0</v>
      </c>
      <c r="E123" s="1079">
        <f>E95</f>
        <v>0</v>
      </c>
      <c r="F123" s="1079">
        <f>F95</f>
        <v>0</v>
      </c>
      <c r="G123" s="1080"/>
    </row>
    <row r="124" spans="1:20" ht="13" x14ac:dyDescent="0.3">
      <c r="B124" s="1078" t="s">
        <v>232</v>
      </c>
      <c r="C124" s="888">
        <f>E124*'Secondary Sources'!C137/MAX('Secondary Sources'!$E$137,0.001)</f>
        <v>0</v>
      </c>
      <c r="D124" s="1079">
        <f>E124*'Secondary Sources'!D137/MAX('Secondary Sources'!$E$137,0.001)</f>
        <v>0</v>
      </c>
      <c r="E124" s="1079">
        <f>'Loads with Future Practices'!E11*((E47^2*0.0012+E47*0.0239)/(('Primary Sources'!E53/'Primary Sources'!D53)^2*0.0012+'Primary Sources'!E53/'Primary Sources'!D53*0.0239)-1)*IF(C64="yes",(1-C52*E52*F52),1)</f>
        <v>0</v>
      </c>
      <c r="F124" s="1079"/>
      <c r="G124" s="1080"/>
    </row>
    <row r="125" spans="1:20" ht="13" x14ac:dyDescent="0.3">
      <c r="B125" s="1078" t="s">
        <v>502</v>
      </c>
      <c r="C125" s="888">
        <f>C107</f>
        <v>0</v>
      </c>
      <c r="D125" s="1079">
        <f>D107</f>
        <v>0</v>
      </c>
      <c r="E125" s="1079">
        <f>E107</f>
        <v>0</v>
      </c>
      <c r="F125" s="1079">
        <f>F107</f>
        <v>0</v>
      </c>
      <c r="G125" s="1080"/>
    </row>
    <row r="126" spans="1:20" ht="13" x14ac:dyDescent="0.3">
      <c r="B126" s="1078" t="s">
        <v>581</v>
      </c>
      <c r="C126" s="888">
        <f>B100</f>
        <v>0</v>
      </c>
      <c r="D126" s="1079">
        <f>C100</f>
        <v>0</v>
      </c>
      <c r="E126" s="1079">
        <f>D100</f>
        <v>0</v>
      </c>
      <c r="F126" s="1079">
        <f>E100</f>
        <v>0</v>
      </c>
      <c r="G126" s="1080"/>
    </row>
    <row r="127" spans="1:20" ht="13" x14ac:dyDescent="0.3">
      <c r="B127" s="1078" t="s">
        <v>37</v>
      </c>
      <c r="C127" s="888">
        <f>SUM(P32:P36)</f>
        <v>0</v>
      </c>
      <c r="D127" s="1079">
        <f>SUM(Q32:Q36)</f>
        <v>0</v>
      </c>
      <c r="E127" s="1079">
        <f>SUM(R32:R36)</f>
        <v>0</v>
      </c>
      <c r="F127" s="1079">
        <f>SUM(S32:S36)</f>
        <v>0</v>
      </c>
      <c r="G127" s="1080">
        <f>SUM(T32:T36)</f>
        <v>0</v>
      </c>
    </row>
    <row r="128" spans="1:20" ht="13" x14ac:dyDescent="0.3">
      <c r="B128" s="1078" t="s">
        <v>500</v>
      </c>
      <c r="C128" s="888">
        <f>SUM(P37:P45)</f>
        <v>0</v>
      </c>
      <c r="D128" s="1079">
        <f>SUM(Q37:Q45)</f>
        <v>0</v>
      </c>
      <c r="E128" s="1079">
        <f>SUM(R37:R45)</f>
        <v>0</v>
      </c>
      <c r="F128" s="1079">
        <f>SUM(S37:S45)</f>
        <v>0</v>
      </c>
      <c r="G128" s="1080">
        <f>SUM(T37:T45)</f>
        <v>0</v>
      </c>
    </row>
    <row r="129" spans="2:7" ht="13.5" thickBot="1" x14ac:dyDescent="0.35">
      <c r="B129" s="1081" t="s">
        <v>503</v>
      </c>
      <c r="C129" s="1082">
        <f>C83</f>
        <v>0</v>
      </c>
      <c r="D129" s="1083">
        <f>D83</f>
        <v>0</v>
      </c>
      <c r="E129" s="1083">
        <f>E83</f>
        <v>0</v>
      </c>
      <c r="F129" s="1083">
        <f>F83</f>
        <v>0</v>
      </c>
      <c r="G129" s="1084"/>
    </row>
    <row r="130" spans="2:7" ht="16" thickBot="1" x14ac:dyDescent="0.4">
      <c r="B130" s="1948" t="s">
        <v>580</v>
      </c>
      <c r="C130" s="1949"/>
      <c r="D130" s="1949"/>
      <c r="E130" s="1949"/>
      <c r="F130" s="1949"/>
      <c r="G130" s="1950"/>
    </row>
    <row r="131" spans="2:7" ht="13" x14ac:dyDescent="0.3">
      <c r="B131" s="1074" t="s">
        <v>499</v>
      </c>
      <c r="C131" s="1075">
        <f>SUMPRODUCT($D7:$D31,$F7:$F31)*'Future Management Practices'!C35/MAX('Future Management Practices'!$C20,0.001)+C72</f>
        <v>0</v>
      </c>
      <c r="D131" s="1076">
        <f>SUMPRODUCT($D7:$D31,$F7:$F31)*'Future Management Practices'!D35/MAX('Future Management Practices'!$C20,0.001)+D72</f>
        <v>0</v>
      </c>
      <c r="E131" s="1076">
        <f>E72</f>
        <v>0</v>
      </c>
      <c r="F131" s="1076">
        <f>F72</f>
        <v>0</v>
      </c>
      <c r="G131" s="1077"/>
    </row>
    <row r="132" spans="2:7" ht="13.5" thickBot="1" x14ac:dyDescent="0.35">
      <c r="B132" s="1085" t="s">
        <v>503</v>
      </c>
      <c r="C132" s="1086">
        <f>C84</f>
        <v>0</v>
      </c>
      <c r="D132" s="1087">
        <f>D84</f>
        <v>0</v>
      </c>
      <c r="E132" s="1087">
        <f>E84</f>
        <v>0</v>
      </c>
      <c r="F132" s="1087">
        <f>F84</f>
        <v>0</v>
      </c>
      <c r="G132" s="1088"/>
    </row>
    <row r="133" spans="2:7" ht="13" thickTop="1" x14ac:dyDescent="0.25"/>
  </sheetData>
  <mergeCells count="13">
    <mergeCell ref="G3:J3"/>
    <mergeCell ref="T4:T5"/>
    <mergeCell ref="B111:F111"/>
    <mergeCell ref="B130:G130"/>
    <mergeCell ref="P2:T3"/>
    <mergeCell ref="K2:O3"/>
    <mergeCell ref="B102:F102"/>
    <mergeCell ref="B2:G2"/>
    <mergeCell ref="C54:D54"/>
    <mergeCell ref="B51:B52"/>
    <mergeCell ref="C62:E62"/>
    <mergeCell ref="B117:G117"/>
    <mergeCell ref="B61:B62"/>
  </mergeCells>
  <phoneticPr fontId="15" type="noConversion"/>
  <conditionalFormatting sqref="C106:F106">
    <cfRule type="cellIs" dxfId="2" priority="2" stopIfTrue="1" operator="equal">
      <formula>0</formula>
    </cfRule>
  </conditionalFormatting>
  <conditionalFormatting sqref="D52:F52 C60:G61">
    <cfRule type="cellIs" dxfId="1" priority="3" stopIfTrue="1" operator="equal">
      <formula>"Enter Value"</formula>
    </cfRule>
  </conditionalFormatting>
  <conditionalFormatting sqref="D114">
    <cfRule type="cellIs" dxfId="0" priority="1" stopIfTrue="1" operator="equal">
      <formula>0</formula>
    </cfRule>
  </conditionalFormatting>
  <dataValidations count="7">
    <dataValidation type="list" allowBlank="1" showInputMessage="1" showErrorMessage="1" sqref="D77">
      <formula1>$D$78:$D$80</formula1>
    </dataValidation>
    <dataValidation type="list" allowBlank="1" showInputMessage="1" showErrorMessage="1" sqref="C64">
      <formula1>$E$56:$E$57</formula1>
    </dataValidation>
    <dataValidation type="list" allowBlank="1" showInputMessage="1" showErrorMessage="1" sqref="C54:C55">
      <formula1>$C$56:$C$58</formula1>
    </dataValidation>
    <dataValidation allowBlank="1" showInputMessage="1" showErrorMessage="1" prompt="Capture Discount:_x000a_Fraction of Annual Rainfall Captured by the Structure.  Based on the &quot;Rainfall Frequency Spectrum&quot; (See Chapter 8 for more details)." sqref="D52"/>
    <dataValidation allowBlank="1" showInputMessage="1" showErrorMessage="1" prompt="Specific, Legally Binding Standards           1.2_x000a_Specific Standards, not Legally Binding     1.0_x000a_Less specific Standards,legally binding      1.0_x000a_No Standards                                             0.8" sqref="E52"/>
    <dataValidation allowBlank="1" showInputMessage="1" showErrorMessage="1" prompt="Regular  Maintenance Specified and Enforced       0.9_x000a_Maintenance Specified but Poorly Enforced           0.6_x000a_No guidance for Maintenance                                 0.5" sqref="F52"/>
    <dataValidation allowBlank="1" showInputMessage="1" showErrorMessage="1" promptTitle="Accounts for ESC Program " prompt="Few inspectors, no pre-construction meetingl     0.3_x000a_Inspectors visit monthly; pre-construction for larger sites  0.6_x000a_Inspectors visit weekly, contractor education, pre-construction meeting for most sites  0.9_x000a__x000a_" sqref="F114"/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indexed="46"/>
  </sheetPr>
  <dimension ref="B3:AM79"/>
  <sheetViews>
    <sheetView topLeftCell="A28" workbookViewId="0">
      <selection activeCell="F47" sqref="F47"/>
    </sheetView>
  </sheetViews>
  <sheetFormatPr defaultColWidth="31.26953125" defaultRowHeight="14" x14ac:dyDescent="0.3"/>
  <cols>
    <col min="1" max="1" width="9.1796875" style="670" customWidth="1"/>
    <col min="2" max="2" width="36.81640625" style="670" customWidth="1"/>
    <col min="3" max="3" width="17" style="670" customWidth="1"/>
    <col min="4" max="7" width="17.453125" style="670" customWidth="1"/>
    <col min="8" max="8" width="18.1796875" style="670" customWidth="1"/>
    <col min="9" max="9" width="10.7265625" style="670" bestFit="1" customWidth="1"/>
    <col min="10" max="16384" width="31.26953125" style="670"/>
  </cols>
  <sheetData>
    <row r="3" spans="2:12" ht="14.5" thickBot="1" x14ac:dyDescent="0.35">
      <c r="E3" s="671"/>
    </row>
    <row r="4" spans="2:12" ht="20.5" thickTop="1" x14ac:dyDescent="0.4">
      <c r="B4" s="1871" t="s">
        <v>585</v>
      </c>
      <c r="C4" s="1872"/>
      <c r="D4" s="1872"/>
      <c r="E4" s="1872"/>
      <c r="F4" s="1872"/>
      <c r="G4" s="1873"/>
      <c r="H4" s="672"/>
    </row>
    <row r="5" spans="2:12" ht="28" x14ac:dyDescent="0.3">
      <c r="B5" s="673"/>
      <c r="C5" s="674" t="s">
        <v>10</v>
      </c>
      <c r="D5" s="674" t="s">
        <v>11</v>
      </c>
      <c r="E5" s="674" t="s">
        <v>12</v>
      </c>
      <c r="F5" s="674" t="s">
        <v>495</v>
      </c>
      <c r="G5" s="675" t="s">
        <v>496</v>
      </c>
      <c r="H5" s="672"/>
    </row>
    <row r="6" spans="2:12" ht="14.5" thickBot="1" x14ac:dyDescent="0.35">
      <c r="B6" s="676"/>
      <c r="C6" s="677" t="s">
        <v>497</v>
      </c>
      <c r="D6" s="677" t="s">
        <v>497</v>
      </c>
      <c r="E6" s="677" t="s">
        <v>497</v>
      </c>
      <c r="F6" s="677" t="s">
        <v>498</v>
      </c>
      <c r="G6" s="678"/>
      <c r="H6" s="672"/>
    </row>
    <row r="7" spans="2:12" x14ac:dyDescent="0.3">
      <c r="B7" s="679" t="s">
        <v>499</v>
      </c>
      <c r="C7" s="1168">
        <f t="shared" ref="C7:G22" si="0">SUMIF($B$29:$B$53,$B7,C$29:C$53)</f>
        <v>172729.95796835376</v>
      </c>
      <c r="D7" s="1169">
        <f t="shared" si="0"/>
        <v>43308.650552946136</v>
      </c>
      <c r="E7" s="1169">
        <f t="shared" si="0"/>
        <v>2941140.8968455065</v>
      </c>
      <c r="F7" s="1169">
        <f t="shared" si="0"/>
        <v>2160421.7623359612</v>
      </c>
      <c r="G7" s="1170">
        <f t="shared" si="0"/>
        <v>25322.344089544225</v>
      </c>
      <c r="H7" s="1491">
        <f>'Existing Loads'!F7-'Loads With New Development'!F7</f>
        <v>1087.3737754113972</v>
      </c>
      <c r="I7" s="1491">
        <f>'Existing Loads'!F29-SUM(H7,H19)</f>
        <v>2160421.7623359612</v>
      </c>
      <c r="J7" s="1039"/>
      <c r="K7" s="1039"/>
      <c r="L7" s="1039"/>
    </row>
    <row r="8" spans="2:12" x14ac:dyDescent="0.3">
      <c r="B8" s="684" t="s">
        <v>40</v>
      </c>
      <c r="C8" s="1171">
        <f t="shared" si="0"/>
        <v>421.54827726953704</v>
      </c>
      <c r="D8" s="1172">
        <f t="shared" si="0"/>
        <v>84.309655453907425</v>
      </c>
      <c r="E8" s="1172">
        <f t="shared" si="0"/>
        <v>286652.82854328526</v>
      </c>
      <c r="F8" s="1172">
        <f t="shared" si="0"/>
        <v>0</v>
      </c>
      <c r="G8" s="1176">
        <f t="shared" si="0"/>
        <v>267.99681954375001</v>
      </c>
      <c r="H8" s="1491">
        <f>'Existing Loads'!F8-'Loads With New Development'!F8</f>
        <v>0</v>
      </c>
      <c r="I8" s="1039"/>
      <c r="J8" s="1039"/>
      <c r="K8" s="1039"/>
      <c r="L8" s="1039"/>
    </row>
    <row r="9" spans="2:12" x14ac:dyDescent="0.3">
      <c r="B9" s="684" t="s">
        <v>148</v>
      </c>
      <c r="C9" s="1171">
        <f t="shared" si="0"/>
        <v>1951.7236832775334</v>
      </c>
      <c r="D9" s="1172">
        <f t="shared" si="0"/>
        <v>325.2872805462556</v>
      </c>
      <c r="E9" s="1172">
        <f t="shared" si="0"/>
        <v>13011.491221850221</v>
      </c>
      <c r="F9" s="1172">
        <f t="shared" si="0"/>
        <v>1476804.2536800003</v>
      </c>
      <c r="G9" s="1176">
        <f t="shared" si="0"/>
        <v>0</v>
      </c>
      <c r="H9" s="1491">
        <f>'Existing Loads'!F9-'Loads With New Development'!F9</f>
        <v>0</v>
      </c>
      <c r="I9" s="1039"/>
      <c r="J9" s="1039"/>
      <c r="K9" s="1039"/>
      <c r="L9" s="1039"/>
    </row>
    <row r="10" spans="2:12" x14ac:dyDescent="0.3">
      <c r="B10" s="684" t="s">
        <v>153</v>
      </c>
      <c r="C10" s="1171">
        <f t="shared" si="0"/>
        <v>0</v>
      </c>
      <c r="D10" s="1172">
        <f t="shared" si="0"/>
        <v>0</v>
      </c>
      <c r="E10" s="1172">
        <f t="shared" si="0"/>
        <v>0</v>
      </c>
      <c r="F10" s="1172">
        <f t="shared" si="0"/>
        <v>0</v>
      </c>
      <c r="G10" s="1176">
        <f t="shared" si="0"/>
        <v>0</v>
      </c>
      <c r="H10" s="1491">
        <f>'Existing Loads'!F10-'Loads With New Development'!F10</f>
        <v>0</v>
      </c>
      <c r="I10" s="1039"/>
      <c r="J10" s="1039"/>
      <c r="K10" s="1039"/>
      <c r="L10" s="1039"/>
    </row>
    <row r="11" spans="2:12" x14ac:dyDescent="0.3">
      <c r="B11" s="684" t="s">
        <v>232</v>
      </c>
      <c r="C11" s="1171">
        <f t="shared" si="0"/>
        <v>0</v>
      </c>
      <c r="D11" s="1172">
        <f t="shared" si="0"/>
        <v>0</v>
      </c>
      <c r="E11" s="1172">
        <f t="shared" si="0"/>
        <v>3922983.5369412447</v>
      </c>
      <c r="F11" s="1172">
        <f t="shared" si="0"/>
        <v>0</v>
      </c>
      <c r="G11" s="1176">
        <f t="shared" si="0"/>
        <v>0</v>
      </c>
      <c r="H11" s="1491">
        <f>'Existing Loads'!F11-'Loads With New Development'!F11</f>
        <v>0</v>
      </c>
      <c r="I11" s="1039"/>
      <c r="J11" s="1039"/>
      <c r="K11" s="1039"/>
      <c r="L11" s="1039"/>
    </row>
    <row r="12" spans="2:12" x14ac:dyDescent="0.3">
      <c r="B12" s="684" t="s">
        <v>202</v>
      </c>
      <c r="C12" s="1171">
        <f t="shared" si="0"/>
        <v>0</v>
      </c>
      <c r="D12" s="1172">
        <f t="shared" si="0"/>
        <v>0</v>
      </c>
      <c r="E12" s="1172">
        <f t="shared" si="0"/>
        <v>0</v>
      </c>
      <c r="F12" s="1172">
        <f t="shared" si="0"/>
        <v>0</v>
      </c>
      <c r="G12" s="1176">
        <f t="shared" si="0"/>
        <v>0</v>
      </c>
      <c r="H12" s="1491">
        <f>'Existing Loads'!F12-'Loads With New Development'!F12</f>
        <v>0</v>
      </c>
      <c r="I12" s="1039"/>
      <c r="J12" s="1039"/>
      <c r="K12" s="1039"/>
      <c r="L12" s="1039"/>
    </row>
    <row r="13" spans="2:12" x14ac:dyDescent="0.3">
      <c r="B13" s="684" t="s">
        <v>37</v>
      </c>
      <c r="C13" s="1171">
        <f t="shared" si="0"/>
        <v>0</v>
      </c>
      <c r="D13" s="1172">
        <f t="shared" si="0"/>
        <v>0</v>
      </c>
      <c r="E13" s="1172">
        <f t="shared" si="0"/>
        <v>0</v>
      </c>
      <c r="F13" s="1172">
        <f t="shared" si="0"/>
        <v>0</v>
      </c>
      <c r="G13" s="1176">
        <f t="shared" si="0"/>
        <v>0</v>
      </c>
      <c r="H13" s="1491">
        <f>'Existing Loads'!F13-'Loads With New Development'!F13</f>
        <v>0</v>
      </c>
      <c r="I13" s="1039"/>
      <c r="J13" s="1039"/>
      <c r="K13" s="1039"/>
      <c r="L13" s="1039"/>
    </row>
    <row r="14" spans="2:12" x14ac:dyDescent="0.3">
      <c r="B14" s="684" t="s">
        <v>500</v>
      </c>
      <c r="C14" s="1171">
        <f t="shared" si="0"/>
        <v>0</v>
      </c>
      <c r="D14" s="1172">
        <f t="shared" si="0"/>
        <v>0</v>
      </c>
      <c r="E14" s="1172">
        <f t="shared" si="0"/>
        <v>0</v>
      </c>
      <c r="F14" s="1172">
        <f t="shared" si="0"/>
        <v>0</v>
      </c>
      <c r="G14" s="1176">
        <f t="shared" si="0"/>
        <v>0</v>
      </c>
      <c r="H14" s="1491">
        <f>'Existing Loads'!F14-'Loads With New Development'!F14</f>
        <v>0</v>
      </c>
      <c r="I14" s="1039"/>
      <c r="J14" s="1039"/>
      <c r="K14" s="1039"/>
      <c r="L14" s="1039"/>
    </row>
    <row r="15" spans="2:12" x14ac:dyDescent="0.3">
      <c r="B15" s="684" t="s">
        <v>181</v>
      </c>
      <c r="C15" s="1171">
        <f t="shared" si="0"/>
        <v>0</v>
      </c>
      <c r="D15" s="1172">
        <f t="shared" si="0"/>
        <v>0</v>
      </c>
      <c r="E15" s="1172">
        <f t="shared" si="0"/>
        <v>0</v>
      </c>
      <c r="F15" s="1172">
        <f t="shared" si="0"/>
        <v>0</v>
      </c>
      <c r="G15" s="1176">
        <f t="shared" si="0"/>
        <v>0</v>
      </c>
      <c r="H15" s="1491">
        <f>'Existing Loads'!F15-'Loads With New Development'!F15</f>
        <v>0</v>
      </c>
      <c r="I15" s="1039"/>
      <c r="J15" s="1039"/>
      <c r="K15" s="1039"/>
      <c r="L15" s="1039"/>
    </row>
    <row r="16" spans="2:12" x14ac:dyDescent="0.3">
      <c r="B16" s="684" t="s">
        <v>160</v>
      </c>
      <c r="C16" s="1171">
        <f t="shared" si="0"/>
        <v>1106.7933342687224</v>
      </c>
      <c r="D16" s="1172">
        <f t="shared" si="0"/>
        <v>293.52719392731279</v>
      </c>
      <c r="E16" s="1172">
        <f t="shared" si="0"/>
        <v>8087.5228768612342</v>
      </c>
      <c r="F16" s="1172">
        <f>SUMIF($B$29:$B$53,$B16,F$29:F$53)</f>
        <v>672096.91720499983</v>
      </c>
      <c r="G16" s="1176">
        <f t="shared" si="0"/>
        <v>0</v>
      </c>
      <c r="H16" s="1491">
        <f>'Existing Loads'!F16-'Loads With New Development'!F16</f>
        <v>0</v>
      </c>
      <c r="I16" s="1039"/>
      <c r="J16" s="1039"/>
      <c r="K16" s="1039"/>
      <c r="L16" s="1039"/>
    </row>
    <row r="17" spans="2:12" x14ac:dyDescent="0.3">
      <c r="B17" s="684" t="s">
        <v>196</v>
      </c>
      <c r="C17" s="1171">
        <f t="shared" si="0"/>
        <v>0</v>
      </c>
      <c r="D17" s="1172">
        <f t="shared" si="0"/>
        <v>0</v>
      </c>
      <c r="E17" s="1172">
        <f t="shared" si="0"/>
        <v>0</v>
      </c>
      <c r="F17" s="1172">
        <f t="shared" si="0"/>
        <v>0</v>
      </c>
      <c r="G17" s="1176">
        <f t="shared" si="0"/>
        <v>0</v>
      </c>
      <c r="H17" s="1491">
        <f>'Existing Loads'!F17-'Loads With New Development'!F17</f>
        <v>0</v>
      </c>
      <c r="I17" s="1039"/>
      <c r="J17" s="1039"/>
      <c r="K17" s="1039"/>
      <c r="L17" s="1039"/>
    </row>
    <row r="18" spans="2:12" x14ac:dyDescent="0.3">
      <c r="B18" s="684" t="s">
        <v>502</v>
      </c>
      <c r="C18" s="1171">
        <f t="shared" si="0"/>
        <v>0</v>
      </c>
      <c r="D18" s="1172">
        <f t="shared" si="0"/>
        <v>0</v>
      </c>
      <c r="E18" s="1172">
        <f t="shared" si="0"/>
        <v>0</v>
      </c>
      <c r="F18" s="1172">
        <f t="shared" si="0"/>
        <v>0</v>
      </c>
      <c r="G18" s="1176">
        <f t="shared" si="0"/>
        <v>0</v>
      </c>
      <c r="H18" s="1491">
        <f>'Existing Loads'!F18-'Loads With New Development'!F18</f>
        <v>0</v>
      </c>
      <c r="I18" s="1039"/>
      <c r="J18" s="1039"/>
      <c r="K18" s="1039"/>
      <c r="L18" s="1039"/>
    </row>
    <row r="19" spans="2:12" x14ac:dyDescent="0.3">
      <c r="B19" s="684" t="s">
        <v>503</v>
      </c>
      <c r="C19" s="1171">
        <f t="shared" si="0"/>
        <v>20198.082240000003</v>
      </c>
      <c r="D19" s="1172">
        <f t="shared" si="0"/>
        <v>3366.3470400000006</v>
      </c>
      <c r="E19" s="1172">
        <f t="shared" si="0"/>
        <v>134653.88160000002</v>
      </c>
      <c r="F19" s="1172">
        <f t="shared" si="0"/>
        <v>210841.67160000006</v>
      </c>
      <c r="G19" s="1176">
        <f t="shared" si="0"/>
        <v>0</v>
      </c>
      <c r="H19" s="1491">
        <f>'Existing Loads'!F19-'Loads With New Development'!F19</f>
        <v>0</v>
      </c>
      <c r="I19" s="1039"/>
      <c r="J19" s="1039"/>
      <c r="K19" s="1039"/>
      <c r="L19" s="1039"/>
    </row>
    <row r="20" spans="2:12" ht="14.5" thickBot="1" x14ac:dyDescent="0.35">
      <c r="B20" s="689" t="s">
        <v>39</v>
      </c>
      <c r="C20" s="1191">
        <f t="shared" si="0"/>
        <v>0</v>
      </c>
      <c r="D20" s="1179">
        <f t="shared" si="0"/>
        <v>0</v>
      </c>
      <c r="E20" s="1179">
        <f t="shared" si="0"/>
        <v>0</v>
      </c>
      <c r="F20" s="1179">
        <f t="shared" si="0"/>
        <v>0</v>
      </c>
      <c r="G20" s="1180">
        <f t="shared" si="0"/>
        <v>0</v>
      </c>
      <c r="H20" s="1491">
        <f>'Existing Loads'!F20-'Loads With New Development'!F20</f>
        <v>0</v>
      </c>
      <c r="I20" s="1039"/>
      <c r="J20" s="1039"/>
      <c r="K20" s="1039"/>
      <c r="L20" s="1039"/>
    </row>
    <row r="21" spans="2:12" ht="14.5" thickBot="1" x14ac:dyDescent="0.35">
      <c r="B21" s="769" t="s">
        <v>529</v>
      </c>
      <c r="C21" s="1192">
        <f t="shared" si="0"/>
        <v>174127.36808726206</v>
      </c>
      <c r="D21" s="1193">
        <f t="shared" si="0"/>
        <v>43555.60384867317</v>
      </c>
      <c r="E21" s="1193">
        <f t="shared" si="0"/>
        <v>7157283.007940961</v>
      </c>
      <c r="F21" s="1193">
        <f t="shared" si="0"/>
        <v>2898823.8891759613</v>
      </c>
      <c r="G21" s="1194">
        <f t="shared" si="0"/>
        <v>25590.340909087976</v>
      </c>
      <c r="H21" s="1491">
        <f>'Existing Loads'!F21-'Loads With New Development'!F21</f>
        <v>1087.3737754113972</v>
      </c>
      <c r="I21" s="1052"/>
      <c r="J21" s="1052"/>
      <c r="K21" s="1052"/>
    </row>
    <row r="22" spans="2:12" ht="14.5" thickBot="1" x14ac:dyDescent="0.35">
      <c r="B22" s="769" t="s">
        <v>530</v>
      </c>
      <c r="C22" s="1192">
        <f t="shared" si="0"/>
        <v>22280.737415907493</v>
      </c>
      <c r="D22" s="1193">
        <f t="shared" si="0"/>
        <v>3822.5178742004409</v>
      </c>
      <c r="E22" s="1193">
        <f t="shared" si="0"/>
        <v>149247.15008778637</v>
      </c>
      <c r="F22" s="1193">
        <f t="shared" si="0"/>
        <v>1621340.7156449999</v>
      </c>
      <c r="G22" s="1194">
        <f t="shared" si="0"/>
        <v>0</v>
      </c>
      <c r="H22" s="1491">
        <f>'Existing Loads'!F22-'Loads With New Development'!F22</f>
        <v>0</v>
      </c>
    </row>
    <row r="23" spans="2:12" ht="14.5" thickBot="1" x14ac:dyDescent="0.35">
      <c r="B23" s="690" t="s">
        <v>518</v>
      </c>
      <c r="C23" s="1195">
        <f>C22+C21</f>
        <v>196408.10550316956</v>
      </c>
      <c r="D23" s="1177">
        <f>D22+D21</f>
        <v>47378.121722873613</v>
      </c>
      <c r="E23" s="1177">
        <f>E22+E21</f>
        <v>7306530.1580287479</v>
      </c>
      <c r="F23" s="1177">
        <f>F22+F21</f>
        <v>4520164.6048209611</v>
      </c>
      <c r="G23" s="1178">
        <f>G22+G21</f>
        <v>25590.340909087976</v>
      </c>
      <c r="H23" s="1491">
        <f>'Existing Loads'!F23-'Loads With New Development'!F23</f>
        <v>1087.3737754113972</v>
      </c>
    </row>
    <row r="24" spans="2:12" ht="14.25" customHeight="1" thickTop="1" x14ac:dyDescent="0.3">
      <c r="E24" s="710"/>
      <c r="H24" s="1491"/>
    </row>
    <row r="25" spans="2:12" ht="14.5" thickBot="1" x14ac:dyDescent="0.35">
      <c r="E25" s="671"/>
      <c r="H25" s="1491"/>
    </row>
    <row r="26" spans="2:12" ht="30" customHeight="1" thickTop="1" x14ac:dyDescent="0.4">
      <c r="B26" s="1871" t="s">
        <v>584</v>
      </c>
      <c r="C26" s="1872"/>
      <c r="D26" s="1872"/>
      <c r="E26" s="1872"/>
      <c r="F26" s="1872"/>
      <c r="G26" s="1873"/>
      <c r="H26" s="1491"/>
    </row>
    <row r="27" spans="2:12" ht="28" x14ac:dyDescent="0.3">
      <c r="B27" s="673"/>
      <c r="C27" s="674" t="s">
        <v>10</v>
      </c>
      <c r="D27" s="674" t="s">
        <v>11</v>
      </c>
      <c r="E27" s="674" t="s">
        <v>12</v>
      </c>
      <c r="F27" s="674" t="s">
        <v>495</v>
      </c>
      <c r="G27" s="675" t="s">
        <v>496</v>
      </c>
      <c r="H27" s="1491"/>
    </row>
    <row r="28" spans="2:12" ht="14.5" thickBot="1" x14ac:dyDescent="0.35">
      <c r="B28" s="676"/>
      <c r="C28" s="677" t="s">
        <v>497</v>
      </c>
      <c r="D28" s="677" t="s">
        <v>497</v>
      </c>
      <c r="E28" s="677" t="s">
        <v>497</v>
      </c>
      <c r="F28" s="677" t="s">
        <v>498</v>
      </c>
      <c r="G28" s="678"/>
      <c r="H28" s="1491"/>
    </row>
    <row r="29" spans="2:12" x14ac:dyDescent="0.3">
      <c r="B29" s="679" t="s">
        <v>499</v>
      </c>
      <c r="C29" s="1153">
        <f>'Loads with Future Practices'!C29+'New Development'!C120</f>
        <v>172729.95796835376</v>
      </c>
      <c r="D29" s="1154">
        <f>'Loads with Future Practices'!D29+'New Development'!D120</f>
        <v>43308.650552946136</v>
      </c>
      <c r="E29" s="1154">
        <f>'Loads with Future Practices'!E29+'New Development'!E120</f>
        <v>2941140.8968455065</v>
      </c>
      <c r="F29" s="1154">
        <f>'Loads with Future Practices'!F29+'New Development'!F120</f>
        <v>2160421.7623359612</v>
      </c>
      <c r="G29" s="1155">
        <f>'Loads with Future Practices'!G29+'New Development'!G120</f>
        <v>25322.344089544225</v>
      </c>
      <c r="H29" s="1491">
        <f>'Existing Loads'!F29-'Loads With New Development'!F29</f>
        <v>1087.3737754113972</v>
      </c>
      <c r="I29" s="683"/>
      <c r="J29" s="714"/>
    </row>
    <row r="30" spans="2:12" x14ac:dyDescent="0.3">
      <c r="B30" s="684" t="s">
        <v>40</v>
      </c>
      <c r="C30" s="1156">
        <f>'Loads with Future Practices'!C30+'New Development'!C121</f>
        <v>421.54827726953704</v>
      </c>
      <c r="D30" s="1157">
        <f>'Loads with Future Practices'!D30+'New Development'!D121</f>
        <v>84.309655453907425</v>
      </c>
      <c r="E30" s="1157">
        <f>'Loads with Future Practices'!E30+'New Development'!E121</f>
        <v>286652.82854328526</v>
      </c>
      <c r="F30" s="1157">
        <f>'Loads with Future Practices'!F30+'New Development'!F121</f>
        <v>0</v>
      </c>
      <c r="G30" s="1196">
        <f>'Loads with Future Practices'!G30+'New Development'!G121</f>
        <v>267.99681954375001</v>
      </c>
      <c r="H30" s="1491">
        <f>'Existing Loads'!F30-'Loads With New Development'!F30</f>
        <v>0</v>
      </c>
    </row>
    <row r="31" spans="2:12" x14ac:dyDescent="0.3">
      <c r="B31" s="684" t="s">
        <v>148</v>
      </c>
      <c r="C31" s="1156">
        <f>'Loads with Future Practices'!C31+'New Development'!C122/2</f>
        <v>975.86184163876669</v>
      </c>
      <c r="D31" s="1157">
        <f>'Loads with Future Practices'!D31+'New Development'!D122/2</f>
        <v>162.6436402731278</v>
      </c>
      <c r="E31" s="1157">
        <f>'Loads with Future Practices'!E31+'New Development'!E122/2</f>
        <v>6505.7456109251107</v>
      </c>
      <c r="F31" s="1157">
        <f>'Loads with Future Practices'!F31+'New Development'!F122/2</f>
        <v>738402.12684000016</v>
      </c>
      <c r="G31" s="1158">
        <f>'Loads with Future Practices'!G31+'New Development'!G129/2</f>
        <v>0</v>
      </c>
      <c r="H31" s="1491">
        <f>'Existing Loads'!F31-'Loads With New Development'!F31</f>
        <v>0</v>
      </c>
    </row>
    <row r="32" spans="2:12" x14ac:dyDescent="0.3">
      <c r="B32" s="684" t="s">
        <v>153</v>
      </c>
      <c r="C32" s="1197">
        <f>'Loads with Future Practices'!C32+'New Development'!C123</f>
        <v>0</v>
      </c>
      <c r="D32" s="1157">
        <f>'Loads with Future Practices'!D32+'New Development'!D123</f>
        <v>0</v>
      </c>
      <c r="E32" s="1157">
        <f>'Loads with Future Practices'!E32+'New Development'!E123</f>
        <v>0</v>
      </c>
      <c r="F32" s="1157">
        <f>'Loads with Future Practices'!F32+'New Development'!F123</f>
        <v>0</v>
      </c>
      <c r="G32" s="1196">
        <f>'Existing Loads'!G32-'Future Management Practices'!G400</f>
        <v>0</v>
      </c>
      <c r="H32" s="1491">
        <f>'Existing Loads'!F32-'Loads With New Development'!F32</f>
        <v>0</v>
      </c>
    </row>
    <row r="33" spans="2:39" x14ac:dyDescent="0.3">
      <c r="B33" s="684" t="s">
        <v>232</v>
      </c>
      <c r="C33" s="1197">
        <f>'Loads with Future Practices'!C33+'New Development'!C124</f>
        <v>0</v>
      </c>
      <c r="D33" s="1157">
        <f>'Loads with Future Practices'!D33+'New Development'!D124</f>
        <v>0</v>
      </c>
      <c r="E33" s="1157">
        <f>'Loads with Future Practices'!E33+'New Development'!E124</f>
        <v>3922983.5369412447</v>
      </c>
      <c r="F33" s="1157">
        <f>'Loads with Future Practices'!F33+'New Development'!F124</f>
        <v>0</v>
      </c>
      <c r="G33" s="1196">
        <f>'Loads with Future Practices'!G33+'New Development'!G124</f>
        <v>0</v>
      </c>
      <c r="H33" s="1491">
        <f>'Existing Loads'!F33-'Loads With New Development'!F33</f>
        <v>0</v>
      </c>
    </row>
    <row r="34" spans="2:39" x14ac:dyDescent="0.3">
      <c r="B34" s="684" t="s">
        <v>202</v>
      </c>
      <c r="C34" s="1197">
        <f>'Loads with Future Practices'!C34</f>
        <v>0</v>
      </c>
      <c r="D34" s="1197">
        <f>'Loads with Future Practices'!D34</f>
        <v>0</v>
      </c>
      <c r="E34" s="1197">
        <f>'Loads with Future Practices'!E34</f>
        <v>0</v>
      </c>
      <c r="F34" s="1197">
        <f>'Loads with Future Practices'!F34</f>
        <v>0</v>
      </c>
      <c r="G34" s="1198">
        <f>'Loads with Future Practices'!G34</f>
        <v>0</v>
      </c>
      <c r="H34" s="1491">
        <f>'Existing Loads'!F34-'Loads With New Development'!F34</f>
        <v>0</v>
      </c>
    </row>
    <row r="35" spans="2:39" x14ac:dyDescent="0.3">
      <c r="B35" s="684" t="s">
        <v>37</v>
      </c>
      <c r="C35" s="1157">
        <f>'Existing Loads'!C35+'New Development'!C$127*'Primary Sources'!C$59</f>
        <v>0</v>
      </c>
      <c r="D35" s="1157">
        <f>'Existing Loads'!D35+'New Development'!D127*'Primary Sources'!D59</f>
        <v>0</v>
      </c>
      <c r="E35" s="1157">
        <f>'Existing Loads'!E35+'New Development'!E127*'Primary Sources'!E59</f>
        <v>0</v>
      </c>
      <c r="F35" s="1157">
        <f>'Existing Loads'!F35+'New Development'!F127*'Primary Sources'!F59</f>
        <v>0</v>
      </c>
      <c r="G35" s="1158">
        <f>'Existing Loads'!G35+'New Development'!G127</f>
        <v>0</v>
      </c>
      <c r="H35" s="1491">
        <f>'Existing Loads'!F35-'Loads With New Development'!F35</f>
        <v>0</v>
      </c>
    </row>
    <row r="36" spans="2:39" x14ac:dyDescent="0.3">
      <c r="B36" s="684" t="s">
        <v>500</v>
      </c>
      <c r="C36" s="1157">
        <f>'Existing Loads'!C36+'New Development'!C128*'Primary Sources'!C$59</f>
        <v>0</v>
      </c>
      <c r="D36" s="1157">
        <f>'Existing Loads'!D36+'New Development'!D128*'Primary Sources'!D$59</f>
        <v>0</v>
      </c>
      <c r="E36" s="1157">
        <f>'Existing Loads'!E36+'New Development'!E128*'Primary Sources'!E$59</f>
        <v>0</v>
      </c>
      <c r="F36" s="1157">
        <f>'Existing Loads'!F36+'New Development'!F128*'Primary Sources'!F$59</f>
        <v>0</v>
      </c>
      <c r="G36" s="1158">
        <f>'Existing Loads'!G36+'New Development'!G128</f>
        <v>0</v>
      </c>
      <c r="H36" s="1491">
        <f>'Existing Loads'!F36-'Loads With New Development'!F36</f>
        <v>0</v>
      </c>
    </row>
    <row r="37" spans="2:39" x14ac:dyDescent="0.3">
      <c r="B37" s="684" t="s">
        <v>181</v>
      </c>
      <c r="C37" s="1157">
        <f>'Existing Loads'!C37</f>
        <v>0</v>
      </c>
      <c r="D37" s="1157">
        <f>'Existing Loads'!D37</f>
        <v>0</v>
      </c>
      <c r="E37" s="1157">
        <f>'Existing Loads'!E37</f>
        <v>0</v>
      </c>
      <c r="F37" s="1157">
        <f>'Existing Loads'!F37</f>
        <v>0</v>
      </c>
      <c r="G37" s="1158">
        <f>'Existing Loads'!G37</f>
        <v>0</v>
      </c>
      <c r="H37" s="1491">
        <f>'Existing Loads'!F37-'Loads With New Development'!F37</f>
        <v>0</v>
      </c>
    </row>
    <row r="38" spans="2:39" ht="14.5" thickBot="1" x14ac:dyDescent="0.35">
      <c r="B38" s="689" t="s">
        <v>39</v>
      </c>
      <c r="C38" s="1157">
        <f>'Existing Loads'!C38</f>
        <v>0</v>
      </c>
      <c r="D38" s="1157">
        <f>'Existing Loads'!D38</f>
        <v>0</v>
      </c>
      <c r="E38" s="1157">
        <f>'Existing Loads'!E38</f>
        <v>0</v>
      </c>
      <c r="F38" s="1157">
        <f>'Existing Loads'!F38</f>
        <v>0</v>
      </c>
      <c r="G38" s="1158">
        <f>'Existing Loads'!G38</f>
        <v>0</v>
      </c>
      <c r="H38" s="1491">
        <f>'Existing Loads'!F38-'Loads With New Development'!F38</f>
        <v>0</v>
      </c>
    </row>
    <row r="39" spans="2:39" ht="14.5" thickBot="1" x14ac:dyDescent="0.35">
      <c r="B39" s="769" t="s">
        <v>529</v>
      </c>
      <c r="C39" s="1166">
        <f>SUM(C29:C38)</f>
        <v>174127.36808726206</v>
      </c>
      <c r="D39" s="1166">
        <f>SUM(D29:D38)</f>
        <v>43555.60384867317</v>
      </c>
      <c r="E39" s="1166">
        <f>SUM(E29:E38)</f>
        <v>7157283.007940961</v>
      </c>
      <c r="F39" s="1166">
        <f>SUM(F29:F38)</f>
        <v>2898823.8891759613</v>
      </c>
      <c r="G39" s="1167">
        <f>SUM(G29:G38)</f>
        <v>25590.340909087976</v>
      </c>
      <c r="H39" s="1491">
        <f>'Existing Loads'!F39-'Loads With New Development'!F39</f>
        <v>1087.3737754113972</v>
      </c>
    </row>
    <row r="40" spans="2:39" s="716" customFormat="1" ht="34.5" customHeight="1" thickBot="1" x14ac:dyDescent="0.35">
      <c r="H40" s="1491"/>
    </row>
    <row r="41" spans="2:39" ht="27" customHeight="1" thickTop="1" x14ac:dyDescent="0.4">
      <c r="B41" s="1871" t="s">
        <v>583</v>
      </c>
      <c r="C41" s="1872"/>
      <c r="D41" s="1872"/>
      <c r="E41" s="1872"/>
      <c r="F41" s="1873"/>
      <c r="H41" s="1491"/>
    </row>
    <row r="42" spans="2:39" x14ac:dyDescent="0.3">
      <c r="B42" s="695"/>
      <c r="C42" s="674" t="s">
        <v>10</v>
      </c>
      <c r="D42" s="674" t="s">
        <v>11</v>
      </c>
      <c r="E42" s="674" t="s">
        <v>12</v>
      </c>
      <c r="F42" s="696" t="s">
        <v>495</v>
      </c>
      <c r="H42" s="1491"/>
    </row>
    <row r="43" spans="2:39" x14ac:dyDescent="0.3">
      <c r="B43" s="697"/>
      <c r="C43" s="674" t="s">
        <v>497</v>
      </c>
      <c r="D43" s="674" t="s">
        <v>497</v>
      </c>
      <c r="E43" s="674" t="s">
        <v>497</v>
      </c>
      <c r="F43" s="696" t="s">
        <v>498</v>
      </c>
      <c r="H43" s="1491"/>
    </row>
    <row r="44" spans="2:39" x14ac:dyDescent="0.3">
      <c r="B44" s="766" t="s">
        <v>37</v>
      </c>
      <c r="C44" s="1172">
        <f>'Existing Loads'!C44+'New Development'!C127*(1-'Primary Sources'!C$59)</f>
        <v>0</v>
      </c>
      <c r="D44" s="1172">
        <f>'Existing Loads'!D44+'New Development'!D127*(1-'Primary Sources'!D$59)</f>
        <v>0</v>
      </c>
      <c r="E44" s="1172">
        <f>'Existing Loads'!E44+'New Development'!E127*(1-'Primary Sources'!E$59)</f>
        <v>0</v>
      </c>
      <c r="F44" s="1176">
        <f>'Existing Loads'!F44+'New Development'!F127*(1-'Primary Sources'!F$59)</f>
        <v>0</v>
      </c>
      <c r="G44" s="694"/>
      <c r="H44" s="1491">
        <f>'Existing Loads'!F44-'Loads With New Development'!F44</f>
        <v>0</v>
      </c>
      <c r="AK44" s="694"/>
      <c r="AL44" s="694"/>
      <c r="AM44" s="694"/>
    </row>
    <row r="45" spans="2:39" x14ac:dyDescent="0.3">
      <c r="B45" s="766" t="s">
        <v>500</v>
      </c>
      <c r="C45" s="1172">
        <f>'Existing Loads'!C45+'New Development'!C128*(1-'Primary Sources'!C$59)</f>
        <v>0</v>
      </c>
      <c r="D45" s="1172">
        <f>'Existing Loads'!D45+'New Development'!D128*(1-'Primary Sources'!D$59)</f>
        <v>0</v>
      </c>
      <c r="E45" s="1172">
        <f>'Existing Loads'!E45+'New Development'!E128*(1-'Primary Sources'!E$59)</f>
        <v>0</v>
      </c>
      <c r="F45" s="1176">
        <f>'Existing Loads'!F45+'New Development'!F128*(1-'Primary Sources'!F$59)</f>
        <v>0</v>
      </c>
      <c r="G45" s="694"/>
      <c r="H45" s="1491">
        <f>'Existing Loads'!F45-'Loads With New Development'!F45</f>
        <v>0</v>
      </c>
      <c r="AK45" s="694"/>
      <c r="AL45" s="694"/>
      <c r="AM45" s="694"/>
    </row>
    <row r="46" spans="2:39" x14ac:dyDescent="0.3">
      <c r="B46" s="766" t="s">
        <v>148</v>
      </c>
      <c r="C46" s="1172">
        <f>C31</f>
        <v>975.86184163876669</v>
      </c>
      <c r="D46" s="1172">
        <f>D31</f>
        <v>162.6436402731278</v>
      </c>
      <c r="E46" s="1172">
        <f>E31</f>
        <v>6505.7456109251107</v>
      </c>
      <c r="F46" s="1176">
        <f>F31</f>
        <v>738402.12684000016</v>
      </c>
      <c r="G46" s="712"/>
      <c r="H46" s="1491">
        <f>'Existing Loads'!F46-'Loads With New Development'!F46</f>
        <v>0</v>
      </c>
    </row>
    <row r="47" spans="2:39" x14ac:dyDescent="0.3">
      <c r="B47" s="766" t="s">
        <v>160</v>
      </c>
      <c r="C47" s="1174">
        <f>'Loads with Future Practices'!C47+'New Development'!C126</f>
        <v>1106.7933342687224</v>
      </c>
      <c r="D47" s="1172">
        <f>'Loads with Future Practices'!D47+'New Development'!D126</f>
        <v>293.52719392731279</v>
      </c>
      <c r="E47" s="1172">
        <f>'Loads with Future Practices'!E47+'New Development'!E126</f>
        <v>8087.5228768612342</v>
      </c>
      <c r="F47" s="1176">
        <f>'Loads with Future Practices'!F47+'New Development'!F126</f>
        <v>672096.91720499983</v>
      </c>
      <c r="H47" s="1491">
        <f>'Existing Loads'!F47-'Loads With New Development'!F47</f>
        <v>0</v>
      </c>
      <c r="L47" s="712"/>
    </row>
    <row r="48" spans="2:39" x14ac:dyDescent="0.3">
      <c r="B48" s="766" t="s">
        <v>196</v>
      </c>
      <c r="C48" s="1200">
        <f>'Existing Loads'!C48-'Future Management Practices'!C395</f>
        <v>0</v>
      </c>
      <c r="D48" s="1179">
        <f>'Existing Loads'!D48-'Future Management Practices'!D395</f>
        <v>0</v>
      </c>
      <c r="E48" s="1179">
        <f>'Existing Loads'!E48-'Future Management Practices'!E395</f>
        <v>0</v>
      </c>
      <c r="F48" s="1180">
        <f>'Existing Loads'!F48-'Future Management Practices'!F395</f>
        <v>0</v>
      </c>
      <c r="H48" s="1491">
        <f>'Existing Loads'!F48-'Loads With New Development'!F48</f>
        <v>0</v>
      </c>
    </row>
    <row r="49" spans="2:39" x14ac:dyDescent="0.3">
      <c r="B49" s="766" t="s">
        <v>502</v>
      </c>
      <c r="C49" s="1174">
        <f>'Loads with Future Practices'!C49+'New Development'!C125</f>
        <v>0</v>
      </c>
      <c r="D49" s="1179">
        <f>'Loads with Future Practices'!D49+'New Development'!D125</f>
        <v>0</v>
      </c>
      <c r="E49" s="1179">
        <f>'Loads with Future Practices'!E49+'New Development'!E125</f>
        <v>0</v>
      </c>
      <c r="F49" s="1180">
        <f>'Loads with Future Practices'!F49+'New Development'!F125</f>
        <v>0</v>
      </c>
      <c r="H49" s="1491">
        <f>'Existing Loads'!F49-'Loads With New Development'!F49</f>
        <v>0</v>
      </c>
    </row>
    <row r="50" spans="2:39" ht="14.5" thickBot="1" x14ac:dyDescent="0.35">
      <c r="B50" s="1013" t="s">
        <v>503</v>
      </c>
      <c r="C50" s="1181">
        <f>'Loads with Future Practices'!C50+'New Development'!C129</f>
        <v>20198.082240000003</v>
      </c>
      <c r="D50" s="1181">
        <f>'Loads with Future Practices'!D50+'New Development'!D129</f>
        <v>3366.3470400000006</v>
      </c>
      <c r="E50" s="1181">
        <f>'Loads with Future Practices'!E50+'New Development'!E129</f>
        <v>134653.88160000002</v>
      </c>
      <c r="F50" s="1182">
        <f>'Loads with Future Practices'!F50+'New Development'!F129</f>
        <v>210841.67160000006</v>
      </c>
      <c r="H50" s="1491">
        <f>'Existing Loads'!F50-'Loads With New Development'!F50</f>
        <v>0</v>
      </c>
    </row>
    <row r="51" spans="2:39" ht="15" thickTop="1" thickBot="1" x14ac:dyDescent="0.35">
      <c r="B51" s="1199" t="s">
        <v>530</v>
      </c>
      <c r="C51" s="1177">
        <f>SUM(C41:C50)</f>
        <v>22280.737415907493</v>
      </c>
      <c r="D51" s="1177">
        <f>SUM(D41:D50)</f>
        <v>3822.5178742004409</v>
      </c>
      <c r="E51" s="1177">
        <f>SUM(E41:E50)</f>
        <v>149247.15008778637</v>
      </c>
      <c r="F51" s="1183">
        <f>SUM(F41:F50)</f>
        <v>1621340.7156449999</v>
      </c>
      <c r="H51" s="1491">
        <f>'Existing Loads'!F51-'Loads With New Development'!F51</f>
        <v>0</v>
      </c>
    </row>
    <row r="52" spans="2:39" x14ac:dyDescent="0.3">
      <c r="D52" s="694"/>
      <c r="E52" s="694"/>
      <c r="F52" s="694"/>
      <c r="G52" s="694"/>
      <c r="H52" s="694"/>
      <c r="I52" s="672"/>
      <c r="AK52" s="694"/>
      <c r="AL52" s="694"/>
      <c r="AM52" s="694"/>
    </row>
    <row r="53" spans="2:39" ht="14.5" thickBot="1" x14ac:dyDescent="0.35">
      <c r="AH53" s="694"/>
      <c r="AI53" s="694"/>
      <c r="AJ53" s="694"/>
    </row>
    <row r="54" spans="2:39" ht="43.5" customHeight="1" thickTop="1" x14ac:dyDescent="0.4">
      <c r="B54" s="1874" t="s">
        <v>586</v>
      </c>
      <c r="C54" s="1875"/>
      <c r="D54" s="1875"/>
      <c r="E54" s="1876"/>
      <c r="F54" s="694"/>
      <c r="G54" s="694"/>
      <c r="AK54" s="694"/>
      <c r="AL54" s="694"/>
      <c r="AM54" s="694"/>
    </row>
    <row r="55" spans="2:39" x14ac:dyDescent="0.3">
      <c r="B55" s="1014"/>
      <c r="C55" s="674" t="s">
        <v>10</v>
      </c>
      <c r="D55" s="674" t="s">
        <v>11</v>
      </c>
      <c r="E55" s="696" t="s">
        <v>495</v>
      </c>
      <c r="F55" s="694"/>
      <c r="G55" s="694"/>
      <c r="AK55" s="694"/>
      <c r="AL55" s="694"/>
      <c r="AM55" s="694"/>
    </row>
    <row r="56" spans="2:39" x14ac:dyDescent="0.3">
      <c r="B56" s="1014"/>
      <c r="C56" s="674" t="s">
        <v>497</v>
      </c>
      <c r="D56" s="674" t="s">
        <v>497</v>
      </c>
      <c r="E56" s="696" t="s">
        <v>498</v>
      </c>
      <c r="F56" s="694"/>
      <c r="G56" s="694"/>
      <c r="AK56" s="694"/>
      <c r="AL56" s="694"/>
      <c r="AM56" s="694"/>
    </row>
    <row r="57" spans="2:39" x14ac:dyDescent="0.3">
      <c r="B57" s="766" t="s">
        <v>499</v>
      </c>
      <c r="C57" s="1174">
        <f>'Loads with Future Practices'!C57+'New Development'!C131</f>
        <v>1014501.0195982239</v>
      </c>
      <c r="D57" s="1174">
        <f>'Loads with Future Practices'!D57+'New Development'!D131</f>
        <v>71678.458599470658</v>
      </c>
      <c r="E57" s="1175">
        <f>'Loads with Future Practices'!E57+'New Development'!F131</f>
        <v>4968.5412981350783</v>
      </c>
      <c r="F57" s="1058"/>
      <c r="G57" s="694"/>
      <c r="H57" s="1059"/>
      <c r="AK57" s="694"/>
      <c r="AL57" s="694"/>
      <c r="AM57" s="694"/>
    </row>
    <row r="58" spans="2:39" ht="14.5" thickBot="1" x14ac:dyDescent="0.35">
      <c r="B58" s="1201" t="s">
        <v>503</v>
      </c>
      <c r="C58" s="1203">
        <f>'Loads with Future Practices'!C58+'New Development'!C132</f>
        <v>199763.31497472004</v>
      </c>
      <c r="D58" s="1203">
        <f>'Loads with Future Practices'!D58+'New Development'!D132</f>
        <v>0</v>
      </c>
      <c r="E58" s="1204">
        <f>'Loads with Future Practices'!E58+'New Development'!F132</f>
        <v>0</v>
      </c>
      <c r="F58" s="694"/>
      <c r="G58" s="694"/>
      <c r="H58" s="1059"/>
      <c r="AK58" s="694"/>
      <c r="AL58" s="694"/>
      <c r="AM58" s="694"/>
    </row>
    <row r="59" spans="2:39" ht="14.5" thickBot="1" x14ac:dyDescent="0.35">
      <c r="B59" s="1202" t="s">
        <v>41</v>
      </c>
      <c r="C59" s="1177">
        <f>SUM(C57:C58)</f>
        <v>1214264.3345729439</v>
      </c>
      <c r="D59" s="1177">
        <f>SUM(D57:D58)</f>
        <v>71678.458599470658</v>
      </c>
      <c r="E59" s="1178">
        <f>SUM(E57:E58)</f>
        <v>4968.5412981350783</v>
      </c>
      <c r="F59" s="774"/>
      <c r="G59" s="694"/>
      <c r="AK59" s="694"/>
      <c r="AL59" s="694"/>
      <c r="AM59" s="694"/>
    </row>
    <row r="60" spans="2:39" ht="14.5" thickTop="1" x14ac:dyDescent="0.3">
      <c r="C60" s="694"/>
      <c r="D60" s="694"/>
      <c r="E60" s="694"/>
      <c r="F60" s="694"/>
      <c r="G60" s="694"/>
      <c r="AK60" s="694"/>
      <c r="AL60" s="694"/>
      <c r="AM60" s="694"/>
    </row>
    <row r="61" spans="2:39" x14ac:dyDescent="0.3">
      <c r="C61" s="694"/>
      <c r="D61" s="694"/>
      <c r="E61" s="694"/>
      <c r="F61" s="694"/>
      <c r="G61" s="694"/>
      <c r="AK61" s="694"/>
      <c r="AL61" s="694"/>
      <c r="AM61" s="694"/>
    </row>
    <row r="62" spans="2:39" x14ac:dyDescent="0.3">
      <c r="C62" s="694"/>
      <c r="D62" s="694"/>
      <c r="E62" s="694"/>
      <c r="F62" s="694"/>
      <c r="G62" s="694"/>
      <c r="AK62" s="694"/>
      <c r="AL62" s="694"/>
      <c r="AM62" s="694"/>
    </row>
    <row r="63" spans="2:39" x14ac:dyDescent="0.3">
      <c r="C63" s="694"/>
      <c r="D63" s="694"/>
      <c r="E63" s="694"/>
      <c r="F63" s="694"/>
      <c r="G63" s="694"/>
      <c r="AK63" s="694"/>
      <c r="AL63" s="694"/>
      <c r="AM63" s="694"/>
    </row>
    <row r="64" spans="2:39" x14ac:dyDescent="0.3">
      <c r="C64" s="694"/>
      <c r="D64" s="694"/>
      <c r="E64" s="694"/>
      <c r="F64" s="694"/>
      <c r="G64" s="694"/>
      <c r="AK64" s="694"/>
      <c r="AL64" s="694"/>
      <c r="AM64" s="694"/>
    </row>
    <row r="65" spans="3:39" x14ac:dyDescent="0.3">
      <c r="C65" s="694"/>
      <c r="D65" s="694"/>
      <c r="E65" s="694"/>
      <c r="F65" s="694"/>
      <c r="G65" s="694"/>
      <c r="AK65" s="694"/>
      <c r="AL65" s="694"/>
      <c r="AM65" s="694"/>
    </row>
    <row r="66" spans="3:39" x14ac:dyDescent="0.3">
      <c r="C66" s="694"/>
      <c r="D66" s="694"/>
      <c r="E66" s="694"/>
      <c r="F66" s="694"/>
      <c r="G66" s="694"/>
      <c r="AK66" s="694"/>
      <c r="AL66" s="694"/>
      <c r="AM66" s="694"/>
    </row>
    <row r="67" spans="3:39" x14ac:dyDescent="0.3">
      <c r="C67" s="694"/>
      <c r="D67" s="694"/>
      <c r="E67" s="694"/>
      <c r="F67" s="694"/>
      <c r="G67" s="694"/>
      <c r="AK67" s="694"/>
      <c r="AL67" s="694"/>
      <c r="AM67" s="694"/>
    </row>
    <row r="68" spans="3:39" x14ac:dyDescent="0.3">
      <c r="C68" s="694"/>
      <c r="D68" s="694"/>
      <c r="E68" s="694"/>
      <c r="F68" s="694"/>
      <c r="G68" s="694"/>
      <c r="AK68" s="694"/>
      <c r="AL68" s="694"/>
      <c r="AM68" s="694"/>
    </row>
    <row r="69" spans="3:39" x14ac:dyDescent="0.3">
      <c r="C69" s="694"/>
      <c r="D69" s="694"/>
      <c r="E69" s="694"/>
      <c r="F69" s="694"/>
      <c r="G69" s="694"/>
      <c r="AK69" s="694"/>
      <c r="AL69" s="694"/>
      <c r="AM69" s="694"/>
    </row>
    <row r="70" spans="3:39" x14ac:dyDescent="0.3">
      <c r="C70" s="694"/>
      <c r="D70" s="694"/>
      <c r="E70" s="694"/>
      <c r="F70" s="694"/>
      <c r="G70" s="694"/>
      <c r="AK70" s="694"/>
      <c r="AL70" s="694"/>
      <c r="AM70" s="694"/>
    </row>
    <row r="71" spans="3:39" x14ac:dyDescent="0.3">
      <c r="C71" s="694"/>
      <c r="D71" s="694"/>
      <c r="E71" s="694"/>
      <c r="F71" s="694"/>
      <c r="G71" s="694"/>
      <c r="AK71" s="694"/>
      <c r="AL71" s="694"/>
      <c r="AM71" s="694"/>
    </row>
    <row r="72" spans="3:39" x14ac:dyDescent="0.3">
      <c r="C72" s="694"/>
      <c r="D72" s="694"/>
      <c r="E72" s="694"/>
      <c r="F72" s="694"/>
      <c r="G72" s="694"/>
      <c r="AK72" s="694"/>
      <c r="AL72" s="694"/>
      <c r="AM72" s="694"/>
    </row>
    <row r="73" spans="3:39" x14ac:dyDescent="0.3">
      <c r="C73" s="694"/>
      <c r="D73" s="694"/>
      <c r="E73" s="694"/>
      <c r="F73" s="694"/>
      <c r="G73" s="694"/>
      <c r="AK73" s="694"/>
      <c r="AL73" s="694"/>
      <c r="AM73" s="694"/>
    </row>
    <row r="74" spans="3:39" x14ac:dyDescent="0.3">
      <c r="C74" s="694"/>
      <c r="D74" s="694"/>
      <c r="E74" s="694"/>
      <c r="F74" s="694"/>
      <c r="G74" s="694"/>
      <c r="AK74" s="694"/>
      <c r="AL74" s="694"/>
      <c r="AM74" s="694"/>
    </row>
    <row r="75" spans="3:39" x14ac:dyDescent="0.3">
      <c r="C75" s="693"/>
      <c r="AK75" s="694"/>
      <c r="AL75" s="694"/>
      <c r="AM75" s="694"/>
    </row>
    <row r="76" spans="3:39" x14ac:dyDescent="0.3">
      <c r="C76" s="693"/>
    </row>
    <row r="77" spans="3:39" x14ac:dyDescent="0.3">
      <c r="C77" s="693"/>
    </row>
    <row r="78" spans="3:39" x14ac:dyDescent="0.3">
      <c r="C78" s="693"/>
    </row>
    <row r="79" spans="3:39" x14ac:dyDescent="0.3">
      <c r="C79" s="693"/>
    </row>
  </sheetData>
  <mergeCells count="4">
    <mergeCell ref="B4:G4"/>
    <mergeCell ref="B26:G26"/>
    <mergeCell ref="B41:F41"/>
    <mergeCell ref="B54:E54"/>
  </mergeCells>
  <phoneticPr fontId="15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1"/>
  </sheetPr>
  <dimension ref="A1:IV2123"/>
  <sheetViews>
    <sheetView zoomScaleNormal="100" workbookViewId="0">
      <selection activeCell="G11" sqref="G11:J34"/>
    </sheetView>
  </sheetViews>
  <sheetFormatPr defaultColWidth="9.1796875" defaultRowHeight="13" x14ac:dyDescent="0.3"/>
  <cols>
    <col min="1" max="1" width="11.453125" style="2" customWidth="1"/>
    <col min="2" max="2" width="43.1796875" style="1" customWidth="1"/>
    <col min="3" max="3" width="22.81640625" style="1" customWidth="1"/>
    <col min="4" max="4" width="16.81640625" style="1" customWidth="1"/>
    <col min="5" max="5" width="14.453125" style="1" customWidth="1"/>
    <col min="6" max="6" width="14.7265625" style="1" customWidth="1"/>
    <col min="7" max="7" width="11" style="1" customWidth="1"/>
    <col min="8" max="8" width="16.453125" style="1" customWidth="1"/>
    <col min="9" max="9" width="16.26953125" style="1" customWidth="1"/>
    <col min="10" max="10" width="14.81640625" style="1" customWidth="1"/>
    <col min="11" max="11" width="12.26953125" style="1" customWidth="1"/>
    <col min="12" max="12" width="12.7265625" style="1" customWidth="1"/>
    <col min="13" max="13" width="13.81640625" style="1" customWidth="1"/>
    <col min="14" max="14" width="15.1796875" style="112" customWidth="1"/>
    <col min="15" max="15" width="14.453125" style="112" bestFit="1" customWidth="1"/>
    <col min="16" max="16" width="16.26953125" style="112" customWidth="1"/>
    <col min="17" max="17" width="13.26953125" style="112" customWidth="1"/>
    <col min="18" max="18" width="14.81640625" style="2" customWidth="1"/>
    <col min="19" max="19" width="17.1796875" style="2" customWidth="1"/>
    <col min="20" max="20" width="16.1796875" style="2" customWidth="1"/>
    <col min="21" max="21" width="11.54296875" style="2" customWidth="1"/>
    <col min="22" max="23" width="9.1796875" style="2"/>
    <col min="24" max="24" width="17.1796875" style="2" bestFit="1" customWidth="1"/>
    <col min="25" max="222" width="9.1796875" style="2"/>
    <col min="223" max="16384" width="9.1796875" style="1"/>
  </cols>
  <sheetData>
    <row r="1" spans="1:224" x14ac:dyDescent="0.3">
      <c r="A1" s="1"/>
      <c r="E1" s="2"/>
      <c r="F1" s="2"/>
      <c r="G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224" x14ac:dyDescent="0.3">
      <c r="A2" s="1"/>
      <c r="B2" s="1479" t="s">
        <v>637</v>
      </c>
      <c r="C2" s="1480"/>
      <c r="D2" s="1480"/>
      <c r="E2" s="1480"/>
      <c r="F2" s="1480"/>
      <c r="G2" s="1481"/>
      <c r="H2" s="148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224" x14ac:dyDescent="0.3">
      <c r="A3" s="1"/>
      <c r="B3" s="1482" t="s">
        <v>638</v>
      </c>
      <c r="C3" s="1483"/>
      <c r="D3" s="1483"/>
      <c r="E3" s="1483"/>
      <c r="F3" s="1483"/>
      <c r="G3" s="1483"/>
      <c r="H3" s="148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224" x14ac:dyDescent="0.3">
      <c r="A4" s="1"/>
      <c r="B4" s="3" t="s">
        <v>1</v>
      </c>
      <c r="C4" s="4"/>
      <c r="D4" s="4"/>
      <c r="E4" s="4"/>
      <c r="F4" s="4"/>
      <c r="G4" s="4"/>
      <c r="H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224" ht="13.5" thickBot="1" x14ac:dyDescent="0.35">
      <c r="A5" s="1"/>
      <c r="B5" s="5" t="s">
        <v>589</v>
      </c>
      <c r="C5" s="6"/>
      <c r="D5" s="6"/>
      <c r="E5" s="6"/>
      <c r="F5" s="6"/>
      <c r="G5" s="6"/>
      <c r="H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224" s="14" customFormat="1" ht="23.25" customHeight="1" thickTop="1" x14ac:dyDescent="0.4">
      <c r="A6" s="1"/>
      <c r="B6" s="7" t="s">
        <v>2</v>
      </c>
      <c r="C6" s="8"/>
      <c r="D6" s="9"/>
      <c r="E6" s="8"/>
      <c r="F6" s="9"/>
      <c r="G6" s="8"/>
      <c r="H6" s="8"/>
      <c r="I6" s="10"/>
      <c r="J6" s="9"/>
      <c r="K6" s="8"/>
      <c r="L6" s="8"/>
      <c r="M6" s="10"/>
      <c r="N6" s="1760" t="s">
        <v>3</v>
      </c>
      <c r="O6" s="1761"/>
      <c r="P6" s="1761"/>
      <c r="Q6" s="1761"/>
      <c r="R6" s="1761"/>
      <c r="S6" s="12"/>
      <c r="T6" s="1766" t="s">
        <v>4</v>
      </c>
      <c r="U6" s="1767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224" ht="12.75" customHeight="1" thickBot="1" x14ac:dyDescent="0.35">
      <c r="A7" s="1"/>
      <c r="B7" s="15" t="s">
        <v>0</v>
      </c>
      <c r="C7" s="16"/>
      <c r="D7" s="17"/>
      <c r="E7" s="18"/>
      <c r="F7" s="1770" t="s">
        <v>5</v>
      </c>
      <c r="G7" s="1771"/>
      <c r="H7" s="1771"/>
      <c r="I7" s="1772"/>
      <c r="J7" s="1770" t="s">
        <v>6</v>
      </c>
      <c r="K7" s="1771"/>
      <c r="L7" s="1771"/>
      <c r="M7" s="1772"/>
      <c r="N7" s="1762"/>
      <c r="O7" s="1763"/>
      <c r="P7" s="1763"/>
      <c r="Q7" s="1763"/>
      <c r="R7" s="1763"/>
      <c r="S7" s="16"/>
      <c r="T7" s="1768"/>
      <c r="U7" s="1769"/>
      <c r="V7" s="1"/>
      <c r="W7" s="1"/>
      <c r="X7" s="1"/>
      <c r="Y7" s="1"/>
      <c r="Z7" s="1"/>
      <c r="AA7" s="1"/>
      <c r="AB7" s="1"/>
      <c r="AC7" s="1"/>
      <c r="AD7" s="1"/>
      <c r="AE7" s="1"/>
      <c r="HO7" s="2"/>
    </row>
    <row r="8" spans="1:224" ht="13.5" thickBot="1" x14ac:dyDescent="0.35">
      <c r="A8" s="1"/>
      <c r="B8" s="15"/>
      <c r="C8" s="16"/>
      <c r="D8" s="21" t="s">
        <v>7</v>
      </c>
      <c r="E8" s="22" t="s">
        <v>8</v>
      </c>
      <c r="F8" s="16" t="s">
        <v>9</v>
      </c>
      <c r="G8" s="21" t="s">
        <v>10</v>
      </c>
      <c r="H8" s="23" t="s">
        <v>11</v>
      </c>
      <c r="I8" s="23" t="s">
        <v>12</v>
      </c>
      <c r="J8" s="24" t="s">
        <v>13</v>
      </c>
      <c r="K8" s="25" t="s">
        <v>10</v>
      </c>
      <c r="L8" s="23" t="s">
        <v>11</v>
      </c>
      <c r="M8" s="23" t="s">
        <v>12</v>
      </c>
      <c r="N8" s="22" t="s">
        <v>13</v>
      </c>
      <c r="O8" s="16" t="s">
        <v>14</v>
      </c>
      <c r="P8" s="21" t="s">
        <v>10</v>
      </c>
      <c r="Q8" s="23" t="s">
        <v>11</v>
      </c>
      <c r="R8" s="23" t="s">
        <v>12</v>
      </c>
      <c r="S8" s="22" t="s">
        <v>13</v>
      </c>
      <c r="T8" s="26"/>
      <c r="U8" s="27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HO8" s="2"/>
      <c r="HP8" s="2"/>
    </row>
    <row r="9" spans="1:224" ht="13.5" thickBot="1" x14ac:dyDescent="0.35">
      <c r="A9" s="1"/>
      <c r="B9" s="1494" t="s">
        <v>596</v>
      </c>
      <c r="C9" s="1057" t="s">
        <v>28</v>
      </c>
      <c r="D9" s="17" t="s">
        <v>15</v>
      </c>
      <c r="E9" s="28" t="s">
        <v>16</v>
      </c>
      <c r="F9" s="29" t="s">
        <v>16</v>
      </c>
      <c r="G9" s="17" t="s">
        <v>17</v>
      </c>
      <c r="H9" s="30" t="s">
        <v>17</v>
      </c>
      <c r="I9" s="30" t="s">
        <v>17</v>
      </c>
      <c r="J9" s="20" t="s">
        <v>18</v>
      </c>
      <c r="K9" s="31" t="s">
        <v>19</v>
      </c>
      <c r="L9" s="30" t="s">
        <v>19</v>
      </c>
      <c r="M9" s="30" t="s">
        <v>20</v>
      </c>
      <c r="N9" s="18" t="s">
        <v>21</v>
      </c>
      <c r="O9" s="19" t="s">
        <v>22</v>
      </c>
      <c r="P9" s="17" t="s">
        <v>23</v>
      </c>
      <c r="Q9" s="30" t="s">
        <v>23</v>
      </c>
      <c r="R9" s="30" t="s">
        <v>24</v>
      </c>
      <c r="S9" s="18" t="s">
        <v>25</v>
      </c>
      <c r="T9" s="26" t="s">
        <v>26</v>
      </c>
      <c r="U9" s="27" t="s">
        <v>27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HO9" s="2"/>
      <c r="HP9" s="2"/>
    </row>
    <row r="10" spans="1:224" x14ac:dyDescent="0.3">
      <c r="A10" s="1"/>
      <c r="B10" s="1493" t="s">
        <v>29</v>
      </c>
      <c r="C10" s="793"/>
      <c r="D10" s="1533"/>
      <c r="E10" s="1316"/>
      <c r="F10" s="1317"/>
      <c r="G10" s="1318"/>
      <c r="H10" s="1319"/>
      <c r="I10" s="1319"/>
      <c r="J10" s="1320"/>
      <c r="K10" s="1321"/>
      <c r="L10" s="1322"/>
      <c r="M10" s="1322"/>
      <c r="N10" s="1323"/>
      <c r="O10" s="1324"/>
      <c r="P10" s="1541"/>
      <c r="Q10" s="1542"/>
      <c r="R10" s="1542"/>
      <c r="S10" s="1543"/>
      <c r="T10" s="1544"/>
      <c r="U10" s="1545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HO10" s="2"/>
      <c r="HP10" s="2"/>
    </row>
    <row r="11" spans="1:224" x14ac:dyDescent="0.3">
      <c r="A11" s="1"/>
      <c r="B11" s="39" t="s">
        <v>641</v>
      </c>
      <c r="C11" s="40" t="s">
        <v>30</v>
      </c>
      <c r="D11" s="1720">
        <v>18147.78</v>
      </c>
      <c r="E11" s="1721">
        <f>2066.72/D11</f>
        <v>0.11388279998986102</v>
      </c>
      <c r="F11" s="1326">
        <f t="shared" ref="F11:F35" si="0">IF(E11&gt;0,(1-E11)*0.8,0)</f>
        <v>0.70889376000811122</v>
      </c>
      <c r="G11" s="1737">
        <v>2</v>
      </c>
      <c r="H11" s="1738">
        <v>0.3</v>
      </c>
      <c r="I11" s="1739">
        <v>49</v>
      </c>
      <c r="J11" s="1740">
        <v>8345</v>
      </c>
      <c r="K11" s="1330">
        <f>0.226*G11*$O11</f>
        <v>4.2461199673699772</v>
      </c>
      <c r="L11" s="1330">
        <f>0.226*H11*$O11</f>
        <v>0.63691799510549663</v>
      </c>
      <c r="M11" s="1331">
        <f t="shared" ref="M11:M35" si="1">0.226*I11*$O11</f>
        <v>104.02993920056444</v>
      </c>
      <c r="N11" s="1332">
        <f>0.00103*J11*$O11</f>
        <v>80.745325799852964</v>
      </c>
      <c r="O11" s="1333">
        <f t="shared" ref="O11:O17" si="2">$C$62*0.9*($D$74*$E11+$E$74*$F11+$F$74*(1-$F11-$E11))</f>
        <v>9.3940707242698611</v>
      </c>
      <c r="P11" s="1546">
        <f t="shared" ref="P11:S51" si="3">$D11*K11</f>
        <v>77057.651021437516</v>
      </c>
      <c r="Q11" s="1547">
        <f t="shared" si="3"/>
        <v>11558.647653215628</v>
      </c>
      <c r="R11" s="1547">
        <f t="shared" si="3"/>
        <v>1887912.4500252192</v>
      </c>
      <c r="S11" s="1548">
        <f t="shared" ref="S11:S35" si="4">N11*D11</f>
        <v>1465348.4086440555</v>
      </c>
      <c r="T11" s="1549">
        <f>O11*D11</f>
        <v>170481.52880849008</v>
      </c>
      <c r="U11" s="1550">
        <f>T11/12</f>
        <v>14206.794067374174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HO11" s="2"/>
      <c r="HP11" s="2"/>
    </row>
    <row r="12" spans="1:224" x14ac:dyDescent="0.3">
      <c r="A12" s="1"/>
      <c r="B12" s="39" t="s">
        <v>642</v>
      </c>
      <c r="C12" s="40" t="s">
        <v>31</v>
      </c>
      <c r="D12" s="1720">
        <v>4480.45</v>
      </c>
      <c r="E12" s="1721">
        <f>1098.04/D12</f>
        <v>0.24507359751810645</v>
      </c>
      <c r="F12" s="1326">
        <f t="shared" si="0"/>
        <v>0.60394112198551486</v>
      </c>
      <c r="G12" s="1737">
        <v>2</v>
      </c>
      <c r="H12" s="1738">
        <v>0.3</v>
      </c>
      <c r="I12" s="1739">
        <v>49</v>
      </c>
      <c r="J12" s="1740">
        <v>8345</v>
      </c>
      <c r="K12" s="1330">
        <f t="shared" ref="K12:K35" si="5">0.226*G12*$O12</f>
        <v>5.9398699103629733</v>
      </c>
      <c r="L12" s="1330">
        <f t="shared" ref="L12:L35" si="6">0.226*H12*$O12</f>
        <v>0.89098048655444606</v>
      </c>
      <c r="M12" s="1331">
        <f t="shared" si="1"/>
        <v>145.52681280389285</v>
      </c>
      <c r="N12" s="1332">
        <f t="shared" ref="N12:N35" si="7">0.00103*J12*$O12</f>
        <v>112.95411688946547</v>
      </c>
      <c r="O12" s="1333">
        <f t="shared" si="2"/>
        <v>13.141305111422508</v>
      </c>
      <c r="P12" s="1546">
        <f t="shared" si="3"/>
        <v>26613.290139885783</v>
      </c>
      <c r="Q12" s="1547">
        <f t="shared" si="3"/>
        <v>3991.9935209828677</v>
      </c>
      <c r="R12" s="1547">
        <f t="shared" si="3"/>
        <v>652025.60842720175</v>
      </c>
      <c r="S12" s="1548">
        <f t="shared" si="4"/>
        <v>506085.27301740553</v>
      </c>
      <c r="T12" s="1549">
        <f t="shared" ref="T12:T50" si="8">O12*D12</f>
        <v>58878.96048647297</v>
      </c>
      <c r="U12" s="1550">
        <f t="shared" ref="U12:U50" si="9">T12/12</f>
        <v>4906.5800405394139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HO12" s="2"/>
      <c r="HP12" s="2"/>
    </row>
    <row r="13" spans="1:224" x14ac:dyDescent="0.3">
      <c r="A13" s="1"/>
      <c r="B13" s="39" t="s">
        <v>643</v>
      </c>
      <c r="C13" s="40" t="s">
        <v>32</v>
      </c>
      <c r="D13" s="1720">
        <v>178.28</v>
      </c>
      <c r="E13" s="1721">
        <f>78.97/D13</f>
        <v>0.44295490240071794</v>
      </c>
      <c r="F13" s="1326">
        <f t="shared" si="0"/>
        <v>0.44563607807942562</v>
      </c>
      <c r="G13" s="1737">
        <v>2</v>
      </c>
      <c r="H13" s="1738">
        <v>0.3</v>
      </c>
      <c r="I13" s="1739">
        <v>49</v>
      </c>
      <c r="J13" s="1740">
        <v>8345</v>
      </c>
      <c r="K13" s="1330">
        <f t="shared" si="5"/>
        <v>8.494633317393431</v>
      </c>
      <c r="L13" s="1330">
        <f t="shared" si="6"/>
        <v>1.2741949976090146</v>
      </c>
      <c r="M13" s="1331">
        <f t="shared" si="1"/>
        <v>208.11851627613905</v>
      </c>
      <c r="N13" s="1332">
        <f t="shared" si="7"/>
        <v>161.53616478906557</v>
      </c>
      <c r="O13" s="1333">
        <f t="shared" si="2"/>
        <v>18.79343654290582</v>
      </c>
      <c r="P13" s="1546">
        <f t="shared" si="3"/>
        <v>1514.4232278249008</v>
      </c>
      <c r="Q13" s="1547">
        <f t="shared" si="3"/>
        <v>227.16348417373513</v>
      </c>
      <c r="R13" s="1547">
        <f t="shared" si="3"/>
        <v>37103.369081710072</v>
      </c>
      <c r="S13" s="1548">
        <f t="shared" si="4"/>
        <v>28798.667458594609</v>
      </c>
      <c r="T13" s="1549">
        <f t="shared" si="8"/>
        <v>3350.4938668692494</v>
      </c>
      <c r="U13" s="1550">
        <f t="shared" si="9"/>
        <v>279.20782223910413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HO13" s="2"/>
      <c r="HP13" s="2"/>
    </row>
    <row r="14" spans="1:224" x14ac:dyDescent="0.3">
      <c r="A14" s="1"/>
      <c r="B14" s="39"/>
      <c r="C14" s="40" t="s">
        <v>33</v>
      </c>
      <c r="D14" s="1722"/>
      <c r="E14" s="1723"/>
      <c r="F14" s="1326">
        <f t="shared" si="0"/>
        <v>0</v>
      </c>
      <c r="G14" s="1741">
        <v>2.1</v>
      </c>
      <c r="H14" s="1742">
        <v>0.31</v>
      </c>
      <c r="I14" s="1742">
        <v>49</v>
      </c>
      <c r="J14" s="1743">
        <v>20000</v>
      </c>
      <c r="K14" s="1330">
        <f t="shared" si="5"/>
        <v>0.56681019146828548</v>
      </c>
      <c r="L14" s="1334">
        <f t="shared" si="6"/>
        <v>8.3671980645318333E-2</v>
      </c>
      <c r="M14" s="1335">
        <f t="shared" si="1"/>
        <v>13.225571134259994</v>
      </c>
      <c r="N14" s="1332">
        <f t="shared" si="7"/>
        <v>24.602380834906619</v>
      </c>
      <c r="O14" s="1333">
        <f t="shared" si="2"/>
        <v>1.1942903317915834</v>
      </c>
      <c r="P14" s="1546">
        <f t="shared" si="3"/>
        <v>0</v>
      </c>
      <c r="Q14" s="1547">
        <f t="shared" si="3"/>
        <v>0</v>
      </c>
      <c r="R14" s="1547">
        <f t="shared" si="3"/>
        <v>0</v>
      </c>
      <c r="S14" s="1548">
        <f t="shared" si="4"/>
        <v>0</v>
      </c>
      <c r="T14" s="1549">
        <f t="shared" si="8"/>
        <v>0</v>
      </c>
      <c r="U14" s="1550">
        <f t="shared" si="9"/>
        <v>0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HO14" s="2"/>
      <c r="HP14" s="2"/>
    </row>
    <row r="15" spans="1:224" x14ac:dyDescent="0.3">
      <c r="A15" s="1"/>
      <c r="B15" s="39" t="s">
        <v>644</v>
      </c>
      <c r="C15" s="40" t="s">
        <v>640</v>
      </c>
      <c r="D15" s="1720">
        <v>1511.24</v>
      </c>
      <c r="E15" s="1721">
        <f>87.43/D15</f>
        <v>5.7853153701596043E-2</v>
      </c>
      <c r="F15" s="1326">
        <f t="shared" si="0"/>
        <v>0.75371747703872316</v>
      </c>
      <c r="G15" s="1737">
        <v>1.33</v>
      </c>
      <c r="H15" s="1739">
        <v>0.31</v>
      </c>
      <c r="I15" s="1739">
        <v>48.5</v>
      </c>
      <c r="J15" s="1740">
        <v>7200</v>
      </c>
      <c r="K15" s="1330">
        <f t="shared" si="5"/>
        <v>2.342625063454737</v>
      </c>
      <c r="L15" s="1334">
        <f t="shared" si="6"/>
        <v>0.54602539073005141</v>
      </c>
      <c r="M15" s="1335">
        <f t="shared" si="1"/>
        <v>85.426553065830632</v>
      </c>
      <c r="N15" s="1332">
        <f t="shared" si="7"/>
        <v>57.797948867457343</v>
      </c>
      <c r="O15" s="1333">
        <f t="shared" si="2"/>
        <v>7.7936824254931691</v>
      </c>
      <c r="P15" s="1546">
        <f t="shared" si="3"/>
        <v>3540.2687008953367</v>
      </c>
      <c r="Q15" s="1547">
        <f t="shared" si="3"/>
        <v>825.17541148688292</v>
      </c>
      <c r="R15" s="1547">
        <f t="shared" si="3"/>
        <v>129100.02405520588</v>
      </c>
      <c r="S15" s="1548">
        <f t="shared" si="4"/>
        <v>87346.572246456242</v>
      </c>
      <c r="T15" s="1549">
        <f t="shared" si="8"/>
        <v>11778.124628702297</v>
      </c>
      <c r="U15" s="1550">
        <f t="shared" si="9"/>
        <v>981.51038572519144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HO15" s="2"/>
      <c r="HP15" s="2"/>
    </row>
    <row r="16" spans="1:224" x14ac:dyDescent="0.3">
      <c r="A16" s="1"/>
      <c r="B16" s="39"/>
      <c r="C16" s="40"/>
      <c r="D16" s="1722"/>
      <c r="E16" s="1723"/>
      <c r="F16" s="1326">
        <f t="shared" si="0"/>
        <v>0</v>
      </c>
      <c r="G16" s="1741">
        <v>2.1</v>
      </c>
      <c r="H16" s="1742">
        <v>0.31</v>
      </c>
      <c r="I16" s="1742">
        <v>49</v>
      </c>
      <c r="J16" s="1743">
        <v>20000</v>
      </c>
      <c r="K16" s="1330">
        <f t="shared" si="5"/>
        <v>0.56681019146828548</v>
      </c>
      <c r="L16" s="1334">
        <f t="shared" si="6"/>
        <v>8.3671980645318333E-2</v>
      </c>
      <c r="M16" s="1335">
        <f t="shared" si="1"/>
        <v>13.225571134259994</v>
      </c>
      <c r="N16" s="1332">
        <f t="shared" si="7"/>
        <v>24.602380834906619</v>
      </c>
      <c r="O16" s="1333">
        <f t="shared" si="2"/>
        <v>1.1942903317915834</v>
      </c>
      <c r="P16" s="1546">
        <f t="shared" si="3"/>
        <v>0</v>
      </c>
      <c r="Q16" s="1547">
        <f t="shared" si="3"/>
        <v>0</v>
      </c>
      <c r="R16" s="1547">
        <f t="shared" si="3"/>
        <v>0</v>
      </c>
      <c r="S16" s="1548">
        <f t="shared" si="4"/>
        <v>0</v>
      </c>
      <c r="T16" s="1549">
        <f t="shared" si="8"/>
        <v>0</v>
      </c>
      <c r="U16" s="1550">
        <f t="shared" si="9"/>
        <v>0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HO16" s="2"/>
      <c r="HP16" s="2"/>
    </row>
    <row r="17" spans="1:224" x14ac:dyDescent="0.3">
      <c r="A17" s="1"/>
      <c r="B17" s="39"/>
      <c r="C17" s="40"/>
      <c r="D17" s="1722"/>
      <c r="E17" s="1723"/>
      <c r="F17" s="1326">
        <f t="shared" ref="F17" si="10">IF(E17&gt;0,(1-E17)*0.8,0)</f>
        <v>0</v>
      </c>
      <c r="G17" s="1741">
        <v>2.1</v>
      </c>
      <c r="H17" s="1742">
        <v>0.31</v>
      </c>
      <c r="I17" s="1742">
        <v>49</v>
      </c>
      <c r="J17" s="1743">
        <v>20000</v>
      </c>
      <c r="K17" s="1330">
        <f t="shared" ref="K17" si="11">0.226*G17*$O17</f>
        <v>0.56681019146828548</v>
      </c>
      <c r="L17" s="1334">
        <f t="shared" ref="L17" si="12">0.226*H17*$O17</f>
        <v>8.3671980645318333E-2</v>
      </c>
      <c r="M17" s="1335">
        <f t="shared" ref="M17" si="13">0.226*I17*$O17</f>
        <v>13.225571134259994</v>
      </c>
      <c r="N17" s="1332">
        <f t="shared" ref="N17" si="14">0.00103*J17*$O17</f>
        <v>24.602380834906619</v>
      </c>
      <c r="O17" s="1333">
        <f t="shared" si="2"/>
        <v>1.1942903317915834</v>
      </c>
      <c r="P17" s="1546">
        <f t="shared" ref="P17" si="15">$D17*K17</f>
        <v>0</v>
      </c>
      <c r="Q17" s="1547">
        <f t="shared" ref="Q17" si="16">$D17*L17</f>
        <v>0</v>
      </c>
      <c r="R17" s="1547">
        <f t="shared" ref="R17" si="17">$D17*M17</f>
        <v>0</v>
      </c>
      <c r="S17" s="1548">
        <f t="shared" ref="S17" si="18">N17*D17</f>
        <v>0</v>
      </c>
      <c r="T17" s="1549">
        <f t="shared" ref="T17" si="19">O17*D17</f>
        <v>0</v>
      </c>
      <c r="U17" s="1550">
        <f t="shared" ref="U17" si="20">T17/12</f>
        <v>0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HO17" s="2"/>
      <c r="HP17" s="2"/>
    </row>
    <row r="18" spans="1:224" x14ac:dyDescent="0.3">
      <c r="A18" s="1"/>
      <c r="B18" s="39"/>
      <c r="C18" s="40"/>
      <c r="D18" s="1722"/>
      <c r="E18" s="1723"/>
      <c r="F18" s="1326">
        <f t="shared" si="0"/>
        <v>0</v>
      </c>
      <c r="G18" s="1741">
        <v>2.1</v>
      </c>
      <c r="H18" s="1742">
        <v>0.31</v>
      </c>
      <c r="I18" s="1742">
        <v>49</v>
      </c>
      <c r="J18" s="1743">
        <v>20000</v>
      </c>
      <c r="K18" s="1330">
        <f t="shared" si="5"/>
        <v>0.56681019146828548</v>
      </c>
      <c r="L18" s="1334">
        <f t="shared" si="6"/>
        <v>8.3671980645318333E-2</v>
      </c>
      <c r="M18" s="1335">
        <f t="shared" si="1"/>
        <v>13.225571134259994</v>
      </c>
      <c r="N18" s="1332">
        <f t="shared" si="7"/>
        <v>24.602380834906619</v>
      </c>
      <c r="O18" s="1333">
        <f t="shared" ref="O18:O35" si="21">$C$62*0.9*($D$74*$E18+$E$74*$F18+$F$74*(1-$F18-$E18))</f>
        <v>1.1942903317915834</v>
      </c>
      <c r="P18" s="1546">
        <f t="shared" si="3"/>
        <v>0</v>
      </c>
      <c r="Q18" s="1547">
        <f t="shared" si="3"/>
        <v>0</v>
      </c>
      <c r="R18" s="1547">
        <f t="shared" si="3"/>
        <v>0</v>
      </c>
      <c r="S18" s="1548">
        <f t="shared" si="4"/>
        <v>0</v>
      </c>
      <c r="T18" s="1549">
        <f t="shared" si="8"/>
        <v>0</v>
      </c>
      <c r="U18" s="1550">
        <f t="shared" si="9"/>
        <v>0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HO18" s="2"/>
      <c r="HP18" s="2"/>
    </row>
    <row r="19" spans="1:224" x14ac:dyDescent="0.3">
      <c r="A19" s="1"/>
      <c r="B19" s="39"/>
      <c r="C19" s="40"/>
      <c r="D19" s="1722"/>
      <c r="E19" s="1723"/>
      <c r="F19" s="1326">
        <f t="shared" si="0"/>
        <v>0</v>
      </c>
      <c r="G19" s="1741">
        <v>2.1</v>
      </c>
      <c r="H19" s="1742">
        <v>0.31</v>
      </c>
      <c r="I19" s="1742">
        <v>49</v>
      </c>
      <c r="J19" s="1743">
        <v>20000</v>
      </c>
      <c r="K19" s="1330">
        <f t="shared" si="5"/>
        <v>0.56681019146828548</v>
      </c>
      <c r="L19" s="1334">
        <f t="shared" si="6"/>
        <v>8.3671980645318333E-2</v>
      </c>
      <c r="M19" s="1335">
        <f t="shared" si="1"/>
        <v>13.225571134259994</v>
      </c>
      <c r="N19" s="1332">
        <f t="shared" si="7"/>
        <v>24.602380834906619</v>
      </c>
      <c r="O19" s="1333">
        <f t="shared" si="21"/>
        <v>1.1942903317915834</v>
      </c>
      <c r="P19" s="1546">
        <f t="shared" si="3"/>
        <v>0</v>
      </c>
      <c r="Q19" s="1547">
        <f t="shared" si="3"/>
        <v>0</v>
      </c>
      <c r="R19" s="1547">
        <f t="shared" si="3"/>
        <v>0</v>
      </c>
      <c r="S19" s="1548">
        <f t="shared" si="4"/>
        <v>0</v>
      </c>
      <c r="T19" s="1549">
        <f t="shared" si="8"/>
        <v>0</v>
      </c>
      <c r="U19" s="1550">
        <f t="shared" si="9"/>
        <v>0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HO19" s="2"/>
      <c r="HP19" s="2"/>
    </row>
    <row r="20" spans="1:224" ht="13.5" thickBot="1" x14ac:dyDescent="0.35">
      <c r="A20" s="1"/>
      <c r="B20" s="52"/>
      <c r="C20" s="53"/>
      <c r="D20" s="1724"/>
      <c r="E20" s="1725"/>
      <c r="F20" s="1337">
        <f t="shared" si="0"/>
        <v>0</v>
      </c>
      <c r="G20" s="1744">
        <v>2.1</v>
      </c>
      <c r="H20" s="1745">
        <v>0.31</v>
      </c>
      <c r="I20" s="1745">
        <v>49</v>
      </c>
      <c r="J20" s="1746">
        <v>20000</v>
      </c>
      <c r="K20" s="1341">
        <f t="shared" si="5"/>
        <v>0.56681019146828548</v>
      </c>
      <c r="L20" s="1342">
        <f t="shared" si="6"/>
        <v>8.3671980645318333E-2</v>
      </c>
      <c r="M20" s="1343">
        <f t="shared" si="1"/>
        <v>13.225571134259994</v>
      </c>
      <c r="N20" s="1344">
        <f t="shared" si="7"/>
        <v>24.602380834906619</v>
      </c>
      <c r="O20" s="1345">
        <f t="shared" si="21"/>
        <v>1.1942903317915834</v>
      </c>
      <c r="P20" s="1551">
        <f t="shared" si="3"/>
        <v>0</v>
      </c>
      <c r="Q20" s="1552">
        <f t="shared" si="3"/>
        <v>0</v>
      </c>
      <c r="R20" s="1552">
        <f t="shared" si="3"/>
        <v>0</v>
      </c>
      <c r="S20" s="1553">
        <f t="shared" si="4"/>
        <v>0</v>
      </c>
      <c r="T20" s="1554">
        <f t="shared" si="8"/>
        <v>0</v>
      </c>
      <c r="U20" s="1555">
        <f t="shared" si="9"/>
        <v>0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HO20" s="2"/>
      <c r="HP20" s="2"/>
    </row>
    <row r="21" spans="1:224" x14ac:dyDescent="0.3">
      <c r="A21" s="1"/>
      <c r="B21" s="1492" t="s">
        <v>34</v>
      </c>
      <c r="C21" s="239"/>
      <c r="D21" s="1722"/>
      <c r="E21" s="1723"/>
      <c r="F21" s="1326">
        <f t="shared" si="0"/>
        <v>0</v>
      </c>
      <c r="G21" s="1741">
        <v>2.1</v>
      </c>
      <c r="H21" s="1742">
        <v>0.22</v>
      </c>
      <c r="I21" s="1747">
        <v>43</v>
      </c>
      <c r="J21" s="1748">
        <v>20000</v>
      </c>
      <c r="K21" s="1347">
        <f t="shared" si="5"/>
        <v>0.56681019146828548</v>
      </c>
      <c r="L21" s="1347">
        <f t="shared" si="6"/>
        <v>5.9380115296677527E-2</v>
      </c>
      <c r="M21" s="1348">
        <f t="shared" si="1"/>
        <v>11.606113444350607</v>
      </c>
      <c r="N21" s="1349">
        <f t="shared" si="7"/>
        <v>24.602380834906619</v>
      </c>
      <c r="O21" s="1350">
        <f t="shared" si="21"/>
        <v>1.1942903317915834</v>
      </c>
      <c r="P21" s="1556">
        <f t="shared" si="3"/>
        <v>0</v>
      </c>
      <c r="Q21" s="1557">
        <f t="shared" si="3"/>
        <v>0</v>
      </c>
      <c r="R21" s="1557">
        <f t="shared" si="3"/>
        <v>0</v>
      </c>
      <c r="S21" s="1558">
        <f t="shared" si="4"/>
        <v>0</v>
      </c>
      <c r="T21" s="1559">
        <f t="shared" si="8"/>
        <v>0</v>
      </c>
      <c r="U21" s="1560">
        <f t="shared" si="9"/>
        <v>0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HO21" s="2"/>
      <c r="HP21" s="2"/>
    </row>
    <row r="22" spans="1:224" x14ac:dyDescent="0.3">
      <c r="A22" s="1"/>
      <c r="B22" s="39" t="s">
        <v>645</v>
      </c>
      <c r="C22" s="117" t="s">
        <v>34</v>
      </c>
      <c r="D22" s="1720">
        <v>2514.9299999999998</v>
      </c>
      <c r="E22" s="1726">
        <f>971.01/D22</f>
        <v>0.38609822142166983</v>
      </c>
      <c r="F22" s="1326">
        <f t="shared" si="0"/>
        <v>0.49112142286266414</v>
      </c>
      <c r="G22" s="1737">
        <v>2.2000000000000002</v>
      </c>
      <c r="H22" s="1739">
        <v>0.22</v>
      </c>
      <c r="I22" s="1739">
        <v>42</v>
      </c>
      <c r="J22" s="1740">
        <v>4300</v>
      </c>
      <c r="K22" s="1330">
        <f t="shared" si="5"/>
        <v>8.5366383351383774</v>
      </c>
      <c r="L22" s="1334">
        <f t="shared" si="6"/>
        <v>0.85366383351383768</v>
      </c>
      <c r="M22" s="1335">
        <f t="shared" si="1"/>
        <v>162.97218639809631</v>
      </c>
      <c r="N22" s="1332">
        <f t="shared" si="7"/>
        <v>76.043385330506581</v>
      </c>
      <c r="O22" s="1333">
        <f t="shared" si="21"/>
        <v>17.169425452812504</v>
      </c>
      <c r="P22" s="1546">
        <f t="shared" si="3"/>
        <v>21469.047848189559</v>
      </c>
      <c r="Q22" s="1547">
        <f t="shared" si="3"/>
        <v>2146.9047848189557</v>
      </c>
      <c r="R22" s="1547">
        <f t="shared" si="3"/>
        <v>409863.64073816431</v>
      </c>
      <c r="S22" s="1548">
        <f t="shared" si="4"/>
        <v>191243.7910692509</v>
      </c>
      <c r="T22" s="1549">
        <f t="shared" si="8"/>
        <v>43179.903154041749</v>
      </c>
      <c r="U22" s="1550">
        <f t="shared" si="9"/>
        <v>3598.3252628368123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HO22" s="2"/>
      <c r="HP22" s="2"/>
    </row>
    <row r="23" spans="1:224" x14ac:dyDescent="0.3">
      <c r="A23" s="1"/>
      <c r="B23" s="39" t="s">
        <v>646</v>
      </c>
      <c r="C23" s="40" t="s">
        <v>639</v>
      </c>
      <c r="D23" s="1720">
        <v>756.95</v>
      </c>
      <c r="E23" s="1726">
        <f>180.92/D23</f>
        <v>0.23901182376643104</v>
      </c>
      <c r="F23" s="1326">
        <f t="shared" si="0"/>
        <v>0.60879054098685526</v>
      </c>
      <c r="G23" s="1737">
        <v>2.2000000000000002</v>
      </c>
      <c r="H23" s="1739">
        <v>0.22</v>
      </c>
      <c r="I23" s="1739">
        <v>42</v>
      </c>
      <c r="J23" s="1740">
        <v>4300</v>
      </c>
      <c r="K23" s="1330">
        <f t="shared" si="5"/>
        <v>6.4477697515857422</v>
      </c>
      <c r="L23" s="1334">
        <f t="shared" si="6"/>
        <v>0.64477697515857424</v>
      </c>
      <c r="M23" s="1335">
        <f t="shared" si="1"/>
        <v>123.0937861666369</v>
      </c>
      <c r="N23" s="1332">
        <f t="shared" si="7"/>
        <v>57.435985981040332</v>
      </c>
      <c r="O23" s="1333">
        <f t="shared" si="21"/>
        <v>12.968161205924662</v>
      </c>
      <c r="P23" s="1546">
        <f t="shared" si="3"/>
        <v>4880.6393134628279</v>
      </c>
      <c r="Q23" s="1547">
        <f t="shared" si="3"/>
        <v>488.0639313462828</v>
      </c>
      <c r="R23" s="1547">
        <f t="shared" si="3"/>
        <v>93175.841438835807</v>
      </c>
      <c r="S23" s="1548">
        <f t="shared" si="4"/>
        <v>43476.169588348479</v>
      </c>
      <c r="T23" s="1549">
        <f t="shared" si="8"/>
        <v>9816.2496248246734</v>
      </c>
      <c r="U23" s="1550">
        <f t="shared" si="9"/>
        <v>818.02080206872279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HO23" s="2"/>
      <c r="HP23" s="2"/>
    </row>
    <row r="24" spans="1:224" x14ac:dyDescent="0.3">
      <c r="A24" s="1"/>
      <c r="B24" s="39"/>
      <c r="C24" s="40"/>
      <c r="D24" s="1722"/>
      <c r="E24" s="1723"/>
      <c r="F24" s="1326">
        <f t="shared" si="0"/>
        <v>0</v>
      </c>
      <c r="G24" s="1749">
        <v>2.1</v>
      </c>
      <c r="H24" s="1742">
        <v>0.22</v>
      </c>
      <c r="I24" s="1742">
        <v>43</v>
      </c>
      <c r="J24" s="1743">
        <v>20000</v>
      </c>
      <c r="K24" s="1330">
        <f t="shared" si="5"/>
        <v>0.56681019146828548</v>
      </c>
      <c r="L24" s="1334">
        <f t="shared" si="6"/>
        <v>5.9380115296677527E-2</v>
      </c>
      <c r="M24" s="1335">
        <f t="shared" si="1"/>
        <v>11.606113444350607</v>
      </c>
      <c r="N24" s="1332">
        <f t="shared" si="7"/>
        <v>24.602380834906619</v>
      </c>
      <c r="O24" s="1333">
        <f t="shared" si="21"/>
        <v>1.1942903317915834</v>
      </c>
      <c r="P24" s="1546">
        <f t="shared" si="3"/>
        <v>0</v>
      </c>
      <c r="Q24" s="1547">
        <f t="shared" si="3"/>
        <v>0</v>
      </c>
      <c r="R24" s="1547">
        <f t="shared" si="3"/>
        <v>0</v>
      </c>
      <c r="S24" s="1548">
        <f t="shared" si="4"/>
        <v>0</v>
      </c>
      <c r="T24" s="1549">
        <f t="shared" si="8"/>
        <v>0</v>
      </c>
      <c r="U24" s="1550">
        <f t="shared" si="9"/>
        <v>0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HO24" s="2"/>
      <c r="HP24" s="2"/>
    </row>
    <row r="25" spans="1:224" ht="13.5" thickBot="1" x14ac:dyDescent="0.35">
      <c r="A25" s="1"/>
      <c r="B25" s="52"/>
      <c r="C25" s="53"/>
      <c r="D25" s="1724"/>
      <c r="E25" s="1725"/>
      <c r="F25" s="1337">
        <f t="shared" si="0"/>
        <v>0</v>
      </c>
      <c r="G25" s="1750">
        <v>2.1</v>
      </c>
      <c r="H25" s="1745">
        <v>0.22</v>
      </c>
      <c r="I25" s="1745">
        <v>43</v>
      </c>
      <c r="J25" s="1746">
        <v>20000</v>
      </c>
      <c r="K25" s="1341">
        <f t="shared" si="5"/>
        <v>0.56681019146828548</v>
      </c>
      <c r="L25" s="1342">
        <f t="shared" si="6"/>
        <v>5.9380115296677527E-2</v>
      </c>
      <c r="M25" s="1343">
        <f t="shared" si="1"/>
        <v>11.606113444350607</v>
      </c>
      <c r="N25" s="1344">
        <f t="shared" si="7"/>
        <v>24.602380834906619</v>
      </c>
      <c r="O25" s="1345">
        <f t="shared" si="21"/>
        <v>1.1942903317915834</v>
      </c>
      <c r="P25" s="1551">
        <f t="shared" si="3"/>
        <v>0</v>
      </c>
      <c r="Q25" s="1552">
        <f t="shared" si="3"/>
        <v>0</v>
      </c>
      <c r="R25" s="1552">
        <f t="shared" si="3"/>
        <v>0</v>
      </c>
      <c r="S25" s="1553">
        <f t="shared" si="4"/>
        <v>0</v>
      </c>
      <c r="T25" s="1554">
        <f t="shared" si="8"/>
        <v>0</v>
      </c>
      <c r="U25" s="1555">
        <f t="shared" si="9"/>
        <v>0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HO25" s="2"/>
      <c r="HP25" s="2"/>
    </row>
    <row r="26" spans="1:224" x14ac:dyDescent="0.3">
      <c r="A26" s="1"/>
      <c r="B26" s="1492" t="s">
        <v>35</v>
      </c>
      <c r="C26" s="33"/>
      <c r="D26" s="1727"/>
      <c r="E26" s="1728"/>
      <c r="F26" s="1354">
        <f t="shared" si="0"/>
        <v>0</v>
      </c>
      <c r="G26" s="1741">
        <v>2.2999999999999998</v>
      </c>
      <c r="H26" s="1742">
        <v>0.25</v>
      </c>
      <c r="I26" s="1747">
        <v>134</v>
      </c>
      <c r="J26" s="1748">
        <v>20000</v>
      </c>
      <c r="K26" s="1347">
        <f t="shared" si="5"/>
        <v>0.62079211446526494</v>
      </c>
      <c r="L26" s="1355">
        <f t="shared" si="6"/>
        <v>6.7477403746224462E-2</v>
      </c>
      <c r="M26" s="1356">
        <f t="shared" si="1"/>
        <v>36.167888407976314</v>
      </c>
      <c r="N26" s="1349">
        <f t="shared" si="7"/>
        <v>24.602380834906619</v>
      </c>
      <c r="O26" s="1350">
        <f t="shared" si="21"/>
        <v>1.1942903317915834</v>
      </c>
      <c r="P26" s="1556">
        <f t="shared" si="3"/>
        <v>0</v>
      </c>
      <c r="Q26" s="1557">
        <f t="shared" si="3"/>
        <v>0</v>
      </c>
      <c r="R26" s="1557">
        <f t="shared" si="3"/>
        <v>0</v>
      </c>
      <c r="S26" s="1558">
        <f t="shared" si="4"/>
        <v>0</v>
      </c>
      <c r="T26" s="1561">
        <f t="shared" si="8"/>
        <v>0</v>
      </c>
      <c r="U26" s="1562">
        <f t="shared" si="9"/>
        <v>0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HO26" s="2"/>
      <c r="HP26" s="2"/>
    </row>
    <row r="27" spans="1:224" x14ac:dyDescent="0.3">
      <c r="A27" s="1"/>
      <c r="B27" s="39" t="s">
        <v>647</v>
      </c>
      <c r="C27" s="40" t="s">
        <v>35</v>
      </c>
      <c r="D27" s="1722"/>
      <c r="E27" s="1723"/>
      <c r="F27" s="1326">
        <f t="shared" si="0"/>
        <v>0</v>
      </c>
      <c r="G27" s="1751">
        <v>2.2799999999999998</v>
      </c>
      <c r="H27" s="1752">
        <v>0.25</v>
      </c>
      <c r="I27" s="1752">
        <v>99</v>
      </c>
      <c r="J27" s="1740">
        <v>1700</v>
      </c>
      <c r="K27" s="1330">
        <f t="shared" si="5"/>
        <v>0.6153939221655671</v>
      </c>
      <c r="L27" s="1334">
        <f t="shared" si="6"/>
        <v>6.7477403746224462E-2</v>
      </c>
      <c r="M27" s="1335">
        <f t="shared" si="1"/>
        <v>26.721051883504888</v>
      </c>
      <c r="N27" s="1332">
        <f t="shared" si="7"/>
        <v>2.0912023709670629</v>
      </c>
      <c r="O27" s="1333">
        <f t="shared" si="21"/>
        <v>1.1942903317915834</v>
      </c>
      <c r="P27" s="1546">
        <f t="shared" si="3"/>
        <v>0</v>
      </c>
      <c r="Q27" s="1547">
        <f t="shared" si="3"/>
        <v>0</v>
      </c>
      <c r="R27" s="1547">
        <f t="shared" si="3"/>
        <v>0</v>
      </c>
      <c r="S27" s="1548">
        <f t="shared" si="4"/>
        <v>0</v>
      </c>
      <c r="T27" s="1549">
        <f t="shared" si="8"/>
        <v>0</v>
      </c>
      <c r="U27" s="1550">
        <f t="shared" si="9"/>
        <v>0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HO27" s="2"/>
      <c r="HP27" s="2"/>
    </row>
    <row r="28" spans="1:224" x14ac:dyDescent="0.3">
      <c r="A28" s="1"/>
      <c r="B28" s="39"/>
      <c r="C28" s="40"/>
      <c r="D28" s="1722"/>
      <c r="E28" s="1723"/>
      <c r="F28" s="1326">
        <f t="shared" si="0"/>
        <v>0</v>
      </c>
      <c r="G28" s="1749">
        <v>2.2999999999999998</v>
      </c>
      <c r="H28" s="1742">
        <v>0.25</v>
      </c>
      <c r="I28" s="1742">
        <v>134</v>
      </c>
      <c r="J28" s="1743">
        <v>20000</v>
      </c>
      <c r="K28" s="1330">
        <f>0.226*G28*$O28</f>
        <v>0.62079211446526494</v>
      </c>
      <c r="L28" s="1334">
        <f>0.226*H28*$O28</f>
        <v>6.7477403746224462E-2</v>
      </c>
      <c r="M28" s="1335">
        <f>0.226*I28*$O28</f>
        <v>36.167888407976314</v>
      </c>
      <c r="N28" s="1332">
        <f>0.00103*J28*$O28</f>
        <v>24.602380834906619</v>
      </c>
      <c r="O28" s="1333">
        <f t="shared" si="21"/>
        <v>1.1942903317915834</v>
      </c>
      <c r="P28" s="1546">
        <f>$D28*K28</f>
        <v>0</v>
      </c>
      <c r="Q28" s="1547">
        <f>$D28*L28</f>
        <v>0</v>
      </c>
      <c r="R28" s="1547">
        <f>$D28*M28</f>
        <v>0</v>
      </c>
      <c r="S28" s="1548">
        <f>N28*D28</f>
        <v>0</v>
      </c>
      <c r="T28" s="1549">
        <f>O28*D28</f>
        <v>0</v>
      </c>
      <c r="U28" s="1550">
        <f>T28/12</f>
        <v>0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HO28" s="2"/>
      <c r="HP28" s="2"/>
    </row>
    <row r="29" spans="1:224" x14ac:dyDescent="0.3">
      <c r="A29" s="1"/>
      <c r="B29" s="39"/>
      <c r="C29" s="40"/>
      <c r="D29" s="1722"/>
      <c r="E29" s="1723"/>
      <c r="F29" s="1326">
        <f t="shared" si="0"/>
        <v>0</v>
      </c>
      <c r="G29" s="1749">
        <v>2.2999999999999998</v>
      </c>
      <c r="H29" s="1742">
        <v>0.25</v>
      </c>
      <c r="I29" s="1742">
        <v>134</v>
      </c>
      <c r="J29" s="1743">
        <v>20000</v>
      </c>
      <c r="K29" s="1330">
        <f t="shared" si="5"/>
        <v>0.62079211446526494</v>
      </c>
      <c r="L29" s="1334">
        <f t="shared" si="6"/>
        <v>6.7477403746224462E-2</v>
      </c>
      <c r="M29" s="1335">
        <f t="shared" si="1"/>
        <v>36.167888407976314</v>
      </c>
      <c r="N29" s="1332">
        <f t="shared" si="7"/>
        <v>24.602380834906619</v>
      </c>
      <c r="O29" s="1333">
        <f t="shared" si="21"/>
        <v>1.1942903317915834</v>
      </c>
      <c r="P29" s="1546">
        <f t="shared" si="3"/>
        <v>0</v>
      </c>
      <c r="Q29" s="1547">
        <f t="shared" si="3"/>
        <v>0</v>
      </c>
      <c r="R29" s="1547">
        <f t="shared" si="3"/>
        <v>0</v>
      </c>
      <c r="S29" s="1548">
        <f t="shared" si="4"/>
        <v>0</v>
      </c>
      <c r="T29" s="1549">
        <f t="shared" si="8"/>
        <v>0</v>
      </c>
      <c r="U29" s="1550">
        <f t="shared" si="9"/>
        <v>0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HO29" s="2"/>
      <c r="HP29" s="2"/>
    </row>
    <row r="30" spans="1:224" ht="13.5" thickBot="1" x14ac:dyDescent="0.35">
      <c r="A30" s="1"/>
      <c r="B30" s="52"/>
      <c r="C30" s="53"/>
      <c r="D30" s="1724"/>
      <c r="E30" s="1725"/>
      <c r="F30" s="1337">
        <f t="shared" si="0"/>
        <v>0</v>
      </c>
      <c r="G30" s="1750">
        <v>2.2999999999999998</v>
      </c>
      <c r="H30" s="1745">
        <v>0.25</v>
      </c>
      <c r="I30" s="1745">
        <v>134</v>
      </c>
      <c r="J30" s="1746">
        <v>20000</v>
      </c>
      <c r="K30" s="1341">
        <f t="shared" si="5"/>
        <v>0.62079211446526494</v>
      </c>
      <c r="L30" s="1342">
        <f t="shared" si="6"/>
        <v>6.7477403746224462E-2</v>
      </c>
      <c r="M30" s="1343">
        <f t="shared" si="1"/>
        <v>36.167888407976314</v>
      </c>
      <c r="N30" s="1344">
        <f t="shared" si="7"/>
        <v>24.602380834906619</v>
      </c>
      <c r="O30" s="1345">
        <f t="shared" si="21"/>
        <v>1.1942903317915834</v>
      </c>
      <c r="P30" s="1551">
        <f t="shared" si="3"/>
        <v>0</v>
      </c>
      <c r="Q30" s="1552">
        <f t="shared" si="3"/>
        <v>0</v>
      </c>
      <c r="R30" s="1552">
        <f t="shared" si="3"/>
        <v>0</v>
      </c>
      <c r="S30" s="1553">
        <f t="shared" si="4"/>
        <v>0</v>
      </c>
      <c r="T30" s="1563">
        <f t="shared" si="8"/>
        <v>0</v>
      </c>
      <c r="U30" s="1564">
        <f t="shared" si="9"/>
        <v>0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HO30" s="2"/>
      <c r="HP30" s="2"/>
    </row>
    <row r="31" spans="1:224" x14ac:dyDescent="0.3">
      <c r="A31" s="1"/>
      <c r="B31" s="1492" t="s">
        <v>36</v>
      </c>
      <c r="C31" s="239"/>
      <c r="D31" s="1722"/>
      <c r="E31" s="1723"/>
      <c r="F31" s="1326">
        <f t="shared" si="0"/>
        <v>0</v>
      </c>
      <c r="G31" s="1741">
        <v>2.2000000000000002</v>
      </c>
      <c r="H31" s="1742">
        <v>0.25</v>
      </c>
      <c r="I31" s="1742">
        <v>81</v>
      </c>
      <c r="J31" s="1748">
        <v>20000</v>
      </c>
      <c r="K31" s="1357">
        <f t="shared" si="5"/>
        <v>0.59380115296677527</v>
      </c>
      <c r="L31" s="1355">
        <f t="shared" si="6"/>
        <v>6.7477403746224462E-2</v>
      </c>
      <c r="M31" s="1356">
        <f t="shared" si="1"/>
        <v>21.862678813776725</v>
      </c>
      <c r="N31" s="1358">
        <f t="shared" si="7"/>
        <v>24.602380834906619</v>
      </c>
      <c r="O31" s="1350">
        <f t="shared" si="21"/>
        <v>1.1942903317915834</v>
      </c>
      <c r="P31" s="1556">
        <f t="shared" si="3"/>
        <v>0</v>
      </c>
      <c r="Q31" s="1557">
        <f t="shared" si="3"/>
        <v>0</v>
      </c>
      <c r="R31" s="1557">
        <f t="shared" si="3"/>
        <v>0</v>
      </c>
      <c r="S31" s="1558">
        <f t="shared" si="4"/>
        <v>0</v>
      </c>
      <c r="T31" s="1559">
        <f t="shared" si="8"/>
        <v>0</v>
      </c>
      <c r="U31" s="1560">
        <f t="shared" si="9"/>
        <v>0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HO31" s="2"/>
      <c r="HP31" s="2"/>
    </row>
    <row r="32" spans="1:224" x14ac:dyDescent="0.3">
      <c r="A32" s="1"/>
      <c r="B32" s="39" t="s">
        <v>648</v>
      </c>
      <c r="C32" s="117" t="s">
        <v>36</v>
      </c>
      <c r="D32" s="1720">
        <v>863.83</v>
      </c>
      <c r="E32" s="1726">
        <f>256.02/D32</f>
        <v>0.2963777595128671</v>
      </c>
      <c r="F32" s="1326">
        <f t="shared" si="0"/>
        <v>0.56289779238970628</v>
      </c>
      <c r="G32" s="1737">
        <v>2.13</v>
      </c>
      <c r="H32" s="1739">
        <v>0.26</v>
      </c>
      <c r="I32" s="1739">
        <v>77</v>
      </c>
      <c r="J32" s="1740">
        <v>2500</v>
      </c>
      <c r="K32" s="1351">
        <f t="shared" si="5"/>
        <v>7.0313820373218023</v>
      </c>
      <c r="L32" s="1334">
        <f t="shared" si="6"/>
        <v>0.8582907651190933</v>
      </c>
      <c r="M32" s="1335">
        <f t="shared" si="1"/>
        <v>254.18611120834686</v>
      </c>
      <c r="N32" s="1359">
        <f t="shared" si="7"/>
        <v>37.612299526577011</v>
      </c>
      <c r="O32" s="1333">
        <f t="shared" si="21"/>
        <v>14.606718262748354</v>
      </c>
      <c r="P32" s="1546">
        <f t="shared" si="3"/>
        <v>6073.918745299693</v>
      </c>
      <c r="Q32" s="1547">
        <f t="shared" si="3"/>
        <v>741.41731163282645</v>
      </c>
      <c r="R32" s="1547">
        <f t="shared" si="3"/>
        <v>219573.58844510629</v>
      </c>
      <c r="S32" s="1548">
        <f t="shared" si="4"/>
        <v>32490.632700043021</v>
      </c>
      <c r="T32" s="1549">
        <f t="shared" si="8"/>
        <v>12617.721436909911</v>
      </c>
      <c r="U32" s="1550">
        <f t="shared" si="9"/>
        <v>1051.4767864091593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HO32" s="2"/>
      <c r="HP32" s="2"/>
    </row>
    <row r="33" spans="1:224" x14ac:dyDescent="0.3">
      <c r="A33" s="1"/>
      <c r="B33" s="39"/>
      <c r="C33" s="40"/>
      <c r="D33" s="1722"/>
      <c r="E33" s="1723"/>
      <c r="F33" s="1326">
        <f t="shared" si="0"/>
        <v>0</v>
      </c>
      <c r="G33" s="1741">
        <v>2.2000000000000002</v>
      </c>
      <c r="H33" s="1742">
        <v>0.25</v>
      </c>
      <c r="I33" s="1742">
        <v>81</v>
      </c>
      <c r="J33" s="1743">
        <v>20000</v>
      </c>
      <c r="K33" s="1351">
        <f t="shared" si="5"/>
        <v>0.59380115296677527</v>
      </c>
      <c r="L33" s="1334">
        <f t="shared" si="6"/>
        <v>6.7477403746224462E-2</v>
      </c>
      <c r="M33" s="1335">
        <f t="shared" si="1"/>
        <v>21.862678813776725</v>
      </c>
      <c r="N33" s="1359">
        <f t="shared" si="7"/>
        <v>24.602380834906619</v>
      </c>
      <c r="O33" s="1333">
        <f t="shared" si="21"/>
        <v>1.1942903317915834</v>
      </c>
      <c r="P33" s="1546">
        <f t="shared" si="3"/>
        <v>0</v>
      </c>
      <c r="Q33" s="1547">
        <f t="shared" si="3"/>
        <v>0</v>
      </c>
      <c r="R33" s="1547">
        <f t="shared" si="3"/>
        <v>0</v>
      </c>
      <c r="S33" s="1548">
        <f t="shared" si="4"/>
        <v>0</v>
      </c>
      <c r="T33" s="1549">
        <f t="shared" si="8"/>
        <v>0</v>
      </c>
      <c r="U33" s="1550">
        <f t="shared" si="9"/>
        <v>0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HO33" s="2"/>
      <c r="HP33" s="2"/>
    </row>
    <row r="34" spans="1:224" x14ac:dyDescent="0.3">
      <c r="A34" s="1"/>
      <c r="B34" s="39"/>
      <c r="C34" s="40"/>
      <c r="D34" s="1722"/>
      <c r="E34" s="1723"/>
      <c r="F34" s="1326">
        <f t="shared" si="0"/>
        <v>0</v>
      </c>
      <c r="G34" s="1741">
        <v>2.2000000000000002</v>
      </c>
      <c r="H34" s="1742">
        <v>0.25</v>
      </c>
      <c r="I34" s="1742">
        <v>81</v>
      </c>
      <c r="J34" s="1743">
        <v>20000</v>
      </c>
      <c r="K34" s="1351">
        <f t="shared" si="5"/>
        <v>0.59380115296677527</v>
      </c>
      <c r="L34" s="1334">
        <f t="shared" si="6"/>
        <v>6.7477403746224462E-2</v>
      </c>
      <c r="M34" s="1335">
        <f t="shared" si="1"/>
        <v>21.862678813776725</v>
      </c>
      <c r="N34" s="1359">
        <f t="shared" si="7"/>
        <v>24.602380834906619</v>
      </c>
      <c r="O34" s="1333">
        <f t="shared" si="21"/>
        <v>1.1942903317915834</v>
      </c>
      <c r="P34" s="1546">
        <f t="shared" si="3"/>
        <v>0</v>
      </c>
      <c r="Q34" s="1547">
        <f t="shared" si="3"/>
        <v>0</v>
      </c>
      <c r="R34" s="1547">
        <f t="shared" si="3"/>
        <v>0</v>
      </c>
      <c r="S34" s="1548">
        <f t="shared" si="4"/>
        <v>0</v>
      </c>
      <c r="T34" s="1549">
        <f t="shared" si="8"/>
        <v>0</v>
      </c>
      <c r="U34" s="1550">
        <f t="shared" si="9"/>
        <v>0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HO34" s="2"/>
      <c r="HP34" s="2"/>
    </row>
    <row r="35" spans="1:224" ht="13.5" thickBot="1" x14ac:dyDescent="0.35">
      <c r="A35" s="1"/>
      <c r="B35" s="52"/>
      <c r="C35" s="53"/>
      <c r="D35" s="1724"/>
      <c r="E35" s="1725"/>
      <c r="F35" s="1337">
        <f t="shared" si="0"/>
        <v>0</v>
      </c>
      <c r="G35" s="1338">
        <v>2.2000000000000002</v>
      </c>
      <c r="H35" s="1339">
        <v>0.25</v>
      </c>
      <c r="I35" s="1339">
        <v>81</v>
      </c>
      <c r="J35" s="1340">
        <v>20000</v>
      </c>
      <c r="K35" s="1352">
        <f t="shared" si="5"/>
        <v>0.59380115296677527</v>
      </c>
      <c r="L35" s="1342">
        <f t="shared" si="6"/>
        <v>6.7477403746224462E-2</v>
      </c>
      <c r="M35" s="1343">
        <f t="shared" si="1"/>
        <v>21.862678813776725</v>
      </c>
      <c r="N35" s="1360">
        <f t="shared" si="7"/>
        <v>24.602380834906619</v>
      </c>
      <c r="O35" s="1345">
        <f t="shared" si="21"/>
        <v>1.1942903317915834</v>
      </c>
      <c r="P35" s="1551">
        <f t="shared" si="3"/>
        <v>0</v>
      </c>
      <c r="Q35" s="1552">
        <f t="shared" si="3"/>
        <v>0</v>
      </c>
      <c r="R35" s="1552">
        <f t="shared" si="3"/>
        <v>0</v>
      </c>
      <c r="S35" s="1553">
        <f t="shared" si="4"/>
        <v>0</v>
      </c>
      <c r="T35" s="1554">
        <f t="shared" si="8"/>
        <v>0</v>
      </c>
      <c r="U35" s="1555">
        <f t="shared" si="9"/>
        <v>0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HO35" s="2"/>
      <c r="HP35" s="2"/>
    </row>
    <row r="36" spans="1:224" x14ac:dyDescent="0.3">
      <c r="A36" s="1"/>
      <c r="B36" s="1492" t="s">
        <v>37</v>
      </c>
      <c r="C36" s="33"/>
      <c r="D36" s="1722"/>
      <c r="E36" s="1728"/>
      <c r="F36" s="1361"/>
      <c r="G36" s="1362"/>
      <c r="H36" s="1346"/>
      <c r="I36" s="1346"/>
      <c r="J36" s="1317"/>
      <c r="K36" s="1347">
        <v>2.5</v>
      </c>
      <c r="L36" s="1346">
        <v>0.2</v>
      </c>
      <c r="M36" s="1346">
        <v>100</v>
      </c>
      <c r="N36" s="1349">
        <v>12</v>
      </c>
      <c r="O36" s="1350">
        <f>$C$62*0.9*IF(C36&lt;&gt;"",HLOOKUP(C36,$D$67:$U$74,8,FALSE),0)</f>
        <v>0</v>
      </c>
      <c r="P36" s="1556">
        <f t="shared" si="3"/>
        <v>0</v>
      </c>
      <c r="Q36" s="1557">
        <f t="shared" si="3"/>
        <v>0</v>
      </c>
      <c r="R36" s="1557">
        <f t="shared" si="3"/>
        <v>0</v>
      </c>
      <c r="S36" s="1558">
        <f t="shared" si="3"/>
        <v>0</v>
      </c>
      <c r="T36" s="1561">
        <f t="shared" si="8"/>
        <v>0</v>
      </c>
      <c r="U36" s="1562">
        <f t="shared" si="9"/>
        <v>0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HO36" s="2"/>
      <c r="HP36" s="2"/>
    </row>
    <row r="37" spans="1:224" x14ac:dyDescent="0.3">
      <c r="A37" s="1"/>
      <c r="B37" s="39" t="s">
        <v>649</v>
      </c>
      <c r="C37" s="40" t="s">
        <v>37</v>
      </c>
      <c r="D37" s="1720"/>
      <c r="E37" s="1721"/>
      <c r="F37" s="1326"/>
      <c r="G37" s="1327"/>
      <c r="H37" s="1328"/>
      <c r="I37" s="1328"/>
      <c r="J37" s="1329"/>
      <c r="K37" s="1351">
        <v>2.5</v>
      </c>
      <c r="L37" s="1330">
        <v>0.2</v>
      </c>
      <c r="M37" s="1335">
        <v>100</v>
      </c>
      <c r="N37" s="1359">
        <v>12</v>
      </c>
      <c r="O37" s="1333">
        <f t="shared" ref="O37:O52" si="22">$C$62*0.9*IF(C37&lt;&gt;"",HLOOKUP(C37,$D$67:$U$74,8,FALSE),0)</f>
        <v>1.1942903317915834</v>
      </c>
      <c r="P37" s="1546">
        <f t="shared" si="3"/>
        <v>0</v>
      </c>
      <c r="Q37" s="1547">
        <f t="shared" si="3"/>
        <v>0</v>
      </c>
      <c r="R37" s="1547">
        <f t="shared" si="3"/>
        <v>0</v>
      </c>
      <c r="S37" s="1548">
        <f t="shared" si="3"/>
        <v>0</v>
      </c>
      <c r="T37" s="1549">
        <f t="shared" si="8"/>
        <v>0</v>
      </c>
      <c r="U37" s="1550">
        <f t="shared" si="9"/>
        <v>0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HO37" s="2"/>
      <c r="HP37" s="2"/>
    </row>
    <row r="38" spans="1:224" x14ac:dyDescent="0.3">
      <c r="A38" s="1"/>
      <c r="B38" s="39" t="s">
        <v>650</v>
      </c>
      <c r="C38" s="40" t="s">
        <v>37</v>
      </c>
      <c r="D38" s="1720"/>
      <c r="E38" s="1721"/>
      <c r="F38" s="1326"/>
      <c r="G38" s="1327"/>
      <c r="H38" s="1328"/>
      <c r="I38" s="1328"/>
      <c r="J38" s="1329"/>
      <c r="K38" s="1351">
        <v>2.5</v>
      </c>
      <c r="L38" s="1330">
        <v>0.2</v>
      </c>
      <c r="M38" s="1335">
        <v>100</v>
      </c>
      <c r="N38" s="1359">
        <v>12</v>
      </c>
      <c r="O38" s="1333">
        <f t="shared" si="22"/>
        <v>1.1942903317915834</v>
      </c>
      <c r="P38" s="1546">
        <f t="shared" si="3"/>
        <v>0</v>
      </c>
      <c r="Q38" s="1547">
        <f t="shared" si="3"/>
        <v>0</v>
      </c>
      <c r="R38" s="1547">
        <f t="shared" si="3"/>
        <v>0</v>
      </c>
      <c r="S38" s="1548">
        <f t="shared" si="3"/>
        <v>0</v>
      </c>
      <c r="T38" s="1549">
        <f t="shared" si="8"/>
        <v>0</v>
      </c>
      <c r="U38" s="1550">
        <f t="shared" si="9"/>
        <v>0</v>
      </c>
      <c r="V38" s="1"/>
      <c r="W38" s="1"/>
      <c r="X38" s="75"/>
      <c r="Y38" s="1"/>
      <c r="Z38" s="1"/>
      <c r="AA38" s="1"/>
      <c r="AB38" s="1"/>
      <c r="AC38" s="1"/>
      <c r="AD38" s="1"/>
      <c r="AE38" s="1"/>
      <c r="AF38" s="1"/>
      <c r="HO38" s="2"/>
      <c r="HP38" s="2"/>
    </row>
    <row r="39" spans="1:224" x14ac:dyDescent="0.3">
      <c r="A39" s="1"/>
      <c r="B39" s="39" t="s">
        <v>651</v>
      </c>
      <c r="C39" s="40" t="s">
        <v>37</v>
      </c>
      <c r="D39" s="1720"/>
      <c r="E39" s="1721"/>
      <c r="F39" s="1326"/>
      <c r="G39" s="1327"/>
      <c r="H39" s="1328"/>
      <c r="I39" s="1328"/>
      <c r="J39" s="1329"/>
      <c r="K39" s="1351">
        <v>2.5</v>
      </c>
      <c r="L39" s="1330">
        <v>0.2</v>
      </c>
      <c r="M39" s="1335">
        <v>100</v>
      </c>
      <c r="N39" s="1359">
        <v>12</v>
      </c>
      <c r="O39" s="1333">
        <f t="shared" si="22"/>
        <v>1.1942903317915834</v>
      </c>
      <c r="P39" s="1546">
        <f t="shared" si="3"/>
        <v>0</v>
      </c>
      <c r="Q39" s="1547">
        <f t="shared" si="3"/>
        <v>0</v>
      </c>
      <c r="R39" s="1547">
        <f t="shared" si="3"/>
        <v>0</v>
      </c>
      <c r="S39" s="1548">
        <f t="shared" si="3"/>
        <v>0</v>
      </c>
      <c r="T39" s="1549">
        <f t="shared" si="8"/>
        <v>0</v>
      </c>
      <c r="U39" s="1550">
        <f t="shared" si="9"/>
        <v>0</v>
      </c>
      <c r="V39" s="1"/>
      <c r="W39" s="1"/>
      <c r="X39" s="75"/>
      <c r="Y39" s="1"/>
      <c r="Z39" s="1"/>
      <c r="AA39" s="1"/>
      <c r="AB39" s="1"/>
      <c r="AC39" s="1"/>
      <c r="AD39" s="1"/>
      <c r="AE39" s="1"/>
      <c r="AF39" s="1"/>
      <c r="HO39" s="2"/>
      <c r="HP39" s="2"/>
    </row>
    <row r="40" spans="1:224" ht="13.5" thickBot="1" x14ac:dyDescent="0.35">
      <c r="A40" s="1"/>
      <c r="B40" s="52" t="s">
        <v>652</v>
      </c>
      <c r="C40" s="53" t="s">
        <v>37</v>
      </c>
      <c r="D40" s="1729"/>
      <c r="E40" s="1730"/>
      <c r="F40" s="1337"/>
      <c r="G40" s="1338"/>
      <c r="H40" s="1339"/>
      <c r="I40" s="1339"/>
      <c r="J40" s="1340"/>
      <c r="K40" s="1352">
        <v>2.5</v>
      </c>
      <c r="L40" s="1341">
        <v>0.2</v>
      </c>
      <c r="M40" s="1343">
        <v>100</v>
      </c>
      <c r="N40" s="1360">
        <v>12</v>
      </c>
      <c r="O40" s="1345">
        <f t="shared" si="22"/>
        <v>1.1942903317915834</v>
      </c>
      <c r="P40" s="1551">
        <f t="shared" si="3"/>
        <v>0</v>
      </c>
      <c r="Q40" s="1552">
        <f t="shared" si="3"/>
        <v>0</v>
      </c>
      <c r="R40" s="1552">
        <f t="shared" si="3"/>
        <v>0</v>
      </c>
      <c r="S40" s="1553">
        <f t="shared" si="3"/>
        <v>0</v>
      </c>
      <c r="T40" s="1563">
        <f t="shared" si="8"/>
        <v>0</v>
      </c>
      <c r="U40" s="1564">
        <f t="shared" si="9"/>
        <v>0</v>
      </c>
      <c r="V40" s="1"/>
      <c r="W40" s="1"/>
      <c r="X40" s="75"/>
      <c r="Y40" s="1"/>
      <c r="Z40" s="1"/>
      <c r="AA40" s="1"/>
      <c r="AB40" s="1"/>
      <c r="AC40" s="1"/>
      <c r="AD40" s="1"/>
      <c r="AE40" s="1"/>
      <c r="AF40" s="1"/>
      <c r="HO40" s="2"/>
      <c r="HP40" s="2"/>
    </row>
    <row r="41" spans="1:224" x14ac:dyDescent="0.3">
      <c r="A41" s="1"/>
      <c r="B41" s="1492" t="s">
        <v>38</v>
      </c>
      <c r="C41" s="33"/>
      <c r="D41" s="1722"/>
      <c r="E41" s="1728"/>
      <c r="F41" s="1361"/>
      <c r="G41" s="1362"/>
      <c r="H41" s="1346"/>
      <c r="I41" s="1346"/>
      <c r="J41" s="1317"/>
      <c r="K41" s="1363">
        <v>4.5999999999999996</v>
      </c>
      <c r="L41" s="1346">
        <v>0.7</v>
      </c>
      <c r="M41" s="1346">
        <v>100</v>
      </c>
      <c r="N41" s="1349">
        <v>39</v>
      </c>
      <c r="O41" s="1350">
        <f t="shared" si="22"/>
        <v>0</v>
      </c>
      <c r="P41" s="1556">
        <f t="shared" si="3"/>
        <v>0</v>
      </c>
      <c r="Q41" s="1557">
        <f t="shared" si="3"/>
        <v>0</v>
      </c>
      <c r="R41" s="1557">
        <f t="shared" si="3"/>
        <v>0</v>
      </c>
      <c r="S41" s="1558">
        <f t="shared" si="3"/>
        <v>0</v>
      </c>
      <c r="T41" s="1559">
        <f t="shared" si="8"/>
        <v>0</v>
      </c>
      <c r="U41" s="1560">
        <f t="shared" si="9"/>
        <v>0</v>
      </c>
      <c r="V41" s="1"/>
      <c r="W41" s="1"/>
      <c r="X41" s="75"/>
      <c r="Y41" s="1"/>
      <c r="Z41" s="1"/>
      <c r="AA41" s="1"/>
      <c r="AB41" s="1"/>
      <c r="AC41" s="1"/>
      <c r="AD41" s="1"/>
      <c r="AE41" s="1"/>
      <c r="AF41" s="1"/>
      <c r="HO41" s="2"/>
      <c r="HP41" s="2"/>
    </row>
    <row r="42" spans="1:224" x14ac:dyDescent="0.3">
      <c r="A42" s="1"/>
      <c r="B42" s="76" t="s">
        <v>653</v>
      </c>
      <c r="C42" s="77" t="s">
        <v>38</v>
      </c>
      <c r="D42" s="1731"/>
      <c r="E42" s="1732"/>
      <c r="F42" s="1365"/>
      <c r="G42" s="1366"/>
      <c r="H42" s="1367"/>
      <c r="I42" s="1328"/>
      <c r="J42" s="1329"/>
      <c r="K42" s="1327">
        <v>4.5999999999999996</v>
      </c>
      <c r="L42" s="1368">
        <v>0.7</v>
      </c>
      <c r="M42" s="1369">
        <v>100</v>
      </c>
      <c r="N42" s="1370">
        <v>39</v>
      </c>
      <c r="O42" s="1371">
        <f t="shared" si="22"/>
        <v>1.1942903317915834</v>
      </c>
      <c r="P42" s="1565">
        <f t="shared" si="3"/>
        <v>0</v>
      </c>
      <c r="Q42" s="1566">
        <f t="shared" si="3"/>
        <v>0</v>
      </c>
      <c r="R42" s="1566">
        <f t="shared" si="3"/>
        <v>0</v>
      </c>
      <c r="S42" s="1567">
        <f t="shared" si="3"/>
        <v>0</v>
      </c>
      <c r="T42" s="1549">
        <f t="shared" si="8"/>
        <v>0</v>
      </c>
      <c r="U42" s="1550">
        <f t="shared" si="9"/>
        <v>0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HO42" s="2"/>
      <c r="HP42" s="2"/>
    </row>
    <row r="43" spans="1:224" x14ac:dyDescent="0.3">
      <c r="A43" s="1"/>
      <c r="B43" s="76" t="s">
        <v>654</v>
      </c>
      <c r="C43" s="77" t="s">
        <v>38</v>
      </c>
      <c r="D43" s="1731"/>
      <c r="E43" s="1732"/>
      <c r="F43" s="1365"/>
      <c r="G43" s="1366"/>
      <c r="H43" s="1367"/>
      <c r="I43" s="1328"/>
      <c r="J43" s="1329"/>
      <c r="K43" s="1366">
        <v>4.5999999999999996</v>
      </c>
      <c r="L43" s="1369">
        <v>0.7</v>
      </c>
      <c r="M43" s="1369">
        <v>100</v>
      </c>
      <c r="N43" s="1370">
        <v>39</v>
      </c>
      <c r="O43" s="1371">
        <f t="shared" si="22"/>
        <v>1.1942903317915834</v>
      </c>
      <c r="P43" s="1565">
        <f t="shared" si="3"/>
        <v>0</v>
      </c>
      <c r="Q43" s="1566">
        <f t="shared" si="3"/>
        <v>0</v>
      </c>
      <c r="R43" s="1566">
        <f t="shared" si="3"/>
        <v>0</v>
      </c>
      <c r="S43" s="1567">
        <f t="shared" si="3"/>
        <v>0</v>
      </c>
      <c r="T43" s="1549">
        <f t="shared" si="8"/>
        <v>0</v>
      </c>
      <c r="U43" s="1550">
        <f t="shared" si="9"/>
        <v>0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HO43" s="2"/>
      <c r="HP43" s="2"/>
    </row>
    <row r="44" spans="1:224" x14ac:dyDescent="0.3">
      <c r="A44" s="1"/>
      <c r="B44" s="76">
        <v>23</v>
      </c>
      <c r="C44" s="77" t="s">
        <v>38</v>
      </c>
      <c r="D44" s="1731"/>
      <c r="E44" s="1732"/>
      <c r="F44" s="1365"/>
      <c r="G44" s="1366"/>
      <c r="H44" s="1367"/>
      <c r="I44" s="1328"/>
      <c r="J44" s="1329"/>
      <c r="K44" s="1366">
        <v>4.5999999999999996</v>
      </c>
      <c r="L44" s="1369">
        <v>0.7</v>
      </c>
      <c r="M44" s="1369">
        <v>100</v>
      </c>
      <c r="N44" s="1370">
        <v>39</v>
      </c>
      <c r="O44" s="1371">
        <f t="shared" si="22"/>
        <v>1.1942903317915834</v>
      </c>
      <c r="P44" s="1565">
        <f t="shared" si="3"/>
        <v>0</v>
      </c>
      <c r="Q44" s="1566">
        <f t="shared" si="3"/>
        <v>0</v>
      </c>
      <c r="R44" s="1566">
        <f t="shared" si="3"/>
        <v>0</v>
      </c>
      <c r="S44" s="1567">
        <f t="shared" si="3"/>
        <v>0</v>
      </c>
      <c r="T44" s="1549">
        <f t="shared" si="8"/>
        <v>0</v>
      </c>
      <c r="U44" s="1550">
        <f t="shared" si="9"/>
        <v>0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HO44" s="2"/>
      <c r="HP44" s="2"/>
    </row>
    <row r="45" spans="1:224" x14ac:dyDescent="0.3">
      <c r="A45" s="1"/>
      <c r="B45" s="76">
        <v>25</v>
      </c>
      <c r="C45" s="77" t="s">
        <v>38</v>
      </c>
      <c r="D45" s="1731"/>
      <c r="E45" s="1732"/>
      <c r="F45" s="1365"/>
      <c r="G45" s="1366"/>
      <c r="H45" s="1367"/>
      <c r="I45" s="1328"/>
      <c r="J45" s="1329"/>
      <c r="K45" s="1366">
        <v>4.5999999999999996</v>
      </c>
      <c r="L45" s="1369">
        <v>0.7</v>
      </c>
      <c r="M45" s="1369">
        <v>100</v>
      </c>
      <c r="N45" s="1370">
        <v>39</v>
      </c>
      <c r="O45" s="1371">
        <f t="shared" si="22"/>
        <v>1.1942903317915834</v>
      </c>
      <c r="P45" s="1565">
        <f t="shared" si="3"/>
        <v>0</v>
      </c>
      <c r="Q45" s="1566">
        <f t="shared" si="3"/>
        <v>0</v>
      </c>
      <c r="R45" s="1566">
        <f t="shared" si="3"/>
        <v>0</v>
      </c>
      <c r="S45" s="1567">
        <f t="shared" si="3"/>
        <v>0</v>
      </c>
      <c r="T45" s="1549">
        <f t="shared" si="8"/>
        <v>0</v>
      </c>
      <c r="U45" s="1550">
        <f t="shared" si="9"/>
        <v>0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HO45" s="2"/>
      <c r="HP45" s="2"/>
    </row>
    <row r="46" spans="1:224" x14ac:dyDescent="0.3">
      <c r="A46" s="1"/>
      <c r="B46" s="76">
        <v>241</v>
      </c>
      <c r="C46" s="77" t="s">
        <v>38</v>
      </c>
      <c r="D46" s="1731"/>
      <c r="E46" s="1732"/>
      <c r="F46" s="1365"/>
      <c r="G46" s="1366"/>
      <c r="H46" s="1367"/>
      <c r="I46" s="1328"/>
      <c r="J46" s="1329"/>
      <c r="K46" s="1366">
        <v>4.5999999999999996</v>
      </c>
      <c r="L46" s="1369">
        <v>0.7</v>
      </c>
      <c r="M46" s="1369">
        <v>100</v>
      </c>
      <c r="N46" s="1370">
        <v>39</v>
      </c>
      <c r="O46" s="1371">
        <f t="shared" si="22"/>
        <v>1.1942903317915834</v>
      </c>
      <c r="P46" s="1565">
        <f t="shared" si="3"/>
        <v>0</v>
      </c>
      <c r="Q46" s="1566">
        <f t="shared" si="3"/>
        <v>0</v>
      </c>
      <c r="R46" s="1566">
        <f t="shared" si="3"/>
        <v>0</v>
      </c>
      <c r="S46" s="1567">
        <f t="shared" si="3"/>
        <v>0</v>
      </c>
      <c r="T46" s="1549">
        <f t="shared" si="8"/>
        <v>0</v>
      </c>
      <c r="U46" s="1550">
        <f t="shared" si="9"/>
        <v>0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HO46" s="2"/>
      <c r="HP46" s="2"/>
    </row>
    <row r="47" spans="1:224" x14ac:dyDescent="0.3">
      <c r="A47" s="1"/>
      <c r="B47" s="76">
        <v>242</v>
      </c>
      <c r="C47" s="77" t="s">
        <v>38</v>
      </c>
      <c r="D47" s="1731"/>
      <c r="E47" s="1732"/>
      <c r="F47" s="1365"/>
      <c r="G47" s="1366"/>
      <c r="H47" s="1367"/>
      <c r="I47" s="1328"/>
      <c r="J47" s="1329"/>
      <c r="K47" s="1366">
        <v>4.5999999999999996</v>
      </c>
      <c r="L47" s="1369">
        <v>0.7</v>
      </c>
      <c r="M47" s="1369">
        <v>100</v>
      </c>
      <c r="N47" s="1370">
        <v>39</v>
      </c>
      <c r="O47" s="1371">
        <f t="shared" si="22"/>
        <v>1.1942903317915834</v>
      </c>
      <c r="P47" s="1565">
        <f t="shared" si="3"/>
        <v>0</v>
      </c>
      <c r="Q47" s="1566">
        <f t="shared" si="3"/>
        <v>0</v>
      </c>
      <c r="R47" s="1566">
        <f t="shared" si="3"/>
        <v>0</v>
      </c>
      <c r="S47" s="1567">
        <f t="shared" si="3"/>
        <v>0</v>
      </c>
      <c r="T47" s="1549">
        <f t="shared" si="8"/>
        <v>0</v>
      </c>
      <c r="U47" s="1550">
        <f t="shared" si="9"/>
        <v>0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HO47" s="2"/>
      <c r="HP47" s="2"/>
    </row>
    <row r="48" spans="1:224" x14ac:dyDescent="0.3">
      <c r="A48" s="1"/>
      <c r="B48" s="76" t="s">
        <v>656</v>
      </c>
      <c r="C48" s="77" t="s">
        <v>37</v>
      </c>
      <c r="D48" s="1731"/>
      <c r="E48" s="1732"/>
      <c r="F48" s="1365"/>
      <c r="G48" s="1366"/>
      <c r="H48" s="1367"/>
      <c r="I48" s="1328"/>
      <c r="J48" s="1329"/>
      <c r="K48" s="1366">
        <v>4.5999999999999996</v>
      </c>
      <c r="L48" s="1369">
        <v>0.7</v>
      </c>
      <c r="M48" s="1369">
        <v>100</v>
      </c>
      <c r="N48" s="1370">
        <v>39</v>
      </c>
      <c r="O48" s="1371">
        <f t="shared" si="22"/>
        <v>1.1942903317915834</v>
      </c>
      <c r="P48" s="1565">
        <f t="shared" si="3"/>
        <v>0</v>
      </c>
      <c r="Q48" s="1566">
        <f t="shared" si="3"/>
        <v>0</v>
      </c>
      <c r="R48" s="1566">
        <f t="shared" si="3"/>
        <v>0</v>
      </c>
      <c r="S48" s="1567">
        <f t="shared" si="3"/>
        <v>0</v>
      </c>
      <c r="T48" s="1549">
        <f t="shared" si="8"/>
        <v>0</v>
      </c>
      <c r="U48" s="1550">
        <f t="shared" si="9"/>
        <v>0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HO48" s="2"/>
      <c r="HP48" s="2"/>
    </row>
    <row r="49" spans="1:224" x14ac:dyDescent="0.3">
      <c r="A49" s="1"/>
      <c r="B49" s="1587" t="s">
        <v>717</v>
      </c>
      <c r="C49" s="1589">
        <f>62464.33+12859.6+37.77+85.62+51.71+853.11+29.06</f>
        <v>76381.200000000012</v>
      </c>
      <c r="D49" s="1733"/>
      <c r="E49" s="1734"/>
      <c r="F49" s="1365"/>
      <c r="G49" s="1366"/>
      <c r="H49" s="1367"/>
      <c r="I49" s="1328"/>
      <c r="J49" s="1329"/>
      <c r="K49" s="1366">
        <v>4.5999999999999996</v>
      </c>
      <c r="L49" s="1369">
        <v>0.7</v>
      </c>
      <c r="M49" s="1369">
        <v>100</v>
      </c>
      <c r="N49" s="1370">
        <v>39</v>
      </c>
      <c r="O49" s="1371">
        <f t="shared" si="22"/>
        <v>1.1942903317915834</v>
      </c>
      <c r="P49" s="1565">
        <f t="shared" si="3"/>
        <v>0</v>
      </c>
      <c r="Q49" s="1566">
        <f t="shared" si="3"/>
        <v>0</v>
      </c>
      <c r="R49" s="1566">
        <f t="shared" si="3"/>
        <v>0</v>
      </c>
      <c r="S49" s="1567">
        <f t="shared" si="3"/>
        <v>0</v>
      </c>
      <c r="T49" s="1549">
        <f t="shared" si="8"/>
        <v>0</v>
      </c>
      <c r="U49" s="1550">
        <f t="shared" si="9"/>
        <v>0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HO49" s="2"/>
      <c r="HP49" s="2"/>
    </row>
    <row r="50" spans="1:224" ht="13.5" thickBot="1" x14ac:dyDescent="0.35">
      <c r="A50" s="1"/>
      <c r="B50" s="52"/>
      <c r="C50" s="53"/>
      <c r="D50" s="1724"/>
      <c r="E50" s="1725"/>
      <c r="F50" s="1337"/>
      <c r="G50" s="1338"/>
      <c r="H50" s="1339"/>
      <c r="I50" s="1339"/>
      <c r="J50" s="1340"/>
      <c r="K50" s="1338">
        <v>4.5999999999999996</v>
      </c>
      <c r="L50" s="1372">
        <v>0.7</v>
      </c>
      <c r="M50" s="1372">
        <v>100</v>
      </c>
      <c r="N50" s="1344">
        <v>39</v>
      </c>
      <c r="O50" s="1345">
        <f t="shared" si="22"/>
        <v>0</v>
      </c>
      <c r="P50" s="1551">
        <f t="shared" si="3"/>
        <v>0</v>
      </c>
      <c r="Q50" s="1552">
        <f t="shared" si="3"/>
        <v>0</v>
      </c>
      <c r="R50" s="1552">
        <f t="shared" si="3"/>
        <v>0</v>
      </c>
      <c r="S50" s="1553">
        <f t="shared" si="3"/>
        <v>0</v>
      </c>
      <c r="T50" s="1554">
        <f t="shared" si="8"/>
        <v>0</v>
      </c>
      <c r="U50" s="1555">
        <f t="shared" si="9"/>
        <v>0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HO50" s="2"/>
      <c r="HP50" s="2"/>
    </row>
    <row r="51" spans="1:224" ht="13.5" thickBot="1" x14ac:dyDescent="0.35">
      <c r="A51" s="1"/>
      <c r="B51" s="79" t="s">
        <v>655</v>
      </c>
      <c r="C51" s="80" t="s">
        <v>39</v>
      </c>
      <c r="D51" s="1735"/>
      <c r="E51" s="1736"/>
      <c r="F51" s="1374"/>
      <c r="G51" s="1375"/>
      <c r="H51" s="1373"/>
      <c r="I51" s="1373"/>
      <c r="J51" s="1374"/>
      <c r="K51" s="1376">
        <v>12.8</v>
      </c>
      <c r="L51" s="1373">
        <v>0.5</v>
      </c>
      <c r="M51" s="1373">
        <f>155</f>
        <v>155</v>
      </c>
      <c r="N51" s="1374"/>
      <c r="O51" s="1377"/>
      <c r="P51" s="1568">
        <f t="shared" si="3"/>
        <v>0</v>
      </c>
      <c r="Q51" s="1569">
        <f t="shared" si="3"/>
        <v>0</v>
      </c>
      <c r="R51" s="1569">
        <f t="shared" si="3"/>
        <v>0</v>
      </c>
      <c r="S51" s="1570">
        <f t="shared" si="3"/>
        <v>0</v>
      </c>
      <c r="T51" s="1571">
        <v>0</v>
      </c>
      <c r="U51" s="1572">
        <f>T51/12</f>
        <v>0</v>
      </c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HO51" s="2"/>
      <c r="HP51" s="2"/>
    </row>
    <row r="52" spans="1:224" ht="13.5" thickBot="1" x14ac:dyDescent="0.35">
      <c r="A52" s="1"/>
      <c r="B52" s="79" t="s">
        <v>718</v>
      </c>
      <c r="C52" s="81" t="s">
        <v>40</v>
      </c>
      <c r="D52" s="1735">
        <f>35.42755+140.64</f>
        <v>176.06754999999998</v>
      </c>
      <c r="E52" s="1736">
        <f>(0.764403+12.51)/D52</f>
        <v>7.5393807660752932E-2</v>
      </c>
      <c r="F52" s="1374"/>
      <c r="G52" s="1375">
        <v>1</v>
      </c>
      <c r="H52" s="1373">
        <v>0.2</v>
      </c>
      <c r="I52" s="1339">
        <v>680</v>
      </c>
      <c r="J52" s="1340">
        <v>0</v>
      </c>
      <c r="K52" s="1537">
        <f>0.226*G52*$O52</f>
        <v>4.1280030000000005</v>
      </c>
      <c r="L52" s="1538">
        <f>0.226*H52*$O52</f>
        <v>0.82560060000000024</v>
      </c>
      <c r="M52" s="1538">
        <f>0.226*I52*$O52</f>
        <v>2807.0420400000007</v>
      </c>
      <c r="N52" s="1539"/>
      <c r="O52" s="1371">
        <f t="shared" si="22"/>
        <v>18.265500000000003</v>
      </c>
      <c r="P52" s="1551">
        <f>$D52*K52</f>
        <v>726.80737460265004</v>
      </c>
      <c r="Q52" s="1552">
        <f>$D52*L52</f>
        <v>145.36147492053001</v>
      </c>
      <c r="R52" s="1552">
        <f>$D52*M52</f>
        <v>494229.01472980209</v>
      </c>
      <c r="S52" s="1553">
        <f>$D52*N52</f>
        <v>0</v>
      </c>
      <c r="T52" s="1554">
        <f>O52*D52</f>
        <v>3215.9618345250001</v>
      </c>
      <c r="U52" s="1555">
        <f>T52/12</f>
        <v>267.99681954375001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HO52" s="2"/>
      <c r="HP52" s="2"/>
    </row>
    <row r="53" spans="1:224" ht="13.5" thickBot="1" x14ac:dyDescent="0.35">
      <c r="B53" s="82" t="s">
        <v>41</v>
      </c>
      <c r="C53" s="83" t="s">
        <v>42</v>
      </c>
      <c r="D53" s="1534">
        <f>MAX(SUM(D10:D52),0.001)</f>
        <v>28629.527550000003</v>
      </c>
      <c r="E53" s="1536">
        <f>MAX(SUMPRODUCT($D11:$D52,E11:E52),0.001)</f>
        <v>4752.3844029999991</v>
      </c>
      <c r="F53" s="84">
        <f>SUMPRODUCT($D11:$D51,F11:F51)</f>
        <v>18971.48</v>
      </c>
      <c r="G53" s="85"/>
      <c r="H53" s="85"/>
      <c r="I53" s="85"/>
      <c r="J53" s="85"/>
      <c r="K53" s="1540">
        <f>SUMPRODUCT($D11:$D51,K11:K51)/$C63</f>
        <v>4.9301979835498742</v>
      </c>
      <c r="L53" s="1540">
        <f>SUMPRODUCT($D11:$D51,L11:L51)/$C63</f>
        <v>0.69785874261334691</v>
      </c>
      <c r="M53" s="1540">
        <f>SUMPRODUCT($D11:$D51,M11:M51)/$C63</f>
        <v>119.7628747531128</v>
      </c>
      <c r="N53" s="1540">
        <f>SUMPRODUCT($D11:$D51,N11:N51)/$C63</f>
        <v>82.250379808455961</v>
      </c>
      <c r="O53" s="85"/>
      <c r="P53" s="1573">
        <f>SUM(P10:P52)</f>
        <v>141876.04637159823</v>
      </c>
      <c r="Q53" s="1573">
        <f>SUM(Q10:Q52)</f>
        <v>20124.727572577707</v>
      </c>
      <c r="R53" s="1573">
        <f>SUM(R10:R52)</f>
        <v>3922983.5369412447</v>
      </c>
      <c r="S53" s="1574">
        <f>SUM(S10:S52)</f>
        <v>2354789.514724154</v>
      </c>
      <c r="T53" s="1575">
        <f>SUM(T11:T52)</f>
        <v>313318.94384083594</v>
      </c>
      <c r="U53" s="1576">
        <f>SUM(U11:U52)</f>
        <v>26109.91198673633</v>
      </c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HO53" s="2"/>
      <c r="HP53" s="2"/>
    </row>
    <row r="54" spans="1:224" x14ac:dyDescent="0.3">
      <c r="A54" s="1"/>
      <c r="B54" s="86" t="s">
        <v>43</v>
      </c>
      <c r="C54" s="87"/>
      <c r="D54" s="1535"/>
      <c r="E54" s="88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1542">
        <f>SUM(P10:P35)+SUM(P36:P40)*C$59+C$59*SUM(P41:P50)+P51+P52</f>
        <v>141876.04637159823</v>
      </c>
      <c r="Q54" s="1542">
        <f>SUM(Q10:Q35)+SUM(Q36:Q40)*D$59+D$59*SUM(Q41:Q50)+Q51+Q52</f>
        <v>20124.727572577707</v>
      </c>
      <c r="R54" s="1542">
        <f>SUM(R10:R35)+SUM(R36:R40)*E$59+E$59*SUM(R41:R50)+R51+R52</f>
        <v>3922983.5369412447</v>
      </c>
      <c r="S54" s="1577">
        <f>SUM(S10:S35)+SUM(S36:S40)*F$59+F$59*SUM(S41:S50)+S51+S52</f>
        <v>2354789.514724154</v>
      </c>
      <c r="T54" s="1578">
        <f>T53</f>
        <v>313318.94384083594</v>
      </c>
      <c r="U54" s="1579">
        <f>U53</f>
        <v>26109.91198673633</v>
      </c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HO54" s="2"/>
      <c r="HP54" s="2"/>
    </row>
    <row r="55" spans="1:224" ht="13.5" thickBot="1" x14ac:dyDescent="0.35">
      <c r="A55" s="1"/>
      <c r="B55" s="90" t="s">
        <v>44</v>
      </c>
      <c r="C55" s="107"/>
      <c r="D55" s="751"/>
      <c r="E55" s="752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1580">
        <f>(P53-P54)</f>
        <v>0</v>
      </c>
      <c r="Q55" s="1580">
        <f>(Q53-Q54)</f>
        <v>0</v>
      </c>
      <c r="R55" s="1580">
        <f>(R53-R54)</f>
        <v>0</v>
      </c>
      <c r="S55" s="1581">
        <f>(S53-S54)</f>
        <v>0</v>
      </c>
      <c r="T55" s="1582"/>
      <c r="U55" s="1583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HO55" s="2"/>
      <c r="HP55" s="2"/>
    </row>
    <row r="56" spans="1:224" ht="14" thickTop="1" thickBot="1" x14ac:dyDescent="0.35">
      <c r="A56" s="1"/>
      <c r="C56" s="1652" t="s">
        <v>762</v>
      </c>
      <c r="D56" s="1588">
        <f>+C49+D53</f>
        <v>105010.72755000001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224" ht="21" thickTop="1" thickBot="1" x14ac:dyDescent="0.45">
      <c r="A57" s="1"/>
      <c r="B57" s="1773" t="s">
        <v>46</v>
      </c>
      <c r="C57" s="1774"/>
      <c r="D57" s="1774"/>
      <c r="E57" s="1774"/>
      <c r="F57" s="1775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224" x14ac:dyDescent="0.3">
      <c r="A58" s="1"/>
      <c r="B58" s="86" t="s">
        <v>47</v>
      </c>
      <c r="C58" s="92" t="s">
        <v>10</v>
      </c>
      <c r="D58" s="93" t="s">
        <v>11</v>
      </c>
      <c r="E58" s="93" t="s">
        <v>12</v>
      </c>
      <c r="F58" s="94" t="s">
        <v>13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224" ht="13.5" thickBot="1" x14ac:dyDescent="0.35">
      <c r="A59" s="1"/>
      <c r="B59" s="90" t="s">
        <v>48</v>
      </c>
      <c r="C59" s="1378">
        <v>0.5</v>
      </c>
      <c r="D59" s="1379">
        <v>0.7</v>
      </c>
      <c r="E59" s="1379">
        <v>0.9</v>
      </c>
      <c r="F59" s="1380">
        <v>1</v>
      </c>
      <c r="G59" s="95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224" ht="14" thickTop="1" thickBot="1" x14ac:dyDescent="0.35">
      <c r="A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224" ht="21" thickTop="1" thickBot="1" x14ac:dyDescent="0.45">
      <c r="A61" s="1"/>
      <c r="B61" s="1776" t="s">
        <v>49</v>
      </c>
      <c r="C61" s="177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224" x14ac:dyDescent="0.3">
      <c r="A62" s="1"/>
      <c r="B62" s="32" t="s">
        <v>50</v>
      </c>
      <c r="C62" s="1277">
        <v>40.590000000000003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224" x14ac:dyDescent="0.3">
      <c r="A63" s="1"/>
      <c r="B63" s="39" t="s">
        <v>51</v>
      </c>
      <c r="C63" s="96">
        <f>D53</f>
        <v>28629.527550000003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224" ht="13.5" thickBot="1" x14ac:dyDescent="0.35">
      <c r="A64" s="1"/>
      <c r="B64" s="97" t="s">
        <v>52</v>
      </c>
      <c r="C64" s="1702">
        <v>599.84291099999996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256" ht="14" thickTop="1" thickBot="1" x14ac:dyDescent="0.35">
      <c r="A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256" ht="13.5" thickTop="1" x14ac:dyDescent="0.3">
      <c r="A66" s="1"/>
      <c r="B66" s="1787" t="s">
        <v>53</v>
      </c>
      <c r="C66" s="1790" t="s">
        <v>54</v>
      </c>
      <c r="D66" s="1755" t="s">
        <v>55</v>
      </c>
      <c r="E66" s="1755"/>
      <c r="F66" s="1755"/>
      <c r="G66" s="1755"/>
      <c r="H66" s="1780" t="s">
        <v>56</v>
      </c>
      <c r="I66" s="1781"/>
      <c r="J66" s="1781"/>
      <c r="K66" s="1781"/>
      <c r="L66" s="1781"/>
      <c r="M66" s="1781"/>
      <c r="N66" s="1781"/>
      <c r="O66" s="1781"/>
      <c r="P66" s="1781"/>
      <c r="Q66" s="1781"/>
      <c r="R66" s="1781"/>
      <c r="S66" s="1781"/>
      <c r="T66" s="1781"/>
      <c r="U66" s="1782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HO66" s="2"/>
      <c r="HP66" s="2"/>
      <c r="HQ66" s="2"/>
    </row>
    <row r="67" spans="1:256" ht="15.75" customHeight="1" x14ac:dyDescent="0.3">
      <c r="A67" s="1"/>
      <c r="B67" s="1788"/>
      <c r="C67" s="1791"/>
      <c r="D67" s="1792" t="s">
        <v>57</v>
      </c>
      <c r="E67" s="1756" t="s">
        <v>9</v>
      </c>
      <c r="F67" s="1756" t="s">
        <v>37</v>
      </c>
      <c r="G67" s="1758" t="s">
        <v>38</v>
      </c>
      <c r="H67" s="1785" t="s">
        <v>40</v>
      </c>
      <c r="I67" s="1753" t="str">
        <f>IF($C37&lt;&gt;"",$C37,"")</f>
        <v>Forest</v>
      </c>
      <c r="J67" s="1753" t="str">
        <f>IF($C38&lt;&gt;"",$C38,"")</f>
        <v>Forest</v>
      </c>
      <c r="K67" s="1753" t="str">
        <f>IF($C39&lt;&gt;"",$C39,"")</f>
        <v>Forest</v>
      </c>
      <c r="L67" s="1764" t="str">
        <f>IF($C40&lt;&gt;"",$C40,"")</f>
        <v>Forest</v>
      </c>
      <c r="M67" s="1753" t="str">
        <f>IF($C42&lt;&gt;"",$C42,"")</f>
        <v>Rural</v>
      </c>
      <c r="N67" s="1753" t="str">
        <f>IF($C43&lt;&gt;"",$C43,"")</f>
        <v>Rural</v>
      </c>
      <c r="O67" s="1753" t="str">
        <f>IF($C44&lt;&gt;"",$C44,"")</f>
        <v>Rural</v>
      </c>
      <c r="P67" s="1753" t="str">
        <f>IF($C45&lt;&gt;"",$C45,"")</f>
        <v>Rural</v>
      </c>
      <c r="Q67" s="1753" t="str">
        <f>IF($C46&lt;&gt;"",$C46,"")</f>
        <v>Rural</v>
      </c>
      <c r="R67" s="1753" t="str">
        <f>IF($C47&lt;&gt;"",$C47,"")</f>
        <v>Rural</v>
      </c>
      <c r="S67" s="1753" t="str">
        <f>IF($C48&lt;&gt;"",$C48,"")</f>
        <v>Forest</v>
      </c>
      <c r="T67" s="1753">
        <f>IF($C49&lt;&gt;"",$C49,"")</f>
        <v>76381.200000000012</v>
      </c>
      <c r="U67" s="1778" t="str">
        <f>IF($C50&lt;&gt;"",$C50,"")</f>
        <v/>
      </c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HO67" s="2"/>
      <c r="HP67" s="2"/>
      <c r="HQ67" s="2"/>
    </row>
    <row r="68" spans="1:256" ht="23.25" customHeight="1" thickBot="1" x14ac:dyDescent="0.35">
      <c r="A68" s="1"/>
      <c r="B68" s="1789"/>
      <c r="C68" s="1772"/>
      <c r="D68" s="1793"/>
      <c r="E68" s="1757"/>
      <c r="F68" s="1757"/>
      <c r="G68" s="1759"/>
      <c r="H68" s="1786"/>
      <c r="I68" s="1754"/>
      <c r="J68" s="1754"/>
      <c r="K68" s="1754"/>
      <c r="L68" s="1765"/>
      <c r="M68" s="1754"/>
      <c r="N68" s="1754"/>
      <c r="O68" s="1754"/>
      <c r="P68" s="1754"/>
      <c r="Q68" s="1754"/>
      <c r="R68" s="1754"/>
      <c r="S68" s="1754"/>
      <c r="T68" s="1754"/>
      <c r="U68" s="1779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HO68" s="2"/>
      <c r="HP68" s="2"/>
      <c r="HQ68" s="2"/>
    </row>
    <row r="69" spans="1:256" ht="13.5" thickBot="1" x14ac:dyDescent="0.35">
      <c r="A69" s="1"/>
      <c r="B69" s="966" t="s">
        <v>58</v>
      </c>
      <c r="C69" s="972"/>
      <c r="D69" s="967"/>
      <c r="E69" s="967"/>
      <c r="F69" s="967"/>
      <c r="G69" s="968"/>
      <c r="H69" s="972"/>
      <c r="I69" s="967"/>
      <c r="J69" s="967"/>
      <c r="K69" s="967"/>
      <c r="L69" s="967"/>
      <c r="M69" s="967"/>
      <c r="N69" s="100"/>
      <c r="O69" s="87"/>
      <c r="P69" s="87"/>
      <c r="Q69" s="87"/>
      <c r="R69" s="87"/>
      <c r="S69" s="87"/>
      <c r="T69" s="87"/>
      <c r="U69" s="105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HO69" s="2"/>
      <c r="HP69" s="2"/>
      <c r="HQ69" s="2"/>
    </row>
    <row r="70" spans="1:256" x14ac:dyDescent="0.3">
      <c r="A70" s="1"/>
      <c r="B70" s="133" t="s">
        <v>59</v>
      </c>
      <c r="C70" s="1703">
        <v>0.13666320308348051</v>
      </c>
      <c r="D70" s="1362">
        <v>0.95</v>
      </c>
      <c r="E70" s="1346">
        <v>0.15</v>
      </c>
      <c r="F70" s="1346">
        <v>0.02</v>
      </c>
      <c r="G70" s="1381">
        <f>F70</f>
        <v>0.02</v>
      </c>
      <c r="H70" s="1362">
        <v>0.5</v>
      </c>
      <c r="I70" s="1278"/>
      <c r="J70" s="1278"/>
      <c r="K70" s="1278"/>
      <c r="L70" s="1279"/>
      <c r="M70" s="1279"/>
      <c r="N70" s="1279"/>
      <c r="O70" s="1279"/>
      <c r="P70" s="1279"/>
      <c r="Q70" s="1279"/>
      <c r="R70" s="1279"/>
      <c r="S70" s="1279"/>
      <c r="T70" s="1279"/>
      <c r="U70" s="127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HO70" s="2"/>
      <c r="HP70" s="2"/>
      <c r="HQ70" s="2"/>
    </row>
    <row r="71" spans="1:256" x14ac:dyDescent="0.3">
      <c r="A71" s="1"/>
      <c r="B71" s="153" t="s">
        <v>60</v>
      </c>
      <c r="C71" s="1704">
        <v>0.52528513398786303</v>
      </c>
      <c r="D71" s="1327">
        <v>0.95</v>
      </c>
      <c r="E71" s="1382">
        <v>0.2</v>
      </c>
      <c r="F71" s="1328">
        <v>0.03</v>
      </c>
      <c r="G71" s="1383">
        <f>F71</f>
        <v>0.03</v>
      </c>
      <c r="H71" s="1327">
        <v>0.5</v>
      </c>
      <c r="I71" s="1280"/>
      <c r="J71" s="1280"/>
      <c r="K71" s="1280"/>
      <c r="L71" s="1215"/>
      <c r="M71" s="1215"/>
      <c r="N71" s="1215"/>
      <c r="O71" s="1215"/>
      <c r="P71" s="1215"/>
      <c r="Q71" s="1215"/>
      <c r="R71" s="1215"/>
      <c r="S71" s="1215"/>
      <c r="T71" s="1215"/>
      <c r="U71" s="1238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HO71" s="2"/>
      <c r="HP71" s="2"/>
      <c r="HQ71" s="2"/>
    </row>
    <row r="72" spans="1:256" x14ac:dyDescent="0.3">
      <c r="A72" s="1"/>
      <c r="B72" s="153" t="s">
        <v>61</v>
      </c>
      <c r="C72" s="1704">
        <v>0.27018844121136965</v>
      </c>
      <c r="D72" s="1327">
        <v>0.95</v>
      </c>
      <c r="E72" s="1328">
        <v>0.22</v>
      </c>
      <c r="F72" s="1328">
        <v>0.04</v>
      </c>
      <c r="G72" s="1383">
        <f>F72</f>
        <v>0.04</v>
      </c>
      <c r="H72" s="1327">
        <v>0.5</v>
      </c>
      <c r="I72" s="1280"/>
      <c r="J72" s="1280"/>
      <c r="K72" s="1280"/>
      <c r="L72" s="1215"/>
      <c r="M72" s="1215"/>
      <c r="N72" s="1215"/>
      <c r="O72" s="1215"/>
      <c r="P72" s="1215"/>
      <c r="Q72" s="1215"/>
      <c r="R72" s="1215"/>
      <c r="S72" s="1215"/>
      <c r="T72" s="1215"/>
      <c r="U72" s="1238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HO72" s="2"/>
      <c r="HP72" s="2"/>
      <c r="HQ72" s="2"/>
    </row>
    <row r="73" spans="1:256" ht="13.5" thickBot="1" x14ac:dyDescent="0.35">
      <c r="A73" s="1"/>
      <c r="B73" s="971" t="s">
        <v>62</v>
      </c>
      <c r="C73" s="1705">
        <v>6.7863221717286842E-2</v>
      </c>
      <c r="D73" s="1338">
        <v>0.95</v>
      </c>
      <c r="E73" s="1339">
        <v>0.25</v>
      </c>
      <c r="F73" s="1339">
        <v>0.05</v>
      </c>
      <c r="G73" s="1384">
        <f>F73</f>
        <v>0.05</v>
      </c>
      <c r="H73" s="1338">
        <v>0.5</v>
      </c>
      <c r="I73" s="1281"/>
      <c r="J73" s="1281"/>
      <c r="K73" s="1281"/>
      <c r="L73" s="1282"/>
      <c r="M73" s="1282"/>
      <c r="N73" s="1282"/>
      <c r="O73" s="1282"/>
      <c r="P73" s="1282"/>
      <c r="Q73" s="1282"/>
      <c r="R73" s="1282"/>
      <c r="S73" s="1282"/>
      <c r="T73" s="1282"/>
      <c r="U73" s="1283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HO73" s="2"/>
      <c r="HP73" s="2"/>
      <c r="HQ73" s="2"/>
    </row>
    <row r="74" spans="1:256" ht="13.5" thickBot="1" x14ac:dyDescent="0.35">
      <c r="A74" s="1"/>
      <c r="B74" s="100"/>
      <c r="C74" s="1593">
        <f>SUM(C70:C73)</f>
        <v>1</v>
      </c>
      <c r="D74" s="1594">
        <f>SUMPRODUCT($C70:$C73,D70:D73)</f>
        <v>0.95</v>
      </c>
      <c r="E74" s="1594">
        <f>SUMPRODUCT($C70:$C73,E70:E73)</f>
        <v>0.20196376975591776</v>
      </c>
      <c r="F74" s="1594">
        <f>SUMPRODUCT($C70:$C73,F70:F73)</f>
        <v>3.2692516815624628E-2</v>
      </c>
      <c r="G74" s="1594">
        <f>SUMPRODUCT($C70:$C73,G70:G73)</f>
        <v>3.2692516815624628E-2</v>
      </c>
      <c r="H74" s="1594">
        <f>SUMPRODUCT($C70:$C73,H70:H73)</f>
        <v>0.5</v>
      </c>
      <c r="I74" s="1594">
        <f>IF(SUM(I70:I73)&gt;0,SUMPRODUCT($C70:$C73,I70:I73),$F74)</f>
        <v>3.2692516815624628E-2</v>
      </c>
      <c r="J74" s="1594">
        <f>IF(SUM(J70:J73)&gt;0,SUMPRODUCT($C70:$C73,J70:J73),$F74)</f>
        <v>3.2692516815624628E-2</v>
      </c>
      <c r="K74" s="1594">
        <f>IF(SUM(K70:K73)&gt;0,SUMPRODUCT($C70:$C73,K70:K73),$F74)</f>
        <v>3.2692516815624628E-2</v>
      </c>
      <c r="L74" s="1594">
        <f>IF(SUM(L70:L73)&gt;0,SUMPRODUCT($C70:$C73,L70:L73),$F74)</f>
        <v>3.2692516815624628E-2</v>
      </c>
      <c r="M74" s="1594">
        <f>IF(SUM(M70:M73)&gt;0,SUMPRODUCT($C70:$C73,M70:M73),$G74)</f>
        <v>3.2692516815624628E-2</v>
      </c>
      <c r="N74" s="1594">
        <f t="shared" ref="N74:U74" si="23">IF(SUM(N70:N73)&gt;0,SUMPRODUCT($C70:$C73,N70:N73),$G74)</f>
        <v>3.2692516815624628E-2</v>
      </c>
      <c r="O74" s="1594">
        <f t="shared" si="23"/>
        <v>3.2692516815624628E-2</v>
      </c>
      <c r="P74" s="1594">
        <f t="shared" si="23"/>
        <v>3.2692516815624628E-2</v>
      </c>
      <c r="Q74" s="1594">
        <f t="shared" si="23"/>
        <v>3.2692516815624628E-2</v>
      </c>
      <c r="R74" s="1594">
        <f t="shared" si="23"/>
        <v>3.2692516815624628E-2</v>
      </c>
      <c r="S74" s="1594">
        <f t="shared" si="23"/>
        <v>3.2692516815624628E-2</v>
      </c>
      <c r="T74" s="1594">
        <f t="shared" si="23"/>
        <v>3.2692516815624628E-2</v>
      </c>
      <c r="U74" s="1595">
        <f t="shared" si="23"/>
        <v>3.2692516815624628E-2</v>
      </c>
      <c r="V74" s="1"/>
      <c r="W74" s="1"/>
      <c r="X74" s="1"/>
      <c r="Y74" s="1"/>
      <c r="Z74" s="1"/>
      <c r="AA74" s="1"/>
      <c r="AB74" s="1"/>
      <c r="AC74" s="1"/>
      <c r="AD74" s="1"/>
      <c r="IV74" s="1">
        <f>SUMPRODUCT($C70:$C73,IV70:IV73)</f>
        <v>0</v>
      </c>
    </row>
    <row r="75" spans="1:256" ht="13.5" thickBot="1" x14ac:dyDescent="0.35">
      <c r="A75" s="1"/>
      <c r="B75" s="1783" t="s">
        <v>63</v>
      </c>
      <c r="C75" s="1784"/>
      <c r="D75" s="101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3"/>
      <c r="V75" s="1"/>
      <c r="W75" s="1"/>
      <c r="X75" s="1"/>
      <c r="Y75" s="1"/>
      <c r="Z75" s="1"/>
      <c r="AA75" s="1"/>
      <c r="AB75" s="1"/>
      <c r="AC75" s="1"/>
      <c r="AD75" s="1"/>
    </row>
    <row r="76" spans="1:256" x14ac:dyDescent="0.3">
      <c r="A76" s="1"/>
      <c r="B76" s="32" t="s">
        <v>64</v>
      </c>
      <c r="C76" s="1590">
        <v>0.18</v>
      </c>
      <c r="D76" s="104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105"/>
      <c r="V76" s="1"/>
      <c r="W76" s="1"/>
      <c r="X76" s="1"/>
      <c r="Y76" s="1"/>
      <c r="Z76" s="1"/>
      <c r="AA76" s="1"/>
      <c r="AB76" s="1"/>
      <c r="AC76" s="1"/>
      <c r="AD76" s="1"/>
    </row>
    <row r="77" spans="1:256" x14ac:dyDescent="0.3">
      <c r="A77" s="1"/>
      <c r="B77" s="39" t="s">
        <v>65</v>
      </c>
      <c r="C77" s="1591">
        <v>0.01</v>
      </c>
      <c r="D77" s="104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105"/>
      <c r="V77" s="1"/>
      <c r="W77" s="1"/>
      <c r="X77" s="1"/>
      <c r="Y77" s="1"/>
      <c r="Z77" s="1"/>
      <c r="AA77" s="1"/>
      <c r="AB77" s="1"/>
      <c r="AC77" s="1"/>
      <c r="AD77" s="1"/>
    </row>
    <row r="78" spans="1:256" ht="13.5" thickBot="1" x14ac:dyDescent="0.35">
      <c r="A78" s="1"/>
      <c r="B78" s="52" t="s">
        <v>66</v>
      </c>
      <c r="C78" s="1592">
        <f>1-C77-C76</f>
        <v>0.81</v>
      </c>
      <c r="D78" s="104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105"/>
      <c r="V78" s="1"/>
      <c r="W78" s="1"/>
      <c r="X78" s="1"/>
      <c r="Y78" s="1"/>
      <c r="Z78" s="1"/>
      <c r="AA78" s="1"/>
      <c r="AB78" s="1"/>
      <c r="AC78" s="1"/>
      <c r="AD78" s="1"/>
    </row>
    <row r="79" spans="1:256" ht="13.5" thickBot="1" x14ac:dyDescent="0.35">
      <c r="A79" s="1"/>
      <c r="B79" s="106"/>
      <c r="C79" s="1596">
        <f>SUM(C76:C78)</f>
        <v>1</v>
      </c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8"/>
      <c r="V79" s="1"/>
      <c r="W79" s="1"/>
      <c r="X79" s="1"/>
      <c r="Y79" s="1"/>
      <c r="Z79" s="1"/>
      <c r="AA79" s="1"/>
      <c r="AB79" s="1"/>
      <c r="AC79" s="1"/>
      <c r="AD79" s="1"/>
    </row>
    <row r="80" spans="1:256" ht="13.5" hidden="1" thickTop="1" x14ac:dyDescent="0.3">
      <c r="A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223" hidden="1" x14ac:dyDescent="0.3">
      <c r="A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223" hidden="1" x14ac:dyDescent="0.3">
      <c r="A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223" ht="12" hidden="1" customHeight="1" x14ac:dyDescent="0.3">
      <c r="A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223" hidden="1" x14ac:dyDescent="0.3">
      <c r="A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223" ht="13.5" hidden="1" thickBot="1" x14ac:dyDescent="0.35">
      <c r="A85" s="1" t="s">
        <v>67</v>
      </c>
      <c r="B85" s="1" t="s">
        <v>10</v>
      </c>
      <c r="C85" s="1" t="s">
        <v>11</v>
      </c>
      <c r="D85" s="1" t="s">
        <v>12</v>
      </c>
      <c r="E85" s="1" t="s">
        <v>68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HN85" s="1"/>
    </row>
    <row r="86" spans="1:223" hidden="1" x14ac:dyDescent="0.3">
      <c r="A86" s="32" t="s">
        <v>64</v>
      </c>
      <c r="B86" s="109">
        <v>0</v>
      </c>
      <c r="C86" s="109">
        <v>0.5</v>
      </c>
      <c r="D86" s="109">
        <v>1</v>
      </c>
      <c r="E86" s="109">
        <v>0.5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HN86" s="1"/>
    </row>
    <row r="87" spans="1:223" hidden="1" x14ac:dyDescent="0.3">
      <c r="A87" s="39" t="s">
        <v>65</v>
      </c>
      <c r="B87" s="109">
        <v>0.1</v>
      </c>
      <c r="C87" s="109">
        <v>0.8</v>
      </c>
      <c r="D87" s="109">
        <v>1</v>
      </c>
      <c r="E87" s="109">
        <v>1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HN87" s="1"/>
    </row>
    <row r="88" spans="1:223" ht="13.5" hidden="1" thickBot="1" x14ac:dyDescent="0.35">
      <c r="A88" s="52" t="s">
        <v>66</v>
      </c>
      <c r="B88" s="109">
        <v>0.2</v>
      </c>
      <c r="C88" s="109">
        <v>1</v>
      </c>
      <c r="D88" s="109">
        <v>1</v>
      </c>
      <c r="E88" s="109">
        <v>1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HN88" s="1"/>
    </row>
    <row r="89" spans="1:223" hidden="1" x14ac:dyDescent="0.3">
      <c r="A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HN89" s="1"/>
    </row>
    <row r="90" spans="1:223" hidden="1" x14ac:dyDescent="0.3">
      <c r="A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HN90" s="1"/>
    </row>
    <row r="91" spans="1:223" hidden="1" x14ac:dyDescent="0.3">
      <c r="A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223" hidden="1" x14ac:dyDescent="0.3">
      <c r="A92" s="1"/>
      <c r="B92" s="1" t="s">
        <v>69</v>
      </c>
      <c r="C92" s="1" t="s">
        <v>70</v>
      </c>
      <c r="D92" s="1" t="s">
        <v>71</v>
      </c>
      <c r="E92" s="1" t="s">
        <v>72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HO92" s="2"/>
    </row>
    <row r="93" spans="1:223" hidden="1" x14ac:dyDescent="0.3">
      <c r="A93" s="1"/>
      <c r="B93" s="110">
        <f>SUMPRODUCT(B86:B88,C76:C78)*(1-0.5*C70)</f>
        <v>0.15186194894869637</v>
      </c>
      <c r="C93" s="110">
        <f>SUMPRODUCT(C86:C88,C76:C78)*(1-0.5*C70)</f>
        <v>0.84595490580009991</v>
      </c>
      <c r="D93" s="110">
        <v>1</v>
      </c>
      <c r="E93" s="110">
        <f>SUMPRODUCT(E86:E88,C76:C78)*(1-0.5*C70)</f>
        <v>0.84781824259701644</v>
      </c>
      <c r="N93" s="1"/>
      <c r="O93" s="111"/>
      <c r="P93" s="111"/>
      <c r="Q93" s="111"/>
      <c r="R93" s="111"/>
      <c r="HO93" s="2"/>
    </row>
    <row r="94" spans="1:223" hidden="1" x14ac:dyDescent="0.3">
      <c r="A94" s="1"/>
      <c r="N94" s="111"/>
      <c r="O94" s="111"/>
      <c r="P94" s="111"/>
      <c r="Q94" s="111"/>
    </row>
    <row r="95" spans="1:223" ht="13.5" thickTop="1" x14ac:dyDescent="0.3">
      <c r="A95" s="1"/>
      <c r="N95" s="111"/>
      <c r="O95" s="111"/>
      <c r="P95" s="111"/>
      <c r="Q95" s="111"/>
    </row>
    <row r="96" spans="1:223" x14ac:dyDescent="0.3">
      <c r="A96" s="1"/>
      <c r="N96" s="111"/>
      <c r="O96" s="111"/>
      <c r="P96" s="111"/>
      <c r="Q96" s="111"/>
    </row>
    <row r="97" spans="1:17" x14ac:dyDescent="0.3">
      <c r="A97" s="1"/>
      <c r="N97" s="111"/>
      <c r="O97" s="111"/>
      <c r="P97" s="111"/>
      <c r="Q97" s="111"/>
    </row>
    <row r="98" spans="1:17" x14ac:dyDescent="0.3">
      <c r="A98" s="1"/>
      <c r="N98" s="111"/>
      <c r="O98" s="111"/>
      <c r="P98" s="111"/>
      <c r="Q98" s="111"/>
    </row>
    <row r="99" spans="1:17" x14ac:dyDescent="0.3">
      <c r="A99" s="1"/>
      <c r="N99" s="111"/>
      <c r="O99" s="111"/>
      <c r="P99" s="111"/>
      <c r="Q99" s="111"/>
    </row>
    <row r="100" spans="1:17" x14ac:dyDescent="0.3">
      <c r="A100" s="1"/>
      <c r="N100" s="111"/>
      <c r="O100" s="111"/>
      <c r="P100" s="111"/>
      <c r="Q100" s="111"/>
    </row>
    <row r="101" spans="1:17" x14ac:dyDescent="0.3">
      <c r="A101" s="1"/>
      <c r="N101" s="111"/>
      <c r="O101" s="111"/>
      <c r="P101" s="111"/>
      <c r="Q101" s="111"/>
    </row>
    <row r="102" spans="1:17" x14ac:dyDescent="0.3">
      <c r="A102" s="1"/>
      <c r="N102" s="111"/>
      <c r="O102" s="111"/>
      <c r="P102" s="111"/>
      <c r="Q102" s="111"/>
    </row>
    <row r="103" spans="1:17" x14ac:dyDescent="0.3">
      <c r="A103" s="1"/>
      <c r="N103" s="111"/>
      <c r="O103" s="111"/>
      <c r="P103" s="111"/>
      <c r="Q103" s="111"/>
    </row>
    <row r="104" spans="1:17" x14ac:dyDescent="0.3">
      <c r="A104" s="1"/>
      <c r="N104" s="111"/>
      <c r="O104" s="111"/>
      <c r="P104" s="111"/>
      <c r="Q104" s="111"/>
    </row>
    <row r="105" spans="1:17" x14ac:dyDescent="0.3">
      <c r="A105" s="1"/>
      <c r="N105" s="111"/>
      <c r="O105" s="111"/>
      <c r="P105" s="111"/>
      <c r="Q105" s="111"/>
    </row>
    <row r="106" spans="1:17" x14ac:dyDescent="0.3">
      <c r="A106" s="1"/>
      <c r="N106" s="111"/>
      <c r="O106" s="111"/>
      <c r="P106" s="111"/>
      <c r="Q106" s="111"/>
    </row>
    <row r="107" spans="1:17" x14ac:dyDescent="0.3">
      <c r="A107" s="1"/>
      <c r="N107" s="111"/>
      <c r="O107" s="111"/>
      <c r="P107" s="111"/>
      <c r="Q107" s="111"/>
    </row>
    <row r="108" spans="1:17" x14ac:dyDescent="0.3">
      <c r="A108" s="1"/>
      <c r="N108" s="111"/>
      <c r="O108" s="111"/>
      <c r="P108" s="111"/>
      <c r="Q108" s="111"/>
    </row>
    <row r="109" spans="1:17" x14ac:dyDescent="0.3">
      <c r="A109" s="1"/>
      <c r="N109" s="111"/>
      <c r="O109" s="111"/>
      <c r="P109" s="111"/>
      <c r="Q109" s="111"/>
    </row>
    <row r="110" spans="1:17" x14ac:dyDescent="0.3">
      <c r="A110" s="1"/>
      <c r="N110" s="111"/>
      <c r="O110" s="111"/>
      <c r="P110" s="111"/>
      <c r="Q110" s="111"/>
    </row>
    <row r="111" spans="1:17" x14ac:dyDescent="0.3">
      <c r="A111" s="1"/>
      <c r="N111" s="111"/>
      <c r="O111" s="111"/>
      <c r="P111" s="111"/>
      <c r="Q111" s="111"/>
    </row>
    <row r="112" spans="1:17" x14ac:dyDescent="0.3">
      <c r="A112" s="1"/>
      <c r="N112" s="111"/>
      <c r="O112" s="111"/>
      <c r="P112" s="111"/>
      <c r="Q112" s="111"/>
    </row>
    <row r="113" spans="1:17" x14ac:dyDescent="0.3">
      <c r="A113" s="1"/>
      <c r="N113" s="111"/>
      <c r="O113" s="111"/>
      <c r="P113" s="111"/>
      <c r="Q113" s="111"/>
    </row>
    <row r="114" spans="1:17" x14ac:dyDescent="0.3">
      <c r="A114" s="1"/>
      <c r="N114" s="111"/>
      <c r="O114" s="111"/>
      <c r="P114" s="111"/>
      <c r="Q114" s="111"/>
    </row>
    <row r="115" spans="1:17" x14ac:dyDescent="0.3">
      <c r="A115" s="1"/>
      <c r="N115" s="111"/>
      <c r="O115" s="111"/>
      <c r="P115" s="111"/>
      <c r="Q115" s="111"/>
    </row>
    <row r="116" spans="1:17" x14ac:dyDescent="0.3">
      <c r="A116" s="1"/>
      <c r="N116" s="111"/>
      <c r="O116" s="111"/>
      <c r="P116" s="111"/>
      <c r="Q116" s="111"/>
    </row>
    <row r="117" spans="1:17" x14ac:dyDescent="0.3">
      <c r="A117" s="1"/>
      <c r="N117" s="111"/>
      <c r="O117" s="111"/>
      <c r="P117" s="111"/>
      <c r="Q117" s="111"/>
    </row>
    <row r="118" spans="1:17" x14ac:dyDescent="0.3">
      <c r="A118" s="1"/>
      <c r="N118" s="111"/>
      <c r="O118" s="111"/>
      <c r="P118" s="111"/>
      <c r="Q118" s="111"/>
    </row>
    <row r="119" spans="1:17" x14ac:dyDescent="0.3">
      <c r="A119" s="1"/>
      <c r="N119" s="111"/>
      <c r="O119" s="111"/>
      <c r="P119" s="111"/>
      <c r="Q119" s="111"/>
    </row>
    <row r="120" spans="1:17" x14ac:dyDescent="0.3">
      <c r="A120" s="1"/>
      <c r="N120" s="111"/>
      <c r="O120" s="111"/>
      <c r="P120" s="111"/>
      <c r="Q120" s="111"/>
    </row>
    <row r="121" spans="1:17" x14ac:dyDescent="0.3">
      <c r="A121" s="1"/>
      <c r="N121" s="111"/>
      <c r="O121" s="111"/>
      <c r="P121" s="111"/>
      <c r="Q121" s="111"/>
    </row>
    <row r="122" spans="1:17" x14ac:dyDescent="0.3">
      <c r="A122" s="1"/>
      <c r="N122" s="111"/>
      <c r="O122" s="111"/>
      <c r="P122" s="111"/>
      <c r="Q122" s="111"/>
    </row>
    <row r="123" spans="1:17" x14ac:dyDescent="0.3">
      <c r="A123" s="1"/>
      <c r="N123" s="111"/>
      <c r="O123" s="111"/>
      <c r="P123" s="111"/>
      <c r="Q123" s="111"/>
    </row>
    <row r="124" spans="1:17" x14ac:dyDescent="0.3">
      <c r="A124" s="1"/>
      <c r="N124" s="111"/>
      <c r="O124" s="111"/>
      <c r="P124" s="111"/>
      <c r="Q124" s="111"/>
    </row>
    <row r="125" spans="1:17" x14ac:dyDescent="0.3">
      <c r="A125" s="1"/>
      <c r="N125" s="111"/>
      <c r="O125" s="111"/>
      <c r="P125" s="111"/>
      <c r="Q125" s="111"/>
    </row>
    <row r="126" spans="1:17" x14ac:dyDescent="0.3">
      <c r="A126" s="1"/>
      <c r="N126" s="111"/>
      <c r="O126" s="111"/>
      <c r="P126" s="111"/>
      <c r="Q126" s="111"/>
    </row>
    <row r="127" spans="1:17" x14ac:dyDescent="0.3">
      <c r="A127" s="1"/>
      <c r="N127" s="111"/>
      <c r="O127" s="111"/>
      <c r="P127" s="111"/>
      <c r="Q127" s="111"/>
    </row>
    <row r="128" spans="1:17" x14ac:dyDescent="0.3">
      <c r="A128" s="1"/>
      <c r="N128" s="111"/>
      <c r="O128" s="111"/>
      <c r="P128" s="111"/>
      <c r="Q128" s="111"/>
    </row>
    <row r="129" spans="1:17" x14ac:dyDescent="0.3">
      <c r="A129" s="1"/>
      <c r="N129" s="111"/>
      <c r="O129" s="111"/>
      <c r="P129" s="111"/>
      <c r="Q129" s="111"/>
    </row>
    <row r="130" spans="1:17" x14ac:dyDescent="0.3">
      <c r="A130" s="1"/>
      <c r="N130" s="111"/>
      <c r="O130" s="111"/>
      <c r="P130" s="111"/>
      <c r="Q130" s="111"/>
    </row>
    <row r="131" spans="1:17" x14ac:dyDescent="0.3">
      <c r="A131" s="1"/>
      <c r="N131" s="111"/>
      <c r="O131" s="111"/>
      <c r="P131" s="111"/>
      <c r="Q131" s="111"/>
    </row>
    <row r="132" spans="1:17" x14ac:dyDescent="0.3">
      <c r="A132" s="1"/>
      <c r="N132" s="111"/>
      <c r="O132" s="111"/>
      <c r="P132" s="111"/>
      <c r="Q132" s="111"/>
    </row>
    <row r="133" spans="1:17" x14ac:dyDescent="0.3">
      <c r="A133" s="1"/>
      <c r="N133" s="111"/>
      <c r="O133" s="111"/>
      <c r="P133" s="111"/>
      <c r="Q133" s="111"/>
    </row>
    <row r="134" spans="1:17" x14ac:dyDescent="0.3">
      <c r="A134" s="1"/>
      <c r="N134" s="111"/>
      <c r="O134" s="111"/>
      <c r="P134" s="111"/>
      <c r="Q134" s="111"/>
    </row>
    <row r="135" spans="1:17" x14ac:dyDescent="0.3">
      <c r="A135" s="1"/>
      <c r="N135" s="111"/>
      <c r="O135" s="111"/>
      <c r="P135" s="111"/>
      <c r="Q135" s="111"/>
    </row>
    <row r="136" spans="1:17" x14ac:dyDescent="0.3">
      <c r="A136" s="1"/>
      <c r="N136" s="111"/>
      <c r="O136" s="111"/>
      <c r="P136" s="111"/>
      <c r="Q136" s="111"/>
    </row>
    <row r="137" spans="1:17" x14ac:dyDescent="0.3">
      <c r="A137" s="1"/>
      <c r="N137" s="111"/>
      <c r="O137" s="111"/>
      <c r="P137" s="111"/>
      <c r="Q137" s="111"/>
    </row>
    <row r="138" spans="1:17" x14ac:dyDescent="0.3">
      <c r="A138" s="1"/>
      <c r="N138" s="111"/>
      <c r="O138" s="111"/>
      <c r="P138" s="111"/>
      <c r="Q138" s="111"/>
    </row>
    <row r="139" spans="1:17" x14ac:dyDescent="0.3">
      <c r="A139" s="1"/>
      <c r="N139" s="111"/>
      <c r="O139" s="111"/>
      <c r="P139" s="111"/>
      <c r="Q139" s="111"/>
    </row>
    <row r="140" spans="1:17" x14ac:dyDescent="0.3">
      <c r="A140" s="1"/>
      <c r="N140" s="111"/>
      <c r="O140" s="111"/>
      <c r="P140" s="111"/>
      <c r="Q140" s="111"/>
    </row>
    <row r="141" spans="1:17" x14ac:dyDescent="0.3">
      <c r="A141" s="1"/>
      <c r="N141" s="111"/>
      <c r="O141" s="111"/>
      <c r="P141" s="111"/>
      <c r="Q141" s="111"/>
    </row>
    <row r="142" spans="1:17" x14ac:dyDescent="0.3">
      <c r="A142" s="1"/>
      <c r="N142" s="111"/>
      <c r="O142" s="111"/>
      <c r="P142" s="111"/>
      <c r="Q142" s="111"/>
    </row>
    <row r="143" spans="1:17" x14ac:dyDescent="0.3">
      <c r="A143" s="1"/>
      <c r="N143" s="111"/>
      <c r="O143" s="111"/>
      <c r="P143" s="111"/>
      <c r="Q143" s="111"/>
    </row>
    <row r="144" spans="1:17" x14ac:dyDescent="0.3">
      <c r="A144" s="1"/>
      <c r="N144" s="111"/>
      <c r="O144" s="111"/>
      <c r="P144" s="111"/>
      <c r="Q144" s="111"/>
    </row>
    <row r="145" spans="1:17" x14ac:dyDescent="0.3">
      <c r="A145" s="1"/>
      <c r="N145" s="111"/>
      <c r="O145" s="111"/>
      <c r="P145" s="111"/>
      <c r="Q145" s="111"/>
    </row>
    <row r="146" spans="1:17" x14ac:dyDescent="0.3">
      <c r="A146" s="1"/>
      <c r="N146" s="111"/>
      <c r="O146" s="111"/>
      <c r="P146" s="111"/>
      <c r="Q146" s="111"/>
    </row>
    <row r="147" spans="1:17" x14ac:dyDescent="0.3">
      <c r="A147" s="1"/>
      <c r="N147" s="111"/>
      <c r="O147" s="111"/>
      <c r="P147" s="111"/>
      <c r="Q147" s="111"/>
    </row>
    <row r="148" spans="1:17" x14ac:dyDescent="0.3">
      <c r="A148" s="1"/>
      <c r="N148" s="111"/>
      <c r="O148" s="111"/>
      <c r="P148" s="111"/>
      <c r="Q148" s="111"/>
    </row>
    <row r="149" spans="1:17" x14ac:dyDescent="0.3">
      <c r="A149" s="1"/>
      <c r="N149" s="111"/>
      <c r="O149" s="111"/>
      <c r="P149" s="111"/>
      <c r="Q149" s="111"/>
    </row>
    <row r="150" spans="1:17" x14ac:dyDescent="0.3">
      <c r="A150" s="1"/>
      <c r="N150" s="111"/>
      <c r="O150" s="111"/>
      <c r="P150" s="111"/>
      <c r="Q150" s="111"/>
    </row>
    <row r="151" spans="1:17" x14ac:dyDescent="0.3">
      <c r="A151" s="1"/>
      <c r="N151" s="111"/>
      <c r="O151" s="111"/>
      <c r="P151" s="111"/>
      <c r="Q151" s="111"/>
    </row>
    <row r="152" spans="1:17" x14ac:dyDescent="0.3">
      <c r="A152" s="1"/>
      <c r="N152" s="111"/>
      <c r="O152" s="111"/>
      <c r="P152" s="111"/>
      <c r="Q152" s="111"/>
    </row>
    <row r="153" spans="1:17" x14ac:dyDescent="0.3">
      <c r="A153" s="1"/>
      <c r="N153" s="111"/>
      <c r="O153" s="111"/>
      <c r="P153" s="111"/>
      <c r="Q153" s="111"/>
    </row>
    <row r="154" spans="1:17" x14ac:dyDescent="0.3">
      <c r="A154" s="1"/>
      <c r="N154" s="111"/>
      <c r="O154" s="111"/>
      <c r="P154" s="111"/>
      <c r="Q154" s="111"/>
    </row>
    <row r="155" spans="1:17" x14ac:dyDescent="0.3">
      <c r="A155" s="1"/>
      <c r="N155" s="111"/>
      <c r="O155" s="111"/>
      <c r="P155" s="111"/>
      <c r="Q155" s="111"/>
    </row>
    <row r="156" spans="1:17" x14ac:dyDescent="0.3">
      <c r="A156" s="1"/>
      <c r="N156" s="111"/>
      <c r="O156" s="111"/>
      <c r="P156" s="111"/>
      <c r="Q156" s="111"/>
    </row>
    <row r="157" spans="1:17" x14ac:dyDescent="0.3">
      <c r="A157" s="1"/>
      <c r="N157" s="111"/>
      <c r="O157" s="111"/>
      <c r="P157" s="111"/>
      <c r="Q157" s="111"/>
    </row>
    <row r="158" spans="1:17" x14ac:dyDescent="0.3">
      <c r="A158" s="1"/>
      <c r="N158" s="111"/>
      <c r="O158" s="111"/>
      <c r="P158" s="111"/>
      <c r="Q158" s="111"/>
    </row>
    <row r="159" spans="1:17" x14ac:dyDescent="0.3">
      <c r="A159" s="1"/>
      <c r="N159" s="111"/>
      <c r="O159" s="111"/>
      <c r="P159" s="111"/>
      <c r="Q159" s="111"/>
    </row>
    <row r="160" spans="1:17" x14ac:dyDescent="0.3">
      <c r="A160" s="1"/>
      <c r="N160" s="111"/>
      <c r="O160" s="111"/>
      <c r="P160" s="111"/>
      <c r="Q160" s="111"/>
    </row>
    <row r="161" spans="1:17" x14ac:dyDescent="0.3">
      <c r="A161" s="1"/>
      <c r="N161" s="111"/>
      <c r="O161" s="111"/>
      <c r="P161" s="111"/>
      <c r="Q161" s="111"/>
    </row>
    <row r="162" spans="1:17" x14ac:dyDescent="0.3">
      <c r="A162" s="1"/>
      <c r="N162" s="111"/>
      <c r="O162" s="111"/>
      <c r="P162" s="111"/>
      <c r="Q162" s="111"/>
    </row>
    <row r="163" spans="1:17" x14ac:dyDescent="0.3">
      <c r="A163" s="1"/>
      <c r="N163" s="111"/>
      <c r="O163" s="111"/>
      <c r="P163" s="111"/>
      <c r="Q163" s="111"/>
    </row>
    <row r="164" spans="1:17" x14ac:dyDescent="0.3">
      <c r="A164" s="1"/>
      <c r="N164" s="111"/>
      <c r="O164" s="111"/>
      <c r="P164" s="111"/>
      <c r="Q164" s="111"/>
    </row>
    <row r="165" spans="1:17" x14ac:dyDescent="0.3">
      <c r="A165" s="1"/>
      <c r="N165" s="111"/>
      <c r="O165" s="111"/>
      <c r="P165" s="111"/>
      <c r="Q165" s="111"/>
    </row>
    <row r="166" spans="1:17" x14ac:dyDescent="0.3">
      <c r="A166" s="1"/>
      <c r="N166" s="111"/>
      <c r="O166" s="111"/>
      <c r="P166" s="111"/>
      <c r="Q166" s="111"/>
    </row>
    <row r="167" spans="1:17" x14ac:dyDescent="0.3">
      <c r="N167" s="111"/>
      <c r="O167" s="111"/>
      <c r="P167" s="111"/>
      <c r="Q167" s="111"/>
    </row>
    <row r="168" spans="1:17" x14ac:dyDescent="0.3">
      <c r="N168" s="111"/>
      <c r="O168" s="111"/>
      <c r="P168" s="111"/>
      <c r="Q168" s="111"/>
    </row>
    <row r="169" spans="1:17" x14ac:dyDescent="0.3">
      <c r="N169" s="111"/>
      <c r="O169" s="111"/>
      <c r="P169" s="111"/>
      <c r="Q169" s="111"/>
    </row>
    <row r="170" spans="1:17" x14ac:dyDescent="0.3">
      <c r="N170" s="111"/>
      <c r="O170" s="111"/>
      <c r="P170" s="111"/>
      <c r="Q170" s="111"/>
    </row>
    <row r="171" spans="1:17" x14ac:dyDescent="0.3">
      <c r="N171" s="111"/>
      <c r="O171" s="111"/>
      <c r="P171" s="111"/>
      <c r="Q171" s="111"/>
    </row>
    <row r="172" spans="1:17" x14ac:dyDescent="0.3">
      <c r="N172" s="111"/>
      <c r="O172" s="111"/>
      <c r="P172" s="111"/>
      <c r="Q172" s="111"/>
    </row>
    <row r="173" spans="1:17" x14ac:dyDescent="0.3">
      <c r="N173" s="111"/>
      <c r="O173" s="111"/>
      <c r="P173" s="111"/>
      <c r="Q173" s="111"/>
    </row>
    <row r="174" spans="1:17" x14ac:dyDescent="0.3">
      <c r="N174" s="111"/>
      <c r="O174" s="111"/>
      <c r="P174" s="111"/>
      <c r="Q174" s="111"/>
    </row>
    <row r="175" spans="1:17" x14ac:dyDescent="0.3">
      <c r="N175" s="111"/>
      <c r="O175" s="111"/>
      <c r="P175" s="111"/>
      <c r="Q175" s="111"/>
    </row>
    <row r="176" spans="1:17" x14ac:dyDescent="0.3">
      <c r="N176" s="111"/>
      <c r="O176" s="111"/>
      <c r="P176" s="111"/>
      <c r="Q176" s="111"/>
    </row>
    <row r="177" spans="14:17" x14ac:dyDescent="0.3">
      <c r="N177" s="111"/>
      <c r="O177" s="111"/>
      <c r="P177" s="111"/>
      <c r="Q177" s="111"/>
    </row>
    <row r="178" spans="14:17" x14ac:dyDescent="0.3">
      <c r="N178" s="111"/>
      <c r="O178" s="111"/>
      <c r="P178" s="111"/>
      <c r="Q178" s="111"/>
    </row>
    <row r="179" spans="14:17" x14ac:dyDescent="0.3">
      <c r="N179" s="111"/>
      <c r="O179" s="111"/>
      <c r="P179" s="111"/>
      <c r="Q179" s="111"/>
    </row>
    <row r="180" spans="14:17" x14ac:dyDescent="0.3">
      <c r="N180" s="111"/>
      <c r="O180" s="111"/>
      <c r="P180" s="111"/>
      <c r="Q180" s="111"/>
    </row>
    <row r="181" spans="14:17" x14ac:dyDescent="0.3">
      <c r="N181" s="111"/>
      <c r="O181" s="111"/>
      <c r="P181" s="111"/>
      <c r="Q181" s="111"/>
    </row>
    <row r="182" spans="14:17" x14ac:dyDescent="0.3">
      <c r="N182" s="111"/>
      <c r="O182" s="111"/>
      <c r="P182" s="111"/>
      <c r="Q182" s="111"/>
    </row>
    <row r="183" spans="14:17" x14ac:dyDescent="0.3">
      <c r="N183" s="111"/>
      <c r="O183" s="111"/>
      <c r="P183" s="111"/>
      <c r="Q183" s="111"/>
    </row>
    <row r="184" spans="14:17" x14ac:dyDescent="0.3">
      <c r="N184" s="111"/>
      <c r="O184" s="111"/>
      <c r="P184" s="111"/>
      <c r="Q184" s="111"/>
    </row>
    <row r="185" spans="14:17" x14ac:dyDescent="0.3">
      <c r="N185" s="111"/>
      <c r="O185" s="111"/>
      <c r="P185" s="111"/>
      <c r="Q185" s="111"/>
    </row>
    <row r="186" spans="14:17" x14ac:dyDescent="0.3">
      <c r="N186" s="111"/>
      <c r="O186" s="111"/>
      <c r="P186" s="111"/>
      <c r="Q186" s="111"/>
    </row>
    <row r="187" spans="14:17" x14ac:dyDescent="0.3">
      <c r="N187" s="111"/>
      <c r="O187" s="111"/>
      <c r="P187" s="111"/>
      <c r="Q187" s="111"/>
    </row>
    <row r="188" spans="14:17" x14ac:dyDescent="0.3">
      <c r="N188" s="111"/>
      <c r="O188" s="111"/>
      <c r="P188" s="111"/>
      <c r="Q188" s="111"/>
    </row>
    <row r="189" spans="14:17" x14ac:dyDescent="0.3">
      <c r="N189" s="111"/>
      <c r="O189" s="111"/>
      <c r="P189" s="111"/>
      <c r="Q189" s="111"/>
    </row>
    <row r="190" spans="14:17" x14ac:dyDescent="0.3">
      <c r="N190" s="111"/>
      <c r="O190" s="111"/>
      <c r="P190" s="111"/>
      <c r="Q190" s="111"/>
    </row>
    <row r="191" spans="14:17" x14ac:dyDescent="0.3">
      <c r="N191" s="111"/>
      <c r="O191" s="111"/>
      <c r="P191" s="111"/>
      <c r="Q191" s="111"/>
    </row>
    <row r="192" spans="14:17" x14ac:dyDescent="0.3">
      <c r="N192" s="111"/>
      <c r="O192" s="111"/>
      <c r="P192" s="111"/>
      <c r="Q192" s="111"/>
    </row>
    <row r="193" spans="14:17" x14ac:dyDescent="0.3">
      <c r="N193" s="111"/>
      <c r="O193" s="111"/>
      <c r="P193" s="111"/>
      <c r="Q193" s="111"/>
    </row>
    <row r="194" spans="14:17" x14ac:dyDescent="0.3">
      <c r="N194" s="111"/>
      <c r="O194" s="111"/>
      <c r="P194" s="111"/>
      <c r="Q194" s="111"/>
    </row>
    <row r="195" spans="14:17" x14ac:dyDescent="0.3">
      <c r="N195" s="111"/>
      <c r="O195" s="111"/>
      <c r="P195" s="111"/>
      <c r="Q195" s="111"/>
    </row>
    <row r="196" spans="14:17" x14ac:dyDescent="0.3">
      <c r="N196" s="111"/>
      <c r="O196" s="111"/>
      <c r="P196" s="111"/>
      <c r="Q196" s="111"/>
    </row>
    <row r="197" spans="14:17" x14ac:dyDescent="0.3">
      <c r="N197" s="111"/>
      <c r="O197" s="111"/>
      <c r="P197" s="111"/>
      <c r="Q197" s="111"/>
    </row>
    <row r="198" spans="14:17" x14ac:dyDescent="0.3">
      <c r="N198" s="111"/>
      <c r="O198" s="111"/>
      <c r="P198" s="111"/>
      <c r="Q198" s="111"/>
    </row>
    <row r="199" spans="14:17" x14ac:dyDescent="0.3">
      <c r="N199" s="111"/>
      <c r="O199" s="111"/>
      <c r="P199" s="111"/>
      <c r="Q199" s="111"/>
    </row>
    <row r="200" spans="14:17" x14ac:dyDescent="0.3">
      <c r="N200" s="111"/>
      <c r="O200" s="111"/>
      <c r="P200" s="111"/>
      <c r="Q200" s="111"/>
    </row>
    <row r="201" spans="14:17" x14ac:dyDescent="0.3">
      <c r="N201" s="111"/>
      <c r="O201" s="111"/>
      <c r="P201" s="111"/>
      <c r="Q201" s="111"/>
    </row>
    <row r="202" spans="14:17" x14ac:dyDescent="0.3">
      <c r="N202" s="111"/>
      <c r="O202" s="111"/>
      <c r="P202" s="111"/>
      <c r="Q202" s="111"/>
    </row>
    <row r="203" spans="14:17" x14ac:dyDescent="0.3">
      <c r="N203" s="111"/>
      <c r="O203" s="111"/>
      <c r="P203" s="111"/>
      <c r="Q203" s="111"/>
    </row>
    <row r="204" spans="14:17" x14ac:dyDescent="0.3">
      <c r="N204" s="111"/>
      <c r="O204" s="111"/>
      <c r="P204" s="111"/>
      <c r="Q204" s="111"/>
    </row>
    <row r="205" spans="14:17" x14ac:dyDescent="0.3">
      <c r="N205" s="111"/>
      <c r="O205" s="111"/>
      <c r="P205" s="111"/>
      <c r="Q205" s="111"/>
    </row>
    <row r="206" spans="14:17" x14ac:dyDescent="0.3">
      <c r="N206" s="111"/>
      <c r="O206" s="111"/>
      <c r="P206" s="111"/>
      <c r="Q206" s="111"/>
    </row>
    <row r="207" spans="14:17" x14ac:dyDescent="0.3">
      <c r="N207" s="111"/>
      <c r="O207" s="111"/>
      <c r="P207" s="111"/>
      <c r="Q207" s="111"/>
    </row>
    <row r="208" spans="14:17" x14ac:dyDescent="0.3">
      <c r="N208" s="111"/>
      <c r="O208" s="111"/>
      <c r="P208" s="111"/>
      <c r="Q208" s="111"/>
    </row>
    <row r="209" spans="14:17" x14ac:dyDescent="0.3">
      <c r="N209" s="111"/>
      <c r="O209" s="111"/>
      <c r="P209" s="111"/>
      <c r="Q209" s="111"/>
    </row>
    <row r="210" spans="14:17" x14ac:dyDescent="0.3">
      <c r="N210" s="111"/>
      <c r="O210" s="111"/>
      <c r="P210" s="111"/>
      <c r="Q210" s="111"/>
    </row>
    <row r="211" spans="14:17" x14ac:dyDescent="0.3">
      <c r="N211" s="111"/>
      <c r="O211" s="111"/>
      <c r="P211" s="111"/>
      <c r="Q211" s="111"/>
    </row>
    <row r="212" spans="14:17" x14ac:dyDescent="0.3">
      <c r="N212" s="111"/>
      <c r="O212" s="111"/>
      <c r="P212" s="111"/>
      <c r="Q212" s="111"/>
    </row>
    <row r="213" spans="14:17" x14ac:dyDescent="0.3">
      <c r="N213" s="111"/>
      <c r="O213" s="111"/>
      <c r="P213" s="111"/>
      <c r="Q213" s="111"/>
    </row>
    <row r="214" spans="14:17" x14ac:dyDescent="0.3">
      <c r="N214" s="111"/>
      <c r="O214" s="111"/>
      <c r="P214" s="111"/>
      <c r="Q214" s="111"/>
    </row>
    <row r="215" spans="14:17" x14ac:dyDescent="0.3">
      <c r="N215" s="111"/>
      <c r="O215" s="111"/>
      <c r="P215" s="111"/>
      <c r="Q215" s="111"/>
    </row>
    <row r="216" spans="14:17" x14ac:dyDescent="0.3">
      <c r="N216" s="111"/>
      <c r="O216" s="111"/>
      <c r="P216" s="111"/>
      <c r="Q216" s="111"/>
    </row>
    <row r="217" spans="14:17" x14ac:dyDescent="0.3">
      <c r="N217" s="111"/>
      <c r="O217" s="111"/>
      <c r="P217" s="111"/>
      <c r="Q217" s="111"/>
    </row>
    <row r="218" spans="14:17" x14ac:dyDescent="0.3">
      <c r="N218" s="111"/>
      <c r="O218" s="111"/>
      <c r="P218" s="111"/>
      <c r="Q218" s="111"/>
    </row>
    <row r="219" spans="14:17" x14ac:dyDescent="0.3">
      <c r="N219" s="111"/>
      <c r="O219" s="111"/>
      <c r="P219" s="111"/>
      <c r="Q219" s="111"/>
    </row>
    <row r="220" spans="14:17" x14ac:dyDescent="0.3">
      <c r="N220" s="111"/>
      <c r="O220" s="111"/>
      <c r="P220" s="111"/>
      <c r="Q220" s="111"/>
    </row>
    <row r="221" spans="14:17" x14ac:dyDescent="0.3">
      <c r="N221" s="111"/>
      <c r="O221" s="111"/>
      <c r="P221" s="111"/>
      <c r="Q221" s="111"/>
    </row>
    <row r="222" spans="14:17" x14ac:dyDescent="0.3">
      <c r="N222" s="111"/>
      <c r="O222" s="111"/>
      <c r="P222" s="111"/>
      <c r="Q222" s="111"/>
    </row>
    <row r="223" spans="14:17" x14ac:dyDescent="0.3">
      <c r="N223" s="111"/>
      <c r="O223" s="111"/>
      <c r="P223" s="111"/>
      <c r="Q223" s="111"/>
    </row>
    <row r="224" spans="14:17" x14ac:dyDescent="0.3">
      <c r="N224" s="111"/>
      <c r="O224" s="111"/>
      <c r="P224" s="111"/>
      <c r="Q224" s="111"/>
    </row>
    <row r="225" spans="14:17" x14ac:dyDescent="0.3">
      <c r="N225" s="111"/>
      <c r="O225" s="111"/>
      <c r="P225" s="111"/>
      <c r="Q225" s="111"/>
    </row>
    <row r="226" spans="14:17" x14ac:dyDescent="0.3">
      <c r="N226" s="111"/>
      <c r="O226" s="111"/>
      <c r="P226" s="111"/>
      <c r="Q226" s="111"/>
    </row>
    <row r="227" spans="14:17" x14ac:dyDescent="0.3">
      <c r="N227" s="111"/>
      <c r="O227" s="111"/>
      <c r="P227" s="111"/>
      <c r="Q227" s="111"/>
    </row>
    <row r="228" spans="14:17" x14ac:dyDescent="0.3">
      <c r="N228" s="111"/>
      <c r="O228" s="111"/>
      <c r="P228" s="111"/>
      <c r="Q228" s="111"/>
    </row>
    <row r="229" spans="14:17" x14ac:dyDescent="0.3">
      <c r="N229" s="111"/>
      <c r="O229" s="111"/>
      <c r="P229" s="111"/>
      <c r="Q229" s="111"/>
    </row>
    <row r="230" spans="14:17" x14ac:dyDescent="0.3">
      <c r="N230" s="111"/>
      <c r="O230" s="111"/>
      <c r="P230" s="111"/>
      <c r="Q230" s="111"/>
    </row>
    <row r="231" spans="14:17" x14ac:dyDescent="0.3">
      <c r="N231" s="111"/>
      <c r="O231" s="111"/>
      <c r="P231" s="111"/>
      <c r="Q231" s="111"/>
    </row>
    <row r="232" spans="14:17" x14ac:dyDescent="0.3">
      <c r="N232" s="111"/>
      <c r="O232" s="111"/>
      <c r="P232" s="111"/>
      <c r="Q232" s="111"/>
    </row>
    <row r="233" spans="14:17" x14ac:dyDescent="0.3">
      <c r="N233" s="111"/>
      <c r="O233" s="111"/>
      <c r="P233" s="111"/>
      <c r="Q233" s="111"/>
    </row>
    <row r="234" spans="14:17" x14ac:dyDescent="0.3">
      <c r="N234" s="111"/>
      <c r="O234" s="111"/>
      <c r="P234" s="111"/>
      <c r="Q234" s="111"/>
    </row>
    <row r="235" spans="14:17" x14ac:dyDescent="0.3">
      <c r="N235" s="111"/>
      <c r="O235" s="111"/>
      <c r="P235" s="111"/>
      <c r="Q235" s="111"/>
    </row>
    <row r="236" spans="14:17" x14ac:dyDescent="0.3">
      <c r="N236" s="111"/>
      <c r="O236" s="111"/>
      <c r="P236" s="111"/>
      <c r="Q236" s="111"/>
    </row>
    <row r="237" spans="14:17" x14ac:dyDescent="0.3">
      <c r="N237" s="111"/>
      <c r="O237" s="111"/>
      <c r="P237" s="111"/>
      <c r="Q237" s="111"/>
    </row>
    <row r="238" spans="14:17" x14ac:dyDescent="0.3">
      <c r="N238" s="111"/>
      <c r="O238" s="111"/>
      <c r="P238" s="111"/>
      <c r="Q238" s="111"/>
    </row>
    <row r="239" spans="14:17" x14ac:dyDescent="0.3">
      <c r="N239" s="111"/>
      <c r="O239" s="111"/>
      <c r="P239" s="111"/>
      <c r="Q239" s="111"/>
    </row>
    <row r="240" spans="14:17" x14ac:dyDescent="0.3">
      <c r="N240" s="111"/>
      <c r="O240" s="111"/>
      <c r="P240" s="111"/>
      <c r="Q240" s="111"/>
    </row>
    <row r="241" spans="14:17" x14ac:dyDescent="0.3">
      <c r="N241" s="111"/>
      <c r="O241" s="111"/>
      <c r="P241" s="111"/>
      <c r="Q241" s="111"/>
    </row>
    <row r="242" spans="14:17" x14ac:dyDescent="0.3">
      <c r="N242" s="111"/>
      <c r="O242" s="111"/>
      <c r="P242" s="111"/>
      <c r="Q242" s="111"/>
    </row>
    <row r="243" spans="14:17" x14ac:dyDescent="0.3">
      <c r="N243" s="111"/>
      <c r="O243" s="111"/>
      <c r="P243" s="111"/>
      <c r="Q243" s="111"/>
    </row>
    <row r="244" spans="14:17" x14ac:dyDescent="0.3">
      <c r="N244" s="111"/>
      <c r="O244" s="111"/>
      <c r="P244" s="111"/>
      <c r="Q244" s="111"/>
    </row>
    <row r="245" spans="14:17" x14ac:dyDescent="0.3">
      <c r="N245" s="111"/>
      <c r="O245" s="111"/>
      <c r="P245" s="111"/>
      <c r="Q245" s="111"/>
    </row>
    <row r="246" spans="14:17" x14ac:dyDescent="0.3">
      <c r="N246" s="111"/>
      <c r="O246" s="111"/>
      <c r="P246" s="111"/>
      <c r="Q246" s="111"/>
    </row>
    <row r="247" spans="14:17" x14ac:dyDescent="0.3">
      <c r="N247" s="111"/>
      <c r="O247" s="111"/>
      <c r="P247" s="111"/>
      <c r="Q247" s="111"/>
    </row>
    <row r="248" spans="14:17" x14ac:dyDescent="0.3">
      <c r="N248" s="111"/>
      <c r="O248" s="111"/>
      <c r="P248" s="111"/>
      <c r="Q248" s="111"/>
    </row>
    <row r="249" spans="14:17" x14ac:dyDescent="0.3">
      <c r="N249" s="111"/>
      <c r="O249" s="111"/>
      <c r="P249" s="111"/>
      <c r="Q249" s="111"/>
    </row>
    <row r="250" spans="14:17" x14ac:dyDescent="0.3">
      <c r="N250" s="111"/>
      <c r="O250" s="111"/>
      <c r="P250" s="111"/>
      <c r="Q250" s="111"/>
    </row>
    <row r="251" spans="14:17" x14ac:dyDescent="0.3">
      <c r="N251" s="111"/>
      <c r="O251" s="111"/>
      <c r="P251" s="111"/>
      <c r="Q251" s="111"/>
    </row>
    <row r="252" spans="14:17" x14ac:dyDescent="0.3">
      <c r="N252" s="111"/>
      <c r="O252" s="111"/>
      <c r="P252" s="111"/>
      <c r="Q252" s="111"/>
    </row>
    <row r="253" spans="14:17" x14ac:dyDescent="0.3">
      <c r="N253" s="111"/>
      <c r="O253" s="111"/>
      <c r="P253" s="111"/>
      <c r="Q253" s="111"/>
    </row>
    <row r="254" spans="14:17" x14ac:dyDescent="0.3">
      <c r="N254" s="111"/>
      <c r="O254" s="111"/>
      <c r="P254" s="111"/>
      <c r="Q254" s="111"/>
    </row>
    <row r="255" spans="14:17" x14ac:dyDescent="0.3">
      <c r="N255" s="111"/>
      <c r="O255" s="111"/>
      <c r="P255" s="111"/>
      <c r="Q255" s="111"/>
    </row>
    <row r="256" spans="14:17" x14ac:dyDescent="0.3">
      <c r="N256" s="111"/>
      <c r="O256" s="111"/>
      <c r="P256" s="111"/>
      <c r="Q256" s="111"/>
    </row>
    <row r="257" spans="14:17" x14ac:dyDescent="0.3">
      <c r="N257" s="111"/>
      <c r="O257" s="111"/>
      <c r="P257" s="111"/>
      <c r="Q257" s="111"/>
    </row>
    <row r="258" spans="14:17" x14ac:dyDescent="0.3">
      <c r="N258" s="111"/>
      <c r="O258" s="111"/>
      <c r="P258" s="111"/>
      <c r="Q258" s="111"/>
    </row>
    <row r="259" spans="14:17" x14ac:dyDescent="0.3">
      <c r="N259" s="111"/>
      <c r="O259" s="111"/>
      <c r="P259" s="111"/>
      <c r="Q259" s="111"/>
    </row>
    <row r="260" spans="14:17" x14ac:dyDescent="0.3">
      <c r="N260" s="111"/>
      <c r="O260" s="111"/>
      <c r="P260" s="111"/>
      <c r="Q260" s="111"/>
    </row>
    <row r="261" spans="14:17" x14ac:dyDescent="0.3">
      <c r="N261" s="111"/>
      <c r="O261" s="111"/>
      <c r="P261" s="111"/>
      <c r="Q261" s="111"/>
    </row>
    <row r="262" spans="14:17" x14ac:dyDescent="0.3">
      <c r="N262" s="111"/>
      <c r="O262" s="111"/>
      <c r="P262" s="111"/>
      <c r="Q262" s="111"/>
    </row>
    <row r="263" spans="14:17" x14ac:dyDescent="0.3">
      <c r="N263" s="111"/>
      <c r="O263" s="111"/>
      <c r="P263" s="111"/>
      <c r="Q263" s="111"/>
    </row>
    <row r="264" spans="14:17" x14ac:dyDescent="0.3">
      <c r="N264" s="111"/>
      <c r="O264" s="111"/>
      <c r="P264" s="111"/>
      <c r="Q264" s="111"/>
    </row>
    <row r="265" spans="14:17" x14ac:dyDescent="0.3">
      <c r="N265" s="111"/>
      <c r="O265" s="111"/>
      <c r="P265" s="111"/>
      <c r="Q265" s="111"/>
    </row>
    <row r="266" spans="14:17" x14ac:dyDescent="0.3">
      <c r="N266" s="111"/>
      <c r="O266" s="111"/>
      <c r="P266" s="111"/>
      <c r="Q266" s="111"/>
    </row>
    <row r="267" spans="14:17" x14ac:dyDescent="0.3">
      <c r="N267" s="111"/>
      <c r="O267" s="111"/>
      <c r="P267" s="111"/>
      <c r="Q267" s="111"/>
    </row>
    <row r="268" spans="14:17" x14ac:dyDescent="0.3">
      <c r="N268" s="111"/>
      <c r="O268" s="111"/>
      <c r="P268" s="111"/>
      <c r="Q268" s="111"/>
    </row>
    <row r="269" spans="14:17" x14ac:dyDescent="0.3">
      <c r="N269" s="111"/>
      <c r="O269" s="111"/>
      <c r="P269" s="111"/>
      <c r="Q269" s="111"/>
    </row>
    <row r="270" spans="14:17" x14ac:dyDescent="0.3">
      <c r="N270" s="111"/>
      <c r="O270" s="111"/>
      <c r="P270" s="111"/>
      <c r="Q270" s="111"/>
    </row>
    <row r="271" spans="14:17" x14ac:dyDescent="0.3">
      <c r="N271" s="111"/>
      <c r="O271" s="111"/>
      <c r="P271" s="111"/>
      <c r="Q271" s="111"/>
    </row>
    <row r="272" spans="14:17" x14ac:dyDescent="0.3">
      <c r="N272" s="111"/>
      <c r="O272" s="111"/>
      <c r="P272" s="111"/>
      <c r="Q272" s="111"/>
    </row>
    <row r="273" spans="14:17" x14ac:dyDescent="0.3">
      <c r="N273" s="111"/>
      <c r="O273" s="111"/>
      <c r="P273" s="111"/>
      <c r="Q273" s="111"/>
    </row>
    <row r="274" spans="14:17" x14ac:dyDescent="0.3">
      <c r="N274" s="111"/>
      <c r="O274" s="111"/>
      <c r="P274" s="111"/>
      <c r="Q274" s="111"/>
    </row>
    <row r="275" spans="14:17" x14ac:dyDescent="0.3">
      <c r="N275" s="111"/>
      <c r="O275" s="111"/>
      <c r="P275" s="111"/>
      <c r="Q275" s="111"/>
    </row>
    <row r="276" spans="14:17" x14ac:dyDescent="0.3">
      <c r="N276" s="111"/>
      <c r="O276" s="111"/>
      <c r="P276" s="111"/>
      <c r="Q276" s="111"/>
    </row>
    <row r="277" spans="14:17" x14ac:dyDescent="0.3">
      <c r="N277" s="111"/>
      <c r="O277" s="111"/>
      <c r="P277" s="111"/>
      <c r="Q277" s="111"/>
    </row>
    <row r="278" spans="14:17" x14ac:dyDescent="0.3">
      <c r="N278" s="111"/>
      <c r="O278" s="111"/>
      <c r="P278" s="111"/>
      <c r="Q278" s="111"/>
    </row>
    <row r="279" spans="14:17" x14ac:dyDescent="0.3">
      <c r="N279" s="111"/>
      <c r="O279" s="111"/>
      <c r="P279" s="111"/>
      <c r="Q279" s="111"/>
    </row>
    <row r="280" spans="14:17" x14ac:dyDescent="0.3">
      <c r="N280" s="111"/>
      <c r="O280" s="111"/>
      <c r="P280" s="111"/>
      <c r="Q280" s="111"/>
    </row>
    <row r="281" spans="14:17" x14ac:dyDescent="0.3">
      <c r="N281" s="111"/>
      <c r="O281" s="111"/>
      <c r="P281" s="111"/>
      <c r="Q281" s="111"/>
    </row>
    <row r="282" spans="14:17" x14ac:dyDescent="0.3">
      <c r="N282" s="111"/>
      <c r="O282" s="111"/>
      <c r="P282" s="111"/>
      <c r="Q282" s="111"/>
    </row>
    <row r="283" spans="14:17" x14ac:dyDescent="0.3">
      <c r="N283" s="111"/>
      <c r="O283" s="111"/>
      <c r="P283" s="111"/>
      <c r="Q283" s="111"/>
    </row>
    <row r="284" spans="14:17" x14ac:dyDescent="0.3">
      <c r="N284" s="111"/>
      <c r="O284" s="111"/>
      <c r="P284" s="111"/>
      <c r="Q284" s="111"/>
    </row>
    <row r="285" spans="14:17" x14ac:dyDescent="0.3">
      <c r="N285" s="111"/>
      <c r="O285" s="111"/>
      <c r="P285" s="111"/>
      <c r="Q285" s="111"/>
    </row>
    <row r="286" spans="14:17" x14ac:dyDescent="0.3">
      <c r="N286" s="111"/>
      <c r="O286" s="111"/>
      <c r="P286" s="111"/>
      <c r="Q286" s="111"/>
    </row>
    <row r="287" spans="14:17" x14ac:dyDescent="0.3">
      <c r="N287" s="111"/>
      <c r="O287" s="111"/>
      <c r="P287" s="111"/>
      <c r="Q287" s="111"/>
    </row>
    <row r="288" spans="14:17" x14ac:dyDescent="0.3">
      <c r="N288" s="111"/>
      <c r="O288" s="111"/>
      <c r="P288" s="111"/>
      <c r="Q288" s="111"/>
    </row>
    <row r="289" spans="14:17" x14ac:dyDescent="0.3">
      <c r="N289" s="111"/>
      <c r="O289" s="111"/>
      <c r="P289" s="111"/>
      <c r="Q289" s="111"/>
    </row>
    <row r="290" spans="14:17" x14ac:dyDescent="0.3">
      <c r="N290" s="111"/>
      <c r="O290" s="111"/>
      <c r="P290" s="111"/>
      <c r="Q290" s="111"/>
    </row>
    <row r="291" spans="14:17" x14ac:dyDescent="0.3">
      <c r="N291" s="111"/>
      <c r="O291" s="111"/>
      <c r="P291" s="111"/>
      <c r="Q291" s="111"/>
    </row>
    <row r="292" spans="14:17" x14ac:dyDescent="0.3">
      <c r="N292" s="111"/>
      <c r="O292" s="111"/>
      <c r="P292" s="111"/>
      <c r="Q292" s="111"/>
    </row>
    <row r="293" spans="14:17" x14ac:dyDescent="0.3">
      <c r="N293" s="111"/>
      <c r="O293" s="111"/>
      <c r="P293" s="111"/>
      <c r="Q293" s="111"/>
    </row>
    <row r="294" spans="14:17" x14ac:dyDescent="0.3">
      <c r="N294" s="111"/>
      <c r="O294" s="111"/>
      <c r="P294" s="111"/>
      <c r="Q294" s="111"/>
    </row>
    <row r="295" spans="14:17" x14ac:dyDescent="0.3">
      <c r="N295" s="111"/>
      <c r="O295" s="111"/>
      <c r="P295" s="111"/>
      <c r="Q295" s="111"/>
    </row>
    <row r="296" spans="14:17" x14ac:dyDescent="0.3">
      <c r="N296" s="111"/>
      <c r="O296" s="111"/>
      <c r="P296" s="111"/>
      <c r="Q296" s="111"/>
    </row>
    <row r="297" spans="14:17" x14ac:dyDescent="0.3">
      <c r="N297" s="111"/>
      <c r="O297" s="111"/>
      <c r="P297" s="111"/>
      <c r="Q297" s="111"/>
    </row>
    <row r="298" spans="14:17" x14ac:dyDescent="0.3">
      <c r="N298" s="111"/>
      <c r="O298" s="111"/>
      <c r="P298" s="111"/>
      <c r="Q298" s="111"/>
    </row>
    <row r="299" spans="14:17" x14ac:dyDescent="0.3">
      <c r="N299" s="111"/>
      <c r="O299" s="111"/>
      <c r="P299" s="111"/>
      <c r="Q299" s="111"/>
    </row>
    <row r="300" spans="14:17" x14ac:dyDescent="0.3">
      <c r="N300" s="111"/>
      <c r="O300" s="111"/>
      <c r="P300" s="111"/>
      <c r="Q300" s="111"/>
    </row>
    <row r="301" spans="14:17" x14ac:dyDescent="0.3">
      <c r="N301" s="111"/>
      <c r="O301" s="111"/>
      <c r="P301" s="111"/>
      <c r="Q301" s="111"/>
    </row>
    <row r="302" spans="14:17" x14ac:dyDescent="0.3">
      <c r="N302" s="111"/>
      <c r="O302" s="111"/>
      <c r="P302" s="111"/>
      <c r="Q302" s="111"/>
    </row>
    <row r="303" spans="14:17" x14ac:dyDescent="0.3">
      <c r="N303" s="111"/>
      <c r="O303" s="111"/>
      <c r="P303" s="111"/>
      <c r="Q303" s="111"/>
    </row>
    <row r="304" spans="14:17" x14ac:dyDescent="0.3">
      <c r="N304" s="111"/>
      <c r="O304" s="111"/>
      <c r="P304" s="111"/>
      <c r="Q304" s="111"/>
    </row>
    <row r="305" spans="14:17" x14ac:dyDescent="0.3">
      <c r="N305" s="111"/>
      <c r="O305" s="111"/>
      <c r="P305" s="111"/>
      <c r="Q305" s="111"/>
    </row>
    <row r="306" spans="14:17" x14ac:dyDescent="0.3">
      <c r="N306" s="111"/>
      <c r="O306" s="111"/>
      <c r="P306" s="111"/>
      <c r="Q306" s="111"/>
    </row>
    <row r="307" spans="14:17" x14ac:dyDescent="0.3">
      <c r="N307" s="111"/>
      <c r="O307" s="111"/>
      <c r="P307" s="111"/>
      <c r="Q307" s="111"/>
    </row>
    <row r="308" spans="14:17" x14ac:dyDescent="0.3">
      <c r="N308" s="111"/>
      <c r="O308" s="111"/>
      <c r="P308" s="111"/>
      <c r="Q308" s="111"/>
    </row>
    <row r="309" spans="14:17" x14ac:dyDescent="0.3">
      <c r="N309" s="111"/>
      <c r="O309" s="111"/>
      <c r="P309" s="111"/>
      <c r="Q309" s="111"/>
    </row>
    <row r="310" spans="14:17" x14ac:dyDescent="0.3">
      <c r="N310" s="111"/>
      <c r="O310" s="111"/>
      <c r="P310" s="111"/>
      <c r="Q310" s="111"/>
    </row>
    <row r="311" spans="14:17" x14ac:dyDescent="0.3">
      <c r="N311" s="111"/>
      <c r="O311" s="111"/>
      <c r="P311" s="111"/>
      <c r="Q311" s="111"/>
    </row>
    <row r="312" spans="14:17" x14ac:dyDescent="0.3">
      <c r="N312" s="111"/>
      <c r="O312" s="111"/>
      <c r="P312" s="111"/>
      <c r="Q312" s="111"/>
    </row>
    <row r="313" spans="14:17" x14ac:dyDescent="0.3">
      <c r="N313" s="111"/>
      <c r="O313" s="111"/>
      <c r="P313" s="111"/>
      <c r="Q313" s="111"/>
    </row>
    <row r="314" spans="14:17" x14ac:dyDescent="0.3">
      <c r="N314" s="111"/>
      <c r="O314" s="111"/>
      <c r="P314" s="111"/>
      <c r="Q314" s="111"/>
    </row>
    <row r="315" spans="14:17" x14ac:dyDescent="0.3">
      <c r="N315" s="111"/>
      <c r="O315" s="111"/>
      <c r="P315" s="111"/>
      <c r="Q315" s="111"/>
    </row>
    <row r="316" spans="14:17" x14ac:dyDescent="0.3">
      <c r="N316" s="111"/>
      <c r="O316" s="111"/>
      <c r="P316" s="111"/>
      <c r="Q316" s="111"/>
    </row>
    <row r="317" spans="14:17" x14ac:dyDescent="0.3">
      <c r="N317" s="111"/>
      <c r="O317" s="111"/>
      <c r="P317" s="111"/>
      <c r="Q317" s="111"/>
    </row>
    <row r="318" spans="14:17" x14ac:dyDescent="0.3">
      <c r="N318" s="111"/>
      <c r="O318" s="111"/>
      <c r="P318" s="111"/>
      <c r="Q318" s="111"/>
    </row>
    <row r="319" spans="14:17" x14ac:dyDescent="0.3">
      <c r="N319" s="111"/>
      <c r="O319" s="111"/>
      <c r="P319" s="111"/>
      <c r="Q319" s="111"/>
    </row>
    <row r="320" spans="14:17" x14ac:dyDescent="0.3">
      <c r="N320" s="111"/>
      <c r="O320" s="111"/>
      <c r="P320" s="111"/>
      <c r="Q320" s="111"/>
    </row>
    <row r="321" spans="14:17" x14ac:dyDescent="0.3">
      <c r="N321" s="111"/>
      <c r="O321" s="111"/>
      <c r="P321" s="111"/>
      <c r="Q321" s="111"/>
    </row>
    <row r="322" spans="14:17" x14ac:dyDescent="0.3">
      <c r="N322" s="111"/>
      <c r="O322" s="111"/>
      <c r="P322" s="111"/>
      <c r="Q322" s="111"/>
    </row>
    <row r="323" spans="14:17" x14ac:dyDescent="0.3">
      <c r="N323" s="111"/>
      <c r="O323" s="111"/>
      <c r="P323" s="111"/>
      <c r="Q323" s="111"/>
    </row>
    <row r="324" spans="14:17" x14ac:dyDescent="0.3">
      <c r="N324" s="111"/>
      <c r="O324" s="111"/>
      <c r="P324" s="111"/>
      <c r="Q324" s="111"/>
    </row>
    <row r="325" spans="14:17" x14ac:dyDescent="0.3">
      <c r="N325" s="111"/>
      <c r="O325" s="111"/>
      <c r="P325" s="111"/>
      <c r="Q325" s="111"/>
    </row>
    <row r="326" spans="14:17" x14ac:dyDescent="0.3">
      <c r="N326" s="111"/>
      <c r="O326" s="111"/>
      <c r="P326" s="111"/>
      <c r="Q326" s="111"/>
    </row>
    <row r="327" spans="14:17" x14ac:dyDescent="0.3">
      <c r="N327" s="111"/>
      <c r="O327" s="111"/>
      <c r="P327" s="111"/>
      <c r="Q327" s="111"/>
    </row>
    <row r="328" spans="14:17" x14ac:dyDescent="0.3">
      <c r="N328" s="111"/>
      <c r="O328" s="111"/>
      <c r="P328" s="111"/>
      <c r="Q328" s="111"/>
    </row>
    <row r="329" spans="14:17" x14ac:dyDescent="0.3">
      <c r="N329" s="111"/>
      <c r="O329" s="111"/>
      <c r="P329" s="111"/>
      <c r="Q329" s="111"/>
    </row>
    <row r="330" spans="14:17" x14ac:dyDescent="0.3">
      <c r="N330" s="111"/>
      <c r="O330" s="111"/>
      <c r="P330" s="111"/>
      <c r="Q330" s="111"/>
    </row>
    <row r="331" spans="14:17" x14ac:dyDescent="0.3">
      <c r="N331" s="111"/>
      <c r="O331" s="111"/>
      <c r="P331" s="111"/>
      <c r="Q331" s="111"/>
    </row>
    <row r="332" spans="14:17" x14ac:dyDescent="0.3">
      <c r="N332" s="111"/>
      <c r="O332" s="111"/>
      <c r="P332" s="111"/>
      <c r="Q332" s="111"/>
    </row>
    <row r="333" spans="14:17" x14ac:dyDescent="0.3">
      <c r="N333" s="111"/>
      <c r="O333" s="111"/>
      <c r="P333" s="111"/>
      <c r="Q333" s="111"/>
    </row>
    <row r="334" spans="14:17" x14ac:dyDescent="0.3">
      <c r="N334" s="111"/>
      <c r="O334" s="111"/>
      <c r="P334" s="111"/>
      <c r="Q334" s="111"/>
    </row>
    <row r="335" spans="14:17" x14ac:dyDescent="0.3">
      <c r="N335" s="111"/>
      <c r="O335" s="111"/>
      <c r="P335" s="111"/>
      <c r="Q335" s="111"/>
    </row>
    <row r="336" spans="14:17" x14ac:dyDescent="0.3">
      <c r="N336" s="111"/>
      <c r="O336" s="111"/>
      <c r="P336" s="111"/>
      <c r="Q336" s="111"/>
    </row>
    <row r="337" spans="14:17" x14ac:dyDescent="0.3">
      <c r="N337" s="111"/>
      <c r="O337" s="111"/>
      <c r="P337" s="111"/>
      <c r="Q337" s="111"/>
    </row>
    <row r="338" spans="14:17" x14ac:dyDescent="0.3">
      <c r="N338" s="111"/>
      <c r="O338" s="111"/>
      <c r="P338" s="111"/>
      <c r="Q338" s="111"/>
    </row>
    <row r="339" spans="14:17" x14ac:dyDescent="0.3">
      <c r="N339" s="111"/>
      <c r="O339" s="111"/>
      <c r="P339" s="111"/>
      <c r="Q339" s="111"/>
    </row>
    <row r="340" spans="14:17" x14ac:dyDescent="0.3">
      <c r="N340" s="111"/>
      <c r="O340" s="111"/>
      <c r="P340" s="111"/>
      <c r="Q340" s="111"/>
    </row>
    <row r="341" spans="14:17" x14ac:dyDescent="0.3">
      <c r="N341" s="111"/>
      <c r="O341" s="111"/>
      <c r="P341" s="111"/>
      <c r="Q341" s="111"/>
    </row>
    <row r="342" spans="14:17" x14ac:dyDescent="0.3">
      <c r="N342" s="111"/>
      <c r="O342" s="111"/>
      <c r="P342" s="111"/>
      <c r="Q342" s="111"/>
    </row>
    <row r="343" spans="14:17" x14ac:dyDescent="0.3">
      <c r="N343" s="111"/>
      <c r="O343" s="111"/>
      <c r="P343" s="111"/>
      <c r="Q343" s="111"/>
    </row>
    <row r="344" spans="14:17" x14ac:dyDescent="0.3">
      <c r="N344" s="111"/>
      <c r="O344" s="111"/>
      <c r="P344" s="111"/>
      <c r="Q344" s="111"/>
    </row>
    <row r="345" spans="14:17" x14ac:dyDescent="0.3">
      <c r="N345" s="111"/>
      <c r="O345" s="111"/>
      <c r="P345" s="111"/>
      <c r="Q345" s="111"/>
    </row>
    <row r="346" spans="14:17" x14ac:dyDescent="0.3">
      <c r="N346" s="111"/>
      <c r="O346" s="111"/>
      <c r="P346" s="111"/>
      <c r="Q346" s="111"/>
    </row>
    <row r="347" spans="14:17" x14ac:dyDescent="0.3">
      <c r="N347" s="111"/>
      <c r="O347" s="111"/>
      <c r="P347" s="111"/>
      <c r="Q347" s="111"/>
    </row>
    <row r="348" spans="14:17" x14ac:dyDescent="0.3">
      <c r="N348" s="111"/>
      <c r="O348" s="111"/>
      <c r="P348" s="111"/>
      <c r="Q348" s="111"/>
    </row>
    <row r="349" spans="14:17" x14ac:dyDescent="0.3">
      <c r="N349" s="111"/>
      <c r="O349" s="111"/>
      <c r="P349" s="111"/>
      <c r="Q349" s="111"/>
    </row>
    <row r="350" spans="14:17" x14ac:dyDescent="0.3">
      <c r="N350" s="111"/>
      <c r="O350" s="111"/>
      <c r="P350" s="111"/>
      <c r="Q350" s="111"/>
    </row>
    <row r="351" spans="14:17" x14ac:dyDescent="0.3">
      <c r="N351" s="111"/>
      <c r="O351" s="111"/>
      <c r="P351" s="111"/>
      <c r="Q351" s="111"/>
    </row>
    <row r="352" spans="14:17" x14ac:dyDescent="0.3">
      <c r="N352" s="111"/>
      <c r="O352" s="111"/>
      <c r="P352" s="111"/>
      <c r="Q352" s="111"/>
    </row>
    <row r="353" spans="14:17" x14ac:dyDescent="0.3">
      <c r="N353" s="111"/>
      <c r="O353" s="111"/>
      <c r="P353" s="111"/>
      <c r="Q353" s="111"/>
    </row>
    <row r="354" spans="14:17" x14ac:dyDescent="0.3">
      <c r="N354" s="111"/>
      <c r="O354" s="111"/>
      <c r="P354" s="111"/>
      <c r="Q354" s="111"/>
    </row>
    <row r="355" spans="14:17" x14ac:dyDescent="0.3">
      <c r="N355" s="111"/>
      <c r="O355" s="111"/>
      <c r="P355" s="111"/>
      <c r="Q355" s="111"/>
    </row>
    <row r="356" spans="14:17" x14ac:dyDescent="0.3">
      <c r="N356" s="111"/>
      <c r="O356" s="111"/>
      <c r="P356" s="111"/>
      <c r="Q356" s="111"/>
    </row>
    <row r="357" spans="14:17" x14ac:dyDescent="0.3">
      <c r="N357" s="111"/>
      <c r="O357" s="111"/>
      <c r="P357" s="111"/>
      <c r="Q357" s="111"/>
    </row>
    <row r="358" spans="14:17" x14ac:dyDescent="0.3">
      <c r="N358" s="111"/>
      <c r="O358" s="111"/>
      <c r="P358" s="111"/>
      <c r="Q358" s="111"/>
    </row>
    <row r="359" spans="14:17" x14ac:dyDescent="0.3">
      <c r="N359" s="111"/>
      <c r="O359" s="111"/>
      <c r="P359" s="111"/>
      <c r="Q359" s="111"/>
    </row>
    <row r="360" spans="14:17" x14ac:dyDescent="0.3">
      <c r="N360" s="111"/>
      <c r="O360" s="111"/>
      <c r="P360" s="111"/>
      <c r="Q360" s="111"/>
    </row>
    <row r="361" spans="14:17" x14ac:dyDescent="0.3">
      <c r="N361" s="111"/>
      <c r="O361" s="111"/>
      <c r="P361" s="111"/>
      <c r="Q361" s="111"/>
    </row>
    <row r="362" spans="14:17" x14ac:dyDescent="0.3">
      <c r="N362" s="111"/>
      <c r="O362" s="111"/>
      <c r="P362" s="111"/>
      <c r="Q362" s="111"/>
    </row>
    <row r="363" spans="14:17" x14ac:dyDescent="0.3">
      <c r="N363" s="111"/>
      <c r="O363" s="111"/>
      <c r="P363" s="111"/>
      <c r="Q363" s="111"/>
    </row>
    <row r="364" spans="14:17" x14ac:dyDescent="0.3">
      <c r="N364" s="111"/>
      <c r="O364" s="111"/>
      <c r="P364" s="111"/>
      <c r="Q364" s="111"/>
    </row>
    <row r="365" spans="14:17" x14ac:dyDescent="0.3">
      <c r="N365" s="111"/>
      <c r="O365" s="111"/>
      <c r="P365" s="111"/>
      <c r="Q365" s="111"/>
    </row>
    <row r="366" spans="14:17" x14ac:dyDescent="0.3">
      <c r="N366" s="111"/>
      <c r="O366" s="111"/>
      <c r="P366" s="111"/>
      <c r="Q366" s="111"/>
    </row>
    <row r="367" spans="14:17" x14ac:dyDescent="0.3">
      <c r="N367" s="111"/>
      <c r="O367" s="111"/>
      <c r="P367" s="111"/>
      <c r="Q367" s="111"/>
    </row>
    <row r="368" spans="14:17" x14ac:dyDescent="0.3">
      <c r="N368" s="111"/>
      <c r="O368" s="111"/>
      <c r="P368" s="111"/>
      <c r="Q368" s="111"/>
    </row>
    <row r="369" spans="14:17" x14ac:dyDescent="0.3">
      <c r="N369" s="111"/>
      <c r="O369" s="111"/>
      <c r="P369" s="111"/>
      <c r="Q369" s="111"/>
    </row>
    <row r="370" spans="14:17" x14ac:dyDescent="0.3">
      <c r="N370" s="111"/>
      <c r="O370" s="111"/>
      <c r="P370" s="111"/>
      <c r="Q370" s="111"/>
    </row>
    <row r="371" spans="14:17" x14ac:dyDescent="0.3">
      <c r="N371" s="111"/>
      <c r="O371" s="111"/>
      <c r="P371" s="111"/>
      <c r="Q371" s="111"/>
    </row>
    <row r="372" spans="14:17" x14ac:dyDescent="0.3">
      <c r="N372" s="111"/>
      <c r="O372" s="111"/>
      <c r="P372" s="111"/>
      <c r="Q372" s="111"/>
    </row>
    <row r="373" spans="14:17" x14ac:dyDescent="0.3">
      <c r="N373" s="111"/>
      <c r="O373" s="111"/>
      <c r="P373" s="111"/>
      <c r="Q373" s="111"/>
    </row>
    <row r="374" spans="14:17" x14ac:dyDescent="0.3">
      <c r="N374" s="111"/>
      <c r="O374" s="111"/>
      <c r="P374" s="111"/>
      <c r="Q374" s="111"/>
    </row>
    <row r="375" spans="14:17" x14ac:dyDescent="0.3">
      <c r="N375" s="111"/>
      <c r="O375" s="111"/>
      <c r="P375" s="111"/>
      <c r="Q375" s="111"/>
    </row>
    <row r="376" spans="14:17" x14ac:dyDescent="0.3">
      <c r="N376" s="111"/>
      <c r="O376" s="111"/>
      <c r="P376" s="111"/>
      <c r="Q376" s="111"/>
    </row>
    <row r="377" spans="14:17" x14ac:dyDescent="0.3">
      <c r="N377" s="111"/>
      <c r="O377" s="111"/>
      <c r="P377" s="111"/>
      <c r="Q377" s="111"/>
    </row>
    <row r="378" spans="14:17" x14ac:dyDescent="0.3">
      <c r="N378" s="111"/>
      <c r="O378" s="111"/>
      <c r="P378" s="111"/>
      <c r="Q378" s="111"/>
    </row>
    <row r="379" spans="14:17" x14ac:dyDescent="0.3">
      <c r="N379" s="111"/>
      <c r="O379" s="111"/>
      <c r="P379" s="111"/>
      <c r="Q379" s="111"/>
    </row>
    <row r="380" spans="14:17" x14ac:dyDescent="0.3">
      <c r="N380" s="111"/>
      <c r="O380" s="111"/>
      <c r="P380" s="111"/>
      <c r="Q380" s="111"/>
    </row>
    <row r="381" spans="14:17" x14ac:dyDescent="0.3">
      <c r="N381" s="111"/>
      <c r="O381" s="111"/>
      <c r="P381" s="111"/>
      <c r="Q381" s="111"/>
    </row>
    <row r="382" spans="14:17" x14ac:dyDescent="0.3">
      <c r="N382" s="111"/>
      <c r="O382" s="111"/>
      <c r="P382" s="111"/>
      <c r="Q382" s="111"/>
    </row>
    <row r="383" spans="14:17" x14ac:dyDescent="0.3">
      <c r="N383" s="111"/>
      <c r="O383" s="111"/>
      <c r="P383" s="111"/>
      <c r="Q383" s="111"/>
    </row>
    <row r="384" spans="14:17" x14ac:dyDescent="0.3">
      <c r="N384" s="111"/>
      <c r="O384" s="111"/>
      <c r="P384" s="111"/>
      <c r="Q384" s="111"/>
    </row>
    <row r="385" spans="14:17" x14ac:dyDescent="0.3">
      <c r="N385" s="111"/>
      <c r="O385" s="111"/>
      <c r="P385" s="111"/>
      <c r="Q385" s="111"/>
    </row>
    <row r="386" spans="14:17" x14ac:dyDescent="0.3">
      <c r="N386" s="111"/>
      <c r="O386" s="111"/>
      <c r="P386" s="111"/>
      <c r="Q386" s="111"/>
    </row>
    <row r="387" spans="14:17" x14ac:dyDescent="0.3">
      <c r="N387" s="111"/>
      <c r="O387" s="111"/>
      <c r="P387" s="111"/>
      <c r="Q387" s="111"/>
    </row>
    <row r="388" spans="14:17" x14ac:dyDescent="0.3">
      <c r="N388" s="111"/>
      <c r="O388" s="111"/>
      <c r="P388" s="111"/>
      <c r="Q388" s="111"/>
    </row>
    <row r="389" spans="14:17" x14ac:dyDescent="0.3">
      <c r="N389" s="111"/>
      <c r="O389" s="111"/>
      <c r="P389" s="111"/>
      <c r="Q389" s="111"/>
    </row>
    <row r="390" spans="14:17" x14ac:dyDescent="0.3">
      <c r="N390" s="111"/>
      <c r="O390" s="111"/>
      <c r="P390" s="111"/>
      <c r="Q390" s="111"/>
    </row>
    <row r="391" spans="14:17" x14ac:dyDescent="0.3">
      <c r="N391" s="111"/>
      <c r="O391" s="111"/>
      <c r="P391" s="111"/>
      <c r="Q391" s="111"/>
    </row>
    <row r="392" spans="14:17" x14ac:dyDescent="0.3">
      <c r="N392" s="111"/>
      <c r="O392" s="111"/>
      <c r="P392" s="111"/>
      <c r="Q392" s="111"/>
    </row>
    <row r="393" spans="14:17" x14ac:dyDescent="0.3">
      <c r="N393" s="111"/>
      <c r="O393" s="111"/>
      <c r="P393" s="111"/>
      <c r="Q393" s="111"/>
    </row>
    <row r="394" spans="14:17" x14ac:dyDescent="0.3">
      <c r="N394" s="111"/>
      <c r="O394" s="111"/>
      <c r="P394" s="111"/>
      <c r="Q394" s="111"/>
    </row>
    <row r="395" spans="14:17" x14ac:dyDescent="0.3">
      <c r="N395" s="111"/>
      <c r="O395" s="111"/>
      <c r="P395" s="111"/>
      <c r="Q395" s="111"/>
    </row>
    <row r="396" spans="14:17" x14ac:dyDescent="0.3">
      <c r="N396" s="111"/>
      <c r="O396" s="111"/>
      <c r="P396" s="111"/>
      <c r="Q396" s="111"/>
    </row>
    <row r="397" spans="14:17" x14ac:dyDescent="0.3">
      <c r="N397" s="111"/>
      <c r="O397" s="111"/>
      <c r="P397" s="111"/>
      <c r="Q397" s="111"/>
    </row>
    <row r="398" spans="14:17" x14ac:dyDescent="0.3">
      <c r="N398" s="111"/>
      <c r="O398" s="111"/>
      <c r="P398" s="111"/>
      <c r="Q398" s="111"/>
    </row>
    <row r="399" spans="14:17" x14ac:dyDescent="0.3">
      <c r="N399" s="111"/>
      <c r="O399" s="111"/>
      <c r="P399" s="111"/>
      <c r="Q399" s="111"/>
    </row>
    <row r="400" spans="14:17" x14ac:dyDescent="0.3">
      <c r="N400" s="111"/>
      <c r="O400" s="111"/>
      <c r="P400" s="111"/>
      <c r="Q400" s="111"/>
    </row>
    <row r="401" spans="14:17" x14ac:dyDescent="0.3">
      <c r="N401" s="111"/>
      <c r="O401" s="111"/>
      <c r="P401" s="111"/>
      <c r="Q401" s="111"/>
    </row>
    <row r="402" spans="14:17" x14ac:dyDescent="0.3">
      <c r="N402" s="111"/>
      <c r="O402" s="111"/>
      <c r="P402" s="111"/>
      <c r="Q402" s="111"/>
    </row>
    <row r="403" spans="14:17" x14ac:dyDescent="0.3">
      <c r="N403" s="111"/>
      <c r="O403" s="111"/>
      <c r="P403" s="111"/>
      <c r="Q403" s="111"/>
    </row>
    <row r="404" spans="14:17" x14ac:dyDescent="0.3">
      <c r="N404" s="111"/>
      <c r="O404" s="111"/>
      <c r="P404" s="111"/>
      <c r="Q404" s="111"/>
    </row>
    <row r="405" spans="14:17" x14ac:dyDescent="0.3">
      <c r="N405" s="111"/>
      <c r="O405" s="111"/>
      <c r="P405" s="111"/>
      <c r="Q405" s="111"/>
    </row>
    <row r="406" spans="14:17" x14ac:dyDescent="0.3">
      <c r="N406" s="111"/>
      <c r="O406" s="111"/>
      <c r="P406" s="111"/>
      <c r="Q406" s="111"/>
    </row>
    <row r="407" spans="14:17" x14ac:dyDescent="0.3">
      <c r="N407" s="111"/>
      <c r="O407" s="111"/>
      <c r="P407" s="111"/>
      <c r="Q407" s="111"/>
    </row>
    <row r="408" spans="14:17" x14ac:dyDescent="0.3">
      <c r="N408" s="111"/>
      <c r="O408" s="111"/>
      <c r="P408" s="111"/>
      <c r="Q408" s="111"/>
    </row>
    <row r="409" spans="14:17" x14ac:dyDescent="0.3">
      <c r="N409" s="111"/>
      <c r="O409" s="111"/>
      <c r="P409" s="111"/>
      <c r="Q409" s="111"/>
    </row>
    <row r="410" spans="14:17" x14ac:dyDescent="0.3">
      <c r="N410" s="111"/>
      <c r="O410" s="111"/>
      <c r="P410" s="111"/>
      <c r="Q410" s="111"/>
    </row>
    <row r="411" spans="14:17" x14ac:dyDescent="0.3">
      <c r="N411" s="111"/>
      <c r="O411" s="111"/>
      <c r="P411" s="111"/>
      <c r="Q411" s="111"/>
    </row>
    <row r="412" spans="14:17" x14ac:dyDescent="0.3">
      <c r="N412" s="111"/>
      <c r="O412" s="111"/>
      <c r="P412" s="111"/>
      <c r="Q412" s="111"/>
    </row>
    <row r="413" spans="14:17" x14ac:dyDescent="0.3">
      <c r="N413" s="111"/>
      <c r="O413" s="111"/>
      <c r="P413" s="111"/>
      <c r="Q413" s="111"/>
    </row>
    <row r="414" spans="14:17" x14ac:dyDescent="0.3">
      <c r="N414" s="111"/>
      <c r="O414" s="111"/>
      <c r="P414" s="111"/>
      <c r="Q414" s="111"/>
    </row>
    <row r="415" spans="14:17" x14ac:dyDescent="0.3">
      <c r="N415" s="111"/>
      <c r="O415" s="111"/>
      <c r="P415" s="111"/>
      <c r="Q415" s="111"/>
    </row>
    <row r="416" spans="14:17" x14ac:dyDescent="0.3">
      <c r="N416" s="111"/>
      <c r="O416" s="111"/>
      <c r="P416" s="111"/>
      <c r="Q416" s="111"/>
    </row>
    <row r="417" spans="14:17" x14ac:dyDescent="0.3">
      <c r="N417" s="111"/>
      <c r="O417" s="111"/>
      <c r="P417" s="111"/>
      <c r="Q417" s="111"/>
    </row>
    <row r="418" spans="14:17" x14ac:dyDescent="0.3">
      <c r="N418" s="111"/>
      <c r="O418" s="111"/>
      <c r="P418" s="111"/>
      <c r="Q418" s="111"/>
    </row>
    <row r="419" spans="14:17" x14ac:dyDescent="0.3">
      <c r="N419" s="111"/>
      <c r="O419" s="111"/>
      <c r="P419" s="111"/>
      <c r="Q419" s="111"/>
    </row>
    <row r="420" spans="14:17" x14ac:dyDescent="0.3">
      <c r="N420" s="111"/>
      <c r="O420" s="111"/>
      <c r="P420" s="111"/>
      <c r="Q420" s="111"/>
    </row>
    <row r="421" spans="14:17" x14ac:dyDescent="0.3">
      <c r="N421" s="111"/>
      <c r="O421" s="111"/>
      <c r="P421" s="111"/>
      <c r="Q421" s="111"/>
    </row>
    <row r="422" spans="14:17" x14ac:dyDescent="0.3">
      <c r="N422" s="111"/>
      <c r="O422" s="111"/>
      <c r="P422" s="111"/>
      <c r="Q422" s="111"/>
    </row>
    <row r="423" spans="14:17" x14ac:dyDescent="0.3">
      <c r="N423" s="111"/>
      <c r="O423" s="111"/>
      <c r="P423" s="111"/>
      <c r="Q423" s="111"/>
    </row>
    <row r="424" spans="14:17" x14ac:dyDescent="0.3">
      <c r="N424" s="111"/>
      <c r="O424" s="111"/>
      <c r="P424" s="111"/>
      <c r="Q424" s="111"/>
    </row>
    <row r="425" spans="14:17" x14ac:dyDescent="0.3">
      <c r="N425" s="111"/>
      <c r="O425" s="111"/>
      <c r="P425" s="111"/>
      <c r="Q425" s="111"/>
    </row>
    <row r="426" spans="14:17" x14ac:dyDescent="0.3">
      <c r="N426" s="111"/>
      <c r="O426" s="111"/>
      <c r="P426" s="111"/>
      <c r="Q426" s="111"/>
    </row>
    <row r="427" spans="14:17" x14ac:dyDescent="0.3">
      <c r="N427" s="111"/>
      <c r="O427" s="111"/>
      <c r="P427" s="111"/>
      <c r="Q427" s="111"/>
    </row>
    <row r="428" spans="14:17" x14ac:dyDescent="0.3">
      <c r="N428" s="111"/>
      <c r="O428" s="111"/>
      <c r="P428" s="111"/>
      <c r="Q428" s="111"/>
    </row>
    <row r="429" spans="14:17" x14ac:dyDescent="0.3">
      <c r="N429" s="111"/>
      <c r="O429" s="111"/>
      <c r="P429" s="111"/>
      <c r="Q429" s="111"/>
    </row>
    <row r="430" spans="14:17" x14ac:dyDescent="0.3">
      <c r="N430" s="111"/>
      <c r="O430" s="111"/>
      <c r="P430" s="111"/>
      <c r="Q430" s="111"/>
    </row>
    <row r="431" spans="14:17" x14ac:dyDescent="0.3">
      <c r="N431" s="111"/>
      <c r="O431" s="111"/>
      <c r="P431" s="111"/>
      <c r="Q431" s="111"/>
    </row>
    <row r="432" spans="14:17" x14ac:dyDescent="0.3">
      <c r="N432" s="111"/>
      <c r="O432" s="111"/>
      <c r="P432" s="111"/>
      <c r="Q432" s="111"/>
    </row>
    <row r="433" spans="14:17" x14ac:dyDescent="0.3">
      <c r="N433" s="111"/>
      <c r="O433" s="111"/>
      <c r="P433" s="111"/>
      <c r="Q433" s="111"/>
    </row>
    <row r="434" spans="14:17" x14ac:dyDescent="0.3">
      <c r="N434" s="111"/>
      <c r="O434" s="111"/>
      <c r="P434" s="111"/>
      <c r="Q434" s="111"/>
    </row>
    <row r="435" spans="14:17" x14ac:dyDescent="0.3">
      <c r="N435" s="111"/>
      <c r="O435" s="111"/>
      <c r="P435" s="111"/>
      <c r="Q435" s="111"/>
    </row>
    <row r="436" spans="14:17" x14ac:dyDescent="0.3">
      <c r="N436" s="111"/>
      <c r="O436" s="111"/>
      <c r="P436" s="111"/>
      <c r="Q436" s="111"/>
    </row>
    <row r="437" spans="14:17" x14ac:dyDescent="0.3">
      <c r="N437" s="111"/>
      <c r="O437" s="111"/>
      <c r="P437" s="111"/>
      <c r="Q437" s="111"/>
    </row>
    <row r="438" spans="14:17" x14ac:dyDescent="0.3">
      <c r="N438" s="111"/>
      <c r="O438" s="111"/>
      <c r="P438" s="111"/>
      <c r="Q438" s="111"/>
    </row>
    <row r="439" spans="14:17" x14ac:dyDescent="0.3">
      <c r="N439" s="111"/>
      <c r="O439" s="111"/>
      <c r="P439" s="111"/>
      <c r="Q439" s="111"/>
    </row>
    <row r="440" spans="14:17" x14ac:dyDescent="0.3">
      <c r="N440" s="111"/>
      <c r="O440" s="111"/>
      <c r="P440" s="111"/>
      <c r="Q440" s="111"/>
    </row>
    <row r="441" spans="14:17" x14ac:dyDescent="0.3">
      <c r="N441" s="111"/>
      <c r="O441" s="111"/>
      <c r="P441" s="111"/>
      <c r="Q441" s="111"/>
    </row>
    <row r="442" spans="14:17" x14ac:dyDescent="0.3">
      <c r="N442" s="111"/>
      <c r="O442" s="111"/>
      <c r="P442" s="111"/>
      <c r="Q442" s="111"/>
    </row>
    <row r="443" spans="14:17" x14ac:dyDescent="0.3">
      <c r="N443" s="111"/>
      <c r="O443" s="111"/>
      <c r="P443" s="111"/>
      <c r="Q443" s="111"/>
    </row>
    <row r="444" spans="14:17" x14ac:dyDescent="0.3">
      <c r="N444" s="111"/>
      <c r="O444" s="111"/>
      <c r="P444" s="111"/>
      <c r="Q444" s="111"/>
    </row>
    <row r="445" spans="14:17" x14ac:dyDescent="0.3">
      <c r="N445" s="111"/>
      <c r="O445" s="111"/>
      <c r="P445" s="111"/>
      <c r="Q445" s="111"/>
    </row>
    <row r="446" spans="14:17" x14ac:dyDescent="0.3">
      <c r="N446" s="111"/>
      <c r="O446" s="111"/>
      <c r="P446" s="111"/>
      <c r="Q446" s="111"/>
    </row>
    <row r="447" spans="14:17" x14ac:dyDescent="0.3">
      <c r="N447" s="111"/>
      <c r="O447" s="111"/>
      <c r="P447" s="111"/>
      <c r="Q447" s="111"/>
    </row>
    <row r="448" spans="14:17" x14ac:dyDescent="0.3">
      <c r="N448" s="111"/>
      <c r="O448" s="111"/>
      <c r="P448" s="111"/>
      <c r="Q448" s="111"/>
    </row>
    <row r="449" spans="14:17" x14ac:dyDescent="0.3">
      <c r="N449" s="111"/>
      <c r="O449" s="111"/>
      <c r="P449" s="111"/>
      <c r="Q449" s="111"/>
    </row>
    <row r="450" spans="14:17" x14ac:dyDescent="0.3">
      <c r="N450" s="111"/>
      <c r="O450" s="111"/>
      <c r="P450" s="111"/>
      <c r="Q450" s="111"/>
    </row>
    <row r="451" spans="14:17" x14ac:dyDescent="0.3">
      <c r="N451" s="111"/>
      <c r="O451" s="111"/>
      <c r="P451" s="111"/>
      <c r="Q451" s="111"/>
    </row>
    <row r="452" spans="14:17" x14ac:dyDescent="0.3">
      <c r="N452" s="111"/>
      <c r="O452" s="111"/>
      <c r="P452" s="111"/>
      <c r="Q452" s="111"/>
    </row>
    <row r="453" spans="14:17" x14ac:dyDescent="0.3">
      <c r="N453" s="111"/>
      <c r="O453" s="111"/>
      <c r="P453" s="111"/>
      <c r="Q453" s="111"/>
    </row>
    <row r="454" spans="14:17" x14ac:dyDescent="0.3">
      <c r="N454" s="111"/>
      <c r="O454" s="111"/>
      <c r="P454" s="111"/>
      <c r="Q454" s="111"/>
    </row>
    <row r="455" spans="14:17" x14ac:dyDescent="0.3">
      <c r="N455" s="111"/>
      <c r="O455" s="111"/>
      <c r="P455" s="111"/>
      <c r="Q455" s="111"/>
    </row>
    <row r="456" spans="14:17" x14ac:dyDescent="0.3">
      <c r="N456" s="111"/>
      <c r="O456" s="111"/>
      <c r="P456" s="111"/>
      <c r="Q456" s="111"/>
    </row>
    <row r="457" spans="14:17" x14ac:dyDescent="0.3">
      <c r="N457" s="111"/>
      <c r="O457" s="111"/>
      <c r="P457" s="111"/>
      <c r="Q457" s="111"/>
    </row>
    <row r="458" spans="14:17" x14ac:dyDescent="0.3">
      <c r="N458" s="111"/>
      <c r="O458" s="111"/>
      <c r="P458" s="111"/>
      <c r="Q458" s="111"/>
    </row>
    <row r="459" spans="14:17" x14ac:dyDescent="0.3">
      <c r="N459" s="111"/>
      <c r="O459" s="111"/>
      <c r="P459" s="111"/>
      <c r="Q459" s="111"/>
    </row>
    <row r="460" spans="14:17" x14ac:dyDescent="0.3">
      <c r="N460" s="111"/>
      <c r="O460" s="111"/>
      <c r="P460" s="111"/>
      <c r="Q460" s="111"/>
    </row>
    <row r="461" spans="14:17" x14ac:dyDescent="0.3">
      <c r="N461" s="111"/>
      <c r="O461" s="111"/>
      <c r="P461" s="111"/>
      <c r="Q461" s="111"/>
    </row>
    <row r="462" spans="14:17" x14ac:dyDescent="0.3">
      <c r="N462" s="111"/>
      <c r="O462" s="111"/>
      <c r="P462" s="111"/>
      <c r="Q462" s="111"/>
    </row>
    <row r="463" spans="14:17" x14ac:dyDescent="0.3">
      <c r="N463" s="111"/>
      <c r="O463" s="111"/>
      <c r="P463" s="111"/>
      <c r="Q463" s="111"/>
    </row>
    <row r="464" spans="14:17" x14ac:dyDescent="0.3">
      <c r="N464" s="111"/>
      <c r="O464" s="111"/>
      <c r="P464" s="111"/>
      <c r="Q464" s="111"/>
    </row>
    <row r="465" spans="14:17" x14ac:dyDescent="0.3">
      <c r="N465" s="111"/>
      <c r="O465" s="111"/>
      <c r="P465" s="111"/>
      <c r="Q465" s="111"/>
    </row>
    <row r="466" spans="14:17" x14ac:dyDescent="0.3">
      <c r="N466" s="111"/>
      <c r="O466" s="111"/>
      <c r="P466" s="111"/>
      <c r="Q466" s="111"/>
    </row>
    <row r="467" spans="14:17" x14ac:dyDescent="0.3">
      <c r="N467" s="111"/>
      <c r="O467" s="111"/>
      <c r="P467" s="111"/>
      <c r="Q467" s="111"/>
    </row>
    <row r="468" spans="14:17" x14ac:dyDescent="0.3">
      <c r="N468" s="111"/>
      <c r="O468" s="111"/>
      <c r="P468" s="111"/>
      <c r="Q468" s="111"/>
    </row>
    <row r="469" spans="14:17" x14ac:dyDescent="0.3">
      <c r="N469" s="111"/>
      <c r="O469" s="111"/>
      <c r="P469" s="111"/>
      <c r="Q469" s="111"/>
    </row>
    <row r="470" spans="14:17" x14ac:dyDescent="0.3">
      <c r="N470" s="111"/>
      <c r="O470" s="111"/>
      <c r="P470" s="111"/>
      <c r="Q470" s="111"/>
    </row>
    <row r="471" spans="14:17" x14ac:dyDescent="0.3">
      <c r="N471" s="111"/>
      <c r="O471" s="111"/>
      <c r="P471" s="111"/>
      <c r="Q471" s="111"/>
    </row>
    <row r="472" spans="14:17" x14ac:dyDescent="0.3">
      <c r="N472" s="111"/>
      <c r="O472" s="111"/>
      <c r="P472" s="111"/>
      <c r="Q472" s="111"/>
    </row>
    <row r="473" spans="14:17" x14ac:dyDescent="0.3">
      <c r="N473" s="111"/>
      <c r="O473" s="111"/>
      <c r="P473" s="111"/>
      <c r="Q473" s="111"/>
    </row>
    <row r="474" spans="14:17" x14ac:dyDescent="0.3">
      <c r="N474" s="111"/>
      <c r="O474" s="111"/>
      <c r="P474" s="111"/>
      <c r="Q474" s="111"/>
    </row>
    <row r="475" spans="14:17" x14ac:dyDescent="0.3">
      <c r="N475" s="111"/>
      <c r="O475" s="111"/>
      <c r="P475" s="111"/>
      <c r="Q475" s="111"/>
    </row>
    <row r="476" spans="14:17" x14ac:dyDescent="0.3">
      <c r="N476" s="111"/>
      <c r="O476" s="111"/>
      <c r="P476" s="111"/>
      <c r="Q476" s="111"/>
    </row>
    <row r="477" spans="14:17" x14ac:dyDescent="0.3">
      <c r="N477" s="111"/>
      <c r="O477" s="111"/>
      <c r="P477" s="111"/>
      <c r="Q477" s="111"/>
    </row>
    <row r="478" spans="14:17" x14ac:dyDescent="0.3">
      <c r="N478" s="111"/>
      <c r="O478" s="111"/>
      <c r="P478" s="111"/>
      <c r="Q478" s="111"/>
    </row>
    <row r="479" spans="14:17" x14ac:dyDescent="0.3">
      <c r="N479" s="111"/>
      <c r="O479" s="111"/>
      <c r="P479" s="111"/>
      <c r="Q479" s="111"/>
    </row>
    <row r="480" spans="14:17" x14ac:dyDescent="0.3">
      <c r="N480" s="111"/>
      <c r="O480" s="111"/>
      <c r="P480" s="111"/>
      <c r="Q480" s="111"/>
    </row>
    <row r="481" spans="14:17" x14ac:dyDescent="0.3">
      <c r="N481" s="111"/>
      <c r="O481" s="111"/>
      <c r="P481" s="111"/>
      <c r="Q481" s="111"/>
    </row>
    <row r="482" spans="14:17" x14ac:dyDescent="0.3">
      <c r="N482" s="111"/>
      <c r="O482" s="111"/>
      <c r="P482" s="111"/>
      <c r="Q482" s="111"/>
    </row>
    <row r="483" spans="14:17" x14ac:dyDescent="0.3">
      <c r="N483" s="111"/>
      <c r="O483" s="111"/>
      <c r="P483" s="111"/>
      <c r="Q483" s="111"/>
    </row>
    <row r="484" spans="14:17" x14ac:dyDescent="0.3">
      <c r="N484" s="111"/>
      <c r="O484" s="111"/>
      <c r="P484" s="111"/>
      <c r="Q484" s="111"/>
    </row>
    <row r="485" spans="14:17" x14ac:dyDescent="0.3">
      <c r="N485" s="111"/>
      <c r="O485" s="111"/>
      <c r="P485" s="111"/>
      <c r="Q485" s="111"/>
    </row>
    <row r="486" spans="14:17" x14ac:dyDescent="0.3">
      <c r="N486" s="111"/>
      <c r="O486" s="111"/>
      <c r="P486" s="111"/>
      <c r="Q486" s="111"/>
    </row>
    <row r="487" spans="14:17" x14ac:dyDescent="0.3">
      <c r="N487" s="111"/>
      <c r="O487" s="111"/>
      <c r="P487" s="111"/>
      <c r="Q487" s="111"/>
    </row>
    <row r="488" spans="14:17" x14ac:dyDescent="0.3">
      <c r="N488" s="111"/>
      <c r="O488" s="111"/>
      <c r="P488" s="111"/>
      <c r="Q488" s="111"/>
    </row>
    <row r="489" spans="14:17" x14ac:dyDescent="0.3">
      <c r="N489" s="111"/>
      <c r="O489" s="111"/>
      <c r="P489" s="111"/>
      <c r="Q489" s="111"/>
    </row>
    <row r="490" spans="14:17" x14ac:dyDescent="0.3">
      <c r="N490" s="111"/>
      <c r="O490" s="111"/>
      <c r="P490" s="111"/>
      <c r="Q490" s="111"/>
    </row>
    <row r="491" spans="14:17" x14ac:dyDescent="0.3">
      <c r="N491" s="111"/>
      <c r="O491" s="111"/>
      <c r="P491" s="111"/>
      <c r="Q491" s="111"/>
    </row>
    <row r="492" spans="14:17" x14ac:dyDescent="0.3">
      <c r="N492" s="111"/>
      <c r="O492" s="111"/>
      <c r="P492" s="111"/>
      <c r="Q492" s="111"/>
    </row>
    <row r="493" spans="14:17" x14ac:dyDescent="0.3">
      <c r="N493" s="111"/>
      <c r="O493" s="111"/>
      <c r="P493" s="111"/>
      <c r="Q493" s="111"/>
    </row>
    <row r="494" spans="14:17" x14ac:dyDescent="0.3">
      <c r="N494" s="111"/>
      <c r="O494" s="111"/>
      <c r="P494" s="111"/>
      <c r="Q494" s="111"/>
    </row>
    <row r="495" spans="14:17" x14ac:dyDescent="0.3">
      <c r="N495" s="111"/>
      <c r="O495" s="111"/>
      <c r="P495" s="111"/>
      <c r="Q495" s="111"/>
    </row>
    <row r="496" spans="14:17" x14ac:dyDescent="0.3">
      <c r="N496" s="111"/>
      <c r="O496" s="111"/>
      <c r="P496" s="111"/>
      <c r="Q496" s="111"/>
    </row>
    <row r="497" spans="14:17" x14ac:dyDescent="0.3">
      <c r="N497" s="111"/>
      <c r="O497" s="111"/>
      <c r="P497" s="111"/>
      <c r="Q497" s="111"/>
    </row>
    <row r="498" spans="14:17" x14ac:dyDescent="0.3">
      <c r="N498" s="111"/>
      <c r="O498" s="111"/>
      <c r="P498" s="111"/>
      <c r="Q498" s="111"/>
    </row>
    <row r="499" spans="14:17" x14ac:dyDescent="0.3">
      <c r="N499" s="111"/>
      <c r="O499" s="111"/>
      <c r="P499" s="111"/>
      <c r="Q499" s="111"/>
    </row>
    <row r="500" spans="14:17" x14ac:dyDescent="0.3">
      <c r="N500" s="111"/>
      <c r="O500" s="111"/>
      <c r="P500" s="111"/>
      <c r="Q500" s="111"/>
    </row>
    <row r="501" spans="14:17" x14ac:dyDescent="0.3">
      <c r="N501" s="111"/>
      <c r="O501" s="111"/>
      <c r="P501" s="111"/>
      <c r="Q501" s="111"/>
    </row>
    <row r="502" spans="14:17" x14ac:dyDescent="0.3">
      <c r="N502" s="111"/>
      <c r="O502" s="111"/>
      <c r="P502" s="111"/>
      <c r="Q502" s="111"/>
    </row>
    <row r="503" spans="14:17" x14ac:dyDescent="0.3">
      <c r="N503" s="111"/>
      <c r="O503" s="111"/>
      <c r="P503" s="111"/>
      <c r="Q503" s="111"/>
    </row>
    <row r="504" spans="14:17" x14ac:dyDescent="0.3">
      <c r="N504" s="111"/>
      <c r="O504" s="111"/>
      <c r="P504" s="111"/>
      <c r="Q504" s="111"/>
    </row>
    <row r="505" spans="14:17" x14ac:dyDescent="0.3">
      <c r="N505" s="111"/>
      <c r="O505" s="111"/>
      <c r="P505" s="111"/>
      <c r="Q505" s="111"/>
    </row>
    <row r="506" spans="14:17" x14ac:dyDescent="0.3">
      <c r="N506" s="111"/>
      <c r="O506" s="111"/>
      <c r="P506" s="111"/>
      <c r="Q506" s="111"/>
    </row>
    <row r="507" spans="14:17" x14ac:dyDescent="0.3">
      <c r="N507" s="111"/>
      <c r="O507" s="111"/>
      <c r="P507" s="111"/>
      <c r="Q507" s="111"/>
    </row>
    <row r="508" spans="14:17" x14ac:dyDescent="0.3">
      <c r="N508" s="111"/>
      <c r="O508" s="111"/>
      <c r="P508" s="111"/>
      <c r="Q508" s="111"/>
    </row>
    <row r="509" spans="14:17" x14ac:dyDescent="0.3">
      <c r="N509" s="111"/>
      <c r="O509" s="111"/>
      <c r="P509" s="111"/>
      <c r="Q509" s="111"/>
    </row>
    <row r="510" spans="14:17" x14ac:dyDescent="0.3">
      <c r="N510" s="111"/>
      <c r="O510" s="111"/>
      <c r="P510" s="111"/>
      <c r="Q510" s="111"/>
    </row>
    <row r="511" spans="14:17" x14ac:dyDescent="0.3">
      <c r="N511" s="111"/>
      <c r="O511" s="111"/>
      <c r="P511" s="111"/>
      <c r="Q511" s="111"/>
    </row>
    <row r="512" spans="14:17" x14ac:dyDescent="0.3">
      <c r="N512" s="111"/>
      <c r="O512" s="111"/>
      <c r="P512" s="111"/>
      <c r="Q512" s="111"/>
    </row>
    <row r="513" spans="14:17" x14ac:dyDescent="0.3">
      <c r="N513" s="111"/>
      <c r="O513" s="111"/>
      <c r="P513" s="111"/>
      <c r="Q513" s="111"/>
    </row>
    <row r="514" spans="14:17" x14ac:dyDescent="0.3">
      <c r="N514" s="111"/>
      <c r="O514" s="111"/>
      <c r="P514" s="111"/>
      <c r="Q514" s="111"/>
    </row>
    <row r="515" spans="14:17" x14ac:dyDescent="0.3">
      <c r="N515" s="111"/>
      <c r="O515" s="111"/>
      <c r="P515" s="111"/>
      <c r="Q515" s="111"/>
    </row>
    <row r="516" spans="14:17" x14ac:dyDescent="0.3">
      <c r="N516" s="111"/>
      <c r="O516" s="111"/>
      <c r="P516" s="111"/>
      <c r="Q516" s="111"/>
    </row>
    <row r="517" spans="14:17" x14ac:dyDescent="0.3">
      <c r="N517" s="111"/>
      <c r="O517" s="111"/>
      <c r="P517" s="111"/>
      <c r="Q517" s="111"/>
    </row>
    <row r="518" spans="14:17" x14ac:dyDescent="0.3">
      <c r="N518" s="111"/>
      <c r="O518" s="111"/>
      <c r="P518" s="111"/>
      <c r="Q518" s="111"/>
    </row>
    <row r="519" spans="14:17" x14ac:dyDescent="0.3">
      <c r="N519" s="111"/>
      <c r="O519" s="111"/>
      <c r="P519" s="111"/>
      <c r="Q519" s="111"/>
    </row>
    <row r="520" spans="14:17" x14ac:dyDescent="0.3">
      <c r="N520" s="111"/>
      <c r="O520" s="111"/>
      <c r="P520" s="111"/>
      <c r="Q520" s="111"/>
    </row>
    <row r="521" spans="14:17" x14ac:dyDescent="0.3">
      <c r="N521" s="111"/>
      <c r="O521" s="111"/>
      <c r="P521" s="111"/>
      <c r="Q521" s="111"/>
    </row>
    <row r="522" spans="14:17" x14ac:dyDescent="0.3">
      <c r="N522" s="111"/>
      <c r="O522" s="111"/>
      <c r="P522" s="111"/>
      <c r="Q522" s="111"/>
    </row>
    <row r="523" spans="14:17" x14ac:dyDescent="0.3">
      <c r="N523" s="111"/>
      <c r="O523" s="111"/>
      <c r="P523" s="111"/>
      <c r="Q523" s="111"/>
    </row>
    <row r="524" spans="14:17" x14ac:dyDescent="0.3">
      <c r="N524" s="111"/>
      <c r="O524" s="111"/>
      <c r="P524" s="111"/>
      <c r="Q524" s="111"/>
    </row>
    <row r="525" spans="14:17" x14ac:dyDescent="0.3">
      <c r="N525" s="111"/>
      <c r="O525" s="111"/>
      <c r="P525" s="111"/>
      <c r="Q525" s="111"/>
    </row>
    <row r="526" spans="14:17" x14ac:dyDescent="0.3">
      <c r="N526" s="111"/>
      <c r="O526" s="111"/>
      <c r="P526" s="111"/>
      <c r="Q526" s="111"/>
    </row>
    <row r="527" spans="14:17" x14ac:dyDescent="0.3">
      <c r="N527" s="111"/>
      <c r="O527" s="111"/>
      <c r="P527" s="111"/>
      <c r="Q527" s="111"/>
    </row>
    <row r="528" spans="14:17" x14ac:dyDescent="0.3">
      <c r="N528" s="111"/>
      <c r="O528" s="111"/>
      <c r="P528" s="111"/>
      <c r="Q528" s="111"/>
    </row>
    <row r="529" spans="14:17" x14ac:dyDescent="0.3">
      <c r="N529" s="111"/>
      <c r="O529" s="111"/>
      <c r="P529" s="111"/>
      <c r="Q529" s="111"/>
    </row>
    <row r="530" spans="14:17" x14ac:dyDescent="0.3">
      <c r="N530" s="111"/>
      <c r="O530" s="111"/>
      <c r="P530" s="111"/>
      <c r="Q530" s="111"/>
    </row>
    <row r="531" spans="14:17" x14ac:dyDescent="0.3">
      <c r="N531" s="111"/>
      <c r="O531" s="111"/>
      <c r="P531" s="111"/>
      <c r="Q531" s="111"/>
    </row>
    <row r="532" spans="14:17" x14ac:dyDescent="0.3">
      <c r="N532" s="111"/>
      <c r="O532" s="111"/>
      <c r="P532" s="111"/>
      <c r="Q532" s="111"/>
    </row>
    <row r="533" spans="14:17" x14ac:dyDescent="0.3">
      <c r="N533" s="111"/>
      <c r="O533" s="111"/>
      <c r="P533" s="111"/>
      <c r="Q533" s="111"/>
    </row>
    <row r="534" spans="14:17" x14ac:dyDescent="0.3">
      <c r="N534" s="111"/>
      <c r="O534" s="111"/>
      <c r="P534" s="111"/>
      <c r="Q534" s="111"/>
    </row>
    <row r="535" spans="14:17" x14ac:dyDescent="0.3">
      <c r="N535" s="111"/>
      <c r="O535" s="111"/>
      <c r="P535" s="111"/>
      <c r="Q535" s="111"/>
    </row>
    <row r="536" spans="14:17" x14ac:dyDescent="0.3">
      <c r="N536" s="111"/>
      <c r="O536" s="111"/>
      <c r="P536" s="111"/>
      <c r="Q536" s="111"/>
    </row>
    <row r="537" spans="14:17" x14ac:dyDescent="0.3">
      <c r="N537" s="111"/>
      <c r="O537" s="111"/>
      <c r="P537" s="111"/>
      <c r="Q537" s="111"/>
    </row>
    <row r="538" spans="14:17" x14ac:dyDescent="0.3">
      <c r="N538" s="111"/>
      <c r="O538" s="111"/>
      <c r="P538" s="111"/>
      <c r="Q538" s="111"/>
    </row>
    <row r="539" spans="14:17" x14ac:dyDescent="0.3">
      <c r="N539" s="111"/>
      <c r="O539" s="111"/>
      <c r="P539" s="111"/>
      <c r="Q539" s="111"/>
    </row>
    <row r="540" spans="14:17" x14ac:dyDescent="0.3">
      <c r="N540" s="111"/>
      <c r="O540" s="111"/>
      <c r="P540" s="111"/>
      <c r="Q540" s="111"/>
    </row>
    <row r="541" spans="14:17" x14ac:dyDescent="0.3">
      <c r="N541" s="111"/>
      <c r="O541" s="111"/>
      <c r="P541" s="111"/>
      <c r="Q541" s="111"/>
    </row>
    <row r="542" spans="14:17" x14ac:dyDescent="0.3">
      <c r="N542" s="111"/>
      <c r="O542" s="111"/>
      <c r="P542" s="111"/>
      <c r="Q542" s="111"/>
    </row>
    <row r="543" spans="14:17" x14ac:dyDescent="0.3">
      <c r="N543" s="111"/>
      <c r="O543" s="111"/>
      <c r="P543" s="111"/>
      <c r="Q543" s="111"/>
    </row>
    <row r="544" spans="14:17" x14ac:dyDescent="0.3">
      <c r="N544" s="111"/>
      <c r="O544" s="111"/>
      <c r="P544" s="111"/>
      <c r="Q544" s="111"/>
    </row>
    <row r="545" spans="14:17" x14ac:dyDescent="0.3">
      <c r="N545" s="111"/>
      <c r="O545" s="111"/>
      <c r="P545" s="111"/>
      <c r="Q545" s="111"/>
    </row>
    <row r="546" spans="14:17" x14ac:dyDescent="0.3">
      <c r="N546" s="111"/>
      <c r="O546" s="111"/>
      <c r="P546" s="111"/>
      <c r="Q546" s="111"/>
    </row>
    <row r="547" spans="14:17" x14ac:dyDescent="0.3">
      <c r="N547" s="111"/>
      <c r="O547" s="111"/>
      <c r="P547" s="111"/>
      <c r="Q547" s="111"/>
    </row>
    <row r="548" spans="14:17" x14ac:dyDescent="0.3">
      <c r="N548" s="111"/>
      <c r="O548" s="111"/>
      <c r="P548" s="111"/>
      <c r="Q548" s="111"/>
    </row>
    <row r="549" spans="14:17" x14ac:dyDescent="0.3">
      <c r="N549" s="111"/>
      <c r="O549" s="111"/>
      <c r="P549" s="111"/>
      <c r="Q549" s="111"/>
    </row>
    <row r="550" spans="14:17" x14ac:dyDescent="0.3">
      <c r="N550" s="111"/>
      <c r="O550" s="111"/>
      <c r="P550" s="111"/>
      <c r="Q550" s="111"/>
    </row>
    <row r="551" spans="14:17" x14ac:dyDescent="0.3">
      <c r="N551" s="111"/>
      <c r="O551" s="111"/>
      <c r="P551" s="111"/>
      <c r="Q551" s="111"/>
    </row>
    <row r="552" spans="14:17" x14ac:dyDescent="0.3">
      <c r="N552" s="111"/>
      <c r="O552" s="111"/>
      <c r="P552" s="111"/>
      <c r="Q552" s="111"/>
    </row>
    <row r="553" spans="14:17" x14ac:dyDescent="0.3">
      <c r="N553" s="111"/>
      <c r="O553" s="111"/>
      <c r="P553" s="111"/>
      <c r="Q553" s="111"/>
    </row>
    <row r="554" spans="14:17" x14ac:dyDescent="0.3">
      <c r="N554" s="111"/>
      <c r="O554" s="111"/>
      <c r="P554" s="111"/>
      <c r="Q554" s="111"/>
    </row>
    <row r="555" spans="14:17" x14ac:dyDescent="0.3">
      <c r="N555" s="111"/>
      <c r="O555" s="111"/>
      <c r="P555" s="111"/>
      <c r="Q555" s="111"/>
    </row>
    <row r="556" spans="14:17" x14ac:dyDescent="0.3">
      <c r="N556" s="111"/>
      <c r="O556" s="111"/>
      <c r="P556" s="111"/>
      <c r="Q556" s="111"/>
    </row>
    <row r="557" spans="14:17" x14ac:dyDescent="0.3">
      <c r="N557" s="111"/>
      <c r="O557" s="111"/>
      <c r="P557" s="111"/>
      <c r="Q557" s="111"/>
    </row>
    <row r="558" spans="14:17" x14ac:dyDescent="0.3">
      <c r="N558" s="111"/>
      <c r="O558" s="111"/>
      <c r="P558" s="111"/>
      <c r="Q558" s="111"/>
    </row>
    <row r="559" spans="14:17" x14ac:dyDescent="0.3">
      <c r="N559" s="111"/>
      <c r="O559" s="111"/>
      <c r="P559" s="111"/>
      <c r="Q559" s="111"/>
    </row>
    <row r="560" spans="14:17" x14ac:dyDescent="0.3">
      <c r="N560" s="111"/>
      <c r="O560" s="111"/>
      <c r="P560" s="111"/>
      <c r="Q560" s="111"/>
    </row>
    <row r="561" spans="14:17" x14ac:dyDescent="0.3">
      <c r="N561" s="111"/>
      <c r="O561" s="111"/>
      <c r="P561" s="111"/>
      <c r="Q561" s="111"/>
    </row>
    <row r="562" spans="14:17" x14ac:dyDescent="0.3">
      <c r="N562" s="111"/>
      <c r="O562" s="111"/>
      <c r="P562" s="111"/>
      <c r="Q562" s="111"/>
    </row>
    <row r="563" spans="14:17" x14ac:dyDescent="0.3">
      <c r="N563" s="111"/>
      <c r="O563" s="111"/>
      <c r="P563" s="111"/>
      <c r="Q563" s="111"/>
    </row>
    <row r="564" spans="14:17" x14ac:dyDescent="0.3">
      <c r="N564" s="111"/>
      <c r="O564" s="111"/>
      <c r="P564" s="111"/>
      <c r="Q564" s="111"/>
    </row>
    <row r="565" spans="14:17" x14ac:dyDescent="0.3">
      <c r="N565" s="111"/>
      <c r="O565" s="111"/>
      <c r="P565" s="111"/>
      <c r="Q565" s="111"/>
    </row>
    <row r="566" spans="14:17" x14ac:dyDescent="0.3">
      <c r="N566" s="111"/>
      <c r="O566" s="111"/>
      <c r="P566" s="111"/>
      <c r="Q566" s="111"/>
    </row>
    <row r="567" spans="14:17" x14ac:dyDescent="0.3">
      <c r="N567" s="111"/>
      <c r="O567" s="111"/>
      <c r="P567" s="111"/>
      <c r="Q567" s="111"/>
    </row>
    <row r="568" spans="14:17" x14ac:dyDescent="0.3">
      <c r="N568" s="111"/>
      <c r="O568" s="111"/>
      <c r="P568" s="111"/>
      <c r="Q568" s="111"/>
    </row>
    <row r="569" spans="14:17" x14ac:dyDescent="0.3">
      <c r="N569" s="111"/>
      <c r="O569" s="111"/>
      <c r="P569" s="111"/>
      <c r="Q569" s="111"/>
    </row>
    <row r="570" spans="14:17" x14ac:dyDescent="0.3">
      <c r="N570" s="111"/>
      <c r="O570" s="111"/>
      <c r="P570" s="111"/>
      <c r="Q570" s="111"/>
    </row>
    <row r="571" spans="14:17" x14ac:dyDescent="0.3">
      <c r="N571" s="111"/>
      <c r="O571" s="111"/>
      <c r="P571" s="111"/>
      <c r="Q571" s="111"/>
    </row>
    <row r="572" spans="14:17" x14ac:dyDescent="0.3">
      <c r="N572" s="111"/>
      <c r="O572" s="111"/>
      <c r="P572" s="111"/>
      <c r="Q572" s="111"/>
    </row>
    <row r="573" spans="14:17" x14ac:dyDescent="0.3">
      <c r="N573" s="111"/>
      <c r="O573" s="111"/>
      <c r="P573" s="111"/>
      <c r="Q573" s="111"/>
    </row>
    <row r="574" spans="14:17" x14ac:dyDescent="0.3">
      <c r="N574" s="111"/>
      <c r="O574" s="111"/>
      <c r="P574" s="111"/>
      <c r="Q574" s="111"/>
    </row>
    <row r="575" spans="14:17" x14ac:dyDescent="0.3">
      <c r="N575" s="111"/>
      <c r="O575" s="111"/>
      <c r="P575" s="111"/>
      <c r="Q575" s="111"/>
    </row>
    <row r="576" spans="14:17" x14ac:dyDescent="0.3">
      <c r="N576" s="111"/>
      <c r="O576" s="111"/>
      <c r="P576" s="111"/>
      <c r="Q576" s="111"/>
    </row>
    <row r="577" spans="14:17" x14ac:dyDescent="0.3">
      <c r="N577" s="111"/>
      <c r="O577" s="111"/>
      <c r="P577" s="111"/>
      <c r="Q577" s="111"/>
    </row>
    <row r="578" spans="14:17" x14ac:dyDescent="0.3">
      <c r="N578" s="111"/>
      <c r="O578" s="111"/>
      <c r="P578" s="111"/>
      <c r="Q578" s="111"/>
    </row>
    <row r="579" spans="14:17" x14ac:dyDescent="0.3">
      <c r="N579" s="111"/>
      <c r="O579" s="111"/>
      <c r="P579" s="111"/>
      <c r="Q579" s="111"/>
    </row>
    <row r="580" spans="14:17" x14ac:dyDescent="0.3">
      <c r="N580" s="111"/>
      <c r="O580" s="111"/>
      <c r="P580" s="111"/>
      <c r="Q580" s="111"/>
    </row>
    <row r="581" spans="14:17" x14ac:dyDescent="0.3">
      <c r="N581" s="111"/>
      <c r="O581" s="111"/>
      <c r="P581" s="111"/>
      <c r="Q581" s="111"/>
    </row>
    <row r="582" spans="14:17" x14ac:dyDescent="0.3">
      <c r="N582" s="111"/>
      <c r="O582" s="111"/>
      <c r="P582" s="111"/>
      <c r="Q582" s="111"/>
    </row>
    <row r="583" spans="14:17" x14ac:dyDescent="0.3">
      <c r="N583" s="111"/>
      <c r="O583" s="111"/>
      <c r="P583" s="111"/>
      <c r="Q583" s="111"/>
    </row>
    <row r="584" spans="14:17" x14ac:dyDescent="0.3">
      <c r="N584" s="111"/>
      <c r="O584" s="111"/>
      <c r="P584" s="111"/>
      <c r="Q584" s="111"/>
    </row>
    <row r="585" spans="14:17" x14ac:dyDescent="0.3">
      <c r="N585" s="111"/>
      <c r="O585" s="111"/>
      <c r="P585" s="111"/>
      <c r="Q585" s="111"/>
    </row>
    <row r="586" spans="14:17" x14ac:dyDescent="0.3">
      <c r="N586" s="111"/>
      <c r="O586" s="111"/>
      <c r="P586" s="111"/>
      <c r="Q586" s="111"/>
    </row>
    <row r="587" spans="14:17" x14ac:dyDescent="0.3">
      <c r="N587" s="111"/>
      <c r="O587" s="111"/>
      <c r="P587" s="111"/>
      <c r="Q587" s="111"/>
    </row>
    <row r="588" spans="14:17" x14ac:dyDescent="0.3">
      <c r="N588" s="111"/>
      <c r="O588" s="111"/>
      <c r="P588" s="111"/>
      <c r="Q588" s="111"/>
    </row>
    <row r="589" spans="14:17" x14ac:dyDescent="0.3">
      <c r="N589" s="111"/>
      <c r="O589" s="111"/>
      <c r="P589" s="111"/>
      <c r="Q589" s="111"/>
    </row>
    <row r="590" spans="14:17" x14ac:dyDescent="0.3">
      <c r="N590" s="111"/>
      <c r="O590" s="111"/>
      <c r="P590" s="111"/>
      <c r="Q590" s="111"/>
    </row>
    <row r="591" spans="14:17" x14ac:dyDescent="0.3">
      <c r="N591" s="111"/>
      <c r="O591" s="111"/>
      <c r="P591" s="111"/>
      <c r="Q591" s="111"/>
    </row>
    <row r="592" spans="14:17" x14ac:dyDescent="0.3">
      <c r="N592" s="111"/>
      <c r="O592" s="111"/>
      <c r="P592" s="111"/>
      <c r="Q592" s="111"/>
    </row>
    <row r="593" spans="14:17" x14ac:dyDescent="0.3">
      <c r="N593" s="111"/>
      <c r="O593" s="111"/>
      <c r="P593" s="111"/>
      <c r="Q593" s="111"/>
    </row>
    <row r="594" spans="14:17" x14ac:dyDescent="0.3">
      <c r="N594" s="111"/>
      <c r="O594" s="111"/>
      <c r="P594" s="111"/>
      <c r="Q594" s="111"/>
    </row>
    <row r="595" spans="14:17" x14ac:dyDescent="0.3">
      <c r="N595" s="111"/>
      <c r="O595" s="111"/>
      <c r="P595" s="111"/>
      <c r="Q595" s="111"/>
    </row>
    <row r="596" spans="14:17" x14ac:dyDescent="0.3">
      <c r="N596" s="111"/>
      <c r="O596" s="111"/>
      <c r="P596" s="111"/>
      <c r="Q596" s="111"/>
    </row>
    <row r="597" spans="14:17" x14ac:dyDescent="0.3">
      <c r="N597" s="111"/>
      <c r="O597" s="111"/>
      <c r="P597" s="111"/>
      <c r="Q597" s="111"/>
    </row>
    <row r="598" spans="14:17" x14ac:dyDescent="0.3">
      <c r="N598" s="111"/>
      <c r="O598" s="111"/>
      <c r="P598" s="111"/>
      <c r="Q598" s="111"/>
    </row>
    <row r="599" spans="14:17" x14ac:dyDescent="0.3">
      <c r="N599" s="111"/>
      <c r="O599" s="111"/>
      <c r="P599" s="111"/>
      <c r="Q599" s="111"/>
    </row>
    <row r="600" spans="14:17" x14ac:dyDescent="0.3">
      <c r="N600" s="111"/>
      <c r="O600" s="111"/>
      <c r="P600" s="111"/>
      <c r="Q600" s="111"/>
    </row>
    <row r="601" spans="14:17" x14ac:dyDescent="0.3">
      <c r="N601" s="111"/>
      <c r="O601" s="111"/>
      <c r="P601" s="111"/>
      <c r="Q601" s="111"/>
    </row>
    <row r="602" spans="14:17" x14ac:dyDescent="0.3">
      <c r="N602" s="111"/>
      <c r="O602" s="111"/>
      <c r="P602" s="111"/>
      <c r="Q602" s="111"/>
    </row>
    <row r="603" spans="14:17" x14ac:dyDescent="0.3">
      <c r="N603" s="111"/>
      <c r="O603" s="111"/>
      <c r="P603" s="111"/>
      <c r="Q603" s="111"/>
    </row>
    <row r="604" spans="14:17" x14ac:dyDescent="0.3">
      <c r="N604" s="111"/>
      <c r="O604" s="111"/>
      <c r="P604" s="111"/>
      <c r="Q604" s="111"/>
    </row>
    <row r="605" spans="14:17" x14ac:dyDescent="0.3">
      <c r="N605" s="111"/>
      <c r="O605" s="111"/>
      <c r="P605" s="111"/>
      <c r="Q605" s="111"/>
    </row>
    <row r="606" spans="14:17" x14ac:dyDescent="0.3">
      <c r="N606" s="111"/>
      <c r="O606" s="111"/>
      <c r="P606" s="111"/>
      <c r="Q606" s="111"/>
    </row>
    <row r="607" spans="14:17" x14ac:dyDescent="0.3">
      <c r="N607" s="111"/>
      <c r="O607" s="111"/>
      <c r="P607" s="111"/>
      <c r="Q607" s="111"/>
    </row>
    <row r="608" spans="14:17" x14ac:dyDescent="0.3">
      <c r="N608" s="111"/>
      <c r="O608" s="111"/>
      <c r="P608" s="111"/>
      <c r="Q608" s="111"/>
    </row>
    <row r="609" spans="14:17" x14ac:dyDescent="0.3">
      <c r="N609" s="111"/>
      <c r="O609" s="111"/>
      <c r="P609" s="111"/>
      <c r="Q609" s="111"/>
    </row>
    <row r="610" spans="14:17" x14ac:dyDescent="0.3">
      <c r="N610" s="111"/>
      <c r="O610" s="111"/>
      <c r="P610" s="111"/>
      <c r="Q610" s="111"/>
    </row>
    <row r="611" spans="14:17" x14ac:dyDescent="0.3">
      <c r="N611" s="111"/>
      <c r="O611" s="111"/>
      <c r="P611" s="111"/>
      <c r="Q611" s="111"/>
    </row>
    <row r="612" spans="14:17" x14ac:dyDescent="0.3">
      <c r="N612" s="111"/>
      <c r="O612" s="111"/>
      <c r="P612" s="111"/>
      <c r="Q612" s="111"/>
    </row>
    <row r="613" spans="14:17" x14ac:dyDescent="0.3">
      <c r="N613" s="111"/>
      <c r="O613" s="111"/>
      <c r="P613" s="111"/>
      <c r="Q613" s="111"/>
    </row>
    <row r="614" spans="14:17" x14ac:dyDescent="0.3">
      <c r="N614" s="111"/>
      <c r="O614" s="111"/>
      <c r="P614" s="111"/>
      <c r="Q614" s="111"/>
    </row>
    <row r="615" spans="14:17" x14ac:dyDescent="0.3">
      <c r="N615" s="111"/>
      <c r="O615" s="111"/>
      <c r="P615" s="111"/>
      <c r="Q615" s="111"/>
    </row>
    <row r="616" spans="14:17" x14ac:dyDescent="0.3">
      <c r="N616" s="111"/>
      <c r="O616" s="111"/>
      <c r="P616" s="111"/>
      <c r="Q616" s="111"/>
    </row>
    <row r="617" spans="14:17" x14ac:dyDescent="0.3">
      <c r="N617" s="111"/>
      <c r="O617" s="111"/>
      <c r="P617" s="111"/>
      <c r="Q617" s="111"/>
    </row>
    <row r="618" spans="14:17" x14ac:dyDescent="0.3">
      <c r="N618" s="111"/>
      <c r="O618" s="111"/>
      <c r="P618" s="111"/>
      <c r="Q618" s="111"/>
    </row>
    <row r="619" spans="14:17" x14ac:dyDescent="0.3">
      <c r="N619" s="111"/>
      <c r="O619" s="111"/>
      <c r="P619" s="111"/>
      <c r="Q619" s="111"/>
    </row>
    <row r="620" spans="14:17" x14ac:dyDescent="0.3">
      <c r="N620" s="111"/>
      <c r="O620" s="111"/>
      <c r="P620" s="111"/>
      <c r="Q620" s="111"/>
    </row>
    <row r="621" spans="14:17" x14ac:dyDescent="0.3">
      <c r="N621" s="111"/>
      <c r="O621" s="111"/>
      <c r="P621" s="111"/>
      <c r="Q621" s="111"/>
    </row>
    <row r="622" spans="14:17" x14ac:dyDescent="0.3">
      <c r="N622" s="111"/>
      <c r="O622" s="111"/>
      <c r="P622" s="111"/>
      <c r="Q622" s="111"/>
    </row>
    <row r="623" spans="14:17" x14ac:dyDescent="0.3">
      <c r="N623" s="111"/>
      <c r="O623" s="111"/>
      <c r="P623" s="111"/>
      <c r="Q623" s="111"/>
    </row>
    <row r="624" spans="14:17" x14ac:dyDescent="0.3">
      <c r="N624" s="111"/>
      <c r="O624" s="111"/>
      <c r="P624" s="111"/>
      <c r="Q624" s="111"/>
    </row>
    <row r="625" spans="14:17" x14ac:dyDescent="0.3">
      <c r="N625" s="111"/>
      <c r="O625" s="111"/>
      <c r="P625" s="111"/>
      <c r="Q625" s="111"/>
    </row>
    <row r="626" spans="14:17" x14ac:dyDescent="0.3">
      <c r="N626" s="111"/>
      <c r="O626" s="111"/>
      <c r="P626" s="111"/>
      <c r="Q626" s="111"/>
    </row>
    <row r="627" spans="14:17" x14ac:dyDescent="0.3">
      <c r="N627" s="111"/>
      <c r="O627" s="111"/>
      <c r="P627" s="111"/>
      <c r="Q627" s="111"/>
    </row>
    <row r="628" spans="14:17" x14ac:dyDescent="0.3">
      <c r="N628" s="111"/>
      <c r="O628" s="111"/>
      <c r="P628" s="111"/>
      <c r="Q628" s="111"/>
    </row>
    <row r="629" spans="14:17" x14ac:dyDescent="0.3">
      <c r="N629" s="111"/>
      <c r="O629" s="111"/>
      <c r="P629" s="111"/>
      <c r="Q629" s="111"/>
    </row>
    <row r="630" spans="14:17" x14ac:dyDescent="0.3">
      <c r="N630" s="111"/>
      <c r="O630" s="111"/>
      <c r="P630" s="111"/>
      <c r="Q630" s="111"/>
    </row>
    <row r="631" spans="14:17" x14ac:dyDescent="0.3">
      <c r="N631" s="111"/>
      <c r="O631" s="111"/>
      <c r="P631" s="111"/>
      <c r="Q631" s="111"/>
    </row>
    <row r="632" spans="14:17" x14ac:dyDescent="0.3">
      <c r="N632" s="111"/>
      <c r="O632" s="111"/>
      <c r="P632" s="111"/>
      <c r="Q632" s="111"/>
    </row>
    <row r="633" spans="14:17" x14ac:dyDescent="0.3">
      <c r="N633" s="111"/>
      <c r="O633" s="111"/>
      <c r="P633" s="111"/>
      <c r="Q633" s="111"/>
    </row>
    <row r="634" spans="14:17" x14ac:dyDescent="0.3">
      <c r="N634" s="111"/>
      <c r="O634" s="111"/>
      <c r="P634" s="111"/>
      <c r="Q634" s="111"/>
    </row>
    <row r="635" spans="14:17" x14ac:dyDescent="0.3">
      <c r="N635" s="111"/>
      <c r="O635" s="111"/>
      <c r="P635" s="111"/>
      <c r="Q635" s="111"/>
    </row>
    <row r="636" spans="14:17" x14ac:dyDescent="0.3">
      <c r="N636" s="111"/>
      <c r="O636" s="111"/>
      <c r="P636" s="111"/>
      <c r="Q636" s="111"/>
    </row>
    <row r="637" spans="14:17" x14ac:dyDescent="0.3">
      <c r="N637" s="111"/>
      <c r="O637" s="111"/>
      <c r="P637" s="111"/>
      <c r="Q637" s="111"/>
    </row>
    <row r="638" spans="14:17" x14ac:dyDescent="0.3">
      <c r="N638" s="111"/>
      <c r="O638" s="111"/>
      <c r="P638" s="111"/>
      <c r="Q638" s="111"/>
    </row>
    <row r="639" spans="14:17" x14ac:dyDescent="0.3">
      <c r="N639" s="111"/>
      <c r="O639" s="111"/>
      <c r="P639" s="111"/>
      <c r="Q639" s="111"/>
    </row>
    <row r="640" spans="14:17" x14ac:dyDescent="0.3">
      <c r="N640" s="111"/>
      <c r="O640" s="111"/>
      <c r="P640" s="111"/>
      <c r="Q640" s="111"/>
    </row>
    <row r="641" spans="14:17" x14ac:dyDescent="0.3">
      <c r="N641" s="111"/>
      <c r="O641" s="111"/>
      <c r="P641" s="111"/>
      <c r="Q641" s="111"/>
    </row>
    <row r="642" spans="14:17" x14ac:dyDescent="0.3">
      <c r="N642" s="111"/>
      <c r="O642" s="111"/>
      <c r="P642" s="111"/>
      <c r="Q642" s="111"/>
    </row>
    <row r="643" spans="14:17" x14ac:dyDescent="0.3">
      <c r="N643" s="111"/>
      <c r="O643" s="111"/>
      <c r="P643" s="111"/>
      <c r="Q643" s="111"/>
    </row>
    <row r="644" spans="14:17" x14ac:dyDescent="0.3">
      <c r="N644" s="111"/>
      <c r="O644" s="111"/>
      <c r="P644" s="111"/>
      <c r="Q644" s="111"/>
    </row>
    <row r="645" spans="14:17" x14ac:dyDescent="0.3">
      <c r="N645" s="111"/>
      <c r="O645" s="111"/>
      <c r="P645" s="111"/>
      <c r="Q645" s="111"/>
    </row>
    <row r="646" spans="14:17" x14ac:dyDescent="0.3">
      <c r="N646" s="111"/>
      <c r="O646" s="111"/>
      <c r="P646" s="111"/>
      <c r="Q646" s="111"/>
    </row>
    <row r="647" spans="14:17" x14ac:dyDescent="0.3">
      <c r="N647" s="111"/>
      <c r="O647" s="111"/>
      <c r="P647" s="111"/>
      <c r="Q647" s="111"/>
    </row>
    <row r="648" spans="14:17" x14ac:dyDescent="0.3">
      <c r="N648" s="111"/>
      <c r="O648" s="111"/>
      <c r="P648" s="111"/>
      <c r="Q648" s="111"/>
    </row>
    <row r="649" spans="14:17" x14ac:dyDescent="0.3">
      <c r="N649" s="111"/>
      <c r="O649" s="111"/>
      <c r="P649" s="111"/>
      <c r="Q649" s="111"/>
    </row>
    <row r="650" spans="14:17" x14ac:dyDescent="0.3">
      <c r="N650" s="111"/>
      <c r="O650" s="111"/>
      <c r="P650" s="111"/>
      <c r="Q650" s="111"/>
    </row>
    <row r="651" spans="14:17" x14ac:dyDescent="0.3">
      <c r="N651" s="111"/>
      <c r="O651" s="111"/>
      <c r="P651" s="111"/>
      <c r="Q651" s="111"/>
    </row>
    <row r="652" spans="14:17" x14ac:dyDescent="0.3">
      <c r="N652" s="111"/>
      <c r="O652" s="111"/>
      <c r="P652" s="111"/>
      <c r="Q652" s="111"/>
    </row>
    <row r="653" spans="14:17" x14ac:dyDescent="0.3">
      <c r="N653" s="111"/>
      <c r="O653" s="111"/>
      <c r="P653" s="111"/>
      <c r="Q653" s="111"/>
    </row>
    <row r="654" spans="14:17" x14ac:dyDescent="0.3">
      <c r="N654" s="111"/>
      <c r="O654" s="111"/>
      <c r="P654" s="111"/>
      <c r="Q654" s="111"/>
    </row>
    <row r="655" spans="14:17" x14ac:dyDescent="0.3">
      <c r="N655" s="111"/>
      <c r="O655" s="111"/>
      <c r="P655" s="111"/>
      <c r="Q655" s="111"/>
    </row>
    <row r="656" spans="14:17" x14ac:dyDescent="0.3">
      <c r="N656" s="111"/>
      <c r="O656" s="111"/>
      <c r="P656" s="111"/>
      <c r="Q656" s="111"/>
    </row>
    <row r="657" spans="14:17" x14ac:dyDescent="0.3">
      <c r="N657" s="111"/>
      <c r="O657" s="111"/>
      <c r="P657" s="111"/>
      <c r="Q657" s="111"/>
    </row>
    <row r="658" spans="14:17" x14ac:dyDescent="0.3">
      <c r="N658" s="111"/>
      <c r="O658" s="111"/>
      <c r="P658" s="111"/>
      <c r="Q658" s="111"/>
    </row>
    <row r="659" spans="14:17" x14ac:dyDescent="0.3">
      <c r="N659" s="111"/>
      <c r="O659" s="111"/>
      <c r="P659" s="111"/>
      <c r="Q659" s="111"/>
    </row>
    <row r="660" spans="14:17" x14ac:dyDescent="0.3">
      <c r="N660" s="111"/>
      <c r="O660" s="111"/>
      <c r="P660" s="111"/>
      <c r="Q660" s="111"/>
    </row>
    <row r="661" spans="14:17" x14ac:dyDescent="0.3">
      <c r="N661" s="111"/>
      <c r="O661" s="111"/>
      <c r="P661" s="111"/>
      <c r="Q661" s="111"/>
    </row>
    <row r="662" spans="14:17" x14ac:dyDescent="0.3">
      <c r="N662" s="111"/>
      <c r="O662" s="111"/>
      <c r="P662" s="111"/>
      <c r="Q662" s="111"/>
    </row>
    <row r="663" spans="14:17" x14ac:dyDescent="0.3">
      <c r="N663" s="111"/>
      <c r="O663" s="111"/>
      <c r="P663" s="111"/>
      <c r="Q663" s="111"/>
    </row>
    <row r="664" spans="14:17" x14ac:dyDescent="0.3">
      <c r="N664" s="111"/>
      <c r="O664" s="111"/>
      <c r="P664" s="111"/>
      <c r="Q664" s="111"/>
    </row>
    <row r="665" spans="14:17" x14ac:dyDescent="0.3">
      <c r="N665" s="111"/>
      <c r="O665" s="111"/>
      <c r="P665" s="111"/>
      <c r="Q665" s="111"/>
    </row>
    <row r="666" spans="14:17" x14ac:dyDescent="0.3">
      <c r="N666" s="111"/>
      <c r="O666" s="111"/>
      <c r="P666" s="111"/>
      <c r="Q666" s="111"/>
    </row>
    <row r="667" spans="14:17" x14ac:dyDescent="0.3">
      <c r="N667" s="111"/>
      <c r="O667" s="111"/>
      <c r="P667" s="111"/>
      <c r="Q667" s="111"/>
    </row>
    <row r="668" spans="14:17" x14ac:dyDescent="0.3">
      <c r="N668" s="111"/>
      <c r="O668" s="111"/>
      <c r="P668" s="111"/>
      <c r="Q668" s="111"/>
    </row>
    <row r="669" spans="14:17" x14ac:dyDescent="0.3">
      <c r="N669" s="111"/>
      <c r="O669" s="111"/>
      <c r="P669" s="111"/>
      <c r="Q669" s="111"/>
    </row>
    <row r="670" spans="14:17" x14ac:dyDescent="0.3">
      <c r="N670" s="111"/>
      <c r="O670" s="111"/>
      <c r="P670" s="111"/>
      <c r="Q670" s="111"/>
    </row>
    <row r="671" spans="14:17" x14ac:dyDescent="0.3">
      <c r="N671" s="111"/>
      <c r="O671" s="111"/>
      <c r="P671" s="111"/>
      <c r="Q671" s="111"/>
    </row>
    <row r="672" spans="14:17" x14ac:dyDescent="0.3">
      <c r="N672" s="111"/>
      <c r="O672" s="111"/>
      <c r="P672" s="111"/>
      <c r="Q672" s="111"/>
    </row>
    <row r="673" spans="14:17" x14ac:dyDescent="0.3">
      <c r="N673" s="111"/>
      <c r="O673" s="111"/>
      <c r="P673" s="111"/>
      <c r="Q673" s="111"/>
    </row>
    <row r="674" spans="14:17" x14ac:dyDescent="0.3">
      <c r="N674" s="111"/>
      <c r="O674" s="111"/>
      <c r="P674" s="111"/>
      <c r="Q674" s="111"/>
    </row>
    <row r="675" spans="14:17" x14ac:dyDescent="0.3">
      <c r="N675" s="111"/>
      <c r="O675" s="111"/>
      <c r="P675" s="111"/>
      <c r="Q675" s="111"/>
    </row>
    <row r="676" spans="14:17" x14ac:dyDescent="0.3">
      <c r="N676" s="111"/>
      <c r="O676" s="111"/>
      <c r="P676" s="111"/>
      <c r="Q676" s="111"/>
    </row>
    <row r="677" spans="14:17" x14ac:dyDescent="0.3">
      <c r="N677" s="111"/>
      <c r="O677" s="111"/>
      <c r="P677" s="111"/>
      <c r="Q677" s="111"/>
    </row>
    <row r="678" spans="14:17" x14ac:dyDescent="0.3">
      <c r="N678" s="111"/>
      <c r="O678" s="111"/>
      <c r="P678" s="111"/>
      <c r="Q678" s="111"/>
    </row>
    <row r="679" spans="14:17" x14ac:dyDescent="0.3">
      <c r="N679" s="111"/>
      <c r="O679" s="111"/>
      <c r="P679" s="111"/>
      <c r="Q679" s="111"/>
    </row>
    <row r="680" spans="14:17" x14ac:dyDescent="0.3">
      <c r="N680" s="111"/>
      <c r="O680" s="111"/>
      <c r="P680" s="111"/>
      <c r="Q680" s="111"/>
    </row>
    <row r="681" spans="14:17" x14ac:dyDescent="0.3">
      <c r="N681" s="111"/>
      <c r="O681" s="111"/>
      <c r="P681" s="111"/>
      <c r="Q681" s="111"/>
    </row>
    <row r="682" spans="14:17" x14ac:dyDescent="0.3">
      <c r="N682" s="111"/>
      <c r="O682" s="111"/>
      <c r="P682" s="111"/>
      <c r="Q682" s="111"/>
    </row>
    <row r="683" spans="14:17" x14ac:dyDescent="0.3">
      <c r="N683" s="111"/>
      <c r="O683" s="111"/>
      <c r="P683" s="111"/>
      <c r="Q683" s="111"/>
    </row>
    <row r="684" spans="14:17" x14ac:dyDescent="0.3">
      <c r="N684" s="111"/>
      <c r="O684" s="111"/>
      <c r="P684" s="111"/>
      <c r="Q684" s="111"/>
    </row>
    <row r="685" spans="14:17" x14ac:dyDescent="0.3">
      <c r="N685" s="111"/>
      <c r="O685" s="111"/>
      <c r="P685" s="111"/>
      <c r="Q685" s="111"/>
    </row>
    <row r="686" spans="14:17" x14ac:dyDescent="0.3">
      <c r="N686" s="111"/>
      <c r="O686" s="111"/>
      <c r="P686" s="111"/>
      <c r="Q686" s="111"/>
    </row>
    <row r="687" spans="14:17" x14ac:dyDescent="0.3">
      <c r="N687" s="111"/>
      <c r="O687" s="111"/>
      <c r="P687" s="111"/>
      <c r="Q687" s="111"/>
    </row>
    <row r="688" spans="14:17" x14ac:dyDescent="0.3">
      <c r="N688" s="111"/>
      <c r="O688" s="111"/>
      <c r="P688" s="111"/>
      <c r="Q688" s="111"/>
    </row>
    <row r="689" spans="14:17" x14ac:dyDescent="0.3">
      <c r="N689" s="111"/>
      <c r="O689" s="111"/>
      <c r="P689" s="111"/>
      <c r="Q689" s="111"/>
    </row>
    <row r="690" spans="14:17" x14ac:dyDescent="0.3">
      <c r="N690" s="111"/>
      <c r="O690" s="111"/>
      <c r="P690" s="111"/>
      <c r="Q690" s="111"/>
    </row>
    <row r="691" spans="14:17" x14ac:dyDescent="0.3">
      <c r="N691" s="111"/>
      <c r="O691" s="111"/>
      <c r="P691" s="111"/>
      <c r="Q691" s="111"/>
    </row>
    <row r="692" spans="14:17" x14ac:dyDescent="0.3">
      <c r="N692" s="111"/>
      <c r="O692" s="111"/>
      <c r="P692" s="111"/>
      <c r="Q692" s="111"/>
    </row>
    <row r="693" spans="14:17" x14ac:dyDescent="0.3">
      <c r="N693" s="111"/>
      <c r="O693" s="111"/>
      <c r="P693" s="111"/>
      <c r="Q693" s="111"/>
    </row>
    <row r="694" spans="14:17" x14ac:dyDescent="0.3">
      <c r="N694" s="111"/>
      <c r="O694" s="111"/>
      <c r="P694" s="111"/>
      <c r="Q694" s="111"/>
    </row>
    <row r="695" spans="14:17" x14ac:dyDescent="0.3">
      <c r="N695" s="111"/>
      <c r="O695" s="111"/>
      <c r="P695" s="111"/>
      <c r="Q695" s="111"/>
    </row>
    <row r="696" spans="14:17" x14ac:dyDescent="0.3">
      <c r="N696" s="111"/>
      <c r="O696" s="111"/>
      <c r="P696" s="111"/>
      <c r="Q696" s="111"/>
    </row>
    <row r="697" spans="14:17" x14ac:dyDescent="0.3">
      <c r="N697" s="111"/>
      <c r="O697" s="111"/>
      <c r="P697" s="111"/>
      <c r="Q697" s="111"/>
    </row>
    <row r="698" spans="14:17" x14ac:dyDescent="0.3">
      <c r="N698" s="111"/>
      <c r="O698" s="111"/>
      <c r="P698" s="111"/>
      <c r="Q698" s="111"/>
    </row>
    <row r="699" spans="14:17" x14ac:dyDescent="0.3">
      <c r="N699" s="111"/>
      <c r="O699" s="111"/>
      <c r="P699" s="111"/>
      <c r="Q699" s="111"/>
    </row>
    <row r="700" spans="14:17" x14ac:dyDescent="0.3">
      <c r="N700" s="111"/>
      <c r="O700" s="111"/>
      <c r="P700" s="111"/>
      <c r="Q700" s="111"/>
    </row>
    <row r="701" spans="14:17" x14ac:dyDescent="0.3">
      <c r="N701" s="111"/>
      <c r="O701" s="111"/>
      <c r="P701" s="111"/>
      <c r="Q701" s="111"/>
    </row>
    <row r="702" spans="14:17" x14ac:dyDescent="0.3">
      <c r="N702" s="111"/>
      <c r="O702" s="111"/>
      <c r="P702" s="111"/>
      <c r="Q702" s="111"/>
    </row>
    <row r="703" spans="14:17" x14ac:dyDescent="0.3">
      <c r="N703" s="111"/>
      <c r="O703" s="111"/>
      <c r="P703" s="111"/>
      <c r="Q703" s="111"/>
    </row>
    <row r="704" spans="14:17" x14ac:dyDescent="0.3">
      <c r="N704" s="111"/>
      <c r="O704" s="111"/>
      <c r="P704" s="111"/>
      <c r="Q704" s="111"/>
    </row>
    <row r="705" spans="14:17" x14ac:dyDescent="0.3">
      <c r="N705" s="111"/>
      <c r="O705" s="111"/>
      <c r="P705" s="111"/>
      <c r="Q705" s="111"/>
    </row>
    <row r="706" spans="14:17" x14ac:dyDescent="0.3">
      <c r="N706" s="111"/>
      <c r="O706" s="111"/>
      <c r="P706" s="111"/>
      <c r="Q706" s="111"/>
    </row>
    <row r="707" spans="14:17" x14ac:dyDescent="0.3">
      <c r="N707" s="111"/>
      <c r="O707" s="111"/>
      <c r="P707" s="111"/>
      <c r="Q707" s="111"/>
    </row>
    <row r="708" spans="14:17" x14ac:dyDescent="0.3">
      <c r="N708" s="111"/>
      <c r="O708" s="111"/>
      <c r="P708" s="111"/>
      <c r="Q708" s="111"/>
    </row>
    <row r="709" spans="14:17" x14ac:dyDescent="0.3">
      <c r="N709" s="111"/>
      <c r="O709" s="111"/>
      <c r="P709" s="111"/>
      <c r="Q709" s="111"/>
    </row>
    <row r="710" spans="14:17" x14ac:dyDescent="0.3">
      <c r="N710" s="111"/>
      <c r="O710" s="111"/>
      <c r="P710" s="111"/>
      <c r="Q710" s="111"/>
    </row>
    <row r="711" spans="14:17" x14ac:dyDescent="0.3">
      <c r="N711" s="111"/>
      <c r="O711" s="111"/>
      <c r="P711" s="111"/>
      <c r="Q711" s="111"/>
    </row>
    <row r="712" spans="14:17" x14ac:dyDescent="0.3">
      <c r="N712" s="111"/>
      <c r="O712" s="111"/>
      <c r="P712" s="111"/>
      <c r="Q712" s="111"/>
    </row>
    <row r="713" spans="14:17" x14ac:dyDescent="0.3">
      <c r="N713" s="111"/>
      <c r="O713" s="111"/>
      <c r="P713" s="111"/>
      <c r="Q713" s="111"/>
    </row>
    <row r="714" spans="14:17" x14ac:dyDescent="0.3">
      <c r="N714" s="111"/>
      <c r="O714" s="111"/>
      <c r="P714" s="111"/>
      <c r="Q714" s="111"/>
    </row>
    <row r="715" spans="14:17" x14ac:dyDescent="0.3">
      <c r="N715" s="111"/>
      <c r="O715" s="111"/>
      <c r="P715" s="111"/>
      <c r="Q715" s="111"/>
    </row>
    <row r="716" spans="14:17" x14ac:dyDescent="0.3">
      <c r="N716" s="111"/>
      <c r="O716" s="111"/>
      <c r="P716" s="111"/>
      <c r="Q716" s="111"/>
    </row>
    <row r="717" spans="14:17" x14ac:dyDescent="0.3">
      <c r="N717" s="111"/>
      <c r="O717" s="111"/>
      <c r="P717" s="111"/>
      <c r="Q717" s="111"/>
    </row>
    <row r="718" spans="14:17" x14ac:dyDescent="0.3">
      <c r="N718" s="111"/>
      <c r="O718" s="111"/>
      <c r="P718" s="111"/>
      <c r="Q718" s="111"/>
    </row>
    <row r="719" spans="14:17" x14ac:dyDescent="0.3">
      <c r="N719" s="111"/>
      <c r="O719" s="111"/>
      <c r="P719" s="111"/>
      <c r="Q719" s="111"/>
    </row>
    <row r="720" spans="14:17" x14ac:dyDescent="0.3">
      <c r="N720" s="111"/>
      <c r="O720" s="111"/>
      <c r="P720" s="111"/>
      <c r="Q720" s="111"/>
    </row>
    <row r="721" spans="14:17" x14ac:dyDescent="0.3">
      <c r="N721" s="111"/>
      <c r="O721" s="111"/>
      <c r="P721" s="111"/>
      <c r="Q721" s="111"/>
    </row>
    <row r="722" spans="14:17" x14ac:dyDescent="0.3">
      <c r="N722" s="111"/>
      <c r="O722" s="111"/>
      <c r="P722" s="111"/>
      <c r="Q722" s="111"/>
    </row>
    <row r="723" spans="14:17" x14ac:dyDescent="0.3">
      <c r="N723" s="111"/>
      <c r="O723" s="111"/>
      <c r="P723" s="111"/>
      <c r="Q723" s="111"/>
    </row>
    <row r="724" spans="14:17" x14ac:dyDescent="0.3">
      <c r="N724" s="111"/>
      <c r="O724" s="111"/>
      <c r="P724" s="111"/>
      <c r="Q724" s="111"/>
    </row>
    <row r="725" spans="14:17" x14ac:dyDescent="0.3">
      <c r="N725" s="111"/>
      <c r="O725" s="111"/>
      <c r="P725" s="111"/>
      <c r="Q725" s="111"/>
    </row>
    <row r="726" spans="14:17" x14ac:dyDescent="0.3">
      <c r="N726" s="111"/>
      <c r="O726" s="111"/>
      <c r="P726" s="111"/>
      <c r="Q726" s="111"/>
    </row>
    <row r="727" spans="14:17" x14ac:dyDescent="0.3">
      <c r="N727" s="111"/>
      <c r="O727" s="111"/>
      <c r="P727" s="111"/>
      <c r="Q727" s="111"/>
    </row>
    <row r="728" spans="14:17" x14ac:dyDescent="0.3">
      <c r="N728" s="111"/>
      <c r="O728" s="111"/>
      <c r="P728" s="111"/>
      <c r="Q728" s="111"/>
    </row>
    <row r="729" spans="14:17" x14ac:dyDescent="0.3">
      <c r="N729" s="111"/>
      <c r="O729" s="111"/>
      <c r="P729" s="111"/>
      <c r="Q729" s="111"/>
    </row>
    <row r="730" spans="14:17" x14ac:dyDescent="0.3">
      <c r="N730" s="111"/>
      <c r="O730" s="111"/>
      <c r="P730" s="111"/>
      <c r="Q730" s="111"/>
    </row>
    <row r="731" spans="14:17" x14ac:dyDescent="0.3">
      <c r="N731" s="111"/>
      <c r="O731" s="111"/>
      <c r="P731" s="111"/>
      <c r="Q731" s="111"/>
    </row>
    <row r="732" spans="14:17" x14ac:dyDescent="0.3">
      <c r="N732" s="111"/>
      <c r="O732" s="111"/>
      <c r="P732" s="111"/>
      <c r="Q732" s="111"/>
    </row>
    <row r="733" spans="14:17" x14ac:dyDescent="0.3">
      <c r="N733" s="111"/>
      <c r="O733" s="111"/>
      <c r="P733" s="111"/>
      <c r="Q733" s="111"/>
    </row>
    <row r="734" spans="14:17" x14ac:dyDescent="0.3">
      <c r="N734" s="111"/>
      <c r="O734" s="111"/>
      <c r="P734" s="111"/>
      <c r="Q734" s="111"/>
    </row>
    <row r="735" spans="14:17" x14ac:dyDescent="0.3">
      <c r="N735" s="111"/>
      <c r="O735" s="111"/>
      <c r="P735" s="111"/>
      <c r="Q735" s="111"/>
    </row>
    <row r="736" spans="14:17" x14ac:dyDescent="0.3">
      <c r="N736" s="111"/>
      <c r="O736" s="111"/>
      <c r="P736" s="111"/>
      <c r="Q736" s="111"/>
    </row>
    <row r="737" spans="14:17" x14ac:dyDescent="0.3">
      <c r="N737" s="111"/>
      <c r="O737" s="111"/>
      <c r="P737" s="111"/>
      <c r="Q737" s="111"/>
    </row>
    <row r="738" spans="14:17" x14ac:dyDescent="0.3">
      <c r="N738" s="111"/>
      <c r="O738" s="111"/>
      <c r="P738" s="111"/>
      <c r="Q738" s="111"/>
    </row>
    <row r="739" spans="14:17" x14ac:dyDescent="0.3">
      <c r="N739" s="111"/>
      <c r="O739" s="111"/>
      <c r="P739" s="111"/>
      <c r="Q739" s="111"/>
    </row>
    <row r="740" spans="14:17" x14ac:dyDescent="0.3">
      <c r="N740" s="111"/>
      <c r="O740" s="111"/>
      <c r="P740" s="111"/>
      <c r="Q740" s="111"/>
    </row>
    <row r="741" spans="14:17" x14ac:dyDescent="0.3">
      <c r="N741" s="111"/>
      <c r="O741" s="111"/>
      <c r="P741" s="111"/>
      <c r="Q741" s="111"/>
    </row>
    <row r="742" spans="14:17" x14ac:dyDescent="0.3">
      <c r="N742" s="111"/>
      <c r="O742" s="111"/>
      <c r="P742" s="111"/>
      <c r="Q742" s="111"/>
    </row>
    <row r="743" spans="14:17" x14ac:dyDescent="0.3">
      <c r="N743" s="111"/>
      <c r="O743" s="111"/>
      <c r="P743" s="111"/>
      <c r="Q743" s="111"/>
    </row>
    <row r="744" spans="14:17" x14ac:dyDescent="0.3">
      <c r="N744" s="111"/>
      <c r="O744" s="111"/>
      <c r="P744" s="111"/>
      <c r="Q744" s="111"/>
    </row>
    <row r="745" spans="14:17" x14ac:dyDescent="0.3">
      <c r="N745" s="111"/>
      <c r="O745" s="111"/>
      <c r="P745" s="111"/>
      <c r="Q745" s="111"/>
    </row>
    <row r="746" spans="14:17" x14ac:dyDescent="0.3">
      <c r="N746" s="111"/>
      <c r="O746" s="111"/>
      <c r="P746" s="111"/>
      <c r="Q746" s="111"/>
    </row>
    <row r="747" spans="14:17" x14ac:dyDescent="0.3">
      <c r="N747" s="111"/>
      <c r="O747" s="111"/>
      <c r="P747" s="111"/>
      <c r="Q747" s="111"/>
    </row>
    <row r="748" spans="14:17" x14ac:dyDescent="0.3">
      <c r="N748" s="111"/>
      <c r="O748" s="111"/>
      <c r="P748" s="111"/>
      <c r="Q748" s="111"/>
    </row>
    <row r="749" spans="14:17" x14ac:dyDescent="0.3">
      <c r="N749" s="111"/>
      <c r="O749" s="111"/>
      <c r="P749" s="111"/>
      <c r="Q749" s="111"/>
    </row>
    <row r="750" spans="14:17" x14ac:dyDescent="0.3">
      <c r="N750" s="111"/>
      <c r="O750" s="111"/>
      <c r="P750" s="111"/>
      <c r="Q750" s="111"/>
    </row>
    <row r="751" spans="14:17" x14ac:dyDescent="0.3">
      <c r="N751" s="111"/>
      <c r="O751" s="111"/>
      <c r="P751" s="111"/>
      <c r="Q751" s="111"/>
    </row>
    <row r="752" spans="14:17" x14ac:dyDescent="0.3">
      <c r="N752" s="111"/>
      <c r="O752" s="111"/>
      <c r="P752" s="111"/>
      <c r="Q752" s="111"/>
    </row>
    <row r="753" spans="14:17" x14ac:dyDescent="0.3">
      <c r="N753" s="111"/>
      <c r="O753" s="111"/>
      <c r="P753" s="111"/>
      <c r="Q753" s="111"/>
    </row>
    <row r="754" spans="14:17" x14ac:dyDescent="0.3">
      <c r="N754" s="111"/>
      <c r="O754" s="111"/>
      <c r="P754" s="111"/>
      <c r="Q754" s="111"/>
    </row>
    <row r="755" spans="14:17" x14ac:dyDescent="0.3">
      <c r="N755" s="111"/>
      <c r="O755" s="111"/>
      <c r="P755" s="111"/>
      <c r="Q755" s="111"/>
    </row>
    <row r="756" spans="14:17" x14ac:dyDescent="0.3">
      <c r="N756" s="111"/>
      <c r="O756" s="111"/>
      <c r="P756" s="111"/>
      <c r="Q756" s="111"/>
    </row>
    <row r="757" spans="14:17" x14ac:dyDescent="0.3">
      <c r="N757" s="111"/>
      <c r="O757" s="111"/>
      <c r="P757" s="111"/>
      <c r="Q757" s="111"/>
    </row>
    <row r="758" spans="14:17" x14ac:dyDescent="0.3">
      <c r="N758" s="111"/>
      <c r="O758" s="111"/>
      <c r="P758" s="111"/>
      <c r="Q758" s="111"/>
    </row>
    <row r="759" spans="14:17" x14ac:dyDescent="0.3">
      <c r="N759" s="111"/>
      <c r="O759" s="111"/>
      <c r="P759" s="111"/>
      <c r="Q759" s="111"/>
    </row>
    <row r="760" spans="14:17" x14ac:dyDescent="0.3">
      <c r="N760" s="111"/>
      <c r="O760" s="111"/>
      <c r="P760" s="111"/>
      <c r="Q760" s="111"/>
    </row>
    <row r="761" spans="14:17" x14ac:dyDescent="0.3">
      <c r="N761" s="111"/>
      <c r="O761" s="111"/>
      <c r="P761" s="111"/>
      <c r="Q761" s="111"/>
    </row>
    <row r="762" spans="14:17" x14ac:dyDescent="0.3">
      <c r="N762" s="111"/>
      <c r="O762" s="111"/>
      <c r="P762" s="111"/>
      <c r="Q762" s="111"/>
    </row>
    <row r="763" spans="14:17" x14ac:dyDescent="0.3">
      <c r="N763" s="111"/>
      <c r="O763" s="111"/>
      <c r="P763" s="111"/>
      <c r="Q763" s="111"/>
    </row>
    <row r="764" spans="14:17" x14ac:dyDescent="0.3">
      <c r="N764" s="111"/>
      <c r="O764" s="111"/>
      <c r="P764" s="111"/>
      <c r="Q764" s="111"/>
    </row>
    <row r="765" spans="14:17" x14ac:dyDescent="0.3">
      <c r="N765" s="111"/>
      <c r="O765" s="111"/>
      <c r="P765" s="111"/>
      <c r="Q765" s="111"/>
    </row>
    <row r="766" spans="14:17" x14ac:dyDescent="0.3">
      <c r="N766" s="111"/>
      <c r="O766" s="111"/>
      <c r="P766" s="111"/>
      <c r="Q766" s="111"/>
    </row>
    <row r="767" spans="14:17" x14ac:dyDescent="0.3">
      <c r="N767" s="111"/>
      <c r="O767" s="111"/>
      <c r="P767" s="111"/>
      <c r="Q767" s="111"/>
    </row>
    <row r="768" spans="14:17" x14ac:dyDescent="0.3">
      <c r="N768" s="111"/>
      <c r="O768" s="111"/>
      <c r="P768" s="111"/>
      <c r="Q768" s="111"/>
    </row>
    <row r="769" spans="14:17" x14ac:dyDescent="0.3">
      <c r="N769" s="111"/>
      <c r="O769" s="111"/>
      <c r="P769" s="111"/>
      <c r="Q769" s="111"/>
    </row>
    <row r="770" spans="14:17" x14ac:dyDescent="0.3">
      <c r="N770" s="111"/>
      <c r="O770" s="111"/>
      <c r="P770" s="111"/>
      <c r="Q770" s="111"/>
    </row>
    <row r="771" spans="14:17" x14ac:dyDescent="0.3">
      <c r="N771" s="111"/>
      <c r="O771" s="111"/>
      <c r="P771" s="111"/>
      <c r="Q771" s="111"/>
    </row>
    <row r="772" spans="14:17" x14ac:dyDescent="0.3">
      <c r="N772" s="111"/>
      <c r="O772" s="111"/>
      <c r="P772" s="111"/>
      <c r="Q772" s="111"/>
    </row>
    <row r="773" spans="14:17" x14ac:dyDescent="0.3">
      <c r="N773" s="111"/>
      <c r="O773" s="111"/>
      <c r="P773" s="111"/>
      <c r="Q773" s="111"/>
    </row>
    <row r="774" spans="14:17" x14ac:dyDescent="0.3">
      <c r="N774" s="111"/>
      <c r="O774" s="111"/>
      <c r="P774" s="111"/>
      <c r="Q774" s="111"/>
    </row>
    <row r="775" spans="14:17" x14ac:dyDescent="0.3">
      <c r="N775" s="111"/>
      <c r="O775" s="111"/>
      <c r="P775" s="111"/>
      <c r="Q775" s="111"/>
    </row>
    <row r="776" spans="14:17" x14ac:dyDescent="0.3">
      <c r="N776" s="111"/>
      <c r="O776" s="111"/>
      <c r="P776" s="111"/>
      <c r="Q776" s="111"/>
    </row>
    <row r="777" spans="14:17" x14ac:dyDescent="0.3">
      <c r="N777" s="111"/>
      <c r="O777" s="111"/>
      <c r="P777" s="111"/>
      <c r="Q777" s="111"/>
    </row>
    <row r="778" spans="14:17" x14ac:dyDescent="0.3">
      <c r="N778" s="111"/>
      <c r="O778" s="111"/>
      <c r="P778" s="111"/>
      <c r="Q778" s="111"/>
    </row>
    <row r="779" spans="14:17" x14ac:dyDescent="0.3">
      <c r="N779" s="111"/>
      <c r="O779" s="111"/>
      <c r="P779" s="111"/>
      <c r="Q779" s="111"/>
    </row>
    <row r="780" spans="14:17" x14ac:dyDescent="0.3">
      <c r="N780" s="111"/>
      <c r="O780" s="111"/>
      <c r="P780" s="111"/>
      <c r="Q780" s="111"/>
    </row>
    <row r="781" spans="14:17" x14ac:dyDescent="0.3">
      <c r="N781" s="111"/>
      <c r="O781" s="111"/>
      <c r="P781" s="111"/>
      <c r="Q781" s="111"/>
    </row>
    <row r="782" spans="14:17" x14ac:dyDescent="0.3">
      <c r="N782" s="111"/>
      <c r="O782" s="111"/>
      <c r="P782" s="111"/>
      <c r="Q782" s="111"/>
    </row>
    <row r="783" spans="14:17" x14ac:dyDescent="0.3">
      <c r="N783" s="111"/>
      <c r="O783" s="111"/>
      <c r="P783" s="111"/>
      <c r="Q783" s="111"/>
    </row>
    <row r="784" spans="14:17" x14ac:dyDescent="0.3">
      <c r="N784" s="111"/>
      <c r="O784" s="111"/>
      <c r="P784" s="111"/>
      <c r="Q784" s="111"/>
    </row>
    <row r="785" spans="14:17" x14ac:dyDescent="0.3">
      <c r="N785" s="111"/>
      <c r="O785" s="111"/>
      <c r="P785" s="111"/>
      <c r="Q785" s="111"/>
    </row>
    <row r="786" spans="14:17" x14ac:dyDescent="0.3">
      <c r="N786" s="111"/>
      <c r="O786" s="111"/>
      <c r="P786" s="111"/>
      <c r="Q786" s="111"/>
    </row>
    <row r="787" spans="14:17" x14ac:dyDescent="0.3">
      <c r="N787" s="111"/>
      <c r="O787" s="111"/>
      <c r="P787" s="111"/>
      <c r="Q787" s="111"/>
    </row>
    <row r="788" spans="14:17" x14ac:dyDescent="0.3">
      <c r="N788" s="111"/>
      <c r="O788" s="111"/>
      <c r="P788" s="111"/>
      <c r="Q788" s="111"/>
    </row>
    <row r="789" spans="14:17" x14ac:dyDescent="0.3">
      <c r="N789" s="111"/>
      <c r="O789" s="111"/>
      <c r="P789" s="111"/>
      <c r="Q789" s="111"/>
    </row>
    <row r="790" spans="14:17" x14ac:dyDescent="0.3">
      <c r="N790" s="111"/>
      <c r="O790" s="111"/>
      <c r="P790" s="111"/>
      <c r="Q790" s="111"/>
    </row>
    <row r="791" spans="14:17" x14ac:dyDescent="0.3">
      <c r="N791" s="111"/>
      <c r="O791" s="111"/>
      <c r="P791" s="111"/>
      <c r="Q791" s="111"/>
    </row>
    <row r="792" spans="14:17" x14ac:dyDescent="0.3">
      <c r="N792" s="111"/>
      <c r="O792" s="111"/>
      <c r="P792" s="111"/>
      <c r="Q792" s="111"/>
    </row>
    <row r="793" spans="14:17" x14ac:dyDescent="0.3">
      <c r="N793" s="111"/>
      <c r="O793" s="111"/>
      <c r="P793" s="111"/>
      <c r="Q793" s="111"/>
    </row>
    <row r="794" spans="14:17" x14ac:dyDescent="0.3">
      <c r="N794" s="111"/>
      <c r="O794" s="111"/>
      <c r="P794" s="111"/>
      <c r="Q794" s="111"/>
    </row>
    <row r="795" spans="14:17" x14ac:dyDescent="0.3">
      <c r="N795" s="111"/>
      <c r="O795" s="111"/>
      <c r="P795" s="111"/>
      <c r="Q795" s="111"/>
    </row>
    <row r="796" spans="14:17" x14ac:dyDescent="0.3">
      <c r="N796" s="111"/>
      <c r="O796" s="111"/>
      <c r="P796" s="111"/>
      <c r="Q796" s="111"/>
    </row>
    <row r="797" spans="14:17" x14ac:dyDescent="0.3">
      <c r="N797" s="111"/>
      <c r="O797" s="111"/>
      <c r="P797" s="111"/>
      <c r="Q797" s="111"/>
    </row>
    <row r="798" spans="14:17" x14ac:dyDescent="0.3">
      <c r="N798" s="111"/>
      <c r="O798" s="111"/>
      <c r="P798" s="111"/>
      <c r="Q798" s="111"/>
    </row>
    <row r="799" spans="14:17" x14ac:dyDescent="0.3">
      <c r="N799" s="111"/>
      <c r="O799" s="111"/>
      <c r="P799" s="111"/>
      <c r="Q799" s="111"/>
    </row>
    <row r="800" spans="14:17" x14ac:dyDescent="0.3">
      <c r="N800" s="111"/>
      <c r="O800" s="111"/>
      <c r="P800" s="111"/>
      <c r="Q800" s="111"/>
    </row>
    <row r="801" spans="14:17" x14ac:dyDescent="0.3">
      <c r="N801" s="111"/>
      <c r="O801" s="111"/>
      <c r="P801" s="111"/>
      <c r="Q801" s="111"/>
    </row>
    <row r="802" spans="14:17" x14ac:dyDescent="0.3">
      <c r="N802" s="111"/>
      <c r="O802" s="111"/>
      <c r="P802" s="111"/>
      <c r="Q802" s="111"/>
    </row>
    <row r="803" spans="14:17" x14ac:dyDescent="0.3">
      <c r="N803" s="111"/>
      <c r="O803" s="111"/>
      <c r="P803" s="111"/>
      <c r="Q803" s="111"/>
    </row>
    <row r="804" spans="14:17" x14ac:dyDescent="0.3">
      <c r="N804" s="111"/>
      <c r="O804" s="111"/>
      <c r="P804" s="111"/>
      <c r="Q804" s="111"/>
    </row>
    <row r="805" spans="14:17" x14ac:dyDescent="0.3">
      <c r="N805" s="111"/>
      <c r="O805" s="111"/>
      <c r="P805" s="111"/>
      <c r="Q805" s="111"/>
    </row>
    <row r="806" spans="14:17" x14ac:dyDescent="0.3">
      <c r="N806" s="111"/>
      <c r="O806" s="111"/>
      <c r="P806" s="111"/>
      <c r="Q806" s="111"/>
    </row>
    <row r="807" spans="14:17" x14ac:dyDescent="0.3">
      <c r="N807" s="111"/>
      <c r="O807" s="111"/>
      <c r="P807" s="111"/>
      <c r="Q807" s="111"/>
    </row>
    <row r="808" spans="14:17" x14ac:dyDescent="0.3">
      <c r="N808" s="111"/>
      <c r="O808" s="111"/>
      <c r="P808" s="111"/>
      <c r="Q808" s="111"/>
    </row>
    <row r="809" spans="14:17" x14ac:dyDescent="0.3">
      <c r="N809" s="111"/>
      <c r="O809" s="111"/>
      <c r="P809" s="111"/>
      <c r="Q809" s="111"/>
    </row>
    <row r="810" spans="14:17" x14ac:dyDescent="0.3">
      <c r="N810" s="111"/>
      <c r="O810" s="111"/>
      <c r="P810" s="111"/>
      <c r="Q810" s="111"/>
    </row>
    <row r="811" spans="14:17" x14ac:dyDescent="0.3">
      <c r="N811" s="111"/>
      <c r="O811" s="111"/>
      <c r="P811" s="111"/>
      <c r="Q811" s="111"/>
    </row>
    <row r="812" spans="14:17" x14ac:dyDescent="0.3">
      <c r="N812" s="111"/>
      <c r="O812" s="111"/>
      <c r="P812" s="111"/>
      <c r="Q812" s="111"/>
    </row>
    <row r="813" spans="14:17" x14ac:dyDescent="0.3">
      <c r="N813" s="111"/>
      <c r="O813" s="111"/>
      <c r="P813" s="111"/>
      <c r="Q813" s="111"/>
    </row>
    <row r="814" spans="14:17" x14ac:dyDescent="0.3">
      <c r="N814" s="111"/>
      <c r="O814" s="111"/>
      <c r="P814" s="111"/>
      <c r="Q814" s="111"/>
    </row>
    <row r="815" spans="14:17" x14ac:dyDescent="0.3">
      <c r="N815" s="111"/>
      <c r="O815" s="111"/>
      <c r="P815" s="111"/>
      <c r="Q815" s="111"/>
    </row>
    <row r="816" spans="14:17" x14ac:dyDescent="0.3">
      <c r="N816" s="111"/>
      <c r="O816" s="111"/>
      <c r="P816" s="111"/>
      <c r="Q816" s="111"/>
    </row>
    <row r="817" spans="14:17" x14ac:dyDescent="0.3">
      <c r="N817" s="111"/>
      <c r="O817" s="111"/>
      <c r="P817" s="111"/>
      <c r="Q817" s="111"/>
    </row>
    <row r="818" spans="14:17" x14ac:dyDescent="0.3">
      <c r="N818" s="111"/>
      <c r="O818" s="111"/>
      <c r="P818" s="111"/>
      <c r="Q818" s="111"/>
    </row>
    <row r="819" spans="14:17" x14ac:dyDescent="0.3">
      <c r="N819" s="111"/>
      <c r="O819" s="111"/>
      <c r="P819" s="111"/>
      <c r="Q819" s="111"/>
    </row>
    <row r="820" spans="14:17" x14ac:dyDescent="0.3">
      <c r="N820" s="111"/>
      <c r="O820" s="111"/>
      <c r="P820" s="111"/>
      <c r="Q820" s="111"/>
    </row>
    <row r="821" spans="14:17" x14ac:dyDescent="0.3">
      <c r="N821" s="111"/>
      <c r="O821" s="111"/>
      <c r="P821" s="111"/>
      <c r="Q821" s="111"/>
    </row>
    <row r="822" spans="14:17" x14ac:dyDescent="0.3">
      <c r="N822" s="111"/>
      <c r="O822" s="111"/>
      <c r="P822" s="111"/>
      <c r="Q822" s="111"/>
    </row>
    <row r="823" spans="14:17" x14ac:dyDescent="0.3">
      <c r="N823" s="111"/>
      <c r="O823" s="111"/>
      <c r="P823" s="111"/>
      <c r="Q823" s="111"/>
    </row>
    <row r="824" spans="14:17" x14ac:dyDescent="0.3">
      <c r="N824" s="111"/>
      <c r="O824" s="111"/>
      <c r="P824" s="111"/>
      <c r="Q824" s="111"/>
    </row>
    <row r="825" spans="14:17" x14ac:dyDescent="0.3">
      <c r="N825" s="111"/>
      <c r="O825" s="111"/>
      <c r="P825" s="111"/>
      <c r="Q825" s="111"/>
    </row>
    <row r="826" spans="14:17" x14ac:dyDescent="0.3">
      <c r="N826" s="111"/>
      <c r="O826" s="111"/>
      <c r="P826" s="111"/>
      <c r="Q826" s="111"/>
    </row>
    <row r="827" spans="14:17" x14ac:dyDescent="0.3">
      <c r="N827" s="111"/>
      <c r="O827" s="111"/>
      <c r="P827" s="111"/>
      <c r="Q827" s="111"/>
    </row>
    <row r="828" spans="14:17" x14ac:dyDescent="0.3">
      <c r="N828" s="111"/>
      <c r="O828" s="111"/>
      <c r="P828" s="111"/>
      <c r="Q828" s="111"/>
    </row>
    <row r="829" spans="14:17" x14ac:dyDescent="0.3">
      <c r="N829" s="111"/>
      <c r="O829" s="111"/>
      <c r="P829" s="111"/>
      <c r="Q829" s="111"/>
    </row>
    <row r="830" spans="14:17" x14ac:dyDescent="0.3">
      <c r="N830" s="111"/>
      <c r="O830" s="111"/>
      <c r="P830" s="111"/>
      <c r="Q830" s="111"/>
    </row>
    <row r="831" spans="14:17" x14ac:dyDescent="0.3">
      <c r="N831" s="111"/>
      <c r="O831" s="111"/>
      <c r="P831" s="111"/>
      <c r="Q831" s="111"/>
    </row>
    <row r="832" spans="14:17" x14ac:dyDescent="0.3">
      <c r="N832" s="111"/>
      <c r="O832" s="111"/>
      <c r="P832" s="111"/>
      <c r="Q832" s="111"/>
    </row>
    <row r="833" spans="14:17" x14ac:dyDescent="0.3">
      <c r="N833" s="111"/>
      <c r="O833" s="111"/>
      <c r="P833" s="111"/>
      <c r="Q833" s="111"/>
    </row>
    <row r="834" spans="14:17" x14ac:dyDescent="0.3">
      <c r="N834" s="111"/>
      <c r="O834" s="111"/>
      <c r="P834" s="111"/>
      <c r="Q834" s="111"/>
    </row>
    <row r="835" spans="14:17" x14ac:dyDescent="0.3">
      <c r="N835" s="111"/>
      <c r="O835" s="111"/>
      <c r="P835" s="111"/>
      <c r="Q835" s="111"/>
    </row>
    <row r="836" spans="14:17" x14ac:dyDescent="0.3">
      <c r="N836" s="111"/>
      <c r="O836" s="111"/>
      <c r="P836" s="111"/>
      <c r="Q836" s="111"/>
    </row>
    <row r="837" spans="14:17" x14ac:dyDescent="0.3">
      <c r="N837" s="111"/>
      <c r="O837" s="111"/>
      <c r="P837" s="111"/>
      <c r="Q837" s="111"/>
    </row>
    <row r="838" spans="14:17" x14ac:dyDescent="0.3">
      <c r="N838" s="111"/>
      <c r="O838" s="111"/>
      <c r="P838" s="111"/>
      <c r="Q838" s="111"/>
    </row>
    <row r="839" spans="14:17" x14ac:dyDescent="0.3">
      <c r="N839" s="111"/>
      <c r="O839" s="111"/>
      <c r="P839" s="111"/>
      <c r="Q839" s="111"/>
    </row>
    <row r="840" spans="14:17" x14ac:dyDescent="0.3">
      <c r="N840" s="111"/>
      <c r="O840" s="111"/>
      <c r="P840" s="111"/>
      <c r="Q840" s="111"/>
    </row>
    <row r="841" spans="14:17" x14ac:dyDescent="0.3">
      <c r="N841" s="111"/>
      <c r="O841" s="111"/>
      <c r="P841" s="111"/>
      <c r="Q841" s="111"/>
    </row>
    <row r="842" spans="14:17" x14ac:dyDescent="0.3">
      <c r="N842" s="111"/>
      <c r="O842" s="111"/>
      <c r="P842" s="111"/>
      <c r="Q842" s="111"/>
    </row>
    <row r="843" spans="14:17" x14ac:dyDescent="0.3">
      <c r="N843" s="111"/>
      <c r="O843" s="111"/>
      <c r="P843" s="111"/>
      <c r="Q843" s="111"/>
    </row>
    <row r="844" spans="14:17" x14ac:dyDescent="0.3">
      <c r="N844" s="111"/>
      <c r="O844" s="111"/>
      <c r="P844" s="111"/>
      <c r="Q844" s="111"/>
    </row>
    <row r="845" spans="14:17" x14ac:dyDescent="0.3">
      <c r="N845" s="111"/>
      <c r="O845" s="111"/>
      <c r="P845" s="111"/>
      <c r="Q845" s="111"/>
    </row>
    <row r="846" spans="14:17" x14ac:dyDescent="0.3">
      <c r="N846" s="111"/>
      <c r="O846" s="111"/>
      <c r="P846" s="111"/>
      <c r="Q846" s="111"/>
    </row>
    <row r="847" spans="14:17" x14ac:dyDescent="0.3">
      <c r="N847" s="111"/>
      <c r="O847" s="111"/>
      <c r="P847" s="111"/>
      <c r="Q847" s="111"/>
    </row>
    <row r="848" spans="14:17" x14ac:dyDescent="0.3">
      <c r="N848" s="111"/>
      <c r="O848" s="111"/>
      <c r="P848" s="111"/>
      <c r="Q848" s="111"/>
    </row>
    <row r="849" spans="14:17" x14ac:dyDescent="0.3">
      <c r="N849" s="111"/>
      <c r="O849" s="111"/>
      <c r="P849" s="111"/>
      <c r="Q849" s="111"/>
    </row>
    <row r="850" spans="14:17" x14ac:dyDescent="0.3">
      <c r="N850" s="111"/>
      <c r="O850" s="111"/>
      <c r="P850" s="111"/>
      <c r="Q850" s="111"/>
    </row>
    <row r="851" spans="14:17" x14ac:dyDescent="0.3">
      <c r="N851" s="111"/>
      <c r="O851" s="111"/>
      <c r="P851" s="111"/>
      <c r="Q851" s="111"/>
    </row>
    <row r="852" spans="14:17" x14ac:dyDescent="0.3">
      <c r="N852" s="111"/>
      <c r="O852" s="111"/>
      <c r="P852" s="111"/>
      <c r="Q852" s="111"/>
    </row>
    <row r="853" spans="14:17" x14ac:dyDescent="0.3">
      <c r="N853" s="111"/>
      <c r="O853" s="111"/>
      <c r="P853" s="111"/>
      <c r="Q853" s="111"/>
    </row>
    <row r="854" spans="14:17" x14ac:dyDescent="0.3">
      <c r="N854" s="111"/>
      <c r="O854" s="111"/>
      <c r="P854" s="111"/>
      <c r="Q854" s="111"/>
    </row>
    <row r="855" spans="14:17" x14ac:dyDescent="0.3">
      <c r="N855" s="111"/>
      <c r="O855" s="111"/>
      <c r="P855" s="111"/>
      <c r="Q855" s="111"/>
    </row>
    <row r="856" spans="14:17" x14ac:dyDescent="0.3">
      <c r="N856" s="111"/>
      <c r="O856" s="111"/>
      <c r="P856" s="111"/>
      <c r="Q856" s="111"/>
    </row>
    <row r="857" spans="14:17" x14ac:dyDescent="0.3">
      <c r="N857" s="111"/>
      <c r="O857" s="111"/>
      <c r="P857" s="111"/>
      <c r="Q857" s="111"/>
    </row>
    <row r="858" spans="14:17" x14ac:dyDescent="0.3">
      <c r="N858" s="111"/>
      <c r="O858" s="111"/>
      <c r="P858" s="111"/>
      <c r="Q858" s="111"/>
    </row>
    <row r="859" spans="14:17" x14ac:dyDescent="0.3">
      <c r="N859" s="111"/>
      <c r="O859" s="111"/>
      <c r="P859" s="111"/>
      <c r="Q859" s="111"/>
    </row>
    <row r="860" spans="14:17" x14ac:dyDescent="0.3">
      <c r="N860" s="111"/>
      <c r="O860" s="111"/>
      <c r="P860" s="111"/>
      <c r="Q860" s="111"/>
    </row>
    <row r="861" spans="14:17" x14ac:dyDescent="0.3">
      <c r="N861" s="111"/>
      <c r="O861" s="111"/>
      <c r="P861" s="111"/>
      <c r="Q861" s="111"/>
    </row>
    <row r="862" spans="14:17" x14ac:dyDescent="0.3">
      <c r="N862" s="111"/>
      <c r="O862" s="111"/>
      <c r="P862" s="111"/>
      <c r="Q862" s="111"/>
    </row>
    <row r="863" spans="14:17" x14ac:dyDescent="0.3">
      <c r="N863" s="111"/>
      <c r="O863" s="111"/>
      <c r="P863" s="111"/>
      <c r="Q863" s="111"/>
    </row>
    <row r="864" spans="14:17" x14ac:dyDescent="0.3">
      <c r="N864" s="111"/>
      <c r="O864" s="111"/>
      <c r="P864" s="111"/>
      <c r="Q864" s="111"/>
    </row>
    <row r="865" spans="14:17" x14ac:dyDescent="0.3">
      <c r="N865" s="111"/>
      <c r="O865" s="111"/>
      <c r="P865" s="111"/>
      <c r="Q865" s="111"/>
    </row>
    <row r="866" spans="14:17" x14ac:dyDescent="0.3">
      <c r="N866" s="111"/>
      <c r="O866" s="111"/>
      <c r="P866" s="111"/>
      <c r="Q866" s="111"/>
    </row>
    <row r="867" spans="14:17" x14ac:dyDescent="0.3">
      <c r="N867" s="111"/>
      <c r="O867" s="111"/>
      <c r="P867" s="111"/>
      <c r="Q867" s="111"/>
    </row>
    <row r="868" spans="14:17" x14ac:dyDescent="0.3">
      <c r="N868" s="111"/>
      <c r="O868" s="111"/>
      <c r="P868" s="111"/>
      <c r="Q868" s="111"/>
    </row>
    <row r="869" spans="14:17" x14ac:dyDescent="0.3">
      <c r="N869" s="111"/>
      <c r="O869" s="111"/>
      <c r="P869" s="111"/>
      <c r="Q869" s="111"/>
    </row>
    <row r="870" spans="14:17" x14ac:dyDescent="0.3">
      <c r="N870" s="111"/>
      <c r="O870" s="111"/>
      <c r="P870" s="111"/>
      <c r="Q870" s="111"/>
    </row>
    <row r="871" spans="14:17" x14ac:dyDescent="0.3">
      <c r="N871" s="111"/>
      <c r="O871" s="111"/>
      <c r="P871" s="111"/>
      <c r="Q871" s="111"/>
    </row>
    <row r="872" spans="14:17" x14ac:dyDescent="0.3">
      <c r="N872" s="111"/>
      <c r="O872" s="111"/>
      <c r="P872" s="111"/>
      <c r="Q872" s="111"/>
    </row>
    <row r="873" spans="14:17" x14ac:dyDescent="0.3">
      <c r="N873" s="111"/>
      <c r="O873" s="111"/>
      <c r="P873" s="111"/>
      <c r="Q873" s="111"/>
    </row>
    <row r="874" spans="14:17" x14ac:dyDescent="0.3">
      <c r="N874" s="111"/>
      <c r="O874" s="111"/>
      <c r="P874" s="111"/>
      <c r="Q874" s="111"/>
    </row>
    <row r="875" spans="14:17" x14ac:dyDescent="0.3">
      <c r="N875" s="111"/>
      <c r="O875" s="111"/>
      <c r="P875" s="111"/>
      <c r="Q875" s="111"/>
    </row>
    <row r="876" spans="14:17" x14ac:dyDescent="0.3">
      <c r="N876" s="111"/>
      <c r="O876" s="111"/>
      <c r="P876" s="111"/>
      <c r="Q876" s="111"/>
    </row>
    <row r="877" spans="14:17" x14ac:dyDescent="0.3">
      <c r="N877" s="111"/>
      <c r="O877" s="111"/>
      <c r="P877" s="111"/>
      <c r="Q877" s="111"/>
    </row>
    <row r="878" spans="14:17" x14ac:dyDescent="0.3">
      <c r="N878" s="111"/>
      <c r="O878" s="111"/>
      <c r="P878" s="111"/>
      <c r="Q878" s="111"/>
    </row>
    <row r="879" spans="14:17" x14ac:dyDescent="0.3">
      <c r="N879" s="111"/>
      <c r="O879" s="111"/>
      <c r="P879" s="111"/>
      <c r="Q879" s="111"/>
    </row>
    <row r="880" spans="14:17" x14ac:dyDescent="0.3">
      <c r="N880" s="111"/>
      <c r="O880" s="111"/>
      <c r="P880" s="111"/>
      <c r="Q880" s="111"/>
    </row>
    <row r="881" spans="14:17" x14ac:dyDescent="0.3">
      <c r="N881" s="111"/>
      <c r="O881" s="111"/>
      <c r="P881" s="111"/>
      <c r="Q881" s="111"/>
    </row>
    <row r="882" spans="14:17" x14ac:dyDescent="0.3">
      <c r="N882" s="111"/>
      <c r="O882" s="111"/>
      <c r="P882" s="111"/>
      <c r="Q882" s="111"/>
    </row>
    <row r="883" spans="14:17" x14ac:dyDescent="0.3">
      <c r="N883" s="111"/>
      <c r="O883" s="111"/>
      <c r="P883" s="111"/>
      <c r="Q883" s="111"/>
    </row>
    <row r="884" spans="14:17" x14ac:dyDescent="0.3">
      <c r="N884" s="111"/>
      <c r="O884" s="111"/>
      <c r="P884" s="111"/>
      <c r="Q884" s="111"/>
    </row>
    <row r="885" spans="14:17" x14ac:dyDescent="0.3">
      <c r="N885" s="111"/>
      <c r="O885" s="111"/>
      <c r="P885" s="111"/>
      <c r="Q885" s="111"/>
    </row>
    <row r="886" spans="14:17" x14ac:dyDescent="0.3">
      <c r="N886" s="111"/>
      <c r="O886" s="111"/>
      <c r="P886" s="111"/>
      <c r="Q886" s="111"/>
    </row>
    <row r="887" spans="14:17" x14ac:dyDescent="0.3">
      <c r="N887" s="111"/>
      <c r="O887" s="111"/>
      <c r="P887" s="111"/>
      <c r="Q887" s="111"/>
    </row>
    <row r="888" spans="14:17" x14ac:dyDescent="0.3">
      <c r="N888" s="111"/>
      <c r="O888" s="111"/>
      <c r="P888" s="111"/>
      <c r="Q888" s="111"/>
    </row>
    <row r="889" spans="14:17" x14ac:dyDescent="0.3">
      <c r="N889" s="111"/>
      <c r="O889" s="111"/>
      <c r="P889" s="111"/>
      <c r="Q889" s="111"/>
    </row>
    <row r="890" spans="14:17" x14ac:dyDescent="0.3">
      <c r="N890" s="111"/>
      <c r="O890" s="111"/>
      <c r="P890" s="111"/>
      <c r="Q890" s="111"/>
    </row>
    <row r="891" spans="14:17" x14ac:dyDescent="0.3">
      <c r="N891" s="111"/>
      <c r="O891" s="111"/>
      <c r="P891" s="111"/>
      <c r="Q891" s="111"/>
    </row>
    <row r="892" spans="14:17" x14ac:dyDescent="0.3">
      <c r="N892" s="111"/>
      <c r="O892" s="111"/>
      <c r="P892" s="111"/>
      <c r="Q892" s="111"/>
    </row>
    <row r="893" spans="14:17" x14ac:dyDescent="0.3">
      <c r="N893" s="111"/>
      <c r="O893" s="111"/>
      <c r="P893" s="111"/>
      <c r="Q893" s="111"/>
    </row>
    <row r="894" spans="14:17" x14ac:dyDescent="0.3">
      <c r="N894" s="111"/>
      <c r="O894" s="111"/>
      <c r="P894" s="111"/>
      <c r="Q894" s="111"/>
    </row>
    <row r="895" spans="14:17" x14ac:dyDescent="0.3">
      <c r="N895" s="111"/>
      <c r="O895" s="111"/>
      <c r="P895" s="111"/>
      <c r="Q895" s="111"/>
    </row>
    <row r="896" spans="14:17" x14ac:dyDescent="0.3">
      <c r="N896" s="111"/>
      <c r="O896" s="111"/>
      <c r="P896" s="111"/>
      <c r="Q896" s="111"/>
    </row>
    <row r="897" spans="14:17" x14ac:dyDescent="0.3">
      <c r="N897" s="111"/>
      <c r="O897" s="111"/>
      <c r="P897" s="111"/>
      <c r="Q897" s="111"/>
    </row>
    <row r="898" spans="14:17" x14ac:dyDescent="0.3">
      <c r="N898" s="111"/>
      <c r="O898" s="111"/>
      <c r="P898" s="111"/>
      <c r="Q898" s="111"/>
    </row>
    <row r="899" spans="14:17" x14ac:dyDescent="0.3">
      <c r="N899" s="111"/>
      <c r="O899" s="111"/>
      <c r="P899" s="111"/>
      <c r="Q899" s="111"/>
    </row>
    <row r="900" spans="14:17" x14ac:dyDescent="0.3">
      <c r="N900" s="111"/>
      <c r="O900" s="111"/>
      <c r="P900" s="111"/>
      <c r="Q900" s="111"/>
    </row>
    <row r="901" spans="14:17" x14ac:dyDescent="0.3">
      <c r="N901" s="111"/>
      <c r="O901" s="111"/>
      <c r="P901" s="111"/>
      <c r="Q901" s="111"/>
    </row>
    <row r="902" spans="14:17" x14ac:dyDescent="0.3">
      <c r="N902" s="111"/>
      <c r="O902" s="111"/>
      <c r="P902" s="111"/>
      <c r="Q902" s="111"/>
    </row>
    <row r="903" spans="14:17" x14ac:dyDescent="0.3">
      <c r="N903" s="111"/>
      <c r="O903" s="111"/>
      <c r="P903" s="111"/>
      <c r="Q903" s="111"/>
    </row>
    <row r="904" spans="14:17" x14ac:dyDescent="0.3">
      <c r="N904" s="111"/>
      <c r="O904" s="111"/>
      <c r="P904" s="111"/>
      <c r="Q904" s="111"/>
    </row>
    <row r="905" spans="14:17" x14ac:dyDescent="0.3">
      <c r="N905" s="111"/>
      <c r="O905" s="111"/>
      <c r="P905" s="111"/>
      <c r="Q905" s="111"/>
    </row>
    <row r="906" spans="14:17" x14ac:dyDescent="0.3">
      <c r="N906" s="111"/>
      <c r="O906" s="111"/>
      <c r="P906" s="111"/>
      <c r="Q906" s="111"/>
    </row>
    <row r="907" spans="14:17" x14ac:dyDescent="0.3">
      <c r="N907" s="111"/>
      <c r="O907" s="111"/>
      <c r="P907" s="111"/>
      <c r="Q907" s="111"/>
    </row>
    <row r="908" spans="14:17" x14ac:dyDescent="0.3">
      <c r="N908" s="111"/>
      <c r="O908" s="111"/>
      <c r="P908" s="111"/>
      <c r="Q908" s="111"/>
    </row>
    <row r="909" spans="14:17" x14ac:dyDescent="0.3">
      <c r="N909" s="111"/>
      <c r="O909" s="111"/>
      <c r="P909" s="111"/>
      <c r="Q909" s="111"/>
    </row>
    <row r="910" spans="14:17" x14ac:dyDescent="0.3">
      <c r="N910" s="111"/>
      <c r="O910" s="111"/>
      <c r="P910" s="111"/>
      <c r="Q910" s="111"/>
    </row>
    <row r="911" spans="14:17" x14ac:dyDescent="0.3">
      <c r="N911" s="111"/>
      <c r="O911" s="111"/>
      <c r="P911" s="111"/>
      <c r="Q911" s="111"/>
    </row>
    <row r="912" spans="14:17" x14ac:dyDescent="0.3">
      <c r="N912" s="111"/>
      <c r="O912" s="111"/>
      <c r="P912" s="111"/>
      <c r="Q912" s="111"/>
    </row>
    <row r="913" spans="14:17" x14ac:dyDescent="0.3">
      <c r="N913" s="111"/>
      <c r="O913" s="111"/>
      <c r="P913" s="111"/>
      <c r="Q913" s="111"/>
    </row>
    <row r="914" spans="14:17" x14ac:dyDescent="0.3">
      <c r="N914" s="111"/>
      <c r="O914" s="111"/>
      <c r="P914" s="111"/>
      <c r="Q914" s="111"/>
    </row>
    <row r="915" spans="14:17" x14ac:dyDescent="0.3">
      <c r="N915" s="111"/>
      <c r="O915" s="111"/>
      <c r="P915" s="111"/>
      <c r="Q915" s="111"/>
    </row>
    <row r="916" spans="14:17" x14ac:dyDescent="0.3">
      <c r="N916" s="111"/>
      <c r="O916" s="111"/>
      <c r="P916" s="111"/>
      <c r="Q916" s="111"/>
    </row>
    <row r="917" spans="14:17" x14ac:dyDescent="0.3">
      <c r="N917" s="111"/>
      <c r="O917" s="111"/>
      <c r="P917" s="111"/>
      <c r="Q917" s="111"/>
    </row>
    <row r="918" spans="14:17" x14ac:dyDescent="0.3">
      <c r="N918" s="111"/>
      <c r="O918" s="111"/>
      <c r="P918" s="111"/>
      <c r="Q918" s="111"/>
    </row>
    <row r="919" spans="14:17" x14ac:dyDescent="0.3">
      <c r="N919" s="111"/>
      <c r="O919" s="111"/>
      <c r="P919" s="111"/>
      <c r="Q919" s="111"/>
    </row>
    <row r="920" spans="14:17" x14ac:dyDescent="0.3">
      <c r="N920" s="111"/>
      <c r="O920" s="111"/>
      <c r="P920" s="111"/>
      <c r="Q920" s="111"/>
    </row>
    <row r="921" spans="14:17" x14ac:dyDescent="0.3">
      <c r="N921" s="111"/>
      <c r="O921" s="111"/>
      <c r="P921" s="111"/>
      <c r="Q921" s="111"/>
    </row>
    <row r="922" spans="14:17" x14ac:dyDescent="0.3">
      <c r="N922" s="111"/>
      <c r="O922" s="111"/>
      <c r="P922" s="111"/>
      <c r="Q922" s="111"/>
    </row>
    <row r="923" spans="14:17" x14ac:dyDescent="0.3">
      <c r="N923" s="111"/>
      <c r="O923" s="111"/>
      <c r="P923" s="111"/>
      <c r="Q923" s="111"/>
    </row>
    <row r="924" spans="14:17" x14ac:dyDescent="0.3">
      <c r="N924" s="111"/>
      <c r="O924" s="111"/>
      <c r="P924" s="111"/>
      <c r="Q924" s="111"/>
    </row>
    <row r="925" spans="14:17" x14ac:dyDescent="0.3">
      <c r="N925" s="111"/>
      <c r="O925" s="111"/>
      <c r="P925" s="111"/>
      <c r="Q925" s="111"/>
    </row>
    <row r="926" spans="14:17" x14ac:dyDescent="0.3">
      <c r="N926" s="111"/>
      <c r="O926" s="111"/>
      <c r="P926" s="111"/>
      <c r="Q926" s="111"/>
    </row>
    <row r="927" spans="14:17" x14ac:dyDescent="0.3">
      <c r="N927" s="111"/>
      <c r="O927" s="111"/>
      <c r="P927" s="111"/>
      <c r="Q927" s="111"/>
    </row>
    <row r="928" spans="14:17" x14ac:dyDescent="0.3">
      <c r="N928" s="111"/>
      <c r="O928" s="111"/>
      <c r="P928" s="111"/>
      <c r="Q928" s="111"/>
    </row>
    <row r="929" spans="14:17" x14ac:dyDescent="0.3">
      <c r="N929" s="111"/>
      <c r="O929" s="111"/>
      <c r="P929" s="111"/>
      <c r="Q929" s="111"/>
    </row>
    <row r="930" spans="14:17" x14ac:dyDescent="0.3">
      <c r="N930" s="111"/>
      <c r="O930" s="111"/>
      <c r="P930" s="111"/>
      <c r="Q930" s="111"/>
    </row>
    <row r="931" spans="14:17" x14ac:dyDescent="0.3">
      <c r="N931" s="111"/>
      <c r="O931" s="111"/>
      <c r="P931" s="111"/>
      <c r="Q931" s="111"/>
    </row>
    <row r="932" spans="14:17" x14ac:dyDescent="0.3">
      <c r="N932" s="111"/>
      <c r="O932" s="111"/>
      <c r="P932" s="111"/>
      <c r="Q932" s="111"/>
    </row>
    <row r="933" spans="14:17" x14ac:dyDescent="0.3">
      <c r="N933" s="111"/>
      <c r="O933" s="111"/>
      <c r="P933" s="111"/>
      <c r="Q933" s="111"/>
    </row>
    <row r="934" spans="14:17" x14ac:dyDescent="0.3">
      <c r="N934" s="111"/>
      <c r="O934" s="111"/>
      <c r="P934" s="111"/>
      <c r="Q934" s="111"/>
    </row>
    <row r="935" spans="14:17" x14ac:dyDescent="0.3">
      <c r="N935" s="111"/>
      <c r="O935" s="111"/>
      <c r="P935" s="111"/>
      <c r="Q935" s="111"/>
    </row>
    <row r="936" spans="14:17" x14ac:dyDescent="0.3">
      <c r="N936" s="111"/>
      <c r="O936" s="111"/>
      <c r="P936" s="111"/>
      <c r="Q936" s="111"/>
    </row>
    <row r="937" spans="14:17" x14ac:dyDescent="0.3">
      <c r="N937" s="111"/>
      <c r="O937" s="111"/>
      <c r="P937" s="111"/>
      <c r="Q937" s="111"/>
    </row>
    <row r="938" spans="14:17" x14ac:dyDescent="0.3">
      <c r="N938" s="111"/>
      <c r="O938" s="111"/>
      <c r="P938" s="111"/>
      <c r="Q938" s="111"/>
    </row>
    <row r="939" spans="14:17" x14ac:dyDescent="0.3">
      <c r="N939" s="111"/>
      <c r="O939" s="111"/>
      <c r="P939" s="111"/>
      <c r="Q939" s="111"/>
    </row>
    <row r="940" spans="14:17" x14ac:dyDescent="0.3">
      <c r="N940" s="111"/>
      <c r="O940" s="111"/>
      <c r="P940" s="111"/>
      <c r="Q940" s="111"/>
    </row>
    <row r="941" spans="14:17" x14ac:dyDescent="0.3">
      <c r="N941" s="111"/>
      <c r="O941" s="111"/>
      <c r="P941" s="111"/>
      <c r="Q941" s="111"/>
    </row>
    <row r="942" spans="14:17" x14ac:dyDescent="0.3">
      <c r="N942" s="111"/>
      <c r="O942" s="111"/>
      <c r="P942" s="111"/>
      <c r="Q942" s="111"/>
    </row>
    <row r="943" spans="14:17" x14ac:dyDescent="0.3">
      <c r="N943" s="111"/>
      <c r="O943" s="111"/>
      <c r="P943" s="111"/>
      <c r="Q943" s="111"/>
    </row>
    <row r="944" spans="14:17" x14ac:dyDescent="0.3">
      <c r="N944" s="111"/>
      <c r="O944" s="111"/>
      <c r="P944" s="111"/>
      <c r="Q944" s="111"/>
    </row>
    <row r="945" spans="14:17" x14ac:dyDescent="0.3">
      <c r="N945" s="111"/>
      <c r="O945" s="111"/>
      <c r="P945" s="111"/>
      <c r="Q945" s="111"/>
    </row>
    <row r="946" spans="14:17" x14ac:dyDescent="0.3">
      <c r="N946" s="111"/>
      <c r="O946" s="111"/>
      <c r="P946" s="111"/>
      <c r="Q946" s="111"/>
    </row>
    <row r="947" spans="14:17" x14ac:dyDescent="0.3">
      <c r="N947" s="111"/>
      <c r="O947" s="111"/>
      <c r="P947" s="111"/>
      <c r="Q947" s="111"/>
    </row>
    <row r="948" spans="14:17" x14ac:dyDescent="0.3">
      <c r="N948" s="111"/>
      <c r="O948" s="111"/>
      <c r="P948" s="111"/>
      <c r="Q948" s="111"/>
    </row>
    <row r="949" spans="14:17" x14ac:dyDescent="0.3">
      <c r="N949" s="111"/>
      <c r="O949" s="111"/>
      <c r="P949" s="111"/>
      <c r="Q949" s="111"/>
    </row>
    <row r="950" spans="14:17" x14ac:dyDescent="0.3">
      <c r="N950" s="111"/>
      <c r="O950" s="111"/>
      <c r="P950" s="111"/>
      <c r="Q950" s="111"/>
    </row>
    <row r="951" spans="14:17" x14ac:dyDescent="0.3">
      <c r="N951" s="111"/>
      <c r="O951" s="111"/>
      <c r="P951" s="111"/>
      <c r="Q951" s="111"/>
    </row>
    <row r="952" spans="14:17" x14ac:dyDescent="0.3">
      <c r="N952" s="111"/>
      <c r="O952" s="111"/>
      <c r="P952" s="111"/>
      <c r="Q952" s="111"/>
    </row>
    <row r="953" spans="14:17" x14ac:dyDescent="0.3">
      <c r="N953" s="111"/>
      <c r="O953" s="111"/>
      <c r="P953" s="111"/>
      <c r="Q953" s="111"/>
    </row>
    <row r="954" spans="14:17" x14ac:dyDescent="0.3">
      <c r="N954" s="111"/>
      <c r="O954" s="111"/>
      <c r="P954" s="111"/>
      <c r="Q954" s="111"/>
    </row>
    <row r="955" spans="14:17" x14ac:dyDescent="0.3">
      <c r="N955" s="111"/>
      <c r="O955" s="111"/>
      <c r="P955" s="111"/>
      <c r="Q955" s="111"/>
    </row>
    <row r="956" spans="14:17" x14ac:dyDescent="0.3">
      <c r="N956" s="111"/>
      <c r="O956" s="111"/>
      <c r="P956" s="111"/>
      <c r="Q956" s="111"/>
    </row>
    <row r="957" spans="14:17" x14ac:dyDescent="0.3">
      <c r="N957" s="111"/>
      <c r="O957" s="111"/>
      <c r="P957" s="111"/>
      <c r="Q957" s="111"/>
    </row>
    <row r="958" spans="14:17" x14ac:dyDescent="0.3">
      <c r="N958" s="111"/>
      <c r="O958" s="111"/>
      <c r="P958" s="111"/>
      <c r="Q958" s="111"/>
    </row>
    <row r="959" spans="14:17" x14ac:dyDescent="0.3">
      <c r="N959" s="111"/>
      <c r="O959" s="111"/>
      <c r="P959" s="111"/>
      <c r="Q959" s="111"/>
    </row>
    <row r="960" spans="14:17" x14ac:dyDescent="0.3">
      <c r="N960" s="111"/>
      <c r="O960" s="111"/>
      <c r="P960" s="111"/>
      <c r="Q960" s="111"/>
    </row>
    <row r="961" spans="14:17" x14ac:dyDescent="0.3">
      <c r="N961" s="111"/>
      <c r="O961" s="111"/>
      <c r="P961" s="111"/>
      <c r="Q961" s="111"/>
    </row>
    <row r="962" spans="14:17" x14ac:dyDescent="0.3">
      <c r="N962" s="111"/>
      <c r="O962" s="111"/>
      <c r="P962" s="111"/>
      <c r="Q962" s="111"/>
    </row>
    <row r="963" spans="14:17" x14ac:dyDescent="0.3">
      <c r="N963" s="111"/>
      <c r="O963" s="111"/>
      <c r="P963" s="111"/>
      <c r="Q963" s="111"/>
    </row>
    <row r="964" spans="14:17" x14ac:dyDescent="0.3">
      <c r="N964" s="111"/>
      <c r="O964" s="111"/>
      <c r="P964" s="111"/>
      <c r="Q964" s="111"/>
    </row>
    <row r="965" spans="14:17" x14ac:dyDescent="0.3">
      <c r="N965" s="111"/>
      <c r="O965" s="111"/>
      <c r="P965" s="111"/>
      <c r="Q965" s="111"/>
    </row>
    <row r="966" spans="14:17" x14ac:dyDescent="0.3">
      <c r="N966" s="111"/>
      <c r="O966" s="111"/>
      <c r="P966" s="111"/>
      <c r="Q966" s="111"/>
    </row>
    <row r="967" spans="14:17" x14ac:dyDescent="0.3">
      <c r="N967" s="111"/>
      <c r="O967" s="111"/>
      <c r="P967" s="111"/>
      <c r="Q967" s="111"/>
    </row>
    <row r="968" spans="14:17" x14ac:dyDescent="0.3">
      <c r="N968" s="111"/>
      <c r="O968" s="111"/>
      <c r="P968" s="111"/>
      <c r="Q968" s="111"/>
    </row>
    <row r="969" spans="14:17" x14ac:dyDescent="0.3">
      <c r="N969" s="111"/>
      <c r="O969" s="111"/>
      <c r="P969" s="111"/>
      <c r="Q969" s="111"/>
    </row>
    <row r="970" spans="14:17" x14ac:dyDescent="0.3">
      <c r="N970" s="111"/>
      <c r="O970" s="111"/>
      <c r="P970" s="111"/>
      <c r="Q970" s="111"/>
    </row>
    <row r="971" spans="14:17" x14ac:dyDescent="0.3">
      <c r="N971" s="111"/>
      <c r="O971" s="111"/>
      <c r="P971" s="111"/>
      <c r="Q971" s="111"/>
    </row>
    <row r="972" spans="14:17" x14ac:dyDescent="0.3">
      <c r="N972" s="111"/>
      <c r="O972" s="111"/>
      <c r="P972" s="111"/>
      <c r="Q972" s="111"/>
    </row>
    <row r="973" spans="14:17" x14ac:dyDescent="0.3">
      <c r="N973" s="111"/>
      <c r="O973" s="111"/>
      <c r="P973" s="111"/>
      <c r="Q973" s="111"/>
    </row>
    <row r="974" spans="14:17" x14ac:dyDescent="0.3">
      <c r="N974" s="111"/>
      <c r="O974" s="111"/>
      <c r="P974" s="111"/>
      <c r="Q974" s="111"/>
    </row>
    <row r="975" spans="14:17" x14ac:dyDescent="0.3">
      <c r="N975" s="111"/>
      <c r="O975" s="111"/>
      <c r="P975" s="111"/>
      <c r="Q975" s="111"/>
    </row>
    <row r="976" spans="14:17" x14ac:dyDescent="0.3">
      <c r="N976" s="111"/>
      <c r="O976" s="111"/>
      <c r="P976" s="111"/>
      <c r="Q976" s="111"/>
    </row>
    <row r="977" spans="14:17" x14ac:dyDescent="0.3">
      <c r="N977" s="111"/>
      <c r="O977" s="111"/>
      <c r="P977" s="111"/>
      <c r="Q977" s="111"/>
    </row>
    <row r="978" spans="14:17" x14ac:dyDescent="0.3">
      <c r="N978" s="111"/>
      <c r="O978" s="111"/>
      <c r="P978" s="111"/>
      <c r="Q978" s="111"/>
    </row>
    <row r="979" spans="14:17" x14ac:dyDescent="0.3">
      <c r="N979" s="111"/>
      <c r="O979" s="111"/>
      <c r="P979" s="111"/>
      <c r="Q979" s="111"/>
    </row>
    <row r="980" spans="14:17" x14ac:dyDescent="0.3">
      <c r="N980" s="111"/>
      <c r="O980" s="111"/>
      <c r="P980" s="111"/>
      <c r="Q980" s="111"/>
    </row>
    <row r="981" spans="14:17" x14ac:dyDescent="0.3">
      <c r="N981" s="111"/>
      <c r="O981" s="111"/>
      <c r="P981" s="111"/>
      <c r="Q981" s="111"/>
    </row>
    <row r="982" spans="14:17" x14ac:dyDescent="0.3">
      <c r="N982" s="111"/>
      <c r="O982" s="111"/>
      <c r="P982" s="111"/>
      <c r="Q982" s="111"/>
    </row>
    <row r="983" spans="14:17" x14ac:dyDescent="0.3">
      <c r="N983" s="111"/>
      <c r="O983" s="111"/>
      <c r="P983" s="111"/>
      <c r="Q983" s="111"/>
    </row>
    <row r="984" spans="14:17" x14ac:dyDescent="0.3">
      <c r="N984" s="111"/>
      <c r="O984" s="111"/>
      <c r="P984" s="111"/>
      <c r="Q984" s="111"/>
    </row>
    <row r="985" spans="14:17" x14ac:dyDescent="0.3">
      <c r="N985" s="111"/>
      <c r="O985" s="111"/>
      <c r="P985" s="111"/>
      <c r="Q985" s="111"/>
    </row>
    <row r="986" spans="14:17" x14ac:dyDescent="0.3">
      <c r="N986" s="111"/>
      <c r="O986" s="111"/>
      <c r="P986" s="111"/>
      <c r="Q986" s="111"/>
    </row>
    <row r="987" spans="14:17" x14ac:dyDescent="0.3">
      <c r="N987" s="111"/>
      <c r="O987" s="111"/>
      <c r="P987" s="111"/>
      <c r="Q987" s="111"/>
    </row>
    <row r="988" spans="14:17" x14ac:dyDescent="0.3">
      <c r="N988" s="111"/>
      <c r="O988" s="111"/>
      <c r="P988" s="111"/>
      <c r="Q988" s="111"/>
    </row>
    <row r="989" spans="14:17" x14ac:dyDescent="0.3">
      <c r="N989" s="111"/>
      <c r="O989" s="111"/>
      <c r="P989" s="111"/>
      <c r="Q989" s="111"/>
    </row>
    <row r="990" spans="14:17" x14ac:dyDescent="0.3">
      <c r="N990" s="111"/>
      <c r="O990" s="111"/>
      <c r="P990" s="111"/>
      <c r="Q990" s="111"/>
    </row>
    <row r="991" spans="14:17" x14ac:dyDescent="0.3">
      <c r="N991" s="111"/>
      <c r="O991" s="111"/>
      <c r="P991" s="111"/>
      <c r="Q991" s="111"/>
    </row>
    <row r="992" spans="14:17" x14ac:dyDescent="0.3">
      <c r="N992" s="111"/>
      <c r="O992" s="111"/>
      <c r="P992" s="111"/>
      <c r="Q992" s="111"/>
    </row>
    <row r="993" spans="14:17" x14ac:dyDescent="0.3">
      <c r="N993" s="111"/>
      <c r="O993" s="111"/>
      <c r="P993" s="111"/>
      <c r="Q993" s="111"/>
    </row>
    <row r="994" spans="14:17" x14ac:dyDescent="0.3">
      <c r="N994" s="111"/>
      <c r="O994" s="111"/>
      <c r="P994" s="111"/>
      <c r="Q994" s="111"/>
    </row>
    <row r="995" spans="14:17" x14ac:dyDescent="0.3">
      <c r="N995" s="111"/>
      <c r="O995" s="111"/>
      <c r="P995" s="111"/>
      <c r="Q995" s="111"/>
    </row>
    <row r="996" spans="14:17" x14ac:dyDescent="0.3">
      <c r="N996" s="111"/>
      <c r="O996" s="111"/>
      <c r="P996" s="111"/>
      <c r="Q996" s="111"/>
    </row>
    <row r="997" spans="14:17" x14ac:dyDescent="0.3">
      <c r="N997" s="111"/>
      <c r="O997" s="111"/>
      <c r="P997" s="111"/>
      <c r="Q997" s="111"/>
    </row>
    <row r="998" spans="14:17" x14ac:dyDescent="0.3">
      <c r="N998" s="111"/>
      <c r="O998" s="111"/>
      <c r="P998" s="111"/>
      <c r="Q998" s="111"/>
    </row>
    <row r="999" spans="14:17" x14ac:dyDescent="0.3">
      <c r="N999" s="111"/>
      <c r="O999" s="111"/>
      <c r="P999" s="111"/>
      <c r="Q999" s="111"/>
    </row>
    <row r="1000" spans="14:17" x14ac:dyDescent="0.3">
      <c r="N1000" s="111"/>
      <c r="O1000" s="111"/>
      <c r="P1000" s="111"/>
      <c r="Q1000" s="111"/>
    </row>
    <row r="1001" spans="14:17" x14ac:dyDescent="0.3">
      <c r="N1001" s="111"/>
      <c r="O1001" s="111"/>
      <c r="P1001" s="111"/>
      <c r="Q1001" s="111"/>
    </row>
    <row r="1002" spans="14:17" x14ac:dyDescent="0.3">
      <c r="N1002" s="111"/>
      <c r="O1002" s="111"/>
      <c r="P1002" s="111"/>
      <c r="Q1002" s="111"/>
    </row>
    <row r="1003" spans="14:17" x14ac:dyDescent="0.3">
      <c r="N1003" s="111"/>
      <c r="O1003" s="111"/>
      <c r="P1003" s="111"/>
      <c r="Q1003" s="111"/>
    </row>
    <row r="1004" spans="14:17" x14ac:dyDescent="0.3">
      <c r="N1004" s="111"/>
      <c r="O1004" s="111"/>
      <c r="P1004" s="111"/>
      <c r="Q1004" s="111"/>
    </row>
    <row r="1005" spans="14:17" x14ac:dyDescent="0.3">
      <c r="N1005" s="111"/>
      <c r="O1005" s="111"/>
      <c r="P1005" s="111"/>
      <c r="Q1005" s="111"/>
    </row>
    <row r="1006" spans="14:17" x14ac:dyDescent="0.3">
      <c r="N1006" s="111"/>
      <c r="O1006" s="111"/>
      <c r="P1006" s="111"/>
      <c r="Q1006" s="111"/>
    </row>
    <row r="1007" spans="14:17" x14ac:dyDescent="0.3">
      <c r="N1007" s="111"/>
      <c r="O1007" s="111"/>
      <c r="P1007" s="111"/>
      <c r="Q1007" s="111"/>
    </row>
    <row r="1008" spans="14:17" x14ac:dyDescent="0.3">
      <c r="N1008" s="111"/>
      <c r="O1008" s="111"/>
      <c r="P1008" s="111"/>
      <c r="Q1008" s="111"/>
    </row>
    <row r="1009" spans="14:17" x14ac:dyDescent="0.3">
      <c r="N1009" s="111"/>
      <c r="O1009" s="111"/>
      <c r="P1009" s="111"/>
      <c r="Q1009" s="111"/>
    </row>
    <row r="1010" spans="14:17" x14ac:dyDescent="0.3">
      <c r="N1010" s="111"/>
      <c r="O1010" s="111"/>
      <c r="P1010" s="111"/>
      <c r="Q1010" s="111"/>
    </row>
    <row r="1011" spans="14:17" x14ac:dyDescent="0.3">
      <c r="N1011" s="111"/>
      <c r="O1011" s="111"/>
      <c r="P1011" s="111"/>
      <c r="Q1011" s="111"/>
    </row>
    <row r="1012" spans="14:17" x14ac:dyDescent="0.3">
      <c r="N1012" s="111"/>
      <c r="O1012" s="111"/>
      <c r="P1012" s="111"/>
      <c r="Q1012" s="111"/>
    </row>
    <row r="1013" spans="14:17" x14ac:dyDescent="0.3">
      <c r="N1013" s="111"/>
      <c r="O1013" s="111"/>
      <c r="P1013" s="111"/>
      <c r="Q1013" s="111"/>
    </row>
    <row r="1014" spans="14:17" x14ac:dyDescent="0.3">
      <c r="N1014" s="111"/>
      <c r="O1014" s="111"/>
      <c r="P1014" s="111"/>
      <c r="Q1014" s="111"/>
    </row>
    <row r="1015" spans="14:17" x14ac:dyDescent="0.3">
      <c r="N1015" s="111"/>
      <c r="O1015" s="111"/>
      <c r="P1015" s="111"/>
      <c r="Q1015" s="111"/>
    </row>
    <row r="1016" spans="14:17" x14ac:dyDescent="0.3">
      <c r="N1016" s="111"/>
      <c r="O1016" s="111"/>
      <c r="P1016" s="111"/>
      <c r="Q1016" s="111"/>
    </row>
    <row r="1017" spans="14:17" x14ac:dyDescent="0.3">
      <c r="N1017" s="111"/>
      <c r="O1017" s="111"/>
      <c r="P1017" s="111"/>
      <c r="Q1017" s="111"/>
    </row>
    <row r="1018" spans="14:17" x14ac:dyDescent="0.3">
      <c r="N1018" s="111"/>
      <c r="O1018" s="111"/>
      <c r="P1018" s="111"/>
      <c r="Q1018" s="111"/>
    </row>
    <row r="1019" spans="14:17" x14ac:dyDescent="0.3">
      <c r="N1019" s="111"/>
      <c r="O1019" s="111"/>
      <c r="P1019" s="111"/>
      <c r="Q1019" s="111"/>
    </row>
    <row r="1020" spans="14:17" x14ac:dyDescent="0.3">
      <c r="N1020" s="111"/>
      <c r="O1020" s="111"/>
      <c r="P1020" s="111"/>
      <c r="Q1020" s="111"/>
    </row>
    <row r="1021" spans="14:17" x14ac:dyDescent="0.3">
      <c r="N1021" s="111"/>
      <c r="O1021" s="111"/>
      <c r="P1021" s="111"/>
      <c r="Q1021" s="111"/>
    </row>
    <row r="1022" spans="14:17" x14ac:dyDescent="0.3">
      <c r="N1022" s="111"/>
      <c r="O1022" s="111"/>
      <c r="P1022" s="111"/>
      <c r="Q1022" s="111"/>
    </row>
    <row r="1023" spans="14:17" x14ac:dyDescent="0.3">
      <c r="N1023" s="111"/>
      <c r="O1023" s="111"/>
      <c r="P1023" s="111"/>
      <c r="Q1023" s="111"/>
    </row>
    <row r="1024" spans="14:17" x14ac:dyDescent="0.3">
      <c r="N1024" s="111"/>
      <c r="O1024" s="111"/>
      <c r="P1024" s="111"/>
      <c r="Q1024" s="111"/>
    </row>
    <row r="1025" spans="14:17" x14ac:dyDescent="0.3">
      <c r="N1025" s="111"/>
      <c r="O1025" s="111"/>
      <c r="P1025" s="111"/>
      <c r="Q1025" s="111"/>
    </row>
    <row r="1026" spans="14:17" x14ac:dyDescent="0.3">
      <c r="N1026" s="111"/>
      <c r="O1026" s="111"/>
      <c r="P1026" s="111"/>
      <c r="Q1026" s="111"/>
    </row>
    <row r="1027" spans="14:17" x14ac:dyDescent="0.3">
      <c r="N1027" s="111"/>
      <c r="O1027" s="111"/>
      <c r="P1027" s="111"/>
      <c r="Q1027" s="111"/>
    </row>
    <row r="1028" spans="14:17" x14ac:dyDescent="0.3">
      <c r="N1028" s="111"/>
      <c r="O1028" s="111"/>
      <c r="P1028" s="111"/>
      <c r="Q1028" s="111"/>
    </row>
    <row r="1029" spans="14:17" x14ac:dyDescent="0.3">
      <c r="N1029" s="111"/>
      <c r="O1029" s="111"/>
      <c r="P1029" s="111"/>
      <c r="Q1029" s="111"/>
    </row>
    <row r="1030" spans="14:17" x14ac:dyDescent="0.3">
      <c r="N1030" s="111"/>
      <c r="O1030" s="111"/>
      <c r="P1030" s="111"/>
      <c r="Q1030" s="111"/>
    </row>
    <row r="1031" spans="14:17" x14ac:dyDescent="0.3">
      <c r="N1031" s="111"/>
      <c r="O1031" s="111"/>
      <c r="P1031" s="111"/>
      <c r="Q1031" s="111"/>
    </row>
    <row r="1032" spans="14:17" x14ac:dyDescent="0.3">
      <c r="N1032" s="111"/>
      <c r="O1032" s="111"/>
      <c r="P1032" s="111"/>
      <c r="Q1032" s="111"/>
    </row>
    <row r="1033" spans="14:17" x14ac:dyDescent="0.3">
      <c r="N1033" s="111"/>
      <c r="O1033" s="111"/>
      <c r="P1033" s="111"/>
      <c r="Q1033" s="111"/>
    </row>
    <row r="1034" spans="14:17" x14ac:dyDescent="0.3">
      <c r="N1034" s="111"/>
      <c r="O1034" s="111"/>
      <c r="P1034" s="111"/>
      <c r="Q1034" s="111"/>
    </row>
    <row r="1035" spans="14:17" x14ac:dyDescent="0.3">
      <c r="N1035" s="111"/>
      <c r="O1035" s="111"/>
      <c r="P1035" s="111"/>
      <c r="Q1035" s="111"/>
    </row>
    <row r="1036" spans="14:17" x14ac:dyDescent="0.3">
      <c r="N1036" s="111"/>
      <c r="O1036" s="111"/>
      <c r="P1036" s="111"/>
      <c r="Q1036" s="111"/>
    </row>
    <row r="1037" spans="14:17" x14ac:dyDescent="0.3">
      <c r="N1037" s="111"/>
      <c r="O1037" s="111"/>
      <c r="P1037" s="111"/>
      <c r="Q1037" s="111"/>
    </row>
    <row r="1038" spans="14:17" x14ac:dyDescent="0.3">
      <c r="N1038" s="111"/>
      <c r="O1038" s="111"/>
      <c r="P1038" s="111"/>
      <c r="Q1038" s="111"/>
    </row>
    <row r="1039" spans="14:17" x14ac:dyDescent="0.3">
      <c r="N1039" s="111"/>
      <c r="O1039" s="111"/>
      <c r="P1039" s="111"/>
      <c r="Q1039" s="111"/>
    </row>
    <row r="1040" spans="14:17" x14ac:dyDescent="0.3">
      <c r="N1040" s="111"/>
      <c r="O1040" s="111"/>
      <c r="P1040" s="111"/>
      <c r="Q1040" s="111"/>
    </row>
    <row r="1041" spans="14:17" x14ac:dyDescent="0.3">
      <c r="N1041" s="111"/>
      <c r="O1041" s="111"/>
      <c r="P1041" s="111"/>
      <c r="Q1041" s="111"/>
    </row>
    <row r="1042" spans="14:17" x14ac:dyDescent="0.3">
      <c r="N1042" s="111"/>
      <c r="O1042" s="111"/>
      <c r="P1042" s="111"/>
      <c r="Q1042" s="111"/>
    </row>
    <row r="1043" spans="14:17" x14ac:dyDescent="0.3">
      <c r="N1043" s="111"/>
      <c r="O1043" s="111"/>
      <c r="P1043" s="111"/>
      <c r="Q1043" s="111"/>
    </row>
    <row r="1044" spans="14:17" x14ac:dyDescent="0.3">
      <c r="N1044" s="111"/>
      <c r="O1044" s="111"/>
      <c r="P1044" s="111"/>
      <c r="Q1044" s="111"/>
    </row>
    <row r="1045" spans="14:17" x14ac:dyDescent="0.3">
      <c r="N1045" s="111"/>
      <c r="O1045" s="111"/>
      <c r="P1045" s="111"/>
      <c r="Q1045" s="111"/>
    </row>
    <row r="1046" spans="14:17" x14ac:dyDescent="0.3">
      <c r="N1046" s="111"/>
      <c r="O1046" s="111"/>
      <c r="P1046" s="111"/>
      <c r="Q1046" s="111"/>
    </row>
    <row r="1047" spans="14:17" x14ac:dyDescent="0.3">
      <c r="N1047" s="111"/>
      <c r="O1047" s="111"/>
      <c r="P1047" s="111"/>
      <c r="Q1047" s="111"/>
    </row>
    <row r="1048" spans="14:17" x14ac:dyDescent="0.3">
      <c r="N1048" s="111"/>
      <c r="O1048" s="111"/>
      <c r="P1048" s="111"/>
      <c r="Q1048" s="111"/>
    </row>
    <row r="1049" spans="14:17" x14ac:dyDescent="0.3">
      <c r="N1049" s="111"/>
      <c r="O1049" s="111"/>
      <c r="P1049" s="111"/>
      <c r="Q1049" s="111"/>
    </row>
    <row r="1050" spans="14:17" x14ac:dyDescent="0.3">
      <c r="N1050" s="111"/>
      <c r="O1050" s="111"/>
      <c r="P1050" s="111"/>
      <c r="Q1050" s="111"/>
    </row>
    <row r="1051" spans="14:17" x14ac:dyDescent="0.3">
      <c r="N1051" s="111"/>
      <c r="O1051" s="111"/>
      <c r="P1051" s="111"/>
      <c r="Q1051" s="111"/>
    </row>
    <row r="1052" spans="14:17" x14ac:dyDescent="0.3">
      <c r="N1052" s="111"/>
      <c r="O1052" s="111"/>
      <c r="P1052" s="111"/>
      <c r="Q1052" s="111"/>
    </row>
    <row r="1053" spans="14:17" x14ac:dyDescent="0.3">
      <c r="N1053" s="111"/>
      <c r="O1053" s="111"/>
      <c r="P1053" s="111"/>
      <c r="Q1053" s="111"/>
    </row>
    <row r="1054" spans="14:17" x14ac:dyDescent="0.3">
      <c r="N1054" s="111"/>
      <c r="O1054" s="111"/>
      <c r="P1054" s="111"/>
      <c r="Q1054" s="111"/>
    </row>
    <row r="1055" spans="14:17" x14ac:dyDescent="0.3">
      <c r="N1055" s="111"/>
      <c r="O1055" s="111"/>
      <c r="P1055" s="111"/>
      <c r="Q1055" s="111"/>
    </row>
    <row r="1056" spans="14:17" x14ac:dyDescent="0.3">
      <c r="N1056" s="111"/>
      <c r="O1056" s="111"/>
      <c r="P1056" s="111"/>
      <c r="Q1056" s="111"/>
    </row>
    <row r="1057" spans="14:17" x14ac:dyDescent="0.3">
      <c r="N1057" s="111"/>
      <c r="O1057" s="111"/>
      <c r="P1057" s="111"/>
      <c r="Q1057" s="111"/>
    </row>
    <row r="1058" spans="14:17" x14ac:dyDescent="0.3">
      <c r="N1058" s="111"/>
      <c r="O1058" s="111"/>
      <c r="P1058" s="111"/>
      <c r="Q1058" s="111"/>
    </row>
    <row r="1059" spans="14:17" x14ac:dyDescent="0.3">
      <c r="N1059" s="111"/>
      <c r="O1059" s="111"/>
      <c r="P1059" s="111"/>
      <c r="Q1059" s="111"/>
    </row>
    <row r="1060" spans="14:17" x14ac:dyDescent="0.3">
      <c r="N1060" s="111"/>
      <c r="O1060" s="111"/>
      <c r="P1060" s="111"/>
      <c r="Q1060" s="111"/>
    </row>
    <row r="1061" spans="14:17" x14ac:dyDescent="0.3">
      <c r="N1061" s="111"/>
      <c r="O1061" s="111"/>
      <c r="P1061" s="111"/>
      <c r="Q1061" s="111"/>
    </row>
    <row r="1062" spans="14:17" x14ac:dyDescent="0.3">
      <c r="N1062" s="111"/>
      <c r="O1062" s="111"/>
      <c r="P1062" s="111"/>
      <c r="Q1062" s="111"/>
    </row>
    <row r="1063" spans="14:17" x14ac:dyDescent="0.3">
      <c r="N1063" s="111"/>
      <c r="O1063" s="111"/>
      <c r="P1063" s="111"/>
      <c r="Q1063" s="111"/>
    </row>
    <row r="1064" spans="14:17" x14ac:dyDescent="0.3">
      <c r="N1064" s="111"/>
      <c r="O1064" s="111"/>
      <c r="P1064" s="111"/>
      <c r="Q1064" s="111"/>
    </row>
    <row r="1065" spans="14:17" x14ac:dyDescent="0.3">
      <c r="N1065" s="111"/>
      <c r="O1065" s="111"/>
      <c r="P1065" s="111"/>
      <c r="Q1065" s="111"/>
    </row>
    <row r="1066" spans="14:17" x14ac:dyDescent="0.3">
      <c r="N1066" s="111"/>
      <c r="O1066" s="111"/>
      <c r="P1066" s="111"/>
      <c r="Q1066" s="111"/>
    </row>
    <row r="1067" spans="14:17" x14ac:dyDescent="0.3">
      <c r="N1067" s="111"/>
      <c r="O1067" s="111"/>
      <c r="P1067" s="111"/>
      <c r="Q1067" s="111"/>
    </row>
    <row r="1068" spans="14:17" x14ac:dyDescent="0.3">
      <c r="N1068" s="111"/>
      <c r="O1068" s="111"/>
      <c r="P1068" s="111"/>
      <c r="Q1068" s="111"/>
    </row>
    <row r="1069" spans="14:17" x14ac:dyDescent="0.3">
      <c r="N1069" s="111"/>
      <c r="O1069" s="111"/>
      <c r="P1069" s="111"/>
      <c r="Q1069" s="111"/>
    </row>
    <row r="1070" spans="14:17" x14ac:dyDescent="0.3">
      <c r="N1070" s="111"/>
      <c r="O1070" s="111"/>
      <c r="P1070" s="111"/>
      <c r="Q1070" s="111"/>
    </row>
    <row r="1071" spans="14:17" x14ac:dyDescent="0.3">
      <c r="N1071" s="111"/>
      <c r="O1071" s="111"/>
      <c r="P1071" s="111"/>
      <c r="Q1071" s="111"/>
    </row>
    <row r="1072" spans="14:17" x14ac:dyDescent="0.3">
      <c r="N1072" s="111"/>
      <c r="O1072" s="111"/>
      <c r="P1072" s="111"/>
      <c r="Q1072" s="111"/>
    </row>
    <row r="1073" spans="14:17" x14ac:dyDescent="0.3">
      <c r="N1073" s="111"/>
      <c r="O1073" s="111"/>
      <c r="P1073" s="111"/>
      <c r="Q1073" s="111"/>
    </row>
    <row r="1074" spans="14:17" x14ac:dyDescent="0.3">
      <c r="N1074" s="111"/>
      <c r="O1074" s="111"/>
      <c r="P1074" s="111"/>
      <c r="Q1074" s="111"/>
    </row>
    <row r="1075" spans="14:17" x14ac:dyDescent="0.3">
      <c r="N1075" s="111"/>
      <c r="O1075" s="111"/>
      <c r="P1075" s="111"/>
      <c r="Q1075" s="111"/>
    </row>
    <row r="1076" spans="14:17" x14ac:dyDescent="0.3">
      <c r="N1076" s="111"/>
      <c r="O1076" s="111"/>
      <c r="P1076" s="111"/>
      <c r="Q1076" s="111"/>
    </row>
    <row r="1077" spans="14:17" x14ac:dyDescent="0.3">
      <c r="N1077" s="111"/>
      <c r="O1077" s="111"/>
      <c r="P1077" s="111"/>
      <c r="Q1077" s="111"/>
    </row>
    <row r="1078" spans="14:17" x14ac:dyDescent="0.3">
      <c r="N1078" s="111"/>
      <c r="O1078" s="111"/>
      <c r="P1078" s="111"/>
      <c r="Q1078" s="111"/>
    </row>
    <row r="1079" spans="14:17" x14ac:dyDescent="0.3">
      <c r="N1079" s="111"/>
      <c r="O1079" s="111"/>
      <c r="P1079" s="111"/>
      <c r="Q1079" s="111"/>
    </row>
    <row r="1080" spans="14:17" x14ac:dyDescent="0.3">
      <c r="N1080" s="111"/>
      <c r="O1080" s="111"/>
      <c r="P1080" s="111"/>
      <c r="Q1080" s="111"/>
    </row>
    <row r="1081" spans="14:17" x14ac:dyDescent="0.3">
      <c r="N1081" s="111"/>
      <c r="O1081" s="111"/>
      <c r="P1081" s="111"/>
      <c r="Q1081" s="111"/>
    </row>
    <row r="1082" spans="14:17" x14ac:dyDescent="0.3">
      <c r="N1082" s="111"/>
      <c r="O1082" s="111"/>
      <c r="P1082" s="111"/>
      <c r="Q1082" s="111"/>
    </row>
    <row r="1083" spans="14:17" x14ac:dyDescent="0.3">
      <c r="N1083" s="111"/>
      <c r="O1083" s="111"/>
      <c r="P1083" s="111"/>
      <c r="Q1083" s="111"/>
    </row>
    <row r="1084" spans="14:17" x14ac:dyDescent="0.3">
      <c r="N1084" s="111"/>
      <c r="O1084" s="111"/>
      <c r="P1084" s="111"/>
      <c r="Q1084" s="111"/>
    </row>
    <row r="1085" spans="14:17" x14ac:dyDescent="0.3">
      <c r="N1085" s="111"/>
      <c r="O1085" s="111"/>
      <c r="P1085" s="111"/>
      <c r="Q1085" s="111"/>
    </row>
    <row r="1086" spans="14:17" x14ac:dyDescent="0.3">
      <c r="N1086" s="111"/>
      <c r="O1086" s="111"/>
      <c r="P1086" s="111"/>
      <c r="Q1086" s="111"/>
    </row>
    <row r="1087" spans="14:17" x14ac:dyDescent="0.3">
      <c r="N1087" s="111"/>
      <c r="O1087" s="111"/>
      <c r="P1087" s="111"/>
      <c r="Q1087" s="111"/>
    </row>
    <row r="1088" spans="14:17" x14ac:dyDescent="0.3">
      <c r="N1088" s="111"/>
      <c r="O1088" s="111"/>
      <c r="P1088" s="111"/>
      <c r="Q1088" s="111"/>
    </row>
    <row r="1089" spans="14:17" x14ac:dyDescent="0.3">
      <c r="N1089" s="111"/>
      <c r="O1089" s="111"/>
      <c r="P1089" s="111"/>
      <c r="Q1089" s="111"/>
    </row>
    <row r="1090" spans="14:17" x14ac:dyDescent="0.3">
      <c r="N1090" s="111"/>
      <c r="O1090" s="111"/>
      <c r="P1090" s="111"/>
      <c r="Q1090" s="111"/>
    </row>
    <row r="1091" spans="14:17" x14ac:dyDescent="0.3">
      <c r="N1091" s="111"/>
      <c r="O1091" s="111"/>
      <c r="P1091" s="111"/>
      <c r="Q1091" s="111"/>
    </row>
    <row r="1092" spans="14:17" x14ac:dyDescent="0.3">
      <c r="N1092" s="111"/>
      <c r="O1092" s="111"/>
      <c r="P1092" s="111"/>
      <c r="Q1092" s="111"/>
    </row>
    <row r="1093" spans="14:17" x14ac:dyDescent="0.3">
      <c r="N1093" s="111"/>
      <c r="O1093" s="111"/>
      <c r="P1093" s="111"/>
      <c r="Q1093" s="111"/>
    </row>
    <row r="1094" spans="14:17" x14ac:dyDescent="0.3">
      <c r="N1094" s="111"/>
      <c r="O1094" s="111"/>
      <c r="P1094" s="111"/>
      <c r="Q1094" s="111"/>
    </row>
    <row r="1095" spans="14:17" x14ac:dyDescent="0.3">
      <c r="N1095" s="111"/>
      <c r="O1095" s="111"/>
      <c r="P1095" s="111"/>
      <c r="Q1095" s="111"/>
    </row>
    <row r="1096" spans="14:17" x14ac:dyDescent="0.3">
      <c r="N1096" s="111"/>
      <c r="O1096" s="111"/>
      <c r="P1096" s="111"/>
      <c r="Q1096" s="111"/>
    </row>
    <row r="1097" spans="14:17" x14ac:dyDescent="0.3">
      <c r="N1097" s="111"/>
      <c r="O1097" s="111"/>
      <c r="P1097" s="111"/>
      <c r="Q1097" s="111"/>
    </row>
    <row r="1098" spans="14:17" x14ac:dyDescent="0.3">
      <c r="N1098" s="111"/>
      <c r="O1098" s="111"/>
      <c r="P1098" s="111"/>
      <c r="Q1098" s="111"/>
    </row>
    <row r="1099" spans="14:17" x14ac:dyDescent="0.3">
      <c r="N1099" s="111"/>
      <c r="O1099" s="111"/>
      <c r="P1099" s="111"/>
      <c r="Q1099" s="111"/>
    </row>
    <row r="1100" spans="14:17" x14ac:dyDescent="0.3">
      <c r="N1100" s="111"/>
      <c r="O1100" s="111"/>
      <c r="P1100" s="111"/>
      <c r="Q1100" s="111"/>
    </row>
    <row r="1101" spans="14:17" x14ac:dyDescent="0.3">
      <c r="N1101" s="111"/>
      <c r="O1101" s="111"/>
      <c r="P1101" s="111"/>
      <c r="Q1101" s="111"/>
    </row>
    <row r="1102" spans="14:17" x14ac:dyDescent="0.3">
      <c r="N1102" s="111"/>
      <c r="O1102" s="111"/>
      <c r="P1102" s="111"/>
      <c r="Q1102" s="111"/>
    </row>
    <row r="1103" spans="14:17" x14ac:dyDescent="0.3">
      <c r="N1103" s="111"/>
      <c r="O1103" s="111"/>
      <c r="P1103" s="111"/>
      <c r="Q1103" s="111"/>
    </row>
    <row r="1104" spans="14:17" x14ac:dyDescent="0.3">
      <c r="N1104" s="111"/>
      <c r="O1104" s="111"/>
      <c r="P1104" s="111"/>
      <c r="Q1104" s="111"/>
    </row>
    <row r="1105" spans="14:17" x14ac:dyDescent="0.3">
      <c r="N1105" s="111"/>
      <c r="O1105" s="111"/>
      <c r="P1105" s="111"/>
      <c r="Q1105" s="111"/>
    </row>
    <row r="1106" spans="14:17" x14ac:dyDescent="0.3">
      <c r="N1106" s="111"/>
      <c r="O1106" s="111"/>
      <c r="P1106" s="111"/>
      <c r="Q1106" s="111"/>
    </row>
    <row r="1107" spans="14:17" x14ac:dyDescent="0.3">
      <c r="N1107" s="111"/>
      <c r="O1107" s="111"/>
      <c r="P1107" s="111"/>
      <c r="Q1107" s="111"/>
    </row>
    <row r="1108" spans="14:17" x14ac:dyDescent="0.3">
      <c r="N1108" s="111"/>
      <c r="O1108" s="111"/>
      <c r="P1108" s="111"/>
      <c r="Q1108" s="111"/>
    </row>
    <row r="1109" spans="14:17" x14ac:dyDescent="0.3">
      <c r="N1109" s="111"/>
      <c r="O1109" s="111"/>
      <c r="P1109" s="111"/>
      <c r="Q1109" s="111"/>
    </row>
    <row r="1110" spans="14:17" x14ac:dyDescent="0.3">
      <c r="N1110" s="111"/>
      <c r="O1110" s="111"/>
      <c r="P1110" s="111"/>
      <c r="Q1110" s="111"/>
    </row>
    <row r="1111" spans="14:17" x14ac:dyDescent="0.3">
      <c r="N1111" s="111"/>
      <c r="O1111" s="111"/>
      <c r="P1111" s="111"/>
      <c r="Q1111" s="111"/>
    </row>
    <row r="1112" spans="14:17" x14ac:dyDescent="0.3">
      <c r="N1112" s="111"/>
      <c r="O1112" s="111"/>
      <c r="P1112" s="111"/>
      <c r="Q1112" s="111"/>
    </row>
    <row r="1113" spans="14:17" x14ac:dyDescent="0.3">
      <c r="N1113" s="111"/>
      <c r="O1113" s="111"/>
      <c r="P1113" s="111"/>
      <c r="Q1113" s="111"/>
    </row>
    <row r="1114" spans="14:17" x14ac:dyDescent="0.3">
      <c r="N1114" s="111"/>
      <c r="O1114" s="111"/>
      <c r="P1114" s="111"/>
      <c r="Q1114" s="111"/>
    </row>
    <row r="1115" spans="14:17" x14ac:dyDescent="0.3">
      <c r="N1115" s="111"/>
      <c r="O1115" s="111"/>
      <c r="P1115" s="111"/>
      <c r="Q1115" s="111"/>
    </row>
    <row r="1116" spans="14:17" x14ac:dyDescent="0.3">
      <c r="N1116" s="111"/>
      <c r="O1116" s="111"/>
      <c r="P1116" s="111"/>
      <c r="Q1116" s="111"/>
    </row>
    <row r="1117" spans="14:17" x14ac:dyDescent="0.3">
      <c r="N1117" s="111"/>
      <c r="O1117" s="111"/>
      <c r="P1117" s="111"/>
      <c r="Q1117" s="111"/>
    </row>
    <row r="1118" spans="14:17" x14ac:dyDescent="0.3">
      <c r="N1118" s="111"/>
      <c r="O1118" s="111"/>
      <c r="P1118" s="111"/>
      <c r="Q1118" s="111"/>
    </row>
    <row r="1119" spans="14:17" x14ac:dyDescent="0.3">
      <c r="N1119" s="111"/>
      <c r="O1119" s="111"/>
      <c r="P1119" s="111"/>
      <c r="Q1119" s="111"/>
    </row>
    <row r="1120" spans="14:17" x14ac:dyDescent="0.3">
      <c r="N1120" s="111"/>
      <c r="O1120" s="111"/>
      <c r="P1120" s="111"/>
      <c r="Q1120" s="111"/>
    </row>
    <row r="1121" spans="14:17" x14ac:dyDescent="0.3">
      <c r="N1121" s="111"/>
      <c r="O1121" s="111"/>
      <c r="P1121" s="111"/>
      <c r="Q1121" s="111"/>
    </row>
    <row r="1122" spans="14:17" x14ac:dyDescent="0.3">
      <c r="N1122" s="111"/>
      <c r="O1122" s="111"/>
      <c r="P1122" s="111"/>
      <c r="Q1122" s="111"/>
    </row>
    <row r="1123" spans="14:17" x14ac:dyDescent="0.3">
      <c r="N1123" s="111"/>
      <c r="O1123" s="111"/>
      <c r="P1123" s="111"/>
      <c r="Q1123" s="111"/>
    </row>
    <row r="1124" spans="14:17" x14ac:dyDescent="0.3">
      <c r="N1124" s="111"/>
      <c r="O1124" s="111"/>
      <c r="P1124" s="111"/>
      <c r="Q1124" s="111"/>
    </row>
    <row r="1125" spans="14:17" x14ac:dyDescent="0.3">
      <c r="N1125" s="111"/>
      <c r="O1125" s="111"/>
      <c r="P1125" s="111"/>
      <c r="Q1125" s="111"/>
    </row>
    <row r="1126" spans="14:17" x14ac:dyDescent="0.3">
      <c r="N1126" s="111"/>
      <c r="O1126" s="111"/>
      <c r="P1126" s="111"/>
      <c r="Q1126" s="111"/>
    </row>
    <row r="1127" spans="14:17" x14ac:dyDescent="0.3">
      <c r="N1127" s="111"/>
      <c r="O1127" s="111"/>
      <c r="P1127" s="111"/>
      <c r="Q1127" s="111"/>
    </row>
    <row r="1128" spans="14:17" x14ac:dyDescent="0.3">
      <c r="N1128" s="111"/>
      <c r="O1128" s="111"/>
      <c r="P1128" s="111"/>
      <c r="Q1128" s="111"/>
    </row>
    <row r="1129" spans="14:17" x14ac:dyDescent="0.3">
      <c r="N1129" s="111"/>
      <c r="O1129" s="111"/>
      <c r="P1129" s="111"/>
      <c r="Q1129" s="111"/>
    </row>
    <row r="1130" spans="14:17" x14ac:dyDescent="0.3">
      <c r="N1130" s="111"/>
      <c r="O1130" s="111"/>
      <c r="P1130" s="111"/>
      <c r="Q1130" s="111"/>
    </row>
    <row r="1131" spans="14:17" x14ac:dyDescent="0.3">
      <c r="N1131" s="111"/>
      <c r="O1131" s="111"/>
      <c r="P1131" s="111"/>
      <c r="Q1131" s="111"/>
    </row>
    <row r="1132" spans="14:17" x14ac:dyDescent="0.3">
      <c r="N1132" s="111"/>
      <c r="O1132" s="111"/>
      <c r="P1132" s="111"/>
      <c r="Q1132" s="111"/>
    </row>
    <row r="1133" spans="14:17" x14ac:dyDescent="0.3">
      <c r="N1133" s="111"/>
      <c r="O1133" s="111"/>
      <c r="P1133" s="111"/>
      <c r="Q1133" s="111"/>
    </row>
    <row r="1134" spans="14:17" x14ac:dyDescent="0.3">
      <c r="N1134" s="111"/>
      <c r="O1134" s="111"/>
      <c r="P1134" s="111"/>
      <c r="Q1134" s="111"/>
    </row>
    <row r="1135" spans="14:17" x14ac:dyDescent="0.3">
      <c r="N1135" s="111"/>
      <c r="O1135" s="111"/>
      <c r="P1135" s="111"/>
      <c r="Q1135" s="111"/>
    </row>
    <row r="1136" spans="14:17" x14ac:dyDescent="0.3">
      <c r="N1136" s="111"/>
      <c r="O1136" s="111"/>
      <c r="P1136" s="111"/>
      <c r="Q1136" s="111"/>
    </row>
    <row r="1137" spans="14:17" x14ac:dyDescent="0.3">
      <c r="N1137" s="111"/>
      <c r="O1137" s="111"/>
      <c r="P1137" s="111"/>
      <c r="Q1137" s="111"/>
    </row>
    <row r="1138" spans="14:17" x14ac:dyDescent="0.3">
      <c r="N1138" s="111"/>
      <c r="O1138" s="111"/>
      <c r="P1138" s="111"/>
      <c r="Q1138" s="111"/>
    </row>
    <row r="1139" spans="14:17" x14ac:dyDescent="0.3">
      <c r="N1139" s="111"/>
      <c r="O1139" s="111"/>
      <c r="P1139" s="111"/>
      <c r="Q1139" s="111"/>
    </row>
    <row r="1140" spans="14:17" x14ac:dyDescent="0.3">
      <c r="N1140" s="111"/>
      <c r="O1140" s="111"/>
      <c r="P1140" s="111"/>
      <c r="Q1140" s="111"/>
    </row>
    <row r="1141" spans="14:17" x14ac:dyDescent="0.3">
      <c r="N1141" s="111"/>
      <c r="O1141" s="111"/>
      <c r="P1141" s="111"/>
      <c r="Q1141" s="111"/>
    </row>
    <row r="1142" spans="14:17" x14ac:dyDescent="0.3">
      <c r="N1142" s="111"/>
      <c r="O1142" s="111"/>
      <c r="P1142" s="111"/>
      <c r="Q1142" s="111"/>
    </row>
    <row r="1143" spans="14:17" x14ac:dyDescent="0.3">
      <c r="N1143" s="111"/>
      <c r="O1143" s="111"/>
      <c r="P1143" s="111"/>
      <c r="Q1143" s="111"/>
    </row>
    <row r="1144" spans="14:17" x14ac:dyDescent="0.3">
      <c r="N1144" s="111"/>
      <c r="O1144" s="111"/>
      <c r="P1144" s="111"/>
      <c r="Q1144" s="111"/>
    </row>
    <row r="1145" spans="14:17" x14ac:dyDescent="0.3">
      <c r="N1145" s="111"/>
      <c r="O1145" s="111"/>
      <c r="P1145" s="111"/>
      <c r="Q1145" s="111"/>
    </row>
    <row r="1146" spans="14:17" x14ac:dyDescent="0.3">
      <c r="N1146" s="111"/>
      <c r="O1146" s="111"/>
      <c r="P1146" s="111"/>
      <c r="Q1146" s="111"/>
    </row>
    <row r="1147" spans="14:17" x14ac:dyDescent="0.3">
      <c r="N1147" s="111"/>
      <c r="O1147" s="111"/>
      <c r="P1147" s="111"/>
      <c r="Q1147" s="111"/>
    </row>
    <row r="1148" spans="14:17" x14ac:dyDescent="0.3">
      <c r="N1148" s="111"/>
      <c r="O1148" s="111"/>
      <c r="P1148" s="111"/>
      <c r="Q1148" s="111"/>
    </row>
    <row r="1149" spans="14:17" x14ac:dyDescent="0.3">
      <c r="N1149" s="111"/>
      <c r="O1149" s="111"/>
      <c r="P1149" s="111"/>
      <c r="Q1149" s="111"/>
    </row>
    <row r="1150" spans="14:17" x14ac:dyDescent="0.3">
      <c r="N1150" s="111"/>
      <c r="O1150" s="111"/>
      <c r="P1150" s="111"/>
      <c r="Q1150" s="111"/>
    </row>
    <row r="1151" spans="14:17" x14ac:dyDescent="0.3">
      <c r="N1151" s="111"/>
      <c r="O1151" s="111"/>
      <c r="P1151" s="111"/>
      <c r="Q1151" s="111"/>
    </row>
    <row r="1152" spans="14:17" x14ac:dyDescent="0.3">
      <c r="N1152" s="111"/>
      <c r="O1152" s="111"/>
      <c r="P1152" s="111"/>
      <c r="Q1152" s="111"/>
    </row>
    <row r="1153" spans="14:17" x14ac:dyDescent="0.3">
      <c r="N1153" s="111"/>
      <c r="O1153" s="111"/>
      <c r="P1153" s="111"/>
      <c r="Q1153" s="111"/>
    </row>
    <row r="1154" spans="14:17" x14ac:dyDescent="0.3">
      <c r="N1154" s="111"/>
      <c r="O1154" s="111"/>
      <c r="P1154" s="111"/>
      <c r="Q1154" s="111"/>
    </row>
    <row r="1155" spans="14:17" x14ac:dyDescent="0.3">
      <c r="N1155" s="111"/>
      <c r="O1155" s="111"/>
      <c r="P1155" s="111"/>
      <c r="Q1155" s="111"/>
    </row>
    <row r="1156" spans="14:17" x14ac:dyDescent="0.3">
      <c r="N1156" s="111"/>
      <c r="O1156" s="111"/>
      <c r="P1156" s="111"/>
      <c r="Q1156" s="111"/>
    </row>
    <row r="1157" spans="14:17" x14ac:dyDescent="0.3">
      <c r="N1157" s="111"/>
      <c r="O1157" s="111"/>
      <c r="P1157" s="111"/>
      <c r="Q1157" s="111"/>
    </row>
    <row r="1158" spans="14:17" x14ac:dyDescent="0.3">
      <c r="N1158" s="111"/>
      <c r="O1158" s="111"/>
      <c r="P1158" s="111"/>
      <c r="Q1158" s="111"/>
    </row>
    <row r="1159" spans="14:17" x14ac:dyDescent="0.3">
      <c r="N1159" s="111"/>
      <c r="O1159" s="111"/>
      <c r="P1159" s="111"/>
      <c r="Q1159" s="111"/>
    </row>
    <row r="1160" spans="14:17" x14ac:dyDescent="0.3">
      <c r="N1160" s="111"/>
      <c r="O1160" s="111"/>
      <c r="P1160" s="111"/>
      <c r="Q1160" s="111"/>
    </row>
    <row r="1161" spans="14:17" x14ac:dyDescent="0.3">
      <c r="N1161" s="111"/>
      <c r="O1161" s="111"/>
      <c r="P1161" s="111"/>
      <c r="Q1161" s="111"/>
    </row>
    <row r="1162" spans="14:17" x14ac:dyDescent="0.3">
      <c r="N1162" s="111"/>
      <c r="O1162" s="111"/>
      <c r="P1162" s="111"/>
      <c r="Q1162" s="111"/>
    </row>
    <row r="1163" spans="14:17" x14ac:dyDescent="0.3">
      <c r="N1163" s="111"/>
      <c r="O1163" s="111"/>
      <c r="P1163" s="111"/>
      <c r="Q1163" s="111"/>
    </row>
    <row r="1164" spans="14:17" x14ac:dyDescent="0.3">
      <c r="N1164" s="111"/>
      <c r="O1164" s="111"/>
      <c r="P1164" s="111"/>
      <c r="Q1164" s="111"/>
    </row>
    <row r="1165" spans="14:17" x14ac:dyDescent="0.3">
      <c r="N1165" s="111"/>
      <c r="O1165" s="111"/>
      <c r="P1165" s="111"/>
      <c r="Q1165" s="111"/>
    </row>
    <row r="1166" spans="14:17" x14ac:dyDescent="0.3">
      <c r="N1166" s="111"/>
      <c r="O1166" s="111"/>
      <c r="P1166" s="111"/>
      <c r="Q1166" s="111"/>
    </row>
    <row r="1167" spans="14:17" x14ac:dyDescent="0.3">
      <c r="N1167" s="111"/>
      <c r="O1167" s="111"/>
      <c r="P1167" s="111"/>
      <c r="Q1167" s="111"/>
    </row>
    <row r="1168" spans="14:17" x14ac:dyDescent="0.3">
      <c r="N1168" s="111"/>
      <c r="O1168" s="111"/>
      <c r="P1168" s="111"/>
      <c r="Q1168" s="111"/>
    </row>
    <row r="1169" spans="14:17" x14ac:dyDescent="0.3">
      <c r="N1169" s="111"/>
      <c r="O1169" s="111"/>
      <c r="P1169" s="111"/>
      <c r="Q1169" s="111"/>
    </row>
    <row r="1170" spans="14:17" x14ac:dyDescent="0.3">
      <c r="N1170" s="111"/>
      <c r="O1170" s="111"/>
      <c r="P1170" s="111"/>
      <c r="Q1170" s="111"/>
    </row>
    <row r="1171" spans="14:17" x14ac:dyDescent="0.3">
      <c r="N1171" s="111"/>
      <c r="O1171" s="111"/>
      <c r="P1171" s="111"/>
      <c r="Q1171" s="111"/>
    </row>
    <row r="1172" spans="14:17" x14ac:dyDescent="0.3">
      <c r="N1172" s="111"/>
      <c r="O1172" s="111"/>
      <c r="P1172" s="111"/>
      <c r="Q1172" s="111"/>
    </row>
    <row r="1173" spans="14:17" x14ac:dyDescent="0.3">
      <c r="N1173" s="111"/>
      <c r="O1173" s="111"/>
      <c r="P1173" s="111"/>
      <c r="Q1173" s="111"/>
    </row>
    <row r="1174" spans="14:17" x14ac:dyDescent="0.3">
      <c r="N1174" s="111"/>
      <c r="O1174" s="111"/>
      <c r="P1174" s="111"/>
      <c r="Q1174" s="111"/>
    </row>
    <row r="1175" spans="14:17" x14ac:dyDescent="0.3">
      <c r="N1175" s="111"/>
      <c r="O1175" s="111"/>
      <c r="P1175" s="111"/>
      <c r="Q1175" s="111"/>
    </row>
    <row r="1176" spans="14:17" x14ac:dyDescent="0.3">
      <c r="N1176" s="111"/>
      <c r="O1176" s="111"/>
      <c r="P1176" s="111"/>
      <c r="Q1176" s="111"/>
    </row>
    <row r="1177" spans="14:17" x14ac:dyDescent="0.3">
      <c r="N1177" s="111"/>
      <c r="O1177" s="111"/>
      <c r="P1177" s="111"/>
      <c r="Q1177" s="111"/>
    </row>
    <row r="1178" spans="14:17" x14ac:dyDescent="0.3">
      <c r="N1178" s="111"/>
      <c r="O1178" s="111"/>
      <c r="P1178" s="111"/>
      <c r="Q1178" s="111"/>
    </row>
    <row r="1179" spans="14:17" x14ac:dyDescent="0.3">
      <c r="N1179" s="111"/>
      <c r="O1179" s="111"/>
      <c r="P1179" s="111"/>
      <c r="Q1179" s="111"/>
    </row>
    <row r="1180" spans="14:17" x14ac:dyDescent="0.3">
      <c r="N1180" s="111"/>
      <c r="O1180" s="111"/>
      <c r="P1180" s="111"/>
      <c r="Q1180" s="111"/>
    </row>
    <row r="1181" spans="14:17" x14ac:dyDescent="0.3">
      <c r="N1181" s="111"/>
      <c r="O1181" s="111"/>
      <c r="P1181" s="111"/>
      <c r="Q1181" s="111"/>
    </row>
    <row r="1182" spans="14:17" x14ac:dyDescent="0.3">
      <c r="N1182" s="111"/>
      <c r="O1182" s="111"/>
      <c r="P1182" s="111"/>
      <c r="Q1182" s="111"/>
    </row>
    <row r="1183" spans="14:17" x14ac:dyDescent="0.3">
      <c r="N1183" s="111"/>
      <c r="O1183" s="111"/>
      <c r="P1183" s="111"/>
      <c r="Q1183" s="111"/>
    </row>
    <row r="1184" spans="14:17" x14ac:dyDescent="0.3">
      <c r="N1184" s="111"/>
      <c r="O1184" s="111"/>
      <c r="P1184" s="111"/>
      <c r="Q1184" s="111"/>
    </row>
    <row r="1185" spans="14:17" x14ac:dyDescent="0.3">
      <c r="N1185" s="111"/>
      <c r="O1185" s="111"/>
      <c r="P1185" s="111"/>
      <c r="Q1185" s="111"/>
    </row>
    <row r="1186" spans="14:17" x14ac:dyDescent="0.3">
      <c r="N1186" s="111"/>
      <c r="O1186" s="111"/>
      <c r="P1186" s="111"/>
      <c r="Q1186" s="111"/>
    </row>
    <row r="1187" spans="14:17" x14ac:dyDescent="0.3">
      <c r="N1187" s="111"/>
      <c r="O1187" s="111"/>
      <c r="P1187" s="111"/>
      <c r="Q1187" s="111"/>
    </row>
    <row r="1188" spans="14:17" x14ac:dyDescent="0.3">
      <c r="N1188" s="111"/>
      <c r="O1188" s="111"/>
      <c r="P1188" s="111"/>
      <c r="Q1188" s="111"/>
    </row>
    <row r="1189" spans="14:17" x14ac:dyDescent="0.3">
      <c r="N1189" s="111"/>
      <c r="O1189" s="111"/>
      <c r="P1189" s="111"/>
      <c r="Q1189" s="111"/>
    </row>
    <row r="1190" spans="14:17" x14ac:dyDescent="0.3">
      <c r="N1190" s="111"/>
      <c r="O1190" s="111"/>
      <c r="P1190" s="111"/>
      <c r="Q1190" s="111"/>
    </row>
    <row r="1191" spans="14:17" x14ac:dyDescent="0.3">
      <c r="N1191" s="111"/>
      <c r="O1191" s="111"/>
      <c r="P1191" s="111"/>
      <c r="Q1191" s="111"/>
    </row>
    <row r="1192" spans="14:17" x14ac:dyDescent="0.3">
      <c r="N1192" s="111"/>
      <c r="O1192" s="111"/>
      <c r="P1192" s="111"/>
      <c r="Q1192" s="111"/>
    </row>
    <row r="1193" spans="14:17" x14ac:dyDescent="0.3">
      <c r="N1193" s="111"/>
      <c r="O1193" s="111"/>
      <c r="P1193" s="111"/>
      <c r="Q1193" s="111"/>
    </row>
    <row r="1194" spans="14:17" x14ac:dyDescent="0.3">
      <c r="N1194" s="111"/>
      <c r="O1194" s="111"/>
      <c r="P1194" s="111"/>
      <c r="Q1194" s="111"/>
    </row>
    <row r="1195" spans="14:17" x14ac:dyDescent="0.3">
      <c r="N1195" s="111"/>
      <c r="O1195" s="111"/>
      <c r="P1195" s="111"/>
      <c r="Q1195" s="111"/>
    </row>
    <row r="1196" spans="14:17" x14ac:dyDescent="0.3">
      <c r="N1196" s="111"/>
      <c r="O1196" s="111"/>
      <c r="P1196" s="111"/>
      <c r="Q1196" s="111"/>
    </row>
    <row r="1197" spans="14:17" x14ac:dyDescent="0.3">
      <c r="N1197" s="111"/>
      <c r="O1197" s="111"/>
      <c r="P1197" s="111"/>
      <c r="Q1197" s="111"/>
    </row>
    <row r="1198" spans="14:17" x14ac:dyDescent="0.3">
      <c r="N1198" s="111"/>
      <c r="O1198" s="111"/>
      <c r="P1198" s="111"/>
      <c r="Q1198" s="111"/>
    </row>
    <row r="1199" spans="14:17" x14ac:dyDescent="0.3">
      <c r="N1199" s="111"/>
      <c r="O1199" s="111"/>
      <c r="P1199" s="111"/>
      <c r="Q1199" s="111"/>
    </row>
    <row r="1200" spans="14:17" x14ac:dyDescent="0.3">
      <c r="N1200" s="111"/>
      <c r="O1200" s="111"/>
      <c r="P1200" s="111"/>
      <c r="Q1200" s="111"/>
    </row>
    <row r="1201" spans="14:17" x14ac:dyDescent="0.3">
      <c r="N1201" s="111"/>
      <c r="O1201" s="111"/>
      <c r="P1201" s="111"/>
      <c r="Q1201" s="111"/>
    </row>
    <row r="1202" spans="14:17" x14ac:dyDescent="0.3">
      <c r="N1202" s="111"/>
      <c r="O1202" s="111"/>
      <c r="P1202" s="111"/>
      <c r="Q1202" s="111"/>
    </row>
    <row r="1203" spans="14:17" x14ac:dyDescent="0.3">
      <c r="N1203" s="111"/>
      <c r="O1203" s="111"/>
      <c r="P1203" s="111"/>
      <c r="Q1203" s="111"/>
    </row>
    <row r="1204" spans="14:17" x14ac:dyDescent="0.3">
      <c r="N1204" s="111"/>
      <c r="O1204" s="111"/>
      <c r="P1204" s="111"/>
      <c r="Q1204" s="111"/>
    </row>
    <row r="1205" spans="14:17" x14ac:dyDescent="0.3">
      <c r="N1205" s="111"/>
      <c r="O1205" s="111"/>
      <c r="P1205" s="111"/>
      <c r="Q1205" s="111"/>
    </row>
    <row r="1206" spans="14:17" x14ac:dyDescent="0.3">
      <c r="N1206" s="111"/>
      <c r="O1206" s="111"/>
      <c r="P1206" s="111"/>
      <c r="Q1206" s="111"/>
    </row>
    <row r="1207" spans="14:17" x14ac:dyDescent="0.3">
      <c r="N1207" s="111"/>
      <c r="O1207" s="111"/>
      <c r="P1207" s="111"/>
      <c r="Q1207" s="111"/>
    </row>
    <row r="1208" spans="14:17" x14ac:dyDescent="0.3">
      <c r="N1208" s="111"/>
      <c r="O1208" s="111"/>
      <c r="P1208" s="111"/>
      <c r="Q1208" s="111"/>
    </row>
    <row r="1209" spans="14:17" x14ac:dyDescent="0.3">
      <c r="N1209" s="111"/>
      <c r="O1209" s="111"/>
      <c r="P1209" s="111"/>
      <c r="Q1209" s="111"/>
    </row>
    <row r="1210" spans="14:17" x14ac:dyDescent="0.3">
      <c r="N1210" s="111"/>
      <c r="O1210" s="111"/>
      <c r="P1210" s="111"/>
      <c r="Q1210" s="111"/>
    </row>
    <row r="1211" spans="14:17" x14ac:dyDescent="0.3">
      <c r="N1211" s="111"/>
      <c r="O1211" s="111"/>
      <c r="P1211" s="111"/>
      <c r="Q1211" s="111"/>
    </row>
    <row r="1212" spans="14:17" x14ac:dyDescent="0.3">
      <c r="N1212" s="111"/>
      <c r="O1212" s="111"/>
      <c r="P1212" s="111"/>
      <c r="Q1212" s="111"/>
    </row>
    <row r="1213" spans="14:17" x14ac:dyDescent="0.3">
      <c r="N1213" s="111"/>
      <c r="O1213" s="111"/>
      <c r="P1213" s="111"/>
      <c r="Q1213" s="111"/>
    </row>
    <row r="1214" spans="14:17" x14ac:dyDescent="0.3">
      <c r="N1214" s="111"/>
      <c r="O1214" s="111"/>
      <c r="P1214" s="111"/>
      <c r="Q1214" s="111"/>
    </row>
    <row r="1215" spans="14:17" x14ac:dyDescent="0.3">
      <c r="N1215" s="111"/>
      <c r="O1215" s="111"/>
      <c r="P1215" s="111"/>
      <c r="Q1215" s="111"/>
    </row>
    <row r="1216" spans="14:17" x14ac:dyDescent="0.3">
      <c r="N1216" s="111"/>
      <c r="O1216" s="111"/>
      <c r="P1216" s="111"/>
      <c r="Q1216" s="111"/>
    </row>
    <row r="1217" spans="14:17" x14ac:dyDescent="0.3">
      <c r="N1217" s="111"/>
      <c r="O1217" s="111"/>
      <c r="P1217" s="111"/>
      <c r="Q1217" s="111"/>
    </row>
    <row r="1218" spans="14:17" x14ac:dyDescent="0.3">
      <c r="N1218" s="111"/>
      <c r="O1218" s="111"/>
      <c r="P1218" s="111"/>
      <c r="Q1218" s="111"/>
    </row>
    <row r="1219" spans="14:17" x14ac:dyDescent="0.3">
      <c r="N1219" s="111"/>
      <c r="O1219" s="111"/>
      <c r="P1219" s="111"/>
      <c r="Q1219" s="111"/>
    </row>
    <row r="1220" spans="14:17" x14ac:dyDescent="0.3">
      <c r="N1220" s="111"/>
      <c r="O1220" s="111"/>
      <c r="P1220" s="111"/>
      <c r="Q1220" s="111"/>
    </row>
    <row r="1221" spans="14:17" x14ac:dyDescent="0.3">
      <c r="N1221" s="111"/>
      <c r="O1221" s="111"/>
      <c r="P1221" s="111"/>
      <c r="Q1221" s="111"/>
    </row>
    <row r="1222" spans="14:17" x14ac:dyDescent="0.3">
      <c r="N1222" s="111"/>
      <c r="O1222" s="111"/>
      <c r="P1222" s="111"/>
      <c r="Q1222" s="111"/>
    </row>
    <row r="1223" spans="14:17" x14ac:dyDescent="0.3">
      <c r="N1223" s="111"/>
      <c r="O1223" s="111"/>
      <c r="P1223" s="111"/>
      <c r="Q1223" s="111"/>
    </row>
    <row r="1224" spans="14:17" x14ac:dyDescent="0.3">
      <c r="N1224" s="111"/>
      <c r="O1224" s="111"/>
      <c r="P1224" s="111"/>
      <c r="Q1224" s="111"/>
    </row>
    <row r="1225" spans="14:17" x14ac:dyDescent="0.3">
      <c r="N1225" s="111"/>
      <c r="O1225" s="111"/>
      <c r="P1225" s="111"/>
      <c r="Q1225" s="111"/>
    </row>
    <row r="1226" spans="14:17" x14ac:dyDescent="0.3">
      <c r="N1226" s="111"/>
      <c r="O1226" s="111"/>
      <c r="P1226" s="111"/>
      <c r="Q1226" s="111"/>
    </row>
    <row r="1227" spans="14:17" x14ac:dyDescent="0.3">
      <c r="N1227" s="111"/>
      <c r="O1227" s="111"/>
      <c r="P1227" s="111"/>
      <c r="Q1227" s="111"/>
    </row>
    <row r="1228" spans="14:17" x14ac:dyDescent="0.3">
      <c r="N1228" s="111"/>
      <c r="O1228" s="111"/>
      <c r="P1228" s="111"/>
      <c r="Q1228" s="111"/>
    </row>
    <row r="1229" spans="14:17" x14ac:dyDescent="0.3">
      <c r="N1229" s="111"/>
      <c r="O1229" s="111"/>
      <c r="P1229" s="111"/>
      <c r="Q1229" s="111"/>
    </row>
    <row r="1230" spans="14:17" x14ac:dyDescent="0.3">
      <c r="N1230" s="111"/>
      <c r="O1230" s="111"/>
      <c r="P1230" s="111"/>
      <c r="Q1230" s="111"/>
    </row>
    <row r="1231" spans="14:17" x14ac:dyDescent="0.3">
      <c r="N1231" s="111"/>
      <c r="O1231" s="111"/>
      <c r="P1231" s="111"/>
      <c r="Q1231" s="111"/>
    </row>
    <row r="1232" spans="14:17" x14ac:dyDescent="0.3">
      <c r="N1232" s="111"/>
      <c r="O1232" s="111"/>
      <c r="P1232" s="111"/>
      <c r="Q1232" s="111"/>
    </row>
    <row r="1233" spans="14:17" x14ac:dyDescent="0.3">
      <c r="N1233" s="111"/>
      <c r="O1233" s="111"/>
      <c r="P1233" s="111"/>
      <c r="Q1233" s="111"/>
    </row>
    <row r="1234" spans="14:17" x14ac:dyDescent="0.3">
      <c r="N1234" s="111"/>
      <c r="O1234" s="111"/>
      <c r="P1234" s="111"/>
      <c r="Q1234" s="111"/>
    </row>
    <row r="1235" spans="14:17" x14ac:dyDescent="0.3">
      <c r="N1235" s="111"/>
      <c r="O1235" s="111"/>
      <c r="P1235" s="111"/>
      <c r="Q1235" s="111"/>
    </row>
    <row r="1236" spans="14:17" x14ac:dyDescent="0.3">
      <c r="N1236" s="111"/>
      <c r="O1236" s="111"/>
      <c r="P1236" s="111"/>
      <c r="Q1236" s="111"/>
    </row>
    <row r="1237" spans="14:17" x14ac:dyDescent="0.3">
      <c r="N1237" s="111"/>
      <c r="O1237" s="111"/>
      <c r="P1237" s="111"/>
      <c r="Q1237" s="111"/>
    </row>
    <row r="1238" spans="14:17" x14ac:dyDescent="0.3">
      <c r="N1238" s="111"/>
      <c r="O1238" s="111"/>
      <c r="P1238" s="111"/>
      <c r="Q1238" s="111"/>
    </row>
    <row r="1239" spans="14:17" x14ac:dyDescent="0.3">
      <c r="N1239" s="111"/>
      <c r="O1239" s="111"/>
      <c r="P1239" s="111"/>
      <c r="Q1239" s="111"/>
    </row>
    <row r="1240" spans="14:17" x14ac:dyDescent="0.3">
      <c r="N1240" s="111"/>
      <c r="O1240" s="111"/>
      <c r="P1240" s="111"/>
      <c r="Q1240" s="111"/>
    </row>
    <row r="1241" spans="14:17" x14ac:dyDescent="0.3">
      <c r="N1241" s="111"/>
      <c r="O1241" s="111"/>
      <c r="P1241" s="111"/>
      <c r="Q1241" s="111"/>
    </row>
    <row r="1242" spans="14:17" x14ac:dyDescent="0.3">
      <c r="N1242" s="111"/>
      <c r="O1242" s="111"/>
      <c r="P1242" s="111"/>
      <c r="Q1242" s="111"/>
    </row>
    <row r="1243" spans="14:17" x14ac:dyDescent="0.3">
      <c r="N1243" s="111"/>
      <c r="O1243" s="111"/>
      <c r="P1243" s="111"/>
      <c r="Q1243" s="111"/>
    </row>
    <row r="1244" spans="14:17" x14ac:dyDescent="0.3">
      <c r="N1244" s="111"/>
      <c r="O1244" s="111"/>
      <c r="P1244" s="111"/>
      <c r="Q1244" s="111"/>
    </row>
    <row r="1245" spans="14:17" x14ac:dyDescent="0.3">
      <c r="N1245" s="111"/>
      <c r="O1245" s="111"/>
      <c r="P1245" s="111"/>
      <c r="Q1245" s="111"/>
    </row>
    <row r="1246" spans="14:17" x14ac:dyDescent="0.3">
      <c r="N1246" s="111"/>
      <c r="O1246" s="111"/>
      <c r="P1246" s="111"/>
      <c r="Q1246" s="111"/>
    </row>
    <row r="1247" spans="14:17" x14ac:dyDescent="0.3">
      <c r="N1247" s="111"/>
      <c r="O1247" s="111"/>
      <c r="P1247" s="111"/>
      <c r="Q1247" s="111"/>
    </row>
    <row r="1248" spans="14:17" x14ac:dyDescent="0.3">
      <c r="N1248" s="111"/>
      <c r="O1248" s="111"/>
      <c r="P1248" s="111"/>
      <c r="Q1248" s="111"/>
    </row>
    <row r="1249" spans="14:17" x14ac:dyDescent="0.3">
      <c r="N1249" s="111"/>
      <c r="O1249" s="111"/>
      <c r="P1249" s="111"/>
      <c r="Q1249" s="111"/>
    </row>
    <row r="1250" spans="14:17" x14ac:dyDescent="0.3">
      <c r="N1250" s="111"/>
      <c r="O1250" s="111"/>
      <c r="P1250" s="111"/>
      <c r="Q1250" s="111"/>
    </row>
    <row r="1251" spans="14:17" x14ac:dyDescent="0.3">
      <c r="N1251" s="111"/>
      <c r="O1251" s="111"/>
      <c r="P1251" s="111"/>
      <c r="Q1251" s="111"/>
    </row>
    <row r="1252" spans="14:17" x14ac:dyDescent="0.3">
      <c r="N1252" s="111"/>
      <c r="O1252" s="111"/>
      <c r="P1252" s="111"/>
      <c r="Q1252" s="111"/>
    </row>
    <row r="1253" spans="14:17" x14ac:dyDescent="0.3">
      <c r="N1253" s="111"/>
      <c r="O1253" s="111"/>
      <c r="P1253" s="111"/>
      <c r="Q1253" s="111"/>
    </row>
    <row r="1254" spans="14:17" x14ac:dyDescent="0.3">
      <c r="N1254" s="111"/>
      <c r="O1254" s="111"/>
      <c r="P1254" s="111"/>
      <c r="Q1254" s="111"/>
    </row>
    <row r="1255" spans="14:17" x14ac:dyDescent="0.3">
      <c r="N1255" s="111"/>
      <c r="O1255" s="111"/>
      <c r="P1255" s="111"/>
      <c r="Q1255" s="111"/>
    </row>
    <row r="1256" spans="14:17" x14ac:dyDescent="0.3">
      <c r="N1256" s="111"/>
      <c r="O1256" s="111"/>
      <c r="P1256" s="111"/>
      <c r="Q1256" s="111"/>
    </row>
    <row r="1257" spans="14:17" x14ac:dyDescent="0.3">
      <c r="N1257" s="111"/>
      <c r="O1257" s="111"/>
      <c r="P1257" s="111"/>
      <c r="Q1257" s="111"/>
    </row>
    <row r="1258" spans="14:17" x14ac:dyDescent="0.3">
      <c r="N1258" s="111"/>
      <c r="O1258" s="111"/>
      <c r="P1258" s="111"/>
      <c r="Q1258" s="111"/>
    </row>
    <row r="1259" spans="14:17" x14ac:dyDescent="0.3">
      <c r="N1259" s="111"/>
      <c r="O1259" s="111"/>
      <c r="P1259" s="111"/>
      <c r="Q1259" s="111"/>
    </row>
    <row r="1260" spans="14:17" x14ac:dyDescent="0.3">
      <c r="N1260" s="111"/>
      <c r="O1260" s="111"/>
      <c r="P1260" s="111"/>
      <c r="Q1260" s="111"/>
    </row>
    <row r="1261" spans="14:17" x14ac:dyDescent="0.3">
      <c r="N1261" s="111"/>
      <c r="O1261" s="111"/>
      <c r="P1261" s="111"/>
      <c r="Q1261" s="111"/>
    </row>
    <row r="1262" spans="14:17" x14ac:dyDescent="0.3">
      <c r="N1262" s="111"/>
      <c r="O1262" s="111"/>
      <c r="P1262" s="111"/>
      <c r="Q1262" s="111"/>
    </row>
    <row r="1263" spans="14:17" x14ac:dyDescent="0.3">
      <c r="N1263" s="111"/>
      <c r="O1263" s="111"/>
      <c r="P1263" s="111"/>
      <c r="Q1263" s="111"/>
    </row>
    <row r="1264" spans="14:17" x14ac:dyDescent="0.3">
      <c r="N1264" s="111"/>
      <c r="O1264" s="111"/>
      <c r="P1264" s="111"/>
      <c r="Q1264" s="111"/>
    </row>
    <row r="1265" spans="14:17" x14ac:dyDescent="0.3">
      <c r="N1265" s="111"/>
      <c r="O1265" s="111"/>
      <c r="P1265" s="111"/>
      <c r="Q1265" s="111"/>
    </row>
    <row r="1266" spans="14:17" x14ac:dyDescent="0.3">
      <c r="N1266" s="111"/>
      <c r="O1266" s="111"/>
      <c r="P1266" s="111"/>
      <c r="Q1266" s="111"/>
    </row>
    <row r="1267" spans="14:17" x14ac:dyDescent="0.3">
      <c r="N1267" s="111"/>
      <c r="O1267" s="111"/>
      <c r="P1267" s="111"/>
      <c r="Q1267" s="111"/>
    </row>
    <row r="1268" spans="14:17" x14ac:dyDescent="0.3">
      <c r="N1268" s="111"/>
      <c r="O1268" s="111"/>
      <c r="P1268" s="111"/>
      <c r="Q1268" s="111"/>
    </row>
    <row r="1269" spans="14:17" x14ac:dyDescent="0.3">
      <c r="N1269" s="111"/>
      <c r="O1269" s="111"/>
      <c r="P1269" s="111"/>
      <c r="Q1269" s="111"/>
    </row>
    <row r="1270" spans="14:17" x14ac:dyDescent="0.3">
      <c r="N1270" s="111"/>
      <c r="O1270" s="111"/>
      <c r="P1270" s="111"/>
      <c r="Q1270" s="111"/>
    </row>
    <row r="1271" spans="14:17" x14ac:dyDescent="0.3">
      <c r="N1271" s="111"/>
      <c r="O1271" s="111"/>
      <c r="P1271" s="111"/>
      <c r="Q1271" s="111"/>
    </row>
    <row r="1272" spans="14:17" x14ac:dyDescent="0.3">
      <c r="N1272" s="111"/>
      <c r="O1272" s="111"/>
      <c r="P1272" s="111"/>
      <c r="Q1272" s="111"/>
    </row>
    <row r="1273" spans="14:17" x14ac:dyDescent="0.3">
      <c r="N1273" s="111"/>
      <c r="O1273" s="111"/>
      <c r="P1273" s="111"/>
      <c r="Q1273" s="111"/>
    </row>
    <row r="1274" spans="14:17" x14ac:dyDescent="0.3">
      <c r="N1274" s="111"/>
      <c r="O1274" s="111"/>
      <c r="P1274" s="111"/>
      <c r="Q1274" s="111"/>
    </row>
    <row r="1275" spans="14:17" x14ac:dyDescent="0.3">
      <c r="N1275" s="111"/>
      <c r="O1275" s="111"/>
      <c r="P1275" s="111"/>
      <c r="Q1275" s="111"/>
    </row>
    <row r="1276" spans="14:17" x14ac:dyDescent="0.3">
      <c r="N1276" s="111"/>
      <c r="O1276" s="111"/>
      <c r="P1276" s="111"/>
      <c r="Q1276" s="111"/>
    </row>
    <row r="1277" spans="14:17" x14ac:dyDescent="0.3">
      <c r="N1277" s="111"/>
      <c r="O1277" s="111"/>
      <c r="P1277" s="111"/>
      <c r="Q1277" s="111"/>
    </row>
    <row r="1278" spans="14:17" x14ac:dyDescent="0.3">
      <c r="N1278" s="111"/>
      <c r="O1278" s="111"/>
      <c r="P1278" s="111"/>
      <c r="Q1278" s="111"/>
    </row>
    <row r="1279" spans="14:17" x14ac:dyDescent="0.3">
      <c r="N1279" s="111"/>
      <c r="O1279" s="111"/>
      <c r="P1279" s="111"/>
      <c r="Q1279" s="111"/>
    </row>
    <row r="1280" spans="14:17" x14ac:dyDescent="0.3">
      <c r="N1280" s="111"/>
      <c r="O1280" s="111"/>
      <c r="P1280" s="111"/>
      <c r="Q1280" s="111"/>
    </row>
    <row r="1281" spans="14:17" x14ac:dyDescent="0.3">
      <c r="N1281" s="111"/>
      <c r="O1281" s="111"/>
      <c r="P1281" s="111"/>
      <c r="Q1281" s="111"/>
    </row>
    <row r="1282" spans="14:17" x14ac:dyDescent="0.3">
      <c r="N1282" s="111"/>
      <c r="O1282" s="111"/>
      <c r="P1282" s="111"/>
      <c r="Q1282" s="111"/>
    </row>
    <row r="1283" spans="14:17" x14ac:dyDescent="0.3">
      <c r="N1283" s="111"/>
      <c r="O1283" s="111"/>
      <c r="P1283" s="111"/>
      <c r="Q1283" s="111"/>
    </row>
    <row r="1284" spans="14:17" x14ac:dyDescent="0.3">
      <c r="N1284" s="111"/>
      <c r="O1284" s="111"/>
      <c r="P1284" s="111"/>
      <c r="Q1284" s="111"/>
    </row>
    <row r="1285" spans="14:17" x14ac:dyDescent="0.3">
      <c r="N1285" s="111"/>
      <c r="O1285" s="111"/>
      <c r="P1285" s="111"/>
      <c r="Q1285" s="111"/>
    </row>
    <row r="1286" spans="14:17" x14ac:dyDescent="0.3">
      <c r="N1286" s="111"/>
      <c r="O1286" s="111"/>
      <c r="P1286" s="111"/>
      <c r="Q1286" s="111"/>
    </row>
    <row r="1287" spans="14:17" x14ac:dyDescent="0.3">
      <c r="N1287" s="111"/>
      <c r="O1287" s="111"/>
      <c r="P1287" s="111"/>
      <c r="Q1287" s="111"/>
    </row>
    <row r="1288" spans="14:17" x14ac:dyDescent="0.3">
      <c r="N1288" s="111"/>
      <c r="O1288" s="111"/>
      <c r="P1288" s="111"/>
      <c r="Q1288" s="111"/>
    </row>
    <row r="1289" spans="14:17" x14ac:dyDescent="0.3">
      <c r="N1289" s="111"/>
      <c r="O1289" s="111"/>
      <c r="P1289" s="111"/>
      <c r="Q1289" s="111"/>
    </row>
    <row r="1290" spans="14:17" x14ac:dyDescent="0.3">
      <c r="N1290" s="111"/>
      <c r="O1290" s="111"/>
      <c r="P1290" s="111"/>
      <c r="Q1290" s="111"/>
    </row>
    <row r="1291" spans="14:17" x14ac:dyDescent="0.3">
      <c r="N1291" s="111"/>
      <c r="O1291" s="111"/>
      <c r="P1291" s="111"/>
      <c r="Q1291" s="111"/>
    </row>
    <row r="1292" spans="14:17" x14ac:dyDescent="0.3">
      <c r="N1292" s="111"/>
      <c r="O1292" s="111"/>
      <c r="P1292" s="111"/>
      <c r="Q1292" s="111"/>
    </row>
    <row r="1293" spans="14:17" x14ac:dyDescent="0.3">
      <c r="N1293" s="111"/>
      <c r="O1293" s="111"/>
      <c r="P1293" s="111"/>
      <c r="Q1293" s="111"/>
    </row>
    <row r="1294" spans="14:17" x14ac:dyDescent="0.3">
      <c r="N1294" s="111"/>
      <c r="O1294" s="111"/>
      <c r="P1294" s="111"/>
      <c r="Q1294" s="111"/>
    </row>
    <row r="1295" spans="14:17" x14ac:dyDescent="0.3">
      <c r="N1295" s="111"/>
      <c r="O1295" s="111"/>
      <c r="P1295" s="111"/>
      <c r="Q1295" s="111"/>
    </row>
    <row r="1296" spans="14:17" x14ac:dyDescent="0.3">
      <c r="N1296" s="111"/>
      <c r="O1296" s="111"/>
      <c r="P1296" s="111"/>
      <c r="Q1296" s="111"/>
    </row>
    <row r="1297" spans="14:17" x14ac:dyDescent="0.3">
      <c r="N1297" s="111"/>
      <c r="O1297" s="111"/>
      <c r="P1297" s="111"/>
      <c r="Q1297" s="111"/>
    </row>
    <row r="1298" spans="14:17" x14ac:dyDescent="0.3">
      <c r="N1298" s="111"/>
      <c r="O1298" s="111"/>
      <c r="P1298" s="111"/>
      <c r="Q1298" s="111"/>
    </row>
    <row r="1299" spans="14:17" x14ac:dyDescent="0.3">
      <c r="N1299" s="111"/>
      <c r="O1299" s="111"/>
      <c r="P1299" s="111"/>
      <c r="Q1299" s="111"/>
    </row>
    <row r="1300" spans="14:17" x14ac:dyDescent="0.3">
      <c r="N1300" s="111"/>
      <c r="O1300" s="111"/>
      <c r="P1300" s="111"/>
      <c r="Q1300" s="111"/>
    </row>
    <row r="1301" spans="14:17" x14ac:dyDescent="0.3">
      <c r="N1301" s="111"/>
      <c r="O1301" s="111"/>
      <c r="P1301" s="111"/>
      <c r="Q1301" s="111"/>
    </row>
    <row r="1302" spans="14:17" x14ac:dyDescent="0.3">
      <c r="N1302" s="111"/>
      <c r="O1302" s="111"/>
      <c r="P1302" s="111"/>
      <c r="Q1302" s="111"/>
    </row>
    <row r="1303" spans="14:17" x14ac:dyDescent="0.3">
      <c r="N1303" s="111"/>
      <c r="O1303" s="111"/>
      <c r="P1303" s="111"/>
      <c r="Q1303" s="111"/>
    </row>
    <row r="1304" spans="14:17" x14ac:dyDescent="0.3">
      <c r="N1304" s="111"/>
      <c r="O1304" s="111"/>
      <c r="P1304" s="111"/>
      <c r="Q1304" s="111"/>
    </row>
    <row r="1305" spans="14:17" x14ac:dyDescent="0.3">
      <c r="N1305" s="111"/>
      <c r="O1305" s="111"/>
      <c r="P1305" s="111"/>
      <c r="Q1305" s="111"/>
    </row>
    <row r="1306" spans="14:17" x14ac:dyDescent="0.3">
      <c r="N1306" s="111"/>
      <c r="O1306" s="111"/>
      <c r="P1306" s="111"/>
      <c r="Q1306" s="111"/>
    </row>
    <row r="1307" spans="14:17" x14ac:dyDescent="0.3">
      <c r="N1307" s="111"/>
      <c r="O1307" s="111"/>
      <c r="P1307" s="111"/>
      <c r="Q1307" s="111"/>
    </row>
    <row r="1308" spans="14:17" x14ac:dyDescent="0.3">
      <c r="N1308" s="111"/>
      <c r="O1308" s="111"/>
      <c r="P1308" s="111"/>
      <c r="Q1308" s="111"/>
    </row>
    <row r="1309" spans="14:17" x14ac:dyDescent="0.3">
      <c r="N1309" s="111"/>
      <c r="O1309" s="111"/>
      <c r="P1309" s="111"/>
      <c r="Q1309" s="111"/>
    </row>
    <row r="1310" spans="14:17" x14ac:dyDescent="0.3">
      <c r="N1310" s="111"/>
      <c r="O1310" s="111"/>
      <c r="P1310" s="111"/>
      <c r="Q1310" s="111"/>
    </row>
    <row r="1311" spans="14:17" x14ac:dyDescent="0.3">
      <c r="N1311" s="111"/>
      <c r="O1311" s="111"/>
      <c r="P1311" s="111"/>
      <c r="Q1311" s="111"/>
    </row>
    <row r="1312" spans="14:17" x14ac:dyDescent="0.3">
      <c r="N1312" s="111"/>
      <c r="O1312" s="111"/>
      <c r="P1312" s="111"/>
      <c r="Q1312" s="111"/>
    </row>
    <row r="1313" spans="14:17" x14ac:dyDescent="0.3">
      <c r="N1313" s="111"/>
      <c r="O1313" s="111"/>
      <c r="P1313" s="111"/>
      <c r="Q1313" s="111"/>
    </row>
    <row r="1314" spans="14:17" x14ac:dyDescent="0.3">
      <c r="N1314" s="111"/>
      <c r="O1314" s="111"/>
      <c r="P1314" s="111"/>
      <c r="Q1314" s="111"/>
    </row>
    <row r="1315" spans="14:17" x14ac:dyDescent="0.3">
      <c r="N1315" s="111"/>
      <c r="O1315" s="111"/>
      <c r="P1315" s="111"/>
      <c r="Q1315" s="111"/>
    </row>
    <row r="1316" spans="14:17" x14ac:dyDescent="0.3">
      <c r="N1316" s="111"/>
      <c r="O1316" s="111"/>
      <c r="P1316" s="111"/>
      <c r="Q1316" s="111"/>
    </row>
    <row r="1317" spans="14:17" x14ac:dyDescent="0.3">
      <c r="N1317" s="111"/>
      <c r="O1317" s="111"/>
      <c r="P1317" s="111"/>
      <c r="Q1317" s="111"/>
    </row>
    <row r="1318" spans="14:17" x14ac:dyDescent="0.3">
      <c r="N1318" s="111"/>
      <c r="O1318" s="111"/>
      <c r="P1318" s="111"/>
      <c r="Q1318" s="111"/>
    </row>
    <row r="1319" spans="14:17" x14ac:dyDescent="0.3">
      <c r="N1319" s="111"/>
      <c r="O1319" s="111"/>
      <c r="P1319" s="111"/>
      <c r="Q1319" s="111"/>
    </row>
    <row r="1320" spans="14:17" x14ac:dyDescent="0.3">
      <c r="N1320" s="111"/>
      <c r="O1320" s="111"/>
      <c r="P1320" s="111"/>
      <c r="Q1320" s="111"/>
    </row>
    <row r="1321" spans="14:17" x14ac:dyDescent="0.3">
      <c r="N1321" s="111"/>
      <c r="O1321" s="111"/>
      <c r="P1321" s="111"/>
      <c r="Q1321" s="111"/>
    </row>
    <row r="1322" spans="14:17" x14ac:dyDescent="0.3">
      <c r="N1322" s="111"/>
      <c r="O1322" s="111"/>
      <c r="P1322" s="111"/>
      <c r="Q1322" s="111"/>
    </row>
    <row r="1323" spans="14:17" x14ac:dyDescent="0.3">
      <c r="N1323" s="111"/>
      <c r="O1323" s="111"/>
      <c r="P1323" s="111"/>
      <c r="Q1323" s="111"/>
    </row>
    <row r="1324" spans="14:17" x14ac:dyDescent="0.3">
      <c r="N1324" s="111"/>
      <c r="O1324" s="111"/>
      <c r="P1324" s="111"/>
      <c r="Q1324" s="111"/>
    </row>
    <row r="1325" spans="14:17" x14ac:dyDescent="0.3">
      <c r="N1325" s="111"/>
      <c r="O1325" s="111"/>
      <c r="P1325" s="111"/>
      <c r="Q1325" s="111"/>
    </row>
    <row r="1326" spans="14:17" x14ac:dyDescent="0.3">
      <c r="N1326" s="111"/>
      <c r="O1326" s="111"/>
      <c r="P1326" s="111"/>
      <c r="Q1326" s="111"/>
    </row>
    <row r="1327" spans="14:17" x14ac:dyDescent="0.3">
      <c r="N1327" s="111"/>
      <c r="O1327" s="111"/>
      <c r="P1327" s="111"/>
      <c r="Q1327" s="111"/>
    </row>
    <row r="1328" spans="14:17" x14ac:dyDescent="0.3">
      <c r="N1328" s="111"/>
      <c r="O1328" s="111"/>
      <c r="P1328" s="111"/>
      <c r="Q1328" s="111"/>
    </row>
    <row r="1329" spans="14:17" x14ac:dyDescent="0.3">
      <c r="N1329" s="111"/>
      <c r="O1329" s="111"/>
      <c r="P1329" s="111"/>
      <c r="Q1329" s="111"/>
    </row>
    <row r="1330" spans="14:17" x14ac:dyDescent="0.3">
      <c r="N1330" s="111"/>
      <c r="O1330" s="111"/>
      <c r="P1330" s="111"/>
      <c r="Q1330" s="111"/>
    </row>
    <row r="1331" spans="14:17" x14ac:dyDescent="0.3">
      <c r="N1331" s="111"/>
      <c r="O1331" s="111"/>
      <c r="P1331" s="111"/>
      <c r="Q1331" s="111"/>
    </row>
    <row r="1332" spans="14:17" x14ac:dyDescent="0.3">
      <c r="N1332" s="111"/>
      <c r="O1332" s="111"/>
      <c r="P1332" s="111"/>
      <c r="Q1332" s="111"/>
    </row>
    <row r="1333" spans="14:17" x14ac:dyDescent="0.3">
      <c r="N1333" s="111"/>
      <c r="O1333" s="111"/>
      <c r="P1333" s="111"/>
      <c r="Q1333" s="111"/>
    </row>
    <row r="1334" spans="14:17" x14ac:dyDescent="0.3">
      <c r="N1334" s="111"/>
      <c r="O1334" s="111"/>
      <c r="P1334" s="111"/>
      <c r="Q1334" s="111"/>
    </row>
    <row r="1335" spans="14:17" x14ac:dyDescent="0.3">
      <c r="N1335" s="111"/>
      <c r="O1335" s="111"/>
      <c r="P1335" s="111"/>
      <c r="Q1335" s="111"/>
    </row>
    <row r="1336" spans="14:17" x14ac:dyDescent="0.3">
      <c r="N1336" s="111"/>
      <c r="O1336" s="111"/>
      <c r="P1336" s="111"/>
      <c r="Q1336" s="111"/>
    </row>
    <row r="1337" spans="14:17" x14ac:dyDescent="0.3">
      <c r="N1337" s="111"/>
      <c r="O1337" s="111"/>
      <c r="P1337" s="111"/>
      <c r="Q1337" s="111"/>
    </row>
    <row r="1338" spans="14:17" x14ac:dyDescent="0.3">
      <c r="N1338" s="111"/>
      <c r="O1338" s="111"/>
      <c r="P1338" s="111"/>
      <c r="Q1338" s="111"/>
    </row>
    <row r="1339" spans="14:17" x14ac:dyDescent="0.3">
      <c r="N1339" s="111"/>
      <c r="O1339" s="111"/>
      <c r="P1339" s="111"/>
      <c r="Q1339" s="111"/>
    </row>
    <row r="1340" spans="14:17" x14ac:dyDescent="0.3">
      <c r="N1340" s="111"/>
      <c r="O1340" s="111"/>
      <c r="P1340" s="111"/>
      <c r="Q1340" s="111"/>
    </row>
    <row r="1341" spans="14:17" x14ac:dyDescent="0.3">
      <c r="N1341" s="111"/>
      <c r="O1341" s="111"/>
      <c r="P1341" s="111"/>
      <c r="Q1341" s="111"/>
    </row>
    <row r="1342" spans="14:17" x14ac:dyDescent="0.3">
      <c r="N1342" s="111"/>
      <c r="O1342" s="111"/>
      <c r="P1342" s="111"/>
      <c r="Q1342" s="111"/>
    </row>
    <row r="1343" spans="14:17" x14ac:dyDescent="0.3">
      <c r="N1343" s="111"/>
      <c r="O1343" s="111"/>
      <c r="P1343" s="111"/>
      <c r="Q1343" s="111"/>
    </row>
    <row r="1344" spans="14:17" x14ac:dyDescent="0.3">
      <c r="N1344" s="111"/>
      <c r="O1344" s="111"/>
      <c r="P1344" s="111"/>
      <c r="Q1344" s="111"/>
    </row>
    <row r="1345" spans="14:17" x14ac:dyDescent="0.3">
      <c r="N1345" s="111"/>
      <c r="O1345" s="111"/>
      <c r="P1345" s="111"/>
      <c r="Q1345" s="111"/>
    </row>
    <row r="1346" spans="14:17" x14ac:dyDescent="0.3">
      <c r="N1346" s="111"/>
      <c r="O1346" s="111"/>
      <c r="P1346" s="111"/>
      <c r="Q1346" s="111"/>
    </row>
    <row r="1347" spans="14:17" x14ac:dyDescent="0.3">
      <c r="N1347" s="111"/>
      <c r="O1347" s="111"/>
      <c r="P1347" s="111"/>
      <c r="Q1347" s="111"/>
    </row>
    <row r="1348" spans="14:17" x14ac:dyDescent="0.3">
      <c r="N1348" s="111"/>
      <c r="O1348" s="111"/>
      <c r="P1348" s="111"/>
      <c r="Q1348" s="111"/>
    </row>
    <row r="1349" spans="14:17" x14ac:dyDescent="0.3">
      <c r="N1349" s="111"/>
      <c r="O1349" s="111"/>
      <c r="P1349" s="111"/>
      <c r="Q1349" s="111"/>
    </row>
    <row r="1350" spans="14:17" x14ac:dyDescent="0.3">
      <c r="N1350" s="111"/>
      <c r="O1350" s="111"/>
      <c r="P1350" s="111"/>
      <c r="Q1350" s="111"/>
    </row>
    <row r="1351" spans="14:17" x14ac:dyDescent="0.3">
      <c r="N1351" s="111"/>
      <c r="O1351" s="111"/>
      <c r="P1351" s="111"/>
      <c r="Q1351" s="111"/>
    </row>
    <row r="1352" spans="14:17" x14ac:dyDescent="0.3">
      <c r="N1352" s="111"/>
      <c r="O1352" s="111"/>
      <c r="P1352" s="111"/>
      <c r="Q1352" s="111"/>
    </row>
    <row r="1353" spans="14:17" x14ac:dyDescent="0.3">
      <c r="N1353" s="111"/>
      <c r="O1353" s="111"/>
      <c r="P1353" s="111"/>
      <c r="Q1353" s="111"/>
    </row>
    <row r="1354" spans="14:17" x14ac:dyDescent="0.3">
      <c r="N1354" s="111"/>
      <c r="O1354" s="111"/>
      <c r="P1354" s="111"/>
      <c r="Q1354" s="111"/>
    </row>
    <row r="1355" spans="14:17" x14ac:dyDescent="0.3">
      <c r="N1355" s="111"/>
      <c r="O1355" s="111"/>
      <c r="P1355" s="111"/>
      <c r="Q1355" s="111"/>
    </row>
    <row r="1356" spans="14:17" x14ac:dyDescent="0.3">
      <c r="N1356" s="111"/>
      <c r="O1356" s="111"/>
      <c r="P1356" s="111"/>
      <c r="Q1356" s="111"/>
    </row>
    <row r="1357" spans="14:17" x14ac:dyDescent="0.3">
      <c r="N1357" s="111"/>
      <c r="O1357" s="111"/>
      <c r="P1357" s="111"/>
      <c r="Q1357" s="111"/>
    </row>
    <row r="1358" spans="14:17" x14ac:dyDescent="0.3">
      <c r="N1358" s="111"/>
      <c r="O1358" s="111"/>
      <c r="P1358" s="111"/>
      <c r="Q1358" s="111"/>
    </row>
    <row r="1359" spans="14:17" x14ac:dyDescent="0.3">
      <c r="N1359" s="111"/>
      <c r="O1359" s="111"/>
      <c r="P1359" s="111"/>
      <c r="Q1359" s="111"/>
    </row>
    <row r="1360" spans="14:17" x14ac:dyDescent="0.3">
      <c r="N1360" s="111"/>
      <c r="O1360" s="111"/>
      <c r="P1360" s="111"/>
      <c r="Q1360" s="111"/>
    </row>
    <row r="1361" spans="14:17" x14ac:dyDescent="0.3">
      <c r="N1361" s="111"/>
      <c r="O1361" s="111"/>
      <c r="P1361" s="111"/>
      <c r="Q1361" s="111"/>
    </row>
    <row r="1362" spans="14:17" x14ac:dyDescent="0.3">
      <c r="N1362" s="111"/>
      <c r="O1362" s="111"/>
      <c r="P1362" s="111"/>
      <c r="Q1362" s="111"/>
    </row>
    <row r="1363" spans="14:17" x14ac:dyDescent="0.3">
      <c r="N1363" s="111"/>
      <c r="O1363" s="111"/>
      <c r="P1363" s="111"/>
      <c r="Q1363" s="111"/>
    </row>
    <row r="1364" spans="14:17" x14ac:dyDescent="0.3">
      <c r="N1364" s="111"/>
      <c r="O1364" s="111"/>
      <c r="P1364" s="111"/>
      <c r="Q1364" s="111"/>
    </row>
    <row r="1365" spans="14:17" x14ac:dyDescent="0.3">
      <c r="N1365" s="111"/>
      <c r="O1365" s="111"/>
      <c r="P1365" s="111"/>
      <c r="Q1365" s="111"/>
    </row>
    <row r="1366" spans="14:17" x14ac:dyDescent="0.3">
      <c r="N1366" s="111"/>
      <c r="O1366" s="111"/>
      <c r="P1366" s="111"/>
      <c r="Q1366" s="111"/>
    </row>
    <row r="1367" spans="14:17" x14ac:dyDescent="0.3">
      <c r="N1367" s="111"/>
      <c r="O1367" s="111"/>
      <c r="P1367" s="111"/>
      <c r="Q1367" s="111"/>
    </row>
    <row r="1368" spans="14:17" x14ac:dyDescent="0.3">
      <c r="N1368" s="111"/>
      <c r="O1368" s="111"/>
      <c r="P1368" s="111"/>
      <c r="Q1368" s="111"/>
    </row>
    <row r="1369" spans="14:17" x14ac:dyDescent="0.3">
      <c r="N1369" s="111"/>
      <c r="O1369" s="111"/>
      <c r="P1369" s="111"/>
      <c r="Q1369" s="111"/>
    </row>
    <row r="1370" spans="14:17" x14ac:dyDescent="0.3">
      <c r="N1370" s="111"/>
      <c r="O1370" s="111"/>
      <c r="P1370" s="111"/>
      <c r="Q1370" s="111"/>
    </row>
    <row r="1371" spans="14:17" x14ac:dyDescent="0.3">
      <c r="N1371" s="111"/>
      <c r="O1371" s="111"/>
      <c r="P1371" s="111"/>
      <c r="Q1371" s="111"/>
    </row>
    <row r="1372" spans="14:17" x14ac:dyDescent="0.3">
      <c r="N1372" s="111"/>
      <c r="O1372" s="111"/>
      <c r="P1372" s="111"/>
      <c r="Q1372" s="111"/>
    </row>
    <row r="1373" spans="14:17" x14ac:dyDescent="0.3">
      <c r="N1373" s="111"/>
      <c r="O1373" s="111"/>
      <c r="P1373" s="111"/>
      <c r="Q1373" s="111"/>
    </row>
    <row r="1374" spans="14:17" x14ac:dyDescent="0.3">
      <c r="N1374" s="111"/>
      <c r="O1374" s="111"/>
      <c r="P1374" s="111"/>
      <c r="Q1374" s="111"/>
    </row>
    <row r="1375" spans="14:17" x14ac:dyDescent="0.3">
      <c r="N1375" s="111"/>
      <c r="O1375" s="111"/>
      <c r="P1375" s="111"/>
      <c r="Q1375" s="111"/>
    </row>
    <row r="1376" spans="14:17" x14ac:dyDescent="0.3">
      <c r="N1376" s="111"/>
      <c r="O1376" s="111"/>
      <c r="P1376" s="111"/>
      <c r="Q1376" s="111"/>
    </row>
    <row r="1377" spans="14:17" x14ac:dyDescent="0.3">
      <c r="N1377" s="111"/>
      <c r="O1377" s="111"/>
      <c r="P1377" s="111"/>
      <c r="Q1377" s="111"/>
    </row>
    <row r="1378" spans="14:17" x14ac:dyDescent="0.3">
      <c r="N1378" s="111"/>
      <c r="O1378" s="111"/>
      <c r="P1378" s="111"/>
      <c r="Q1378" s="111"/>
    </row>
    <row r="1379" spans="14:17" x14ac:dyDescent="0.3">
      <c r="N1379" s="111"/>
      <c r="O1379" s="111"/>
      <c r="P1379" s="111"/>
      <c r="Q1379" s="111"/>
    </row>
    <row r="1380" spans="14:17" x14ac:dyDescent="0.3">
      <c r="N1380" s="111"/>
      <c r="O1380" s="111"/>
      <c r="P1380" s="111"/>
      <c r="Q1380" s="111"/>
    </row>
    <row r="1381" spans="14:17" x14ac:dyDescent="0.3">
      <c r="N1381" s="111"/>
      <c r="O1381" s="111"/>
      <c r="P1381" s="111"/>
      <c r="Q1381" s="111"/>
    </row>
    <row r="1382" spans="14:17" x14ac:dyDescent="0.3">
      <c r="N1382" s="111"/>
      <c r="O1382" s="111"/>
      <c r="P1382" s="111"/>
      <c r="Q1382" s="111"/>
    </row>
    <row r="1383" spans="14:17" x14ac:dyDescent="0.3">
      <c r="N1383" s="111"/>
      <c r="O1383" s="111"/>
      <c r="P1383" s="111"/>
      <c r="Q1383" s="111"/>
    </row>
    <row r="1384" spans="14:17" x14ac:dyDescent="0.3">
      <c r="N1384" s="111"/>
      <c r="O1384" s="111"/>
      <c r="P1384" s="111"/>
      <c r="Q1384" s="111"/>
    </row>
    <row r="1385" spans="14:17" x14ac:dyDescent="0.3">
      <c r="N1385" s="111"/>
      <c r="O1385" s="111"/>
      <c r="P1385" s="111"/>
      <c r="Q1385" s="111"/>
    </row>
    <row r="1386" spans="14:17" x14ac:dyDescent="0.3">
      <c r="N1386" s="111"/>
      <c r="O1386" s="111"/>
      <c r="P1386" s="111"/>
      <c r="Q1386" s="111"/>
    </row>
    <row r="1387" spans="14:17" x14ac:dyDescent="0.3">
      <c r="N1387" s="111"/>
      <c r="O1387" s="111"/>
      <c r="P1387" s="111"/>
      <c r="Q1387" s="111"/>
    </row>
    <row r="1388" spans="14:17" x14ac:dyDescent="0.3">
      <c r="N1388" s="111"/>
      <c r="O1388" s="111"/>
      <c r="P1388" s="111"/>
      <c r="Q1388" s="111"/>
    </row>
    <row r="1389" spans="14:17" x14ac:dyDescent="0.3">
      <c r="N1389" s="111"/>
      <c r="O1389" s="111"/>
      <c r="P1389" s="111"/>
      <c r="Q1389" s="111"/>
    </row>
    <row r="1390" spans="14:17" x14ac:dyDescent="0.3">
      <c r="N1390" s="111"/>
      <c r="O1390" s="111"/>
      <c r="P1390" s="111"/>
      <c r="Q1390" s="111"/>
    </row>
    <row r="1391" spans="14:17" x14ac:dyDescent="0.3">
      <c r="N1391" s="111"/>
      <c r="O1391" s="111"/>
      <c r="P1391" s="111"/>
      <c r="Q1391" s="111"/>
    </row>
    <row r="1392" spans="14:17" x14ac:dyDescent="0.3">
      <c r="N1392" s="111"/>
      <c r="O1392" s="111"/>
      <c r="P1392" s="111"/>
      <c r="Q1392" s="111"/>
    </row>
    <row r="1393" spans="14:17" x14ac:dyDescent="0.3">
      <c r="N1393" s="111"/>
      <c r="O1393" s="111"/>
      <c r="P1393" s="111"/>
      <c r="Q1393" s="111"/>
    </row>
    <row r="1394" spans="14:17" x14ac:dyDescent="0.3">
      <c r="N1394" s="111"/>
      <c r="O1394" s="111"/>
      <c r="P1394" s="111"/>
      <c r="Q1394" s="111"/>
    </row>
    <row r="1395" spans="14:17" x14ac:dyDescent="0.3">
      <c r="N1395" s="111"/>
      <c r="O1395" s="111"/>
      <c r="P1395" s="111"/>
      <c r="Q1395" s="111"/>
    </row>
    <row r="1396" spans="14:17" x14ac:dyDescent="0.3">
      <c r="N1396" s="111"/>
      <c r="O1396" s="111"/>
      <c r="P1396" s="111"/>
      <c r="Q1396" s="111"/>
    </row>
    <row r="1397" spans="14:17" x14ac:dyDescent="0.3">
      <c r="N1397" s="111"/>
      <c r="O1397" s="111"/>
      <c r="P1397" s="111"/>
      <c r="Q1397" s="111"/>
    </row>
    <row r="1398" spans="14:17" x14ac:dyDescent="0.3">
      <c r="N1398" s="111"/>
      <c r="O1398" s="111"/>
      <c r="P1398" s="111"/>
      <c r="Q1398" s="111"/>
    </row>
    <row r="1399" spans="14:17" x14ac:dyDescent="0.3">
      <c r="N1399" s="111"/>
      <c r="O1399" s="111"/>
      <c r="P1399" s="111"/>
      <c r="Q1399" s="111"/>
    </row>
    <row r="1400" spans="14:17" x14ac:dyDescent="0.3">
      <c r="N1400" s="111"/>
      <c r="O1400" s="111"/>
      <c r="P1400" s="111"/>
      <c r="Q1400" s="111"/>
    </row>
    <row r="1401" spans="14:17" x14ac:dyDescent="0.3">
      <c r="N1401" s="111"/>
      <c r="O1401" s="111"/>
      <c r="P1401" s="111"/>
      <c r="Q1401" s="111"/>
    </row>
    <row r="1402" spans="14:17" x14ac:dyDescent="0.3">
      <c r="N1402" s="111"/>
      <c r="O1402" s="111"/>
      <c r="P1402" s="111"/>
      <c r="Q1402" s="111"/>
    </row>
    <row r="1403" spans="14:17" x14ac:dyDescent="0.3">
      <c r="N1403" s="111"/>
      <c r="O1403" s="111"/>
      <c r="P1403" s="111"/>
      <c r="Q1403" s="111"/>
    </row>
    <row r="1404" spans="14:17" x14ac:dyDescent="0.3">
      <c r="N1404" s="111"/>
      <c r="O1404" s="111"/>
      <c r="P1404" s="111"/>
      <c r="Q1404" s="111"/>
    </row>
    <row r="1405" spans="14:17" x14ac:dyDescent="0.3">
      <c r="N1405" s="111"/>
      <c r="O1405" s="111"/>
      <c r="P1405" s="111"/>
      <c r="Q1405" s="111"/>
    </row>
    <row r="1406" spans="14:17" x14ac:dyDescent="0.3">
      <c r="N1406" s="111"/>
      <c r="O1406" s="111"/>
      <c r="P1406" s="111"/>
      <c r="Q1406" s="111"/>
    </row>
    <row r="1407" spans="14:17" x14ac:dyDescent="0.3">
      <c r="N1407" s="111"/>
      <c r="O1407" s="111"/>
      <c r="P1407" s="111"/>
      <c r="Q1407" s="111"/>
    </row>
    <row r="1408" spans="14:17" x14ac:dyDescent="0.3">
      <c r="N1408" s="111"/>
      <c r="O1408" s="111"/>
      <c r="P1408" s="111"/>
      <c r="Q1408" s="111"/>
    </row>
    <row r="1409" spans="14:17" x14ac:dyDescent="0.3">
      <c r="N1409" s="111"/>
      <c r="O1409" s="111"/>
      <c r="P1409" s="111"/>
      <c r="Q1409" s="111"/>
    </row>
    <row r="1410" spans="14:17" x14ac:dyDescent="0.3">
      <c r="N1410" s="111"/>
      <c r="O1410" s="111"/>
      <c r="P1410" s="111"/>
      <c r="Q1410" s="111"/>
    </row>
    <row r="1411" spans="14:17" x14ac:dyDescent="0.3">
      <c r="N1411" s="111"/>
      <c r="O1411" s="111"/>
      <c r="P1411" s="111"/>
      <c r="Q1411" s="111"/>
    </row>
    <row r="1412" spans="14:17" x14ac:dyDescent="0.3">
      <c r="N1412" s="111"/>
      <c r="O1412" s="111"/>
      <c r="P1412" s="111"/>
      <c r="Q1412" s="111"/>
    </row>
    <row r="1413" spans="14:17" x14ac:dyDescent="0.3">
      <c r="N1413" s="111"/>
      <c r="O1413" s="111"/>
      <c r="P1413" s="111"/>
      <c r="Q1413" s="111"/>
    </row>
    <row r="1414" spans="14:17" x14ac:dyDescent="0.3">
      <c r="N1414" s="111"/>
      <c r="O1414" s="111"/>
      <c r="P1414" s="111"/>
      <c r="Q1414" s="111"/>
    </row>
    <row r="1415" spans="14:17" x14ac:dyDescent="0.3">
      <c r="N1415" s="111"/>
      <c r="O1415" s="111"/>
      <c r="P1415" s="111"/>
      <c r="Q1415" s="111"/>
    </row>
    <row r="1416" spans="14:17" x14ac:dyDescent="0.3">
      <c r="N1416" s="111"/>
      <c r="O1416" s="111"/>
      <c r="P1416" s="111"/>
      <c r="Q1416" s="111"/>
    </row>
    <row r="1417" spans="14:17" x14ac:dyDescent="0.3">
      <c r="N1417" s="111"/>
      <c r="O1417" s="111"/>
      <c r="P1417" s="111"/>
      <c r="Q1417" s="111"/>
    </row>
    <row r="1418" spans="14:17" x14ac:dyDescent="0.3">
      <c r="N1418" s="111"/>
      <c r="O1418" s="111"/>
      <c r="P1418" s="111"/>
      <c r="Q1418" s="111"/>
    </row>
    <row r="1419" spans="14:17" x14ac:dyDescent="0.3">
      <c r="N1419" s="111"/>
      <c r="O1419" s="111"/>
      <c r="P1419" s="111"/>
      <c r="Q1419" s="111"/>
    </row>
    <row r="1420" spans="14:17" x14ac:dyDescent="0.3">
      <c r="N1420" s="111"/>
      <c r="O1420" s="111"/>
      <c r="P1420" s="111"/>
      <c r="Q1420" s="111"/>
    </row>
    <row r="1421" spans="14:17" x14ac:dyDescent="0.3">
      <c r="N1421" s="111"/>
      <c r="O1421" s="111"/>
      <c r="P1421" s="111"/>
      <c r="Q1421" s="111"/>
    </row>
    <row r="1422" spans="14:17" x14ac:dyDescent="0.3">
      <c r="N1422" s="111"/>
      <c r="O1422" s="111"/>
      <c r="P1422" s="111"/>
      <c r="Q1422" s="111"/>
    </row>
    <row r="1423" spans="14:17" x14ac:dyDescent="0.3">
      <c r="N1423" s="111"/>
      <c r="O1423" s="111"/>
      <c r="P1423" s="111"/>
      <c r="Q1423" s="111"/>
    </row>
    <row r="1424" spans="14:17" x14ac:dyDescent="0.3">
      <c r="N1424" s="111"/>
      <c r="O1424" s="111"/>
      <c r="P1424" s="111"/>
      <c r="Q1424" s="111"/>
    </row>
    <row r="1425" spans="14:17" x14ac:dyDescent="0.3">
      <c r="N1425" s="111"/>
      <c r="O1425" s="111"/>
      <c r="P1425" s="111"/>
      <c r="Q1425" s="111"/>
    </row>
    <row r="1426" spans="14:17" x14ac:dyDescent="0.3">
      <c r="N1426" s="111"/>
      <c r="O1426" s="111"/>
      <c r="P1426" s="111"/>
      <c r="Q1426" s="111"/>
    </row>
    <row r="1427" spans="14:17" x14ac:dyDescent="0.3">
      <c r="N1427" s="111"/>
      <c r="O1427" s="111"/>
      <c r="P1427" s="111"/>
      <c r="Q1427" s="111"/>
    </row>
    <row r="1428" spans="14:17" x14ac:dyDescent="0.3">
      <c r="N1428" s="111"/>
      <c r="O1428" s="111"/>
      <c r="P1428" s="111"/>
      <c r="Q1428" s="111"/>
    </row>
    <row r="1429" spans="14:17" x14ac:dyDescent="0.3">
      <c r="N1429" s="111"/>
      <c r="O1429" s="111"/>
      <c r="P1429" s="111"/>
      <c r="Q1429" s="111"/>
    </row>
    <row r="1430" spans="14:17" x14ac:dyDescent="0.3">
      <c r="N1430" s="111"/>
      <c r="O1430" s="111"/>
      <c r="P1430" s="111"/>
      <c r="Q1430" s="111"/>
    </row>
    <row r="1431" spans="14:17" x14ac:dyDescent="0.3">
      <c r="N1431" s="111"/>
      <c r="O1431" s="111"/>
      <c r="P1431" s="111"/>
      <c r="Q1431" s="111"/>
    </row>
    <row r="1432" spans="14:17" x14ac:dyDescent="0.3">
      <c r="N1432" s="111"/>
      <c r="O1432" s="111"/>
      <c r="P1432" s="111"/>
      <c r="Q1432" s="111"/>
    </row>
    <row r="1433" spans="14:17" x14ac:dyDescent="0.3">
      <c r="N1433" s="111"/>
      <c r="O1433" s="111"/>
      <c r="P1433" s="111"/>
      <c r="Q1433" s="111"/>
    </row>
    <row r="1434" spans="14:17" x14ac:dyDescent="0.3">
      <c r="N1434" s="111"/>
      <c r="O1434" s="111"/>
      <c r="P1434" s="111"/>
      <c r="Q1434" s="111"/>
    </row>
    <row r="1435" spans="14:17" x14ac:dyDescent="0.3">
      <c r="N1435" s="111"/>
      <c r="O1435" s="111"/>
      <c r="P1435" s="111"/>
      <c r="Q1435" s="111"/>
    </row>
    <row r="1436" spans="14:17" x14ac:dyDescent="0.3">
      <c r="N1436" s="111"/>
      <c r="O1436" s="111"/>
      <c r="P1436" s="111"/>
      <c r="Q1436" s="111"/>
    </row>
    <row r="1437" spans="14:17" x14ac:dyDescent="0.3">
      <c r="N1437" s="111"/>
      <c r="O1437" s="111"/>
      <c r="P1437" s="111"/>
      <c r="Q1437" s="111"/>
    </row>
    <row r="1438" spans="14:17" x14ac:dyDescent="0.3">
      <c r="N1438" s="111"/>
      <c r="O1438" s="111"/>
      <c r="P1438" s="111"/>
      <c r="Q1438" s="111"/>
    </row>
    <row r="1439" spans="14:17" x14ac:dyDescent="0.3">
      <c r="N1439" s="111"/>
      <c r="O1439" s="111"/>
      <c r="P1439" s="111"/>
      <c r="Q1439" s="111"/>
    </row>
    <row r="1440" spans="14:17" x14ac:dyDescent="0.3">
      <c r="N1440" s="111"/>
      <c r="O1440" s="111"/>
      <c r="P1440" s="111"/>
      <c r="Q1440" s="111"/>
    </row>
    <row r="1441" spans="14:17" x14ac:dyDescent="0.3">
      <c r="N1441" s="111"/>
      <c r="O1441" s="111"/>
      <c r="P1441" s="111"/>
      <c r="Q1441" s="111"/>
    </row>
    <row r="1442" spans="14:17" x14ac:dyDescent="0.3">
      <c r="N1442" s="111"/>
      <c r="O1442" s="111"/>
      <c r="P1442" s="111"/>
      <c r="Q1442" s="111"/>
    </row>
    <row r="1443" spans="14:17" x14ac:dyDescent="0.3">
      <c r="N1443" s="111"/>
      <c r="O1443" s="111"/>
      <c r="P1443" s="111"/>
      <c r="Q1443" s="111"/>
    </row>
    <row r="1444" spans="14:17" x14ac:dyDescent="0.3">
      <c r="N1444" s="111"/>
      <c r="O1444" s="111"/>
      <c r="P1444" s="111"/>
      <c r="Q1444" s="111"/>
    </row>
    <row r="1445" spans="14:17" x14ac:dyDescent="0.3">
      <c r="N1445" s="111"/>
      <c r="O1445" s="111"/>
      <c r="P1445" s="111"/>
      <c r="Q1445" s="111"/>
    </row>
    <row r="1446" spans="14:17" x14ac:dyDescent="0.3">
      <c r="N1446" s="111"/>
      <c r="O1446" s="111"/>
      <c r="P1446" s="111"/>
      <c r="Q1446" s="111"/>
    </row>
    <row r="1447" spans="14:17" x14ac:dyDescent="0.3">
      <c r="N1447" s="111"/>
      <c r="O1447" s="111"/>
      <c r="P1447" s="111"/>
      <c r="Q1447" s="111"/>
    </row>
    <row r="1448" spans="14:17" x14ac:dyDescent="0.3">
      <c r="N1448" s="111"/>
      <c r="O1448" s="111"/>
      <c r="P1448" s="111"/>
      <c r="Q1448" s="111"/>
    </row>
    <row r="1449" spans="14:17" x14ac:dyDescent="0.3">
      <c r="N1449" s="111"/>
      <c r="O1449" s="111"/>
      <c r="P1449" s="111"/>
      <c r="Q1449" s="111"/>
    </row>
    <row r="1450" spans="14:17" x14ac:dyDescent="0.3">
      <c r="N1450" s="111"/>
      <c r="O1450" s="111"/>
      <c r="P1450" s="111"/>
      <c r="Q1450" s="111"/>
    </row>
    <row r="1451" spans="14:17" x14ac:dyDescent="0.3">
      <c r="N1451" s="111"/>
      <c r="O1451" s="111"/>
      <c r="P1451" s="111"/>
      <c r="Q1451" s="111"/>
    </row>
    <row r="1452" spans="14:17" x14ac:dyDescent="0.3">
      <c r="N1452" s="111"/>
      <c r="O1452" s="111"/>
      <c r="P1452" s="111"/>
      <c r="Q1452" s="111"/>
    </row>
    <row r="1453" spans="14:17" x14ac:dyDescent="0.3">
      <c r="N1453" s="111"/>
      <c r="O1453" s="111"/>
      <c r="P1453" s="111"/>
      <c r="Q1453" s="111"/>
    </row>
    <row r="1454" spans="14:17" x14ac:dyDescent="0.3">
      <c r="N1454" s="111"/>
      <c r="O1454" s="111"/>
      <c r="P1454" s="111"/>
      <c r="Q1454" s="111"/>
    </row>
    <row r="1455" spans="14:17" x14ac:dyDescent="0.3">
      <c r="N1455" s="111"/>
      <c r="O1455" s="111"/>
      <c r="P1455" s="111"/>
      <c r="Q1455" s="111"/>
    </row>
    <row r="1456" spans="14:17" x14ac:dyDescent="0.3">
      <c r="N1456" s="111"/>
      <c r="O1456" s="111"/>
      <c r="P1456" s="111"/>
      <c r="Q1456" s="111"/>
    </row>
    <row r="1457" spans="14:17" x14ac:dyDescent="0.3">
      <c r="N1457" s="111"/>
      <c r="O1457" s="111"/>
      <c r="P1457" s="111"/>
      <c r="Q1457" s="111"/>
    </row>
    <row r="1458" spans="14:17" x14ac:dyDescent="0.3">
      <c r="N1458" s="111"/>
      <c r="O1458" s="111"/>
      <c r="P1458" s="111"/>
      <c r="Q1458" s="111"/>
    </row>
    <row r="1459" spans="14:17" x14ac:dyDescent="0.3">
      <c r="N1459" s="111"/>
      <c r="O1459" s="111"/>
      <c r="P1459" s="111"/>
      <c r="Q1459" s="111"/>
    </row>
    <row r="1460" spans="14:17" x14ac:dyDescent="0.3">
      <c r="N1460" s="111"/>
      <c r="O1460" s="111"/>
      <c r="P1460" s="111"/>
      <c r="Q1460" s="111"/>
    </row>
    <row r="1461" spans="14:17" x14ac:dyDescent="0.3">
      <c r="N1461" s="111"/>
      <c r="O1461" s="111"/>
      <c r="P1461" s="111"/>
      <c r="Q1461" s="111"/>
    </row>
    <row r="1462" spans="14:17" x14ac:dyDescent="0.3">
      <c r="N1462" s="111"/>
      <c r="O1462" s="111"/>
      <c r="P1462" s="111"/>
      <c r="Q1462" s="111"/>
    </row>
    <row r="1463" spans="14:17" x14ac:dyDescent="0.3">
      <c r="N1463" s="111"/>
      <c r="O1463" s="111"/>
      <c r="P1463" s="111"/>
      <c r="Q1463" s="111"/>
    </row>
    <row r="1464" spans="14:17" x14ac:dyDescent="0.3">
      <c r="N1464" s="111"/>
      <c r="O1464" s="111"/>
      <c r="P1464" s="111"/>
      <c r="Q1464" s="111"/>
    </row>
    <row r="1465" spans="14:17" x14ac:dyDescent="0.3">
      <c r="N1465" s="111"/>
      <c r="O1465" s="111"/>
      <c r="P1465" s="111"/>
      <c r="Q1465" s="111"/>
    </row>
    <row r="1466" spans="14:17" x14ac:dyDescent="0.3">
      <c r="N1466" s="111"/>
      <c r="O1466" s="111"/>
      <c r="P1466" s="111"/>
      <c r="Q1466" s="111"/>
    </row>
    <row r="1467" spans="14:17" x14ac:dyDescent="0.3">
      <c r="N1467" s="111"/>
      <c r="O1467" s="111"/>
      <c r="P1467" s="111"/>
      <c r="Q1467" s="111"/>
    </row>
    <row r="1468" spans="14:17" x14ac:dyDescent="0.3">
      <c r="N1468" s="111"/>
      <c r="O1468" s="111"/>
      <c r="P1468" s="111"/>
      <c r="Q1468" s="111"/>
    </row>
    <row r="1469" spans="14:17" x14ac:dyDescent="0.3">
      <c r="N1469" s="111"/>
      <c r="O1469" s="111"/>
      <c r="P1469" s="111"/>
      <c r="Q1469" s="111"/>
    </row>
    <row r="1470" spans="14:17" x14ac:dyDescent="0.3">
      <c r="N1470" s="111"/>
      <c r="O1470" s="111"/>
      <c r="P1470" s="111"/>
      <c r="Q1470" s="111"/>
    </row>
    <row r="1471" spans="14:17" x14ac:dyDescent="0.3">
      <c r="N1471" s="111"/>
      <c r="O1471" s="111"/>
      <c r="P1471" s="111"/>
      <c r="Q1471" s="111"/>
    </row>
    <row r="1472" spans="14:17" x14ac:dyDescent="0.3">
      <c r="N1472" s="111"/>
      <c r="O1472" s="111"/>
      <c r="P1472" s="111"/>
      <c r="Q1472" s="111"/>
    </row>
    <row r="1473" spans="14:17" x14ac:dyDescent="0.3">
      <c r="N1473" s="111"/>
      <c r="O1473" s="111"/>
      <c r="P1473" s="111"/>
      <c r="Q1473" s="111"/>
    </row>
    <row r="1474" spans="14:17" x14ac:dyDescent="0.3">
      <c r="N1474" s="111"/>
      <c r="O1474" s="111"/>
      <c r="P1474" s="111"/>
      <c r="Q1474" s="111"/>
    </row>
    <row r="1475" spans="14:17" x14ac:dyDescent="0.3">
      <c r="N1475" s="111"/>
      <c r="O1475" s="111"/>
      <c r="P1475" s="111"/>
      <c r="Q1475" s="111"/>
    </row>
    <row r="1476" spans="14:17" x14ac:dyDescent="0.3">
      <c r="N1476" s="111"/>
      <c r="O1476" s="111"/>
      <c r="P1476" s="111"/>
      <c r="Q1476" s="111"/>
    </row>
    <row r="1477" spans="14:17" x14ac:dyDescent="0.3">
      <c r="N1477" s="111"/>
      <c r="O1477" s="111"/>
      <c r="P1477" s="111"/>
      <c r="Q1477" s="111"/>
    </row>
    <row r="1478" spans="14:17" x14ac:dyDescent="0.3">
      <c r="N1478" s="111"/>
      <c r="O1478" s="111"/>
      <c r="P1478" s="111"/>
      <c r="Q1478" s="111"/>
    </row>
    <row r="1479" spans="14:17" x14ac:dyDescent="0.3">
      <c r="N1479" s="111"/>
      <c r="O1479" s="111"/>
      <c r="P1479" s="111"/>
      <c r="Q1479" s="111"/>
    </row>
    <row r="1480" spans="14:17" x14ac:dyDescent="0.3">
      <c r="N1480" s="111"/>
      <c r="O1480" s="111"/>
      <c r="P1480" s="111"/>
      <c r="Q1480" s="111"/>
    </row>
    <row r="1481" spans="14:17" x14ac:dyDescent="0.3">
      <c r="N1481" s="111"/>
      <c r="O1481" s="111"/>
      <c r="P1481" s="111"/>
      <c r="Q1481" s="111"/>
    </row>
    <row r="1482" spans="14:17" x14ac:dyDescent="0.3">
      <c r="N1482" s="111"/>
      <c r="O1482" s="111"/>
      <c r="P1482" s="111"/>
      <c r="Q1482" s="111"/>
    </row>
    <row r="1483" spans="14:17" x14ac:dyDescent="0.3">
      <c r="N1483" s="111"/>
      <c r="O1483" s="111"/>
      <c r="P1483" s="111"/>
      <c r="Q1483" s="111"/>
    </row>
    <row r="1484" spans="14:17" x14ac:dyDescent="0.3">
      <c r="N1484" s="111"/>
      <c r="O1484" s="111"/>
      <c r="P1484" s="111"/>
      <c r="Q1484" s="111"/>
    </row>
    <row r="1485" spans="14:17" x14ac:dyDescent="0.3">
      <c r="N1485" s="111"/>
      <c r="O1485" s="111"/>
      <c r="P1485" s="111"/>
      <c r="Q1485" s="111"/>
    </row>
    <row r="1486" spans="14:17" x14ac:dyDescent="0.3">
      <c r="N1486" s="111"/>
      <c r="O1486" s="111"/>
      <c r="P1486" s="111"/>
      <c r="Q1486" s="111"/>
    </row>
    <row r="1487" spans="14:17" x14ac:dyDescent="0.3">
      <c r="N1487" s="111"/>
      <c r="O1487" s="111"/>
      <c r="P1487" s="111"/>
      <c r="Q1487" s="111"/>
    </row>
    <row r="1488" spans="14:17" x14ac:dyDescent="0.3">
      <c r="N1488" s="111"/>
      <c r="O1488" s="111"/>
      <c r="P1488" s="111"/>
      <c r="Q1488" s="111"/>
    </row>
    <row r="1489" spans="14:17" x14ac:dyDescent="0.3">
      <c r="N1489" s="111"/>
      <c r="O1489" s="111"/>
      <c r="P1489" s="111"/>
      <c r="Q1489" s="111"/>
    </row>
    <row r="1490" spans="14:17" x14ac:dyDescent="0.3">
      <c r="N1490" s="111"/>
      <c r="O1490" s="111"/>
      <c r="P1490" s="111"/>
      <c r="Q1490" s="111"/>
    </row>
    <row r="1491" spans="14:17" x14ac:dyDescent="0.3">
      <c r="N1491" s="111"/>
      <c r="O1491" s="111"/>
      <c r="P1491" s="111"/>
      <c r="Q1491" s="111"/>
    </row>
    <row r="1492" spans="14:17" x14ac:dyDescent="0.3">
      <c r="N1492" s="111"/>
      <c r="O1492" s="111"/>
      <c r="P1492" s="111"/>
      <c r="Q1492" s="111"/>
    </row>
    <row r="1493" spans="14:17" x14ac:dyDescent="0.3">
      <c r="N1493" s="111"/>
      <c r="O1493" s="111"/>
      <c r="P1493" s="111"/>
      <c r="Q1493" s="111"/>
    </row>
    <row r="1494" spans="14:17" x14ac:dyDescent="0.3">
      <c r="N1494" s="111"/>
      <c r="O1494" s="111"/>
      <c r="P1494" s="111"/>
      <c r="Q1494" s="111"/>
    </row>
    <row r="1495" spans="14:17" x14ac:dyDescent="0.3">
      <c r="N1495" s="111"/>
      <c r="O1495" s="111"/>
      <c r="P1495" s="111"/>
      <c r="Q1495" s="111"/>
    </row>
    <row r="1496" spans="14:17" x14ac:dyDescent="0.3">
      <c r="N1496" s="111"/>
      <c r="O1496" s="111"/>
      <c r="P1496" s="111"/>
      <c r="Q1496" s="111"/>
    </row>
    <row r="1497" spans="14:17" x14ac:dyDescent="0.3">
      <c r="N1497" s="111"/>
      <c r="O1497" s="111"/>
      <c r="P1497" s="111"/>
      <c r="Q1497" s="111"/>
    </row>
    <row r="1498" spans="14:17" x14ac:dyDescent="0.3">
      <c r="N1498" s="111"/>
      <c r="O1498" s="111"/>
      <c r="P1498" s="111"/>
      <c r="Q1498" s="111"/>
    </row>
    <row r="1499" spans="14:17" x14ac:dyDescent="0.3">
      <c r="N1499" s="111"/>
      <c r="O1499" s="111"/>
      <c r="P1499" s="111"/>
      <c r="Q1499" s="111"/>
    </row>
    <row r="1500" spans="14:17" x14ac:dyDescent="0.3">
      <c r="N1500" s="111"/>
      <c r="O1500" s="111"/>
      <c r="P1500" s="111"/>
      <c r="Q1500" s="111"/>
    </row>
    <row r="1501" spans="14:17" x14ac:dyDescent="0.3">
      <c r="N1501" s="111"/>
      <c r="O1501" s="111"/>
      <c r="P1501" s="111"/>
      <c r="Q1501" s="111"/>
    </row>
    <row r="1502" spans="14:17" x14ac:dyDescent="0.3">
      <c r="N1502" s="111"/>
      <c r="O1502" s="111"/>
      <c r="P1502" s="111"/>
      <c r="Q1502" s="111"/>
    </row>
    <row r="1503" spans="14:17" x14ac:dyDescent="0.3">
      <c r="N1503" s="111"/>
      <c r="O1503" s="111"/>
      <c r="P1503" s="111"/>
      <c r="Q1503" s="111"/>
    </row>
    <row r="1504" spans="14:17" x14ac:dyDescent="0.3">
      <c r="N1504" s="111"/>
      <c r="O1504" s="111"/>
      <c r="P1504" s="111"/>
      <c r="Q1504" s="111"/>
    </row>
    <row r="1505" spans="14:17" x14ac:dyDescent="0.3">
      <c r="N1505" s="111"/>
      <c r="O1505" s="111"/>
      <c r="P1505" s="111"/>
      <c r="Q1505" s="111"/>
    </row>
    <row r="1506" spans="14:17" x14ac:dyDescent="0.3">
      <c r="N1506" s="111"/>
      <c r="O1506" s="111"/>
      <c r="P1506" s="111"/>
      <c r="Q1506" s="111"/>
    </row>
    <row r="1507" spans="14:17" x14ac:dyDescent="0.3">
      <c r="N1507" s="111"/>
      <c r="O1507" s="111"/>
      <c r="P1507" s="111"/>
      <c r="Q1507" s="111"/>
    </row>
    <row r="1508" spans="14:17" x14ac:dyDescent="0.3">
      <c r="N1508" s="111"/>
      <c r="O1508" s="111"/>
      <c r="P1508" s="111"/>
      <c r="Q1508" s="111"/>
    </row>
    <row r="1509" spans="14:17" x14ac:dyDescent="0.3">
      <c r="N1509" s="111"/>
      <c r="O1509" s="111"/>
      <c r="P1509" s="111"/>
      <c r="Q1509" s="111"/>
    </row>
    <row r="1510" spans="14:17" x14ac:dyDescent="0.3">
      <c r="N1510" s="111"/>
      <c r="O1510" s="111"/>
      <c r="P1510" s="111"/>
      <c r="Q1510" s="111"/>
    </row>
    <row r="1511" spans="14:17" x14ac:dyDescent="0.3">
      <c r="N1511" s="111"/>
      <c r="O1511" s="111"/>
      <c r="P1511" s="111"/>
      <c r="Q1511" s="111"/>
    </row>
    <row r="1512" spans="14:17" x14ac:dyDescent="0.3">
      <c r="N1512" s="111"/>
      <c r="O1512" s="111"/>
      <c r="P1512" s="111"/>
      <c r="Q1512" s="111"/>
    </row>
    <row r="1513" spans="14:17" x14ac:dyDescent="0.3">
      <c r="N1513" s="111"/>
      <c r="O1513" s="111"/>
      <c r="P1513" s="111"/>
      <c r="Q1513" s="111"/>
    </row>
    <row r="1514" spans="14:17" x14ac:dyDescent="0.3">
      <c r="N1514" s="111"/>
      <c r="O1514" s="111"/>
      <c r="P1514" s="111"/>
      <c r="Q1514" s="111"/>
    </row>
    <row r="1515" spans="14:17" x14ac:dyDescent="0.3">
      <c r="N1515" s="111"/>
      <c r="O1515" s="111"/>
      <c r="P1515" s="111"/>
      <c r="Q1515" s="111"/>
    </row>
    <row r="1516" spans="14:17" x14ac:dyDescent="0.3">
      <c r="N1516" s="111"/>
      <c r="O1516" s="111"/>
      <c r="P1516" s="111"/>
      <c r="Q1516" s="111"/>
    </row>
    <row r="1517" spans="14:17" x14ac:dyDescent="0.3">
      <c r="N1517" s="111"/>
      <c r="O1517" s="111"/>
      <c r="P1517" s="111"/>
      <c r="Q1517" s="111"/>
    </row>
    <row r="1518" spans="14:17" x14ac:dyDescent="0.3">
      <c r="N1518" s="111"/>
      <c r="O1518" s="111"/>
      <c r="P1518" s="111"/>
      <c r="Q1518" s="111"/>
    </row>
    <row r="1519" spans="14:17" x14ac:dyDescent="0.3">
      <c r="N1519" s="111"/>
      <c r="O1519" s="111"/>
      <c r="P1519" s="111"/>
      <c r="Q1519" s="111"/>
    </row>
    <row r="1520" spans="14:17" x14ac:dyDescent="0.3">
      <c r="N1520" s="111"/>
      <c r="O1520" s="111"/>
      <c r="P1520" s="111"/>
      <c r="Q1520" s="111"/>
    </row>
    <row r="1521" spans="14:17" x14ac:dyDescent="0.3">
      <c r="N1521" s="111"/>
      <c r="O1521" s="111"/>
      <c r="P1521" s="111"/>
      <c r="Q1521" s="111"/>
    </row>
    <row r="1522" spans="14:17" x14ac:dyDescent="0.3">
      <c r="N1522" s="111"/>
      <c r="O1522" s="111"/>
      <c r="P1522" s="111"/>
      <c r="Q1522" s="111"/>
    </row>
    <row r="1523" spans="14:17" x14ac:dyDescent="0.3">
      <c r="N1523" s="111"/>
      <c r="O1523" s="111"/>
      <c r="P1523" s="111"/>
      <c r="Q1523" s="111"/>
    </row>
    <row r="1524" spans="14:17" x14ac:dyDescent="0.3">
      <c r="N1524" s="111"/>
      <c r="O1524" s="111"/>
      <c r="P1524" s="111"/>
      <c r="Q1524" s="111"/>
    </row>
    <row r="1525" spans="14:17" x14ac:dyDescent="0.3">
      <c r="N1525" s="111"/>
      <c r="O1525" s="111"/>
      <c r="P1525" s="111"/>
      <c r="Q1525" s="111"/>
    </row>
    <row r="1526" spans="14:17" x14ac:dyDescent="0.3">
      <c r="N1526" s="111"/>
      <c r="O1526" s="111"/>
      <c r="P1526" s="111"/>
      <c r="Q1526" s="111"/>
    </row>
    <row r="1527" spans="14:17" x14ac:dyDescent="0.3">
      <c r="N1527" s="111"/>
      <c r="O1527" s="111"/>
      <c r="P1527" s="111"/>
      <c r="Q1527" s="111"/>
    </row>
    <row r="1528" spans="14:17" x14ac:dyDescent="0.3">
      <c r="N1528" s="111"/>
      <c r="O1528" s="111"/>
      <c r="P1528" s="111"/>
      <c r="Q1528" s="111"/>
    </row>
    <row r="1529" spans="14:17" x14ac:dyDescent="0.3">
      <c r="N1529" s="111"/>
      <c r="O1529" s="111"/>
      <c r="P1529" s="111"/>
      <c r="Q1529" s="111"/>
    </row>
    <row r="1530" spans="14:17" x14ac:dyDescent="0.3">
      <c r="N1530" s="111"/>
      <c r="O1530" s="111"/>
      <c r="P1530" s="111"/>
      <c r="Q1530" s="111"/>
    </row>
    <row r="1531" spans="14:17" x14ac:dyDescent="0.3">
      <c r="N1531" s="111"/>
      <c r="O1531" s="111"/>
      <c r="P1531" s="111"/>
      <c r="Q1531" s="111"/>
    </row>
    <row r="1532" spans="14:17" x14ac:dyDescent="0.3">
      <c r="N1532" s="111"/>
      <c r="O1532" s="111"/>
      <c r="P1532" s="111"/>
      <c r="Q1532" s="111"/>
    </row>
    <row r="1533" spans="14:17" x14ac:dyDescent="0.3">
      <c r="N1533" s="111"/>
      <c r="O1533" s="111"/>
      <c r="P1533" s="111"/>
      <c r="Q1533" s="111"/>
    </row>
    <row r="1534" spans="14:17" x14ac:dyDescent="0.3">
      <c r="N1534" s="111"/>
      <c r="O1534" s="111"/>
      <c r="P1534" s="111"/>
      <c r="Q1534" s="111"/>
    </row>
    <row r="1535" spans="14:17" x14ac:dyDescent="0.3">
      <c r="N1535" s="111"/>
      <c r="O1535" s="111"/>
      <c r="P1535" s="111"/>
      <c r="Q1535" s="111"/>
    </row>
    <row r="1536" spans="14:17" x14ac:dyDescent="0.3">
      <c r="N1536" s="111"/>
      <c r="O1536" s="111"/>
      <c r="P1536" s="111"/>
      <c r="Q1536" s="111"/>
    </row>
    <row r="1537" spans="14:17" x14ac:dyDescent="0.3">
      <c r="N1537" s="111"/>
      <c r="O1537" s="111"/>
      <c r="P1537" s="111"/>
      <c r="Q1537" s="111"/>
    </row>
    <row r="1538" spans="14:17" x14ac:dyDescent="0.3">
      <c r="N1538" s="111"/>
      <c r="O1538" s="111"/>
      <c r="P1538" s="111"/>
      <c r="Q1538" s="111"/>
    </row>
    <row r="1539" spans="14:17" x14ac:dyDescent="0.3">
      <c r="N1539" s="111"/>
      <c r="O1539" s="111"/>
      <c r="P1539" s="111"/>
      <c r="Q1539" s="111"/>
    </row>
    <row r="1540" spans="14:17" x14ac:dyDescent="0.3">
      <c r="N1540" s="111"/>
      <c r="O1540" s="111"/>
      <c r="P1540" s="111"/>
      <c r="Q1540" s="111"/>
    </row>
    <row r="1541" spans="14:17" x14ac:dyDescent="0.3">
      <c r="N1541" s="111"/>
      <c r="O1541" s="111"/>
      <c r="P1541" s="111"/>
      <c r="Q1541" s="111"/>
    </row>
    <row r="1542" spans="14:17" x14ac:dyDescent="0.3">
      <c r="N1542" s="111"/>
      <c r="O1542" s="111"/>
      <c r="P1542" s="111"/>
      <c r="Q1542" s="111"/>
    </row>
    <row r="1543" spans="14:17" x14ac:dyDescent="0.3">
      <c r="N1543" s="111"/>
      <c r="O1543" s="111"/>
      <c r="P1543" s="111"/>
      <c r="Q1543" s="111"/>
    </row>
    <row r="1544" spans="14:17" x14ac:dyDescent="0.3">
      <c r="N1544" s="111"/>
      <c r="O1544" s="111"/>
      <c r="P1544" s="111"/>
      <c r="Q1544" s="111"/>
    </row>
    <row r="1545" spans="14:17" x14ac:dyDescent="0.3">
      <c r="N1545" s="111"/>
      <c r="O1545" s="111"/>
      <c r="P1545" s="111"/>
      <c r="Q1545" s="111"/>
    </row>
    <row r="1546" spans="14:17" x14ac:dyDescent="0.3">
      <c r="N1546" s="111"/>
      <c r="O1546" s="111"/>
      <c r="P1546" s="111"/>
      <c r="Q1546" s="111"/>
    </row>
    <row r="1547" spans="14:17" x14ac:dyDescent="0.3">
      <c r="N1547" s="111"/>
      <c r="O1547" s="111"/>
      <c r="P1547" s="111"/>
      <c r="Q1547" s="111"/>
    </row>
    <row r="1548" spans="14:17" x14ac:dyDescent="0.3">
      <c r="N1548" s="111"/>
      <c r="O1548" s="111"/>
      <c r="P1548" s="111"/>
      <c r="Q1548" s="111"/>
    </row>
    <row r="1549" spans="14:17" x14ac:dyDescent="0.3">
      <c r="N1549" s="111"/>
      <c r="O1549" s="111"/>
      <c r="P1549" s="111"/>
      <c r="Q1549" s="111"/>
    </row>
    <row r="1550" spans="14:17" x14ac:dyDescent="0.3">
      <c r="N1550" s="111"/>
      <c r="O1550" s="111"/>
      <c r="P1550" s="111"/>
      <c r="Q1550" s="111"/>
    </row>
    <row r="1551" spans="14:17" x14ac:dyDescent="0.3">
      <c r="N1551" s="111"/>
      <c r="O1551" s="111"/>
      <c r="P1551" s="111"/>
      <c r="Q1551" s="111"/>
    </row>
    <row r="1552" spans="14:17" x14ac:dyDescent="0.3">
      <c r="N1552" s="111"/>
      <c r="O1552" s="111"/>
      <c r="P1552" s="111"/>
      <c r="Q1552" s="111"/>
    </row>
    <row r="1553" spans="14:17" x14ac:dyDescent="0.3">
      <c r="N1553" s="111"/>
      <c r="O1553" s="111"/>
      <c r="P1553" s="111"/>
      <c r="Q1553" s="111"/>
    </row>
    <row r="1554" spans="14:17" x14ac:dyDescent="0.3">
      <c r="N1554" s="111"/>
      <c r="O1554" s="111"/>
      <c r="P1554" s="111"/>
      <c r="Q1554" s="111"/>
    </row>
    <row r="1555" spans="14:17" x14ac:dyDescent="0.3">
      <c r="N1555" s="111"/>
      <c r="O1555" s="111"/>
      <c r="P1555" s="111"/>
      <c r="Q1555" s="111"/>
    </row>
    <row r="1556" spans="14:17" x14ac:dyDescent="0.3">
      <c r="N1556" s="111"/>
      <c r="O1556" s="111"/>
      <c r="P1556" s="111"/>
      <c r="Q1556" s="111"/>
    </row>
    <row r="1557" spans="14:17" x14ac:dyDescent="0.3">
      <c r="N1557" s="111"/>
      <c r="O1557" s="111"/>
      <c r="P1557" s="111"/>
      <c r="Q1557" s="111"/>
    </row>
    <row r="1558" spans="14:17" x14ac:dyDescent="0.3">
      <c r="N1558" s="111"/>
      <c r="O1558" s="111"/>
      <c r="P1558" s="111"/>
      <c r="Q1558" s="111"/>
    </row>
    <row r="1559" spans="14:17" x14ac:dyDescent="0.3">
      <c r="N1559" s="111"/>
      <c r="O1559" s="111"/>
      <c r="P1559" s="111"/>
      <c r="Q1559" s="111"/>
    </row>
    <row r="1560" spans="14:17" x14ac:dyDescent="0.3">
      <c r="N1560" s="111"/>
      <c r="O1560" s="111"/>
      <c r="P1560" s="111"/>
      <c r="Q1560" s="111"/>
    </row>
    <row r="1561" spans="14:17" x14ac:dyDescent="0.3">
      <c r="N1561" s="111"/>
      <c r="O1561" s="111"/>
      <c r="P1561" s="111"/>
      <c r="Q1561" s="111"/>
    </row>
    <row r="1562" spans="14:17" x14ac:dyDescent="0.3">
      <c r="N1562" s="111"/>
      <c r="O1562" s="111"/>
      <c r="P1562" s="111"/>
      <c r="Q1562" s="111"/>
    </row>
    <row r="1563" spans="14:17" x14ac:dyDescent="0.3">
      <c r="N1563" s="111"/>
      <c r="O1563" s="111"/>
      <c r="P1563" s="111"/>
      <c r="Q1563" s="111"/>
    </row>
    <row r="1564" spans="14:17" x14ac:dyDescent="0.3">
      <c r="N1564" s="111"/>
      <c r="O1564" s="111"/>
      <c r="P1564" s="111"/>
      <c r="Q1564" s="111"/>
    </row>
    <row r="1565" spans="14:17" x14ac:dyDescent="0.3">
      <c r="N1565" s="111"/>
      <c r="O1565" s="111"/>
      <c r="P1565" s="111"/>
      <c r="Q1565" s="111"/>
    </row>
    <row r="1566" spans="14:17" x14ac:dyDescent="0.3">
      <c r="N1566" s="111"/>
      <c r="O1566" s="111"/>
      <c r="P1566" s="111"/>
      <c r="Q1566" s="111"/>
    </row>
    <row r="1567" spans="14:17" x14ac:dyDescent="0.3">
      <c r="N1567" s="111"/>
      <c r="O1567" s="111"/>
      <c r="P1567" s="111"/>
      <c r="Q1567" s="111"/>
    </row>
    <row r="1568" spans="14:17" x14ac:dyDescent="0.3">
      <c r="N1568" s="111"/>
      <c r="O1568" s="111"/>
      <c r="P1568" s="111"/>
      <c r="Q1568" s="111"/>
    </row>
    <row r="1569" spans="14:17" x14ac:dyDescent="0.3">
      <c r="N1569" s="111"/>
      <c r="O1569" s="111"/>
      <c r="P1569" s="111"/>
      <c r="Q1569" s="111"/>
    </row>
    <row r="1570" spans="14:17" x14ac:dyDescent="0.3">
      <c r="N1570" s="111"/>
      <c r="O1570" s="111"/>
      <c r="P1570" s="111"/>
      <c r="Q1570" s="111"/>
    </row>
    <row r="1571" spans="14:17" x14ac:dyDescent="0.3">
      <c r="N1571" s="111"/>
      <c r="O1571" s="111"/>
      <c r="P1571" s="111"/>
      <c r="Q1571" s="111"/>
    </row>
    <row r="1572" spans="14:17" x14ac:dyDescent="0.3">
      <c r="N1572" s="111"/>
      <c r="O1572" s="111"/>
      <c r="P1572" s="111"/>
      <c r="Q1572" s="111"/>
    </row>
    <row r="1573" spans="14:17" x14ac:dyDescent="0.3">
      <c r="N1573" s="111"/>
      <c r="O1573" s="111"/>
      <c r="P1573" s="111"/>
      <c r="Q1573" s="111"/>
    </row>
    <row r="1574" spans="14:17" x14ac:dyDescent="0.3">
      <c r="N1574" s="111"/>
      <c r="O1574" s="111"/>
      <c r="P1574" s="111"/>
      <c r="Q1574" s="111"/>
    </row>
    <row r="1575" spans="14:17" x14ac:dyDescent="0.3">
      <c r="N1575" s="111"/>
      <c r="O1575" s="111"/>
      <c r="P1575" s="111"/>
      <c r="Q1575" s="111"/>
    </row>
    <row r="1576" spans="14:17" x14ac:dyDescent="0.3">
      <c r="N1576" s="111"/>
      <c r="O1576" s="111"/>
      <c r="P1576" s="111"/>
      <c r="Q1576" s="111"/>
    </row>
    <row r="1577" spans="14:17" x14ac:dyDescent="0.3">
      <c r="N1577" s="111"/>
      <c r="O1577" s="111"/>
      <c r="P1577" s="111"/>
      <c r="Q1577" s="111"/>
    </row>
    <row r="1578" spans="14:17" x14ac:dyDescent="0.3">
      <c r="N1578" s="111"/>
      <c r="O1578" s="111"/>
      <c r="P1578" s="111"/>
      <c r="Q1578" s="111"/>
    </row>
    <row r="1579" spans="14:17" x14ac:dyDescent="0.3">
      <c r="N1579" s="111"/>
      <c r="O1579" s="111"/>
      <c r="P1579" s="111"/>
      <c r="Q1579" s="111"/>
    </row>
    <row r="1580" spans="14:17" x14ac:dyDescent="0.3">
      <c r="N1580" s="111"/>
      <c r="O1580" s="111"/>
      <c r="P1580" s="111"/>
      <c r="Q1580" s="111"/>
    </row>
    <row r="1581" spans="14:17" x14ac:dyDescent="0.3">
      <c r="N1581" s="111"/>
      <c r="O1581" s="111"/>
      <c r="P1581" s="111"/>
      <c r="Q1581" s="111"/>
    </row>
    <row r="1582" spans="14:17" x14ac:dyDescent="0.3">
      <c r="N1582" s="111"/>
      <c r="O1582" s="111"/>
      <c r="P1582" s="111"/>
      <c r="Q1582" s="111"/>
    </row>
    <row r="1583" spans="14:17" x14ac:dyDescent="0.3">
      <c r="N1583" s="111"/>
      <c r="O1583" s="111"/>
      <c r="P1583" s="111"/>
      <c r="Q1583" s="111"/>
    </row>
    <row r="1584" spans="14:17" x14ac:dyDescent="0.3">
      <c r="N1584" s="111"/>
      <c r="O1584" s="111"/>
      <c r="P1584" s="111"/>
      <c r="Q1584" s="111"/>
    </row>
    <row r="1585" spans="14:17" x14ac:dyDescent="0.3">
      <c r="N1585" s="111"/>
      <c r="O1585" s="111"/>
      <c r="P1585" s="111"/>
      <c r="Q1585" s="111"/>
    </row>
    <row r="1586" spans="14:17" x14ac:dyDescent="0.3">
      <c r="N1586" s="111"/>
      <c r="O1586" s="111"/>
      <c r="P1586" s="111"/>
      <c r="Q1586" s="111"/>
    </row>
    <row r="1587" spans="14:17" x14ac:dyDescent="0.3">
      <c r="N1587" s="111"/>
      <c r="O1587" s="111"/>
      <c r="P1587" s="111"/>
      <c r="Q1587" s="111"/>
    </row>
    <row r="1588" spans="14:17" x14ac:dyDescent="0.3">
      <c r="N1588" s="111"/>
      <c r="O1588" s="111"/>
      <c r="P1588" s="111"/>
      <c r="Q1588" s="111"/>
    </row>
    <row r="1589" spans="14:17" x14ac:dyDescent="0.3">
      <c r="N1589" s="111"/>
      <c r="O1589" s="111"/>
      <c r="P1589" s="111"/>
      <c r="Q1589" s="111"/>
    </row>
    <row r="1590" spans="14:17" x14ac:dyDescent="0.3">
      <c r="N1590" s="111"/>
      <c r="O1590" s="111"/>
      <c r="P1590" s="111"/>
      <c r="Q1590" s="111"/>
    </row>
    <row r="1591" spans="14:17" x14ac:dyDescent="0.3">
      <c r="N1591" s="111"/>
      <c r="O1591" s="111"/>
      <c r="P1591" s="111"/>
      <c r="Q1591" s="111"/>
    </row>
    <row r="1592" spans="14:17" x14ac:dyDescent="0.3">
      <c r="N1592" s="111"/>
      <c r="O1592" s="111"/>
      <c r="P1592" s="111"/>
      <c r="Q1592" s="111"/>
    </row>
    <row r="1593" spans="14:17" x14ac:dyDescent="0.3">
      <c r="N1593" s="111"/>
      <c r="O1593" s="111"/>
      <c r="P1593" s="111"/>
      <c r="Q1593" s="111"/>
    </row>
    <row r="1594" spans="14:17" x14ac:dyDescent="0.3">
      <c r="N1594" s="111"/>
      <c r="O1594" s="111"/>
      <c r="P1594" s="111"/>
      <c r="Q1594" s="111"/>
    </row>
    <row r="1595" spans="14:17" x14ac:dyDescent="0.3">
      <c r="N1595" s="111"/>
      <c r="O1595" s="111"/>
      <c r="P1595" s="111"/>
      <c r="Q1595" s="111"/>
    </row>
    <row r="1596" spans="14:17" x14ac:dyDescent="0.3">
      <c r="N1596" s="111"/>
      <c r="O1596" s="111"/>
      <c r="P1596" s="111"/>
      <c r="Q1596" s="111"/>
    </row>
    <row r="1597" spans="14:17" x14ac:dyDescent="0.3">
      <c r="N1597" s="111"/>
      <c r="O1597" s="111"/>
      <c r="P1597" s="111"/>
      <c r="Q1597" s="111"/>
    </row>
    <row r="1598" spans="14:17" x14ac:dyDescent="0.3">
      <c r="N1598" s="111"/>
      <c r="O1598" s="111"/>
      <c r="P1598" s="111"/>
      <c r="Q1598" s="111"/>
    </row>
    <row r="1599" spans="14:17" x14ac:dyDescent="0.3">
      <c r="N1599" s="111"/>
      <c r="O1599" s="111"/>
      <c r="P1599" s="111"/>
      <c r="Q1599" s="111"/>
    </row>
    <row r="1600" spans="14:17" x14ac:dyDescent="0.3">
      <c r="N1600" s="111"/>
      <c r="O1600" s="111"/>
      <c r="P1600" s="111"/>
      <c r="Q1600" s="111"/>
    </row>
    <row r="1601" spans="14:17" x14ac:dyDescent="0.3">
      <c r="N1601" s="111"/>
      <c r="O1601" s="111"/>
      <c r="P1601" s="111"/>
      <c r="Q1601" s="111"/>
    </row>
    <row r="1602" spans="14:17" x14ac:dyDescent="0.3">
      <c r="N1602" s="111"/>
      <c r="O1602" s="111"/>
      <c r="P1602" s="111"/>
      <c r="Q1602" s="111"/>
    </row>
    <row r="1603" spans="14:17" x14ac:dyDescent="0.3">
      <c r="N1603" s="111"/>
      <c r="O1603" s="111"/>
      <c r="P1603" s="111"/>
      <c r="Q1603" s="111"/>
    </row>
    <row r="1604" spans="14:17" x14ac:dyDescent="0.3">
      <c r="N1604" s="111"/>
      <c r="O1604" s="111"/>
      <c r="P1604" s="111"/>
      <c r="Q1604" s="111"/>
    </row>
    <row r="1605" spans="14:17" x14ac:dyDescent="0.3">
      <c r="N1605" s="111"/>
      <c r="O1605" s="111"/>
      <c r="P1605" s="111"/>
      <c r="Q1605" s="111"/>
    </row>
    <row r="1606" spans="14:17" x14ac:dyDescent="0.3">
      <c r="N1606" s="111"/>
      <c r="O1606" s="111"/>
      <c r="P1606" s="111"/>
      <c r="Q1606" s="111"/>
    </row>
    <row r="1607" spans="14:17" x14ac:dyDescent="0.3">
      <c r="N1607" s="111"/>
      <c r="O1607" s="111"/>
      <c r="P1607" s="111"/>
      <c r="Q1607" s="111"/>
    </row>
    <row r="1608" spans="14:17" x14ac:dyDescent="0.3">
      <c r="N1608" s="111"/>
      <c r="O1608" s="111"/>
      <c r="P1608" s="111"/>
      <c r="Q1608" s="111"/>
    </row>
    <row r="1609" spans="14:17" x14ac:dyDescent="0.3">
      <c r="N1609" s="111"/>
      <c r="O1609" s="111"/>
      <c r="P1609" s="111"/>
      <c r="Q1609" s="111"/>
    </row>
    <row r="1610" spans="14:17" x14ac:dyDescent="0.3">
      <c r="N1610" s="111"/>
      <c r="O1610" s="111"/>
      <c r="P1610" s="111"/>
      <c r="Q1610" s="111"/>
    </row>
    <row r="1611" spans="14:17" x14ac:dyDescent="0.3">
      <c r="N1611" s="111"/>
      <c r="O1611" s="111"/>
      <c r="P1611" s="111"/>
      <c r="Q1611" s="111"/>
    </row>
    <row r="1612" spans="14:17" x14ac:dyDescent="0.3">
      <c r="N1612" s="111"/>
      <c r="O1612" s="111"/>
      <c r="P1612" s="111"/>
      <c r="Q1612" s="111"/>
    </row>
    <row r="1613" spans="14:17" x14ac:dyDescent="0.3">
      <c r="N1613" s="111"/>
      <c r="O1613" s="111"/>
      <c r="P1613" s="111"/>
      <c r="Q1613" s="111"/>
    </row>
    <row r="1614" spans="14:17" x14ac:dyDescent="0.3">
      <c r="N1614" s="111"/>
      <c r="O1614" s="111"/>
      <c r="P1614" s="111"/>
      <c r="Q1614" s="111"/>
    </row>
    <row r="1615" spans="14:17" x14ac:dyDescent="0.3">
      <c r="N1615" s="111"/>
      <c r="O1615" s="111"/>
      <c r="P1615" s="111"/>
      <c r="Q1615" s="111"/>
    </row>
    <row r="1616" spans="14:17" x14ac:dyDescent="0.3">
      <c r="N1616" s="111"/>
      <c r="O1616" s="111"/>
      <c r="P1616" s="111"/>
      <c r="Q1616" s="111"/>
    </row>
    <row r="1617" spans="14:17" x14ac:dyDescent="0.3">
      <c r="N1617" s="111"/>
      <c r="O1617" s="111"/>
      <c r="P1617" s="111"/>
      <c r="Q1617" s="111"/>
    </row>
    <row r="1618" spans="14:17" x14ac:dyDescent="0.3">
      <c r="N1618" s="111"/>
      <c r="O1618" s="111"/>
      <c r="P1618" s="111"/>
      <c r="Q1618" s="111"/>
    </row>
    <row r="1619" spans="14:17" x14ac:dyDescent="0.3">
      <c r="N1619" s="111"/>
      <c r="O1619" s="111"/>
      <c r="P1619" s="111"/>
      <c r="Q1619" s="111"/>
    </row>
    <row r="1620" spans="14:17" x14ac:dyDescent="0.3">
      <c r="N1620" s="111"/>
      <c r="O1620" s="111"/>
      <c r="P1620" s="111"/>
      <c r="Q1620" s="111"/>
    </row>
    <row r="1621" spans="14:17" x14ac:dyDescent="0.3">
      <c r="N1621" s="111"/>
      <c r="O1621" s="111"/>
      <c r="P1621" s="111"/>
      <c r="Q1621" s="111"/>
    </row>
    <row r="1622" spans="14:17" x14ac:dyDescent="0.3">
      <c r="N1622" s="111"/>
      <c r="O1622" s="111"/>
      <c r="P1622" s="111"/>
      <c r="Q1622" s="111"/>
    </row>
    <row r="1623" spans="14:17" x14ac:dyDescent="0.3">
      <c r="N1623" s="111"/>
      <c r="O1623" s="111"/>
      <c r="P1623" s="111"/>
      <c r="Q1623" s="111"/>
    </row>
    <row r="1624" spans="14:17" x14ac:dyDescent="0.3">
      <c r="N1624" s="111"/>
      <c r="O1624" s="111"/>
      <c r="P1624" s="111"/>
      <c r="Q1624" s="111"/>
    </row>
    <row r="1625" spans="14:17" x14ac:dyDescent="0.3">
      <c r="N1625" s="111"/>
      <c r="O1625" s="111"/>
      <c r="P1625" s="111"/>
      <c r="Q1625" s="111"/>
    </row>
    <row r="1626" spans="14:17" x14ac:dyDescent="0.3">
      <c r="N1626" s="111"/>
      <c r="O1626" s="111"/>
      <c r="P1626" s="111"/>
      <c r="Q1626" s="111"/>
    </row>
    <row r="1627" spans="14:17" x14ac:dyDescent="0.3">
      <c r="N1627" s="111"/>
      <c r="O1627" s="111"/>
      <c r="P1627" s="111"/>
      <c r="Q1627" s="111"/>
    </row>
    <row r="1628" spans="14:17" x14ac:dyDescent="0.3">
      <c r="N1628" s="111"/>
      <c r="O1628" s="111"/>
      <c r="P1628" s="111"/>
      <c r="Q1628" s="111"/>
    </row>
    <row r="1629" spans="14:17" x14ac:dyDescent="0.3">
      <c r="N1629" s="111"/>
      <c r="O1629" s="111"/>
      <c r="P1629" s="111"/>
      <c r="Q1629" s="111"/>
    </row>
    <row r="1630" spans="14:17" x14ac:dyDescent="0.3">
      <c r="N1630" s="111"/>
      <c r="O1630" s="111"/>
      <c r="P1630" s="111"/>
      <c r="Q1630" s="111"/>
    </row>
    <row r="1631" spans="14:17" x14ac:dyDescent="0.3">
      <c r="N1631" s="111"/>
      <c r="O1631" s="111"/>
      <c r="P1631" s="111"/>
      <c r="Q1631" s="111"/>
    </row>
    <row r="1632" spans="14:17" x14ac:dyDescent="0.3">
      <c r="N1632" s="111"/>
      <c r="O1632" s="111"/>
      <c r="P1632" s="111"/>
      <c r="Q1632" s="111"/>
    </row>
    <row r="1633" spans="14:17" x14ac:dyDescent="0.3">
      <c r="N1633" s="111"/>
      <c r="O1633" s="111"/>
      <c r="P1633" s="111"/>
      <c r="Q1633" s="111"/>
    </row>
    <row r="1634" spans="14:17" x14ac:dyDescent="0.3">
      <c r="N1634" s="111"/>
      <c r="O1634" s="111"/>
      <c r="P1634" s="111"/>
      <c r="Q1634" s="111"/>
    </row>
    <row r="1635" spans="14:17" x14ac:dyDescent="0.3">
      <c r="N1635" s="111"/>
      <c r="O1635" s="111"/>
      <c r="P1635" s="111"/>
      <c r="Q1635" s="111"/>
    </row>
    <row r="1636" spans="14:17" x14ac:dyDescent="0.3">
      <c r="N1636" s="111"/>
      <c r="O1636" s="111"/>
      <c r="P1636" s="111"/>
      <c r="Q1636" s="111"/>
    </row>
    <row r="1637" spans="14:17" x14ac:dyDescent="0.3">
      <c r="N1637" s="111"/>
      <c r="O1637" s="111"/>
      <c r="P1637" s="111"/>
      <c r="Q1637" s="111"/>
    </row>
    <row r="1638" spans="14:17" x14ac:dyDescent="0.3">
      <c r="N1638" s="111"/>
      <c r="O1638" s="111"/>
      <c r="P1638" s="111"/>
      <c r="Q1638" s="111"/>
    </row>
    <row r="1639" spans="14:17" x14ac:dyDescent="0.3">
      <c r="N1639" s="111"/>
      <c r="O1639" s="111"/>
      <c r="P1639" s="111"/>
      <c r="Q1639" s="111"/>
    </row>
    <row r="1640" spans="14:17" x14ac:dyDescent="0.3">
      <c r="N1640" s="111"/>
      <c r="O1640" s="111"/>
      <c r="P1640" s="111"/>
      <c r="Q1640" s="111"/>
    </row>
    <row r="1641" spans="14:17" x14ac:dyDescent="0.3">
      <c r="N1641" s="111"/>
      <c r="O1641" s="111"/>
      <c r="P1641" s="111"/>
      <c r="Q1641" s="111"/>
    </row>
    <row r="1642" spans="14:17" x14ac:dyDescent="0.3">
      <c r="N1642" s="111"/>
      <c r="O1642" s="111"/>
      <c r="P1642" s="111"/>
      <c r="Q1642" s="111"/>
    </row>
    <row r="1643" spans="14:17" x14ac:dyDescent="0.3">
      <c r="N1643" s="111"/>
      <c r="O1643" s="111"/>
      <c r="P1643" s="111"/>
      <c r="Q1643" s="111"/>
    </row>
    <row r="1644" spans="14:17" x14ac:dyDescent="0.3">
      <c r="N1644" s="111"/>
      <c r="O1644" s="111"/>
      <c r="P1644" s="111"/>
      <c r="Q1644" s="111"/>
    </row>
    <row r="1645" spans="14:17" x14ac:dyDescent="0.3">
      <c r="N1645" s="111"/>
      <c r="O1645" s="111"/>
      <c r="P1645" s="111"/>
      <c r="Q1645" s="111"/>
    </row>
    <row r="1646" spans="14:17" x14ac:dyDescent="0.3">
      <c r="N1646" s="111"/>
      <c r="O1646" s="111"/>
      <c r="P1646" s="111"/>
      <c r="Q1646" s="111"/>
    </row>
    <row r="1647" spans="14:17" x14ac:dyDescent="0.3">
      <c r="N1647" s="111"/>
      <c r="O1647" s="111"/>
      <c r="P1647" s="111"/>
      <c r="Q1647" s="111"/>
    </row>
    <row r="1648" spans="14:17" x14ac:dyDescent="0.3">
      <c r="N1648" s="111"/>
      <c r="O1648" s="111"/>
      <c r="P1648" s="111"/>
      <c r="Q1648" s="111"/>
    </row>
    <row r="1649" spans="14:17" x14ac:dyDescent="0.3">
      <c r="N1649" s="111"/>
      <c r="O1649" s="111"/>
      <c r="P1649" s="111"/>
      <c r="Q1649" s="111"/>
    </row>
    <row r="1650" spans="14:17" x14ac:dyDescent="0.3">
      <c r="N1650" s="111"/>
      <c r="O1650" s="111"/>
      <c r="P1650" s="111"/>
      <c r="Q1650" s="111"/>
    </row>
    <row r="1651" spans="14:17" x14ac:dyDescent="0.3">
      <c r="N1651" s="111"/>
      <c r="O1651" s="111"/>
      <c r="P1651" s="111"/>
      <c r="Q1651" s="111"/>
    </row>
    <row r="1652" spans="14:17" x14ac:dyDescent="0.3">
      <c r="N1652" s="111"/>
      <c r="O1652" s="111"/>
      <c r="P1652" s="111"/>
      <c r="Q1652" s="111"/>
    </row>
    <row r="1653" spans="14:17" x14ac:dyDescent="0.3">
      <c r="N1653" s="111"/>
      <c r="O1653" s="111"/>
      <c r="P1653" s="111"/>
      <c r="Q1653" s="111"/>
    </row>
    <row r="1654" spans="14:17" x14ac:dyDescent="0.3">
      <c r="N1654" s="111"/>
      <c r="O1654" s="111"/>
      <c r="P1654" s="111"/>
      <c r="Q1654" s="111"/>
    </row>
    <row r="1655" spans="14:17" x14ac:dyDescent="0.3">
      <c r="N1655" s="111"/>
      <c r="O1655" s="111"/>
      <c r="P1655" s="111"/>
      <c r="Q1655" s="111"/>
    </row>
    <row r="1656" spans="14:17" x14ac:dyDescent="0.3">
      <c r="N1656" s="111"/>
      <c r="O1656" s="111"/>
      <c r="P1656" s="111"/>
      <c r="Q1656" s="111"/>
    </row>
    <row r="1657" spans="14:17" x14ac:dyDescent="0.3">
      <c r="N1657" s="111"/>
      <c r="O1657" s="111"/>
      <c r="P1657" s="111"/>
      <c r="Q1657" s="111"/>
    </row>
    <row r="1658" spans="14:17" x14ac:dyDescent="0.3">
      <c r="N1658" s="111"/>
      <c r="O1658" s="111"/>
      <c r="P1658" s="111"/>
      <c r="Q1658" s="111"/>
    </row>
    <row r="1659" spans="14:17" x14ac:dyDescent="0.3">
      <c r="N1659" s="111"/>
      <c r="O1659" s="111"/>
      <c r="P1659" s="111"/>
      <c r="Q1659" s="111"/>
    </row>
    <row r="1660" spans="14:17" x14ac:dyDescent="0.3">
      <c r="N1660" s="111"/>
      <c r="O1660" s="111"/>
      <c r="P1660" s="111"/>
      <c r="Q1660" s="111"/>
    </row>
    <row r="1661" spans="14:17" x14ac:dyDescent="0.3">
      <c r="N1661" s="111"/>
      <c r="O1661" s="111"/>
      <c r="P1661" s="111"/>
      <c r="Q1661" s="111"/>
    </row>
    <row r="1662" spans="14:17" x14ac:dyDescent="0.3">
      <c r="N1662" s="111"/>
      <c r="O1662" s="111"/>
      <c r="P1662" s="111"/>
      <c r="Q1662" s="111"/>
    </row>
    <row r="1663" spans="14:17" x14ac:dyDescent="0.3">
      <c r="N1663" s="111"/>
      <c r="O1663" s="111"/>
      <c r="P1663" s="111"/>
      <c r="Q1663" s="111"/>
    </row>
    <row r="1664" spans="14:17" x14ac:dyDescent="0.3">
      <c r="N1664" s="111"/>
      <c r="O1664" s="111"/>
      <c r="P1664" s="111"/>
      <c r="Q1664" s="111"/>
    </row>
    <row r="1665" spans="14:17" x14ac:dyDescent="0.3">
      <c r="N1665" s="111"/>
      <c r="O1665" s="111"/>
      <c r="P1665" s="111"/>
      <c r="Q1665" s="111"/>
    </row>
    <row r="1666" spans="14:17" x14ac:dyDescent="0.3">
      <c r="N1666" s="111"/>
      <c r="O1666" s="111"/>
      <c r="P1666" s="111"/>
      <c r="Q1666" s="111"/>
    </row>
    <row r="1667" spans="14:17" x14ac:dyDescent="0.3">
      <c r="N1667" s="111"/>
      <c r="O1667" s="111"/>
      <c r="P1667" s="111"/>
      <c r="Q1667" s="111"/>
    </row>
    <row r="1668" spans="14:17" x14ac:dyDescent="0.3">
      <c r="N1668" s="111"/>
      <c r="O1668" s="111"/>
      <c r="P1668" s="111"/>
      <c r="Q1668" s="111"/>
    </row>
    <row r="1669" spans="14:17" x14ac:dyDescent="0.3">
      <c r="N1669" s="111"/>
      <c r="O1669" s="111"/>
      <c r="P1669" s="111"/>
      <c r="Q1669" s="111"/>
    </row>
    <row r="1670" spans="14:17" x14ac:dyDescent="0.3">
      <c r="N1670" s="111"/>
      <c r="O1670" s="111"/>
      <c r="P1670" s="111"/>
      <c r="Q1670" s="111"/>
    </row>
    <row r="1671" spans="14:17" x14ac:dyDescent="0.3">
      <c r="N1671" s="111"/>
      <c r="O1671" s="111"/>
      <c r="P1671" s="111"/>
      <c r="Q1671" s="111"/>
    </row>
    <row r="1672" spans="14:17" x14ac:dyDescent="0.3">
      <c r="N1672" s="111"/>
      <c r="O1672" s="111"/>
      <c r="P1672" s="111"/>
      <c r="Q1672" s="111"/>
    </row>
    <row r="1673" spans="14:17" x14ac:dyDescent="0.3">
      <c r="N1673" s="111"/>
      <c r="O1673" s="111"/>
      <c r="P1673" s="111"/>
      <c r="Q1673" s="111"/>
    </row>
    <row r="1674" spans="14:17" x14ac:dyDescent="0.3">
      <c r="N1674" s="111"/>
      <c r="O1674" s="111"/>
      <c r="P1674" s="111"/>
      <c r="Q1674" s="111"/>
    </row>
    <row r="1675" spans="14:17" x14ac:dyDescent="0.3">
      <c r="N1675" s="111"/>
      <c r="O1675" s="111"/>
      <c r="P1675" s="111"/>
      <c r="Q1675" s="111"/>
    </row>
    <row r="1676" spans="14:17" x14ac:dyDescent="0.3">
      <c r="N1676" s="111"/>
      <c r="O1676" s="111"/>
      <c r="P1676" s="111"/>
      <c r="Q1676" s="111"/>
    </row>
    <row r="1677" spans="14:17" x14ac:dyDescent="0.3">
      <c r="N1677" s="111"/>
      <c r="O1677" s="111"/>
      <c r="P1677" s="111"/>
      <c r="Q1677" s="111"/>
    </row>
    <row r="1678" spans="14:17" x14ac:dyDescent="0.3">
      <c r="N1678" s="111"/>
      <c r="O1678" s="111"/>
      <c r="P1678" s="111"/>
      <c r="Q1678" s="111"/>
    </row>
    <row r="1679" spans="14:17" x14ac:dyDescent="0.3">
      <c r="N1679" s="111"/>
      <c r="O1679" s="111"/>
      <c r="P1679" s="111"/>
      <c r="Q1679" s="111"/>
    </row>
    <row r="1680" spans="14:17" x14ac:dyDescent="0.3">
      <c r="N1680" s="111"/>
      <c r="O1680" s="111"/>
      <c r="P1680" s="111"/>
      <c r="Q1680" s="111"/>
    </row>
    <row r="1681" spans="14:17" x14ac:dyDescent="0.3">
      <c r="N1681" s="111"/>
      <c r="O1681" s="111"/>
      <c r="P1681" s="111"/>
      <c r="Q1681" s="111"/>
    </row>
    <row r="1682" spans="14:17" x14ac:dyDescent="0.3">
      <c r="N1682" s="111"/>
      <c r="O1682" s="111"/>
      <c r="P1682" s="111"/>
      <c r="Q1682" s="111"/>
    </row>
    <row r="1683" spans="14:17" x14ac:dyDescent="0.3">
      <c r="N1683" s="111"/>
      <c r="O1683" s="111"/>
      <c r="P1683" s="111"/>
      <c r="Q1683" s="111"/>
    </row>
    <row r="1684" spans="14:17" x14ac:dyDescent="0.3">
      <c r="N1684" s="111"/>
      <c r="O1684" s="111"/>
      <c r="P1684" s="111"/>
      <c r="Q1684" s="111"/>
    </row>
    <row r="1685" spans="14:17" x14ac:dyDescent="0.3">
      <c r="N1685" s="111"/>
      <c r="O1685" s="111"/>
      <c r="P1685" s="111"/>
      <c r="Q1685" s="111"/>
    </row>
    <row r="1686" spans="14:17" x14ac:dyDescent="0.3">
      <c r="N1686" s="111"/>
      <c r="O1686" s="111"/>
      <c r="P1686" s="111"/>
      <c r="Q1686" s="111"/>
    </row>
    <row r="1687" spans="14:17" x14ac:dyDescent="0.3">
      <c r="N1687" s="111"/>
      <c r="O1687" s="111"/>
      <c r="P1687" s="111"/>
      <c r="Q1687" s="111"/>
    </row>
    <row r="1688" spans="14:17" x14ac:dyDescent="0.3">
      <c r="N1688" s="111"/>
      <c r="O1688" s="111"/>
      <c r="P1688" s="111"/>
      <c r="Q1688" s="111"/>
    </row>
    <row r="1689" spans="14:17" x14ac:dyDescent="0.3">
      <c r="N1689" s="111"/>
      <c r="O1689" s="111"/>
      <c r="P1689" s="111"/>
      <c r="Q1689" s="111"/>
    </row>
    <row r="1690" spans="14:17" x14ac:dyDescent="0.3">
      <c r="N1690" s="111"/>
      <c r="O1690" s="111"/>
      <c r="P1690" s="111"/>
      <c r="Q1690" s="111"/>
    </row>
    <row r="1691" spans="14:17" x14ac:dyDescent="0.3">
      <c r="N1691" s="111"/>
      <c r="O1691" s="111"/>
      <c r="P1691" s="111"/>
      <c r="Q1691" s="111"/>
    </row>
    <row r="1692" spans="14:17" x14ac:dyDescent="0.3">
      <c r="N1692" s="111"/>
      <c r="O1692" s="111"/>
      <c r="P1692" s="111"/>
      <c r="Q1692" s="111"/>
    </row>
    <row r="1693" spans="14:17" x14ac:dyDescent="0.3">
      <c r="N1693" s="111"/>
      <c r="O1693" s="111"/>
      <c r="P1693" s="111"/>
      <c r="Q1693" s="111"/>
    </row>
    <row r="1694" spans="14:17" x14ac:dyDescent="0.3">
      <c r="N1694" s="111"/>
      <c r="O1694" s="111"/>
      <c r="P1694" s="111"/>
      <c r="Q1694" s="111"/>
    </row>
    <row r="1695" spans="14:17" x14ac:dyDescent="0.3">
      <c r="N1695" s="111"/>
      <c r="O1695" s="111"/>
      <c r="P1695" s="111"/>
      <c r="Q1695" s="111"/>
    </row>
    <row r="1696" spans="14:17" x14ac:dyDescent="0.3">
      <c r="N1696" s="111"/>
      <c r="O1696" s="111"/>
      <c r="P1696" s="111"/>
      <c r="Q1696" s="111"/>
    </row>
    <row r="1697" spans="14:17" x14ac:dyDescent="0.3">
      <c r="N1697" s="111"/>
      <c r="O1697" s="111"/>
      <c r="P1697" s="111"/>
      <c r="Q1697" s="111"/>
    </row>
    <row r="1698" spans="14:17" x14ac:dyDescent="0.3">
      <c r="N1698" s="111"/>
      <c r="O1698" s="111"/>
      <c r="P1698" s="111"/>
      <c r="Q1698" s="111"/>
    </row>
    <row r="1699" spans="14:17" x14ac:dyDescent="0.3">
      <c r="N1699" s="111"/>
      <c r="O1699" s="111"/>
      <c r="P1699" s="111"/>
      <c r="Q1699" s="111"/>
    </row>
    <row r="1700" spans="14:17" x14ac:dyDescent="0.3">
      <c r="N1700" s="111"/>
      <c r="O1700" s="111"/>
      <c r="P1700" s="111"/>
      <c r="Q1700" s="111"/>
    </row>
    <row r="1701" spans="14:17" x14ac:dyDescent="0.3">
      <c r="N1701" s="111"/>
      <c r="O1701" s="111"/>
      <c r="P1701" s="111"/>
      <c r="Q1701" s="111"/>
    </row>
    <row r="1702" spans="14:17" x14ac:dyDescent="0.3">
      <c r="N1702" s="111"/>
      <c r="O1702" s="111"/>
      <c r="P1702" s="111"/>
      <c r="Q1702" s="111"/>
    </row>
    <row r="1703" spans="14:17" x14ac:dyDescent="0.3">
      <c r="N1703" s="111"/>
      <c r="O1703" s="111"/>
      <c r="P1703" s="111"/>
      <c r="Q1703" s="111"/>
    </row>
    <row r="1704" spans="14:17" x14ac:dyDescent="0.3">
      <c r="N1704" s="111"/>
      <c r="O1704" s="111"/>
      <c r="P1704" s="111"/>
      <c r="Q1704" s="111"/>
    </row>
    <row r="1705" spans="14:17" x14ac:dyDescent="0.3">
      <c r="N1705" s="111"/>
      <c r="O1705" s="111"/>
      <c r="P1705" s="111"/>
      <c r="Q1705" s="111"/>
    </row>
    <row r="1706" spans="14:17" x14ac:dyDescent="0.3">
      <c r="N1706" s="111"/>
      <c r="O1706" s="111"/>
      <c r="P1706" s="111"/>
      <c r="Q1706" s="111"/>
    </row>
    <row r="1707" spans="14:17" x14ac:dyDescent="0.3">
      <c r="N1707" s="111"/>
      <c r="O1707" s="111"/>
      <c r="P1707" s="111"/>
      <c r="Q1707" s="111"/>
    </row>
    <row r="1708" spans="14:17" x14ac:dyDescent="0.3">
      <c r="N1708" s="111"/>
      <c r="O1708" s="111"/>
      <c r="P1708" s="111"/>
      <c r="Q1708" s="111"/>
    </row>
    <row r="1709" spans="14:17" x14ac:dyDescent="0.3">
      <c r="N1709" s="111"/>
      <c r="O1709" s="111"/>
      <c r="P1709" s="111"/>
      <c r="Q1709" s="111"/>
    </row>
    <row r="1710" spans="14:17" x14ac:dyDescent="0.3">
      <c r="N1710" s="111"/>
      <c r="O1710" s="111"/>
      <c r="P1710" s="111"/>
      <c r="Q1710" s="111"/>
    </row>
    <row r="1711" spans="14:17" x14ac:dyDescent="0.3">
      <c r="N1711" s="111"/>
      <c r="O1711" s="111"/>
      <c r="P1711" s="111"/>
      <c r="Q1711" s="111"/>
    </row>
    <row r="1712" spans="14:17" x14ac:dyDescent="0.3">
      <c r="N1712" s="111"/>
      <c r="O1712" s="111"/>
      <c r="P1712" s="111"/>
      <c r="Q1712" s="111"/>
    </row>
    <row r="1713" spans="14:17" x14ac:dyDescent="0.3">
      <c r="N1713" s="111"/>
      <c r="O1713" s="111"/>
      <c r="P1713" s="111"/>
      <c r="Q1713" s="111"/>
    </row>
    <row r="1714" spans="14:17" x14ac:dyDescent="0.3">
      <c r="N1714" s="111"/>
      <c r="O1714" s="111"/>
      <c r="P1714" s="111"/>
      <c r="Q1714" s="111"/>
    </row>
    <row r="1715" spans="14:17" x14ac:dyDescent="0.3">
      <c r="N1715" s="111"/>
      <c r="O1715" s="111"/>
      <c r="P1715" s="111"/>
      <c r="Q1715" s="111"/>
    </row>
    <row r="1716" spans="14:17" x14ac:dyDescent="0.3">
      <c r="N1716" s="111"/>
      <c r="O1716" s="111"/>
      <c r="P1716" s="111"/>
      <c r="Q1716" s="111"/>
    </row>
    <row r="1717" spans="14:17" x14ac:dyDescent="0.3">
      <c r="N1717" s="111"/>
      <c r="O1717" s="111"/>
      <c r="P1717" s="111"/>
      <c r="Q1717" s="111"/>
    </row>
    <row r="1718" spans="14:17" x14ac:dyDescent="0.3">
      <c r="N1718" s="111"/>
      <c r="O1718" s="111"/>
      <c r="P1718" s="111"/>
      <c r="Q1718" s="111"/>
    </row>
    <row r="1719" spans="14:17" x14ac:dyDescent="0.3">
      <c r="N1719" s="111"/>
      <c r="O1719" s="111"/>
      <c r="P1719" s="111"/>
      <c r="Q1719" s="111"/>
    </row>
    <row r="1720" spans="14:17" x14ac:dyDescent="0.3">
      <c r="N1720" s="111"/>
      <c r="O1720" s="111"/>
      <c r="P1720" s="111"/>
      <c r="Q1720" s="111"/>
    </row>
    <row r="1721" spans="14:17" x14ac:dyDescent="0.3">
      <c r="N1721" s="111"/>
      <c r="O1721" s="111"/>
      <c r="P1721" s="111"/>
      <c r="Q1721" s="111"/>
    </row>
    <row r="1722" spans="14:17" x14ac:dyDescent="0.3">
      <c r="N1722" s="111"/>
      <c r="O1722" s="111"/>
      <c r="P1722" s="111"/>
      <c r="Q1722" s="111"/>
    </row>
    <row r="1723" spans="14:17" x14ac:dyDescent="0.3">
      <c r="N1723" s="111"/>
      <c r="O1723" s="111"/>
      <c r="P1723" s="111"/>
      <c r="Q1723" s="111"/>
    </row>
    <row r="1724" spans="14:17" x14ac:dyDescent="0.3">
      <c r="N1724" s="111"/>
      <c r="O1724" s="111"/>
      <c r="P1724" s="111"/>
      <c r="Q1724" s="111"/>
    </row>
    <row r="1725" spans="14:17" x14ac:dyDescent="0.3">
      <c r="N1725" s="111"/>
      <c r="O1725" s="111"/>
      <c r="P1725" s="111"/>
      <c r="Q1725" s="111"/>
    </row>
    <row r="1726" spans="14:17" x14ac:dyDescent="0.3">
      <c r="N1726" s="111"/>
      <c r="O1726" s="111"/>
      <c r="P1726" s="111"/>
      <c r="Q1726" s="111"/>
    </row>
    <row r="1727" spans="14:17" x14ac:dyDescent="0.3">
      <c r="N1727" s="111"/>
      <c r="O1727" s="111"/>
      <c r="P1727" s="111"/>
      <c r="Q1727" s="111"/>
    </row>
    <row r="1728" spans="14:17" x14ac:dyDescent="0.3">
      <c r="N1728" s="111"/>
      <c r="O1728" s="111"/>
      <c r="P1728" s="111"/>
      <c r="Q1728" s="111"/>
    </row>
    <row r="1729" spans="14:17" x14ac:dyDescent="0.3">
      <c r="N1729" s="111"/>
      <c r="O1729" s="111"/>
      <c r="P1729" s="111"/>
      <c r="Q1729" s="111"/>
    </row>
    <row r="1730" spans="14:17" x14ac:dyDescent="0.3">
      <c r="N1730" s="111"/>
      <c r="O1730" s="111"/>
      <c r="P1730" s="111"/>
      <c r="Q1730" s="111"/>
    </row>
    <row r="1731" spans="14:17" x14ac:dyDescent="0.3">
      <c r="N1731" s="111"/>
      <c r="O1731" s="111"/>
      <c r="P1731" s="111"/>
      <c r="Q1731" s="111"/>
    </row>
    <row r="1732" spans="14:17" x14ac:dyDescent="0.3">
      <c r="N1732" s="111"/>
      <c r="O1732" s="111"/>
      <c r="P1732" s="111"/>
      <c r="Q1732" s="111"/>
    </row>
    <row r="1733" spans="14:17" x14ac:dyDescent="0.3">
      <c r="N1733" s="111"/>
      <c r="O1733" s="111"/>
      <c r="P1733" s="111"/>
      <c r="Q1733" s="111"/>
    </row>
    <row r="1734" spans="14:17" x14ac:dyDescent="0.3">
      <c r="N1734" s="111"/>
      <c r="O1734" s="111"/>
      <c r="P1734" s="111"/>
      <c r="Q1734" s="111"/>
    </row>
    <row r="1735" spans="14:17" x14ac:dyDescent="0.3">
      <c r="N1735" s="111"/>
      <c r="O1735" s="111"/>
      <c r="P1735" s="111"/>
      <c r="Q1735" s="111"/>
    </row>
    <row r="1736" spans="14:17" x14ac:dyDescent="0.3">
      <c r="N1736" s="111"/>
      <c r="O1736" s="111"/>
      <c r="P1736" s="111"/>
      <c r="Q1736" s="111"/>
    </row>
    <row r="1737" spans="14:17" x14ac:dyDescent="0.3">
      <c r="N1737" s="111"/>
      <c r="O1737" s="111"/>
      <c r="P1737" s="111"/>
      <c r="Q1737" s="111"/>
    </row>
    <row r="1738" spans="14:17" x14ac:dyDescent="0.3">
      <c r="N1738" s="111"/>
      <c r="O1738" s="111"/>
      <c r="P1738" s="111"/>
      <c r="Q1738" s="111"/>
    </row>
    <row r="1739" spans="14:17" x14ac:dyDescent="0.3">
      <c r="N1739" s="111"/>
      <c r="O1739" s="111"/>
      <c r="P1739" s="111"/>
      <c r="Q1739" s="111"/>
    </row>
    <row r="1740" spans="14:17" x14ac:dyDescent="0.3">
      <c r="N1740" s="111"/>
      <c r="O1740" s="111"/>
      <c r="P1740" s="111"/>
      <c r="Q1740" s="111"/>
    </row>
    <row r="1741" spans="14:17" x14ac:dyDescent="0.3">
      <c r="N1741" s="111"/>
      <c r="O1741" s="111"/>
      <c r="P1741" s="111"/>
      <c r="Q1741" s="111"/>
    </row>
    <row r="1742" spans="14:17" x14ac:dyDescent="0.3">
      <c r="N1742" s="111"/>
      <c r="O1742" s="111"/>
      <c r="P1742" s="111"/>
      <c r="Q1742" s="111"/>
    </row>
    <row r="1743" spans="14:17" x14ac:dyDescent="0.3">
      <c r="N1743" s="111"/>
      <c r="O1743" s="111"/>
      <c r="P1743" s="111"/>
      <c r="Q1743" s="111"/>
    </row>
    <row r="1744" spans="14:17" x14ac:dyDescent="0.3">
      <c r="N1744" s="111"/>
      <c r="O1744" s="111"/>
      <c r="P1744" s="111"/>
      <c r="Q1744" s="111"/>
    </row>
    <row r="1745" spans="14:17" x14ac:dyDescent="0.3">
      <c r="N1745" s="111"/>
      <c r="O1745" s="111"/>
      <c r="P1745" s="111"/>
      <c r="Q1745" s="111"/>
    </row>
    <row r="1746" spans="14:17" x14ac:dyDescent="0.3">
      <c r="N1746" s="111"/>
      <c r="O1746" s="111"/>
      <c r="P1746" s="111"/>
      <c r="Q1746" s="111"/>
    </row>
    <row r="1747" spans="14:17" x14ac:dyDescent="0.3">
      <c r="N1747" s="111"/>
      <c r="O1747" s="111"/>
      <c r="P1747" s="111"/>
      <c r="Q1747" s="111"/>
    </row>
    <row r="1748" spans="14:17" x14ac:dyDescent="0.3">
      <c r="N1748" s="111"/>
      <c r="O1748" s="111"/>
      <c r="P1748" s="111"/>
      <c r="Q1748" s="111"/>
    </row>
    <row r="1749" spans="14:17" x14ac:dyDescent="0.3">
      <c r="N1749" s="111"/>
      <c r="O1749" s="111"/>
      <c r="P1749" s="111"/>
      <c r="Q1749" s="111"/>
    </row>
    <row r="1750" spans="14:17" x14ac:dyDescent="0.3">
      <c r="N1750" s="111"/>
      <c r="O1750" s="111"/>
      <c r="P1750" s="111"/>
      <c r="Q1750" s="111"/>
    </row>
    <row r="1751" spans="14:17" x14ac:dyDescent="0.3">
      <c r="N1751" s="111"/>
      <c r="O1751" s="111"/>
      <c r="P1751" s="111"/>
      <c r="Q1751" s="111"/>
    </row>
    <row r="1752" spans="14:17" x14ac:dyDescent="0.3">
      <c r="N1752" s="111"/>
      <c r="O1752" s="111"/>
      <c r="P1752" s="111"/>
      <c r="Q1752" s="111"/>
    </row>
    <row r="1753" spans="14:17" x14ac:dyDescent="0.3">
      <c r="N1753" s="111"/>
      <c r="O1753" s="111"/>
      <c r="P1753" s="111"/>
      <c r="Q1753" s="111"/>
    </row>
    <row r="1754" spans="14:17" x14ac:dyDescent="0.3">
      <c r="N1754" s="111"/>
      <c r="O1754" s="111"/>
      <c r="P1754" s="111"/>
      <c r="Q1754" s="111"/>
    </row>
    <row r="1755" spans="14:17" x14ac:dyDescent="0.3">
      <c r="N1755" s="111"/>
      <c r="O1755" s="111"/>
      <c r="P1755" s="111"/>
      <c r="Q1755" s="111"/>
    </row>
    <row r="1756" spans="14:17" x14ac:dyDescent="0.3">
      <c r="N1756" s="111"/>
      <c r="O1756" s="111"/>
      <c r="P1756" s="111"/>
      <c r="Q1756" s="111"/>
    </row>
    <row r="1757" spans="14:17" x14ac:dyDescent="0.3">
      <c r="N1757" s="111"/>
      <c r="O1757" s="111"/>
      <c r="P1757" s="111"/>
      <c r="Q1757" s="111"/>
    </row>
    <row r="1758" spans="14:17" x14ac:dyDescent="0.3">
      <c r="N1758" s="111"/>
      <c r="O1758" s="111"/>
      <c r="P1758" s="111"/>
      <c r="Q1758" s="111"/>
    </row>
    <row r="1759" spans="14:17" x14ac:dyDescent="0.3">
      <c r="N1759" s="111"/>
      <c r="O1759" s="111"/>
      <c r="P1759" s="111"/>
      <c r="Q1759" s="111"/>
    </row>
    <row r="1760" spans="14:17" x14ac:dyDescent="0.3">
      <c r="N1760" s="111"/>
      <c r="O1760" s="111"/>
      <c r="P1760" s="111"/>
      <c r="Q1760" s="111"/>
    </row>
    <row r="1761" spans="14:17" x14ac:dyDescent="0.3">
      <c r="N1761" s="111"/>
      <c r="O1761" s="111"/>
      <c r="P1761" s="111"/>
      <c r="Q1761" s="111"/>
    </row>
    <row r="1762" spans="14:17" x14ac:dyDescent="0.3">
      <c r="N1762" s="111"/>
      <c r="O1762" s="111"/>
      <c r="P1762" s="111"/>
      <c r="Q1762" s="111"/>
    </row>
    <row r="1763" spans="14:17" x14ac:dyDescent="0.3">
      <c r="N1763" s="111"/>
      <c r="O1763" s="111"/>
      <c r="P1763" s="111"/>
      <c r="Q1763" s="111"/>
    </row>
    <row r="1764" spans="14:17" x14ac:dyDescent="0.3">
      <c r="N1764" s="111"/>
      <c r="O1764" s="111"/>
      <c r="P1764" s="111"/>
      <c r="Q1764" s="111"/>
    </row>
    <row r="1765" spans="14:17" x14ac:dyDescent="0.3">
      <c r="N1765" s="111"/>
      <c r="O1765" s="111"/>
      <c r="P1765" s="111"/>
      <c r="Q1765" s="111"/>
    </row>
    <row r="1766" spans="14:17" x14ac:dyDescent="0.3">
      <c r="N1766" s="111"/>
      <c r="O1766" s="111"/>
      <c r="P1766" s="111"/>
      <c r="Q1766" s="111"/>
    </row>
    <row r="1767" spans="14:17" x14ac:dyDescent="0.3">
      <c r="N1767" s="111"/>
      <c r="O1767" s="111"/>
      <c r="P1767" s="111"/>
      <c r="Q1767" s="111"/>
    </row>
    <row r="1768" spans="14:17" x14ac:dyDescent="0.3">
      <c r="N1768" s="111"/>
      <c r="O1768" s="111"/>
      <c r="P1768" s="111"/>
      <c r="Q1768" s="111"/>
    </row>
    <row r="1769" spans="14:17" x14ac:dyDescent="0.3">
      <c r="N1769" s="111"/>
      <c r="O1769" s="111"/>
      <c r="P1769" s="111"/>
      <c r="Q1769" s="111"/>
    </row>
    <row r="1770" spans="14:17" x14ac:dyDescent="0.3">
      <c r="N1770" s="111"/>
      <c r="O1770" s="111"/>
      <c r="P1770" s="111"/>
      <c r="Q1770" s="111"/>
    </row>
    <row r="1771" spans="14:17" x14ac:dyDescent="0.3">
      <c r="N1771" s="111"/>
      <c r="O1771" s="111"/>
      <c r="P1771" s="111"/>
      <c r="Q1771" s="111"/>
    </row>
    <row r="1772" spans="14:17" x14ac:dyDescent="0.3">
      <c r="N1772" s="111"/>
      <c r="O1772" s="111"/>
      <c r="P1772" s="111"/>
      <c r="Q1772" s="111"/>
    </row>
    <row r="1773" spans="14:17" x14ac:dyDescent="0.3">
      <c r="N1773" s="111"/>
      <c r="O1773" s="111"/>
      <c r="P1773" s="111"/>
      <c r="Q1773" s="111"/>
    </row>
    <row r="1774" spans="14:17" x14ac:dyDescent="0.3">
      <c r="N1774" s="111"/>
      <c r="O1774" s="111"/>
      <c r="P1774" s="111"/>
      <c r="Q1774" s="111"/>
    </row>
    <row r="1775" spans="14:17" x14ac:dyDescent="0.3">
      <c r="N1775" s="111"/>
      <c r="O1775" s="111"/>
      <c r="P1775" s="111"/>
      <c r="Q1775" s="111"/>
    </row>
    <row r="1776" spans="14:17" x14ac:dyDescent="0.3">
      <c r="N1776" s="111"/>
      <c r="O1776" s="111"/>
      <c r="P1776" s="111"/>
      <c r="Q1776" s="111"/>
    </row>
    <row r="1777" spans="14:17" x14ac:dyDescent="0.3">
      <c r="N1777" s="111"/>
      <c r="O1777" s="111"/>
      <c r="P1777" s="111"/>
      <c r="Q1777" s="111"/>
    </row>
    <row r="1778" spans="14:17" x14ac:dyDescent="0.3">
      <c r="N1778" s="111"/>
      <c r="O1778" s="111"/>
      <c r="P1778" s="111"/>
      <c r="Q1778" s="111"/>
    </row>
    <row r="1779" spans="14:17" x14ac:dyDescent="0.3">
      <c r="N1779" s="111"/>
      <c r="O1779" s="111"/>
      <c r="P1779" s="111"/>
      <c r="Q1779" s="111"/>
    </row>
    <row r="1780" spans="14:17" x14ac:dyDescent="0.3">
      <c r="N1780" s="111"/>
      <c r="O1780" s="111"/>
      <c r="P1780" s="111"/>
      <c r="Q1780" s="111"/>
    </row>
    <row r="1781" spans="14:17" x14ac:dyDescent="0.3">
      <c r="N1781" s="111"/>
      <c r="O1781" s="111"/>
      <c r="P1781" s="111"/>
      <c r="Q1781" s="111"/>
    </row>
    <row r="1782" spans="14:17" x14ac:dyDescent="0.3">
      <c r="N1782" s="111"/>
      <c r="O1782" s="111"/>
      <c r="P1782" s="111"/>
      <c r="Q1782" s="111"/>
    </row>
    <row r="1783" spans="14:17" x14ac:dyDescent="0.3">
      <c r="N1783" s="111"/>
      <c r="O1783" s="111"/>
      <c r="P1783" s="111"/>
      <c r="Q1783" s="111"/>
    </row>
    <row r="1784" spans="14:17" x14ac:dyDescent="0.3">
      <c r="N1784" s="111"/>
      <c r="O1784" s="111"/>
      <c r="P1784" s="111"/>
      <c r="Q1784" s="111"/>
    </row>
    <row r="1785" spans="14:17" x14ac:dyDescent="0.3">
      <c r="N1785" s="111"/>
      <c r="O1785" s="111"/>
      <c r="P1785" s="111"/>
      <c r="Q1785" s="111"/>
    </row>
    <row r="1786" spans="14:17" x14ac:dyDescent="0.3">
      <c r="N1786" s="111"/>
      <c r="O1786" s="111"/>
      <c r="P1786" s="111"/>
      <c r="Q1786" s="111"/>
    </row>
    <row r="1787" spans="14:17" x14ac:dyDescent="0.3">
      <c r="N1787" s="111"/>
      <c r="O1787" s="111"/>
      <c r="P1787" s="111"/>
      <c r="Q1787" s="111"/>
    </row>
    <row r="1788" spans="14:17" x14ac:dyDescent="0.3">
      <c r="N1788" s="111"/>
      <c r="O1788" s="111"/>
      <c r="P1788" s="111"/>
      <c r="Q1788" s="111"/>
    </row>
    <row r="1789" spans="14:17" x14ac:dyDescent="0.3">
      <c r="N1789" s="111"/>
      <c r="O1789" s="111"/>
      <c r="P1789" s="111"/>
      <c r="Q1789" s="111"/>
    </row>
    <row r="1790" spans="14:17" x14ac:dyDescent="0.3">
      <c r="N1790" s="111"/>
      <c r="O1790" s="111"/>
      <c r="P1790" s="111"/>
      <c r="Q1790" s="111"/>
    </row>
    <row r="1791" spans="14:17" x14ac:dyDescent="0.3">
      <c r="N1791" s="111"/>
      <c r="O1791" s="111"/>
      <c r="P1791" s="111"/>
      <c r="Q1791" s="111"/>
    </row>
    <row r="1792" spans="14:17" x14ac:dyDescent="0.3">
      <c r="N1792" s="111"/>
      <c r="O1792" s="111"/>
      <c r="P1792" s="111"/>
      <c r="Q1792" s="111"/>
    </row>
    <row r="1793" spans="14:17" x14ac:dyDescent="0.3">
      <c r="N1793" s="111"/>
      <c r="O1793" s="111"/>
      <c r="P1793" s="111"/>
      <c r="Q1793" s="111"/>
    </row>
    <row r="1794" spans="14:17" x14ac:dyDescent="0.3">
      <c r="N1794" s="111"/>
      <c r="O1794" s="111"/>
      <c r="P1794" s="111"/>
      <c r="Q1794" s="111"/>
    </row>
    <row r="1795" spans="14:17" x14ac:dyDescent="0.3">
      <c r="N1795" s="111"/>
      <c r="O1795" s="111"/>
      <c r="P1795" s="111"/>
      <c r="Q1795" s="111"/>
    </row>
    <row r="1796" spans="14:17" x14ac:dyDescent="0.3">
      <c r="N1796" s="111"/>
      <c r="O1796" s="111"/>
      <c r="P1796" s="111"/>
      <c r="Q1796" s="111"/>
    </row>
    <row r="1797" spans="14:17" x14ac:dyDescent="0.3">
      <c r="N1797" s="111"/>
      <c r="O1797" s="111"/>
      <c r="P1797" s="111"/>
      <c r="Q1797" s="111"/>
    </row>
    <row r="1798" spans="14:17" x14ac:dyDescent="0.3">
      <c r="N1798" s="111"/>
      <c r="O1798" s="111"/>
      <c r="P1798" s="111"/>
      <c r="Q1798" s="111"/>
    </row>
    <row r="1799" spans="14:17" x14ac:dyDescent="0.3">
      <c r="N1799" s="111"/>
      <c r="O1799" s="111"/>
      <c r="P1799" s="111"/>
      <c r="Q1799" s="111"/>
    </row>
    <row r="1800" spans="14:17" x14ac:dyDescent="0.3">
      <c r="N1800" s="111"/>
      <c r="O1800" s="111"/>
      <c r="P1800" s="111"/>
      <c r="Q1800" s="111"/>
    </row>
    <row r="1801" spans="14:17" x14ac:dyDescent="0.3">
      <c r="N1801" s="111"/>
      <c r="O1801" s="111"/>
      <c r="P1801" s="111"/>
      <c r="Q1801" s="111"/>
    </row>
    <row r="1802" spans="14:17" x14ac:dyDescent="0.3">
      <c r="N1802" s="111"/>
      <c r="O1802" s="111"/>
      <c r="P1802" s="111"/>
      <c r="Q1802" s="111"/>
    </row>
    <row r="1803" spans="14:17" x14ac:dyDescent="0.3">
      <c r="N1803" s="111"/>
      <c r="O1803" s="111"/>
      <c r="P1803" s="111"/>
      <c r="Q1803" s="111"/>
    </row>
    <row r="1804" spans="14:17" x14ac:dyDescent="0.3">
      <c r="N1804" s="111"/>
      <c r="O1804" s="111"/>
      <c r="P1804" s="111"/>
      <c r="Q1804" s="111"/>
    </row>
    <row r="1805" spans="14:17" x14ac:dyDescent="0.3">
      <c r="N1805" s="111"/>
      <c r="O1805" s="111"/>
      <c r="P1805" s="111"/>
      <c r="Q1805" s="111"/>
    </row>
    <row r="1806" spans="14:17" x14ac:dyDescent="0.3">
      <c r="N1806" s="111"/>
      <c r="O1806" s="111"/>
      <c r="P1806" s="111"/>
      <c r="Q1806" s="111"/>
    </row>
    <row r="1807" spans="14:17" x14ac:dyDescent="0.3">
      <c r="N1807" s="111"/>
      <c r="O1807" s="111"/>
      <c r="P1807" s="111"/>
      <c r="Q1807" s="111"/>
    </row>
    <row r="1808" spans="14:17" x14ac:dyDescent="0.3">
      <c r="N1808" s="111"/>
      <c r="O1808" s="111"/>
      <c r="P1808" s="111"/>
      <c r="Q1808" s="111"/>
    </row>
    <row r="1809" spans="14:17" x14ac:dyDescent="0.3">
      <c r="N1809" s="111"/>
      <c r="O1809" s="111"/>
      <c r="P1809" s="111"/>
      <c r="Q1809" s="111"/>
    </row>
    <row r="1810" spans="14:17" x14ac:dyDescent="0.3">
      <c r="N1810" s="111"/>
      <c r="O1810" s="111"/>
      <c r="P1810" s="111"/>
      <c r="Q1810" s="111"/>
    </row>
    <row r="1811" spans="14:17" x14ac:dyDescent="0.3">
      <c r="N1811" s="111"/>
      <c r="O1811" s="111"/>
      <c r="P1811" s="111"/>
      <c r="Q1811" s="111"/>
    </row>
    <row r="1812" spans="14:17" x14ac:dyDescent="0.3">
      <c r="N1812" s="111"/>
      <c r="O1812" s="111"/>
      <c r="P1812" s="111"/>
      <c r="Q1812" s="111"/>
    </row>
    <row r="1813" spans="14:17" x14ac:dyDescent="0.3">
      <c r="N1813" s="111"/>
      <c r="O1813" s="111"/>
      <c r="P1813" s="111"/>
      <c r="Q1813" s="111"/>
    </row>
    <row r="1814" spans="14:17" x14ac:dyDescent="0.3">
      <c r="N1814" s="111"/>
      <c r="O1814" s="111"/>
      <c r="P1814" s="111"/>
      <c r="Q1814" s="111"/>
    </row>
    <row r="1815" spans="14:17" x14ac:dyDescent="0.3">
      <c r="N1815" s="111"/>
      <c r="O1815" s="111"/>
      <c r="P1815" s="111"/>
      <c r="Q1815" s="111"/>
    </row>
    <row r="1816" spans="14:17" x14ac:dyDescent="0.3">
      <c r="N1816" s="111"/>
      <c r="O1816" s="111"/>
      <c r="P1816" s="111"/>
      <c r="Q1816" s="111"/>
    </row>
    <row r="1817" spans="14:17" x14ac:dyDescent="0.3">
      <c r="N1817" s="111"/>
      <c r="O1817" s="111"/>
      <c r="P1817" s="111"/>
      <c r="Q1817" s="111"/>
    </row>
    <row r="1818" spans="14:17" x14ac:dyDescent="0.3">
      <c r="N1818" s="111"/>
      <c r="O1818" s="111"/>
      <c r="P1818" s="111"/>
      <c r="Q1818" s="111"/>
    </row>
    <row r="1819" spans="14:17" x14ac:dyDescent="0.3">
      <c r="N1819" s="111"/>
      <c r="O1819" s="111"/>
      <c r="P1819" s="111"/>
      <c r="Q1819" s="111"/>
    </row>
    <row r="1820" spans="14:17" x14ac:dyDescent="0.3">
      <c r="N1820" s="111"/>
      <c r="O1820" s="111"/>
      <c r="P1820" s="111"/>
      <c r="Q1820" s="111"/>
    </row>
    <row r="1821" spans="14:17" x14ac:dyDescent="0.3">
      <c r="N1821" s="111"/>
      <c r="O1821" s="111"/>
      <c r="P1821" s="111"/>
      <c r="Q1821" s="111"/>
    </row>
    <row r="1822" spans="14:17" x14ac:dyDescent="0.3">
      <c r="N1822" s="111"/>
      <c r="O1822" s="111"/>
      <c r="P1822" s="111"/>
      <c r="Q1822" s="111"/>
    </row>
    <row r="1823" spans="14:17" x14ac:dyDescent="0.3">
      <c r="N1823" s="111"/>
      <c r="O1823" s="111"/>
      <c r="P1823" s="111"/>
      <c r="Q1823" s="111"/>
    </row>
    <row r="1824" spans="14:17" x14ac:dyDescent="0.3">
      <c r="N1824" s="111"/>
      <c r="O1824" s="111"/>
      <c r="P1824" s="111"/>
      <c r="Q1824" s="111"/>
    </row>
    <row r="1825" spans="14:17" x14ac:dyDescent="0.3">
      <c r="N1825" s="111"/>
      <c r="O1825" s="111"/>
      <c r="P1825" s="111"/>
      <c r="Q1825" s="111"/>
    </row>
    <row r="1826" spans="14:17" x14ac:dyDescent="0.3">
      <c r="N1826" s="111"/>
      <c r="O1826" s="111"/>
      <c r="P1826" s="111"/>
      <c r="Q1826" s="111"/>
    </row>
    <row r="1827" spans="14:17" x14ac:dyDescent="0.3">
      <c r="N1827" s="111"/>
      <c r="O1827" s="111"/>
      <c r="P1827" s="111"/>
      <c r="Q1827" s="111"/>
    </row>
    <row r="1828" spans="14:17" x14ac:dyDescent="0.3">
      <c r="N1828" s="111"/>
      <c r="O1828" s="111"/>
      <c r="P1828" s="111"/>
      <c r="Q1828" s="111"/>
    </row>
    <row r="1829" spans="14:17" x14ac:dyDescent="0.3">
      <c r="N1829" s="111"/>
      <c r="O1829" s="111"/>
      <c r="P1829" s="111"/>
      <c r="Q1829" s="111"/>
    </row>
    <row r="1830" spans="14:17" x14ac:dyDescent="0.3">
      <c r="N1830" s="111"/>
      <c r="O1830" s="111"/>
      <c r="P1830" s="111"/>
      <c r="Q1830" s="111"/>
    </row>
    <row r="1831" spans="14:17" x14ac:dyDescent="0.3">
      <c r="N1831" s="111"/>
      <c r="O1831" s="111"/>
      <c r="P1831" s="111"/>
      <c r="Q1831" s="111"/>
    </row>
    <row r="1832" spans="14:17" x14ac:dyDescent="0.3">
      <c r="N1832" s="111"/>
      <c r="O1832" s="111"/>
      <c r="P1832" s="111"/>
      <c r="Q1832" s="111"/>
    </row>
    <row r="1833" spans="14:17" x14ac:dyDescent="0.3">
      <c r="N1833" s="111"/>
      <c r="O1833" s="111"/>
      <c r="P1833" s="111"/>
      <c r="Q1833" s="111"/>
    </row>
    <row r="1834" spans="14:17" x14ac:dyDescent="0.3">
      <c r="N1834" s="111"/>
      <c r="O1834" s="111"/>
      <c r="P1834" s="111"/>
      <c r="Q1834" s="111"/>
    </row>
    <row r="1835" spans="14:17" x14ac:dyDescent="0.3">
      <c r="N1835" s="111"/>
      <c r="O1835" s="111"/>
      <c r="P1835" s="111"/>
      <c r="Q1835" s="111"/>
    </row>
    <row r="1836" spans="14:17" x14ac:dyDescent="0.3">
      <c r="N1836" s="111"/>
      <c r="O1836" s="111"/>
      <c r="P1836" s="111"/>
      <c r="Q1836" s="111"/>
    </row>
    <row r="1837" spans="14:17" x14ac:dyDescent="0.3">
      <c r="N1837" s="111"/>
      <c r="O1837" s="111"/>
      <c r="P1837" s="111"/>
      <c r="Q1837" s="111"/>
    </row>
    <row r="1838" spans="14:17" x14ac:dyDescent="0.3">
      <c r="N1838" s="111"/>
      <c r="O1838" s="111"/>
      <c r="P1838" s="111"/>
      <c r="Q1838" s="111"/>
    </row>
    <row r="1839" spans="14:17" x14ac:dyDescent="0.3">
      <c r="N1839" s="111"/>
      <c r="O1839" s="111"/>
      <c r="P1839" s="111"/>
      <c r="Q1839" s="111"/>
    </row>
    <row r="1840" spans="14:17" x14ac:dyDescent="0.3">
      <c r="N1840" s="111"/>
      <c r="O1840" s="111"/>
      <c r="P1840" s="111"/>
      <c r="Q1840" s="111"/>
    </row>
    <row r="1841" spans="14:17" x14ac:dyDescent="0.3">
      <c r="N1841" s="111"/>
      <c r="O1841" s="111"/>
      <c r="P1841" s="111"/>
      <c r="Q1841" s="111"/>
    </row>
    <row r="1842" spans="14:17" x14ac:dyDescent="0.3">
      <c r="N1842" s="111"/>
      <c r="O1842" s="111"/>
      <c r="P1842" s="111"/>
      <c r="Q1842" s="111"/>
    </row>
    <row r="1843" spans="14:17" x14ac:dyDescent="0.3">
      <c r="N1843" s="111"/>
      <c r="O1843" s="111"/>
      <c r="P1843" s="111"/>
      <c r="Q1843" s="111"/>
    </row>
    <row r="1844" spans="14:17" x14ac:dyDescent="0.3">
      <c r="N1844" s="111"/>
      <c r="O1844" s="111"/>
      <c r="P1844" s="111"/>
      <c r="Q1844" s="111"/>
    </row>
    <row r="1845" spans="14:17" x14ac:dyDescent="0.3">
      <c r="N1845" s="111"/>
      <c r="O1845" s="111"/>
      <c r="P1845" s="111"/>
      <c r="Q1845" s="111"/>
    </row>
    <row r="1846" spans="14:17" x14ac:dyDescent="0.3">
      <c r="N1846" s="111"/>
      <c r="O1846" s="111"/>
      <c r="P1846" s="111"/>
      <c r="Q1846" s="111"/>
    </row>
    <row r="1847" spans="14:17" x14ac:dyDescent="0.3">
      <c r="N1847" s="111"/>
      <c r="O1847" s="111"/>
      <c r="P1847" s="111"/>
      <c r="Q1847" s="111"/>
    </row>
    <row r="1848" spans="14:17" x14ac:dyDescent="0.3">
      <c r="N1848" s="111"/>
      <c r="O1848" s="111"/>
      <c r="P1848" s="111"/>
      <c r="Q1848" s="111"/>
    </row>
    <row r="1849" spans="14:17" x14ac:dyDescent="0.3">
      <c r="N1849" s="111"/>
      <c r="O1849" s="111"/>
      <c r="P1849" s="111"/>
      <c r="Q1849" s="111"/>
    </row>
    <row r="1850" spans="14:17" x14ac:dyDescent="0.3">
      <c r="N1850" s="111"/>
      <c r="O1850" s="111"/>
      <c r="P1850" s="111"/>
      <c r="Q1850" s="111"/>
    </row>
    <row r="1851" spans="14:17" x14ac:dyDescent="0.3">
      <c r="N1851" s="111"/>
      <c r="O1851" s="111"/>
      <c r="P1851" s="111"/>
      <c r="Q1851" s="111"/>
    </row>
    <row r="1852" spans="14:17" x14ac:dyDescent="0.3">
      <c r="N1852" s="111"/>
      <c r="O1852" s="111"/>
      <c r="P1852" s="111"/>
      <c r="Q1852" s="111"/>
    </row>
    <row r="1853" spans="14:17" x14ac:dyDescent="0.3">
      <c r="N1853" s="111"/>
      <c r="O1853" s="111"/>
      <c r="P1853" s="111"/>
      <c r="Q1853" s="111"/>
    </row>
    <row r="1854" spans="14:17" x14ac:dyDescent="0.3">
      <c r="N1854" s="111"/>
      <c r="O1854" s="111"/>
      <c r="P1854" s="111"/>
      <c r="Q1854" s="111"/>
    </row>
    <row r="1855" spans="14:17" x14ac:dyDescent="0.3">
      <c r="N1855" s="111"/>
      <c r="O1855" s="111"/>
      <c r="P1855" s="111"/>
      <c r="Q1855" s="111"/>
    </row>
    <row r="1856" spans="14:17" x14ac:dyDescent="0.3">
      <c r="N1856" s="111"/>
      <c r="O1856" s="111"/>
      <c r="P1856" s="111"/>
      <c r="Q1856" s="111"/>
    </row>
    <row r="1857" spans="14:17" x14ac:dyDescent="0.3">
      <c r="N1857" s="111"/>
      <c r="O1857" s="111"/>
      <c r="P1857" s="111"/>
      <c r="Q1857" s="111"/>
    </row>
    <row r="1858" spans="14:17" x14ac:dyDescent="0.3">
      <c r="N1858" s="111"/>
      <c r="O1858" s="111"/>
      <c r="P1858" s="111"/>
      <c r="Q1858" s="111"/>
    </row>
    <row r="1859" spans="14:17" x14ac:dyDescent="0.3">
      <c r="N1859" s="111"/>
      <c r="O1859" s="111"/>
      <c r="P1859" s="111"/>
      <c r="Q1859" s="111"/>
    </row>
    <row r="1860" spans="14:17" x14ac:dyDescent="0.3">
      <c r="N1860" s="111"/>
      <c r="O1860" s="111"/>
      <c r="P1860" s="111"/>
      <c r="Q1860" s="111"/>
    </row>
    <row r="1861" spans="14:17" x14ac:dyDescent="0.3">
      <c r="N1861" s="111"/>
      <c r="O1861" s="111"/>
      <c r="P1861" s="111"/>
      <c r="Q1861" s="111"/>
    </row>
    <row r="1862" spans="14:17" x14ac:dyDescent="0.3">
      <c r="N1862" s="111"/>
      <c r="O1862" s="111"/>
      <c r="P1862" s="111"/>
      <c r="Q1862" s="111"/>
    </row>
    <row r="1863" spans="14:17" x14ac:dyDescent="0.3">
      <c r="N1863" s="111"/>
      <c r="O1863" s="111"/>
      <c r="P1863" s="111"/>
      <c r="Q1863" s="111"/>
    </row>
    <row r="1864" spans="14:17" x14ac:dyDescent="0.3">
      <c r="N1864" s="111"/>
      <c r="O1864" s="111"/>
      <c r="P1864" s="111"/>
      <c r="Q1864" s="111"/>
    </row>
    <row r="1865" spans="14:17" x14ac:dyDescent="0.3">
      <c r="N1865" s="111"/>
      <c r="O1865" s="111"/>
      <c r="P1865" s="111"/>
      <c r="Q1865" s="111"/>
    </row>
    <row r="1866" spans="14:17" x14ac:dyDescent="0.3">
      <c r="N1866" s="111"/>
      <c r="O1866" s="111"/>
      <c r="P1866" s="111"/>
      <c r="Q1866" s="111"/>
    </row>
    <row r="1867" spans="14:17" x14ac:dyDescent="0.3">
      <c r="N1867" s="111"/>
      <c r="O1867" s="111"/>
      <c r="P1867" s="111"/>
      <c r="Q1867" s="111"/>
    </row>
    <row r="1868" spans="14:17" x14ac:dyDescent="0.3">
      <c r="N1868" s="111"/>
      <c r="O1868" s="111"/>
      <c r="P1868" s="111"/>
      <c r="Q1868" s="111"/>
    </row>
    <row r="1869" spans="14:17" x14ac:dyDescent="0.3">
      <c r="N1869" s="111"/>
      <c r="O1869" s="111"/>
      <c r="P1869" s="111"/>
      <c r="Q1869" s="111"/>
    </row>
    <row r="1870" spans="14:17" x14ac:dyDescent="0.3">
      <c r="N1870" s="111"/>
      <c r="O1870" s="111"/>
      <c r="P1870" s="111"/>
      <c r="Q1870" s="111"/>
    </row>
    <row r="1871" spans="14:17" x14ac:dyDescent="0.3">
      <c r="N1871" s="111"/>
      <c r="O1871" s="111"/>
      <c r="P1871" s="111"/>
      <c r="Q1871" s="111"/>
    </row>
    <row r="1872" spans="14:17" x14ac:dyDescent="0.3">
      <c r="N1872" s="111"/>
      <c r="O1872" s="111"/>
      <c r="P1872" s="111"/>
      <c r="Q1872" s="111"/>
    </row>
    <row r="1873" spans="14:17" x14ac:dyDescent="0.3">
      <c r="N1873" s="111"/>
      <c r="O1873" s="111"/>
      <c r="P1873" s="111"/>
      <c r="Q1873" s="111"/>
    </row>
    <row r="1874" spans="14:17" x14ac:dyDescent="0.3">
      <c r="N1874" s="111"/>
      <c r="O1874" s="111"/>
      <c r="P1874" s="111"/>
      <c r="Q1874" s="111"/>
    </row>
    <row r="1875" spans="14:17" x14ac:dyDescent="0.3">
      <c r="N1875" s="111"/>
      <c r="O1875" s="111"/>
      <c r="P1875" s="111"/>
      <c r="Q1875" s="111"/>
    </row>
    <row r="1876" spans="14:17" x14ac:dyDescent="0.3">
      <c r="N1876" s="111"/>
      <c r="O1876" s="111"/>
      <c r="P1876" s="111"/>
      <c r="Q1876" s="111"/>
    </row>
    <row r="1877" spans="14:17" x14ac:dyDescent="0.3">
      <c r="N1877" s="111"/>
      <c r="O1877" s="111"/>
      <c r="P1877" s="111"/>
      <c r="Q1877" s="111"/>
    </row>
    <row r="1878" spans="14:17" x14ac:dyDescent="0.3">
      <c r="N1878" s="111"/>
      <c r="O1878" s="111"/>
      <c r="P1878" s="111"/>
      <c r="Q1878" s="111"/>
    </row>
    <row r="1879" spans="14:17" x14ac:dyDescent="0.3">
      <c r="N1879" s="111"/>
      <c r="O1879" s="111"/>
      <c r="P1879" s="111"/>
      <c r="Q1879" s="111"/>
    </row>
    <row r="1880" spans="14:17" x14ac:dyDescent="0.3">
      <c r="N1880" s="111"/>
      <c r="O1880" s="111"/>
      <c r="P1880" s="111"/>
      <c r="Q1880" s="111"/>
    </row>
    <row r="1881" spans="14:17" x14ac:dyDescent="0.3">
      <c r="N1881" s="111"/>
      <c r="O1881" s="111"/>
      <c r="P1881" s="111"/>
      <c r="Q1881" s="111"/>
    </row>
    <row r="1882" spans="14:17" x14ac:dyDescent="0.3">
      <c r="N1882" s="111"/>
      <c r="O1882" s="111"/>
      <c r="P1882" s="111"/>
      <c r="Q1882" s="111"/>
    </row>
    <row r="1883" spans="14:17" x14ac:dyDescent="0.3">
      <c r="N1883" s="111"/>
      <c r="O1883" s="111"/>
      <c r="P1883" s="111"/>
      <c r="Q1883" s="111"/>
    </row>
    <row r="1884" spans="14:17" x14ac:dyDescent="0.3">
      <c r="N1884" s="111"/>
      <c r="O1884" s="111"/>
      <c r="P1884" s="111"/>
      <c r="Q1884" s="111"/>
    </row>
    <row r="1885" spans="14:17" x14ac:dyDescent="0.3">
      <c r="N1885" s="111"/>
      <c r="O1885" s="111"/>
      <c r="P1885" s="111"/>
      <c r="Q1885" s="111"/>
    </row>
    <row r="1886" spans="14:17" x14ac:dyDescent="0.3">
      <c r="N1886" s="111"/>
      <c r="O1886" s="111"/>
      <c r="P1886" s="111"/>
      <c r="Q1886" s="111"/>
    </row>
    <row r="1887" spans="14:17" x14ac:dyDescent="0.3">
      <c r="N1887" s="111"/>
      <c r="O1887" s="111"/>
      <c r="P1887" s="111"/>
      <c r="Q1887" s="111"/>
    </row>
    <row r="1888" spans="14:17" x14ac:dyDescent="0.3">
      <c r="N1888" s="111"/>
      <c r="O1888" s="111"/>
      <c r="P1888" s="111"/>
      <c r="Q1888" s="111"/>
    </row>
    <row r="1889" spans="14:17" x14ac:dyDescent="0.3">
      <c r="N1889" s="111"/>
      <c r="O1889" s="111"/>
      <c r="P1889" s="111"/>
      <c r="Q1889" s="111"/>
    </row>
    <row r="1890" spans="14:17" x14ac:dyDescent="0.3">
      <c r="N1890" s="111"/>
      <c r="O1890" s="111"/>
      <c r="P1890" s="111"/>
      <c r="Q1890" s="111"/>
    </row>
    <row r="1891" spans="14:17" x14ac:dyDescent="0.3">
      <c r="N1891" s="111"/>
      <c r="O1891" s="111"/>
      <c r="P1891" s="111"/>
      <c r="Q1891" s="111"/>
    </row>
    <row r="1892" spans="14:17" x14ac:dyDescent="0.3">
      <c r="N1892" s="111"/>
      <c r="O1892" s="111"/>
      <c r="P1892" s="111"/>
      <c r="Q1892" s="111"/>
    </row>
    <row r="1893" spans="14:17" x14ac:dyDescent="0.3">
      <c r="N1893" s="111"/>
      <c r="O1893" s="111"/>
      <c r="P1893" s="111"/>
      <c r="Q1893" s="111"/>
    </row>
    <row r="1894" spans="14:17" x14ac:dyDescent="0.3">
      <c r="N1894" s="111"/>
      <c r="O1894" s="111"/>
      <c r="P1894" s="111"/>
      <c r="Q1894" s="111"/>
    </row>
    <row r="1895" spans="14:17" x14ac:dyDescent="0.3">
      <c r="N1895" s="111"/>
      <c r="O1895" s="111"/>
      <c r="P1895" s="111"/>
      <c r="Q1895" s="111"/>
    </row>
    <row r="1896" spans="14:17" x14ac:dyDescent="0.3">
      <c r="N1896" s="111"/>
      <c r="O1896" s="111"/>
      <c r="P1896" s="111"/>
      <c r="Q1896" s="111"/>
    </row>
    <row r="1897" spans="14:17" x14ac:dyDescent="0.3">
      <c r="N1897" s="111"/>
      <c r="O1897" s="111"/>
      <c r="P1897" s="111"/>
      <c r="Q1897" s="111"/>
    </row>
    <row r="1898" spans="14:17" x14ac:dyDescent="0.3">
      <c r="N1898" s="111"/>
      <c r="O1898" s="111"/>
      <c r="P1898" s="111"/>
      <c r="Q1898" s="111"/>
    </row>
    <row r="1899" spans="14:17" x14ac:dyDescent="0.3">
      <c r="N1899" s="111"/>
      <c r="O1899" s="111"/>
      <c r="P1899" s="111"/>
      <c r="Q1899" s="111"/>
    </row>
    <row r="1900" spans="14:17" x14ac:dyDescent="0.3">
      <c r="N1900" s="111"/>
      <c r="O1900" s="111"/>
      <c r="P1900" s="111"/>
      <c r="Q1900" s="111"/>
    </row>
    <row r="1901" spans="14:17" x14ac:dyDescent="0.3">
      <c r="N1901" s="111"/>
      <c r="O1901" s="111"/>
      <c r="P1901" s="111"/>
      <c r="Q1901" s="111"/>
    </row>
    <row r="1902" spans="14:17" x14ac:dyDescent="0.3">
      <c r="N1902" s="111"/>
      <c r="O1902" s="111"/>
      <c r="P1902" s="111"/>
      <c r="Q1902" s="111"/>
    </row>
    <row r="1903" spans="14:17" x14ac:dyDescent="0.3">
      <c r="N1903" s="111"/>
      <c r="O1903" s="111"/>
      <c r="P1903" s="111"/>
      <c r="Q1903" s="111"/>
    </row>
    <row r="1904" spans="14:17" x14ac:dyDescent="0.3">
      <c r="N1904" s="111"/>
      <c r="O1904" s="111"/>
      <c r="P1904" s="111"/>
      <c r="Q1904" s="111"/>
    </row>
    <row r="1905" spans="14:17" x14ac:dyDescent="0.3">
      <c r="N1905" s="111"/>
      <c r="O1905" s="111"/>
      <c r="P1905" s="111"/>
      <c r="Q1905" s="111"/>
    </row>
    <row r="1906" spans="14:17" x14ac:dyDescent="0.3">
      <c r="N1906" s="111"/>
      <c r="O1906" s="111"/>
      <c r="P1906" s="111"/>
      <c r="Q1906" s="111"/>
    </row>
    <row r="1907" spans="14:17" x14ac:dyDescent="0.3">
      <c r="N1907" s="111"/>
      <c r="O1907" s="111"/>
      <c r="P1907" s="111"/>
      <c r="Q1907" s="111"/>
    </row>
    <row r="1908" spans="14:17" x14ac:dyDescent="0.3">
      <c r="N1908" s="111"/>
      <c r="O1908" s="111"/>
      <c r="P1908" s="111"/>
      <c r="Q1908" s="111"/>
    </row>
    <row r="1909" spans="14:17" x14ac:dyDescent="0.3">
      <c r="N1909" s="111"/>
      <c r="O1909" s="111"/>
      <c r="P1909" s="111"/>
      <c r="Q1909" s="111"/>
    </row>
    <row r="1910" spans="14:17" x14ac:dyDescent="0.3">
      <c r="N1910" s="111"/>
      <c r="O1910" s="111"/>
      <c r="P1910" s="111"/>
      <c r="Q1910" s="111"/>
    </row>
    <row r="1911" spans="14:17" x14ac:dyDescent="0.3">
      <c r="N1911" s="111"/>
      <c r="O1911" s="111"/>
      <c r="P1911" s="111"/>
      <c r="Q1911" s="111"/>
    </row>
    <row r="1912" spans="14:17" x14ac:dyDescent="0.3">
      <c r="N1912" s="111"/>
      <c r="O1912" s="111"/>
      <c r="P1912" s="111"/>
      <c r="Q1912" s="111"/>
    </row>
    <row r="1913" spans="14:17" x14ac:dyDescent="0.3">
      <c r="N1913" s="111"/>
      <c r="O1913" s="111"/>
      <c r="P1913" s="111"/>
      <c r="Q1913" s="111"/>
    </row>
    <row r="1914" spans="14:17" x14ac:dyDescent="0.3">
      <c r="N1914" s="111"/>
      <c r="O1914" s="111"/>
      <c r="P1914" s="111"/>
      <c r="Q1914" s="111"/>
    </row>
    <row r="1915" spans="14:17" x14ac:dyDescent="0.3">
      <c r="N1915" s="111"/>
      <c r="O1915" s="111"/>
      <c r="P1915" s="111"/>
      <c r="Q1915" s="111"/>
    </row>
    <row r="1916" spans="14:17" x14ac:dyDescent="0.3">
      <c r="N1916" s="111"/>
      <c r="O1916" s="111"/>
      <c r="P1916" s="111"/>
      <c r="Q1916" s="111"/>
    </row>
    <row r="1917" spans="14:17" x14ac:dyDescent="0.3">
      <c r="N1917" s="111"/>
      <c r="O1917" s="111"/>
      <c r="P1917" s="111"/>
      <c r="Q1917" s="111"/>
    </row>
    <row r="1918" spans="14:17" x14ac:dyDescent="0.3">
      <c r="N1918" s="111"/>
      <c r="O1918" s="111"/>
      <c r="P1918" s="111"/>
      <c r="Q1918" s="111"/>
    </row>
    <row r="1919" spans="14:17" x14ac:dyDescent="0.3">
      <c r="N1919" s="111"/>
      <c r="O1919" s="111"/>
      <c r="P1919" s="111"/>
      <c r="Q1919" s="111"/>
    </row>
    <row r="1920" spans="14:17" x14ac:dyDescent="0.3">
      <c r="N1920" s="111"/>
      <c r="O1920" s="111"/>
      <c r="P1920" s="111"/>
      <c r="Q1920" s="111"/>
    </row>
    <row r="1921" spans="14:17" x14ac:dyDescent="0.3">
      <c r="N1921" s="111"/>
      <c r="O1921" s="111"/>
      <c r="P1921" s="111"/>
      <c r="Q1921" s="111"/>
    </row>
    <row r="1922" spans="14:17" x14ac:dyDescent="0.3">
      <c r="N1922" s="111"/>
      <c r="O1922" s="111"/>
      <c r="P1922" s="111"/>
      <c r="Q1922" s="111"/>
    </row>
    <row r="1923" spans="14:17" x14ac:dyDescent="0.3">
      <c r="N1923" s="111"/>
      <c r="O1923" s="111"/>
      <c r="P1923" s="111"/>
      <c r="Q1923" s="111"/>
    </row>
    <row r="1924" spans="14:17" x14ac:dyDescent="0.3">
      <c r="N1924" s="111"/>
      <c r="O1924" s="111"/>
      <c r="P1924" s="111"/>
      <c r="Q1924" s="111"/>
    </row>
    <row r="1925" spans="14:17" x14ac:dyDescent="0.3">
      <c r="N1925" s="111"/>
      <c r="O1925" s="111"/>
      <c r="P1925" s="111"/>
      <c r="Q1925" s="111"/>
    </row>
    <row r="1926" spans="14:17" x14ac:dyDescent="0.3">
      <c r="N1926" s="111"/>
      <c r="O1926" s="111"/>
      <c r="P1926" s="111"/>
      <c r="Q1926" s="111"/>
    </row>
    <row r="1927" spans="14:17" x14ac:dyDescent="0.3">
      <c r="N1927" s="111"/>
      <c r="O1927" s="111"/>
      <c r="P1927" s="111"/>
      <c r="Q1927" s="111"/>
    </row>
    <row r="1928" spans="14:17" x14ac:dyDescent="0.3">
      <c r="N1928" s="111"/>
      <c r="O1928" s="111"/>
      <c r="P1928" s="111"/>
      <c r="Q1928" s="111"/>
    </row>
    <row r="1929" spans="14:17" x14ac:dyDescent="0.3">
      <c r="N1929" s="111"/>
      <c r="O1929" s="111"/>
      <c r="P1929" s="111"/>
      <c r="Q1929" s="111"/>
    </row>
    <row r="1930" spans="14:17" x14ac:dyDescent="0.3">
      <c r="N1930" s="111"/>
      <c r="O1930" s="111"/>
      <c r="P1930" s="111"/>
      <c r="Q1930" s="111"/>
    </row>
    <row r="1931" spans="14:17" x14ac:dyDescent="0.3">
      <c r="N1931" s="111"/>
      <c r="O1931" s="111"/>
      <c r="P1931" s="111"/>
      <c r="Q1931" s="111"/>
    </row>
    <row r="1932" spans="14:17" x14ac:dyDescent="0.3">
      <c r="N1932" s="111"/>
      <c r="O1932" s="111"/>
      <c r="P1932" s="111"/>
      <c r="Q1932" s="111"/>
    </row>
    <row r="1933" spans="14:17" x14ac:dyDescent="0.3">
      <c r="N1933" s="111"/>
      <c r="O1933" s="111"/>
      <c r="P1933" s="111"/>
      <c r="Q1933" s="111"/>
    </row>
    <row r="1934" spans="14:17" x14ac:dyDescent="0.3">
      <c r="N1934" s="111"/>
      <c r="O1934" s="111"/>
      <c r="P1934" s="111"/>
      <c r="Q1934" s="111"/>
    </row>
    <row r="1935" spans="14:17" x14ac:dyDescent="0.3">
      <c r="N1935" s="111"/>
      <c r="O1935" s="111"/>
      <c r="P1935" s="111"/>
      <c r="Q1935" s="111"/>
    </row>
    <row r="1936" spans="14:17" x14ac:dyDescent="0.3">
      <c r="N1936" s="111"/>
      <c r="O1936" s="111"/>
      <c r="P1936" s="111"/>
      <c r="Q1936" s="111"/>
    </row>
    <row r="1937" spans="14:17" x14ac:dyDescent="0.3">
      <c r="N1937" s="111"/>
      <c r="O1937" s="111"/>
      <c r="P1937" s="111"/>
      <c r="Q1937" s="111"/>
    </row>
    <row r="1938" spans="14:17" x14ac:dyDescent="0.3">
      <c r="N1938" s="111"/>
      <c r="O1938" s="111"/>
      <c r="P1938" s="111"/>
      <c r="Q1938" s="111"/>
    </row>
    <row r="1939" spans="14:17" x14ac:dyDescent="0.3">
      <c r="N1939" s="111"/>
      <c r="O1939" s="111"/>
      <c r="P1939" s="111"/>
      <c r="Q1939" s="111"/>
    </row>
    <row r="1940" spans="14:17" x14ac:dyDescent="0.3">
      <c r="N1940" s="111"/>
      <c r="O1940" s="111"/>
      <c r="P1940" s="111"/>
      <c r="Q1940" s="111"/>
    </row>
    <row r="1941" spans="14:17" x14ac:dyDescent="0.3">
      <c r="N1941" s="111"/>
      <c r="O1941" s="111"/>
      <c r="P1941" s="111"/>
      <c r="Q1941" s="111"/>
    </row>
    <row r="1942" spans="14:17" x14ac:dyDescent="0.3">
      <c r="N1942" s="111"/>
      <c r="O1942" s="111"/>
      <c r="P1942" s="111"/>
      <c r="Q1942" s="111"/>
    </row>
    <row r="1943" spans="14:17" x14ac:dyDescent="0.3">
      <c r="N1943" s="111"/>
      <c r="O1943" s="111"/>
      <c r="P1943" s="111"/>
      <c r="Q1943" s="111"/>
    </row>
    <row r="1944" spans="14:17" x14ac:dyDescent="0.3">
      <c r="N1944" s="111"/>
      <c r="O1944" s="111"/>
      <c r="P1944" s="111"/>
      <c r="Q1944" s="111"/>
    </row>
    <row r="1945" spans="14:17" x14ac:dyDescent="0.3">
      <c r="N1945" s="111"/>
      <c r="O1945" s="111"/>
      <c r="P1945" s="111"/>
      <c r="Q1945" s="111"/>
    </row>
    <row r="1946" spans="14:17" x14ac:dyDescent="0.3">
      <c r="N1946" s="111"/>
      <c r="O1946" s="111"/>
      <c r="P1946" s="111"/>
      <c r="Q1946" s="111"/>
    </row>
    <row r="1947" spans="14:17" x14ac:dyDescent="0.3">
      <c r="N1947" s="111"/>
      <c r="O1947" s="111"/>
      <c r="P1947" s="111"/>
      <c r="Q1947" s="111"/>
    </row>
    <row r="1948" spans="14:17" x14ac:dyDescent="0.3">
      <c r="N1948" s="111"/>
      <c r="O1948" s="111"/>
      <c r="P1948" s="111"/>
      <c r="Q1948" s="111"/>
    </row>
    <row r="1949" spans="14:17" x14ac:dyDescent="0.3">
      <c r="N1949" s="111"/>
      <c r="O1949" s="111"/>
      <c r="P1949" s="111"/>
      <c r="Q1949" s="111"/>
    </row>
    <row r="1950" spans="14:17" x14ac:dyDescent="0.3">
      <c r="N1950" s="111"/>
      <c r="O1950" s="111"/>
      <c r="P1950" s="111"/>
      <c r="Q1950" s="111"/>
    </row>
    <row r="1951" spans="14:17" x14ac:dyDescent="0.3">
      <c r="N1951" s="111"/>
      <c r="O1951" s="111"/>
      <c r="P1951" s="111"/>
      <c r="Q1951" s="111"/>
    </row>
    <row r="1952" spans="14:17" x14ac:dyDescent="0.3">
      <c r="N1952" s="111"/>
      <c r="O1952" s="111"/>
      <c r="P1952" s="111"/>
      <c r="Q1952" s="111"/>
    </row>
    <row r="1953" spans="14:17" x14ac:dyDescent="0.3">
      <c r="N1953" s="111"/>
      <c r="O1953" s="111"/>
      <c r="P1953" s="111"/>
      <c r="Q1953" s="111"/>
    </row>
    <row r="1954" spans="14:17" x14ac:dyDescent="0.3">
      <c r="N1954" s="111"/>
      <c r="O1954" s="111"/>
      <c r="P1954" s="111"/>
      <c r="Q1954" s="111"/>
    </row>
    <row r="1955" spans="14:17" x14ac:dyDescent="0.3">
      <c r="N1955" s="111"/>
      <c r="O1955" s="111"/>
      <c r="P1955" s="111"/>
      <c r="Q1955" s="111"/>
    </row>
    <row r="1956" spans="14:17" x14ac:dyDescent="0.3">
      <c r="N1956" s="111"/>
      <c r="O1956" s="111"/>
      <c r="P1956" s="111"/>
      <c r="Q1956" s="111"/>
    </row>
    <row r="1957" spans="14:17" x14ac:dyDescent="0.3">
      <c r="N1957" s="111"/>
      <c r="O1957" s="111"/>
      <c r="P1957" s="111"/>
      <c r="Q1957" s="111"/>
    </row>
    <row r="1958" spans="14:17" x14ac:dyDescent="0.3">
      <c r="N1958" s="111"/>
      <c r="O1958" s="111"/>
      <c r="P1958" s="111"/>
      <c r="Q1958" s="111"/>
    </row>
    <row r="1959" spans="14:17" x14ac:dyDescent="0.3">
      <c r="N1959" s="111"/>
      <c r="O1959" s="111"/>
      <c r="P1959" s="111"/>
      <c r="Q1959" s="111"/>
    </row>
    <row r="1960" spans="14:17" x14ac:dyDescent="0.3">
      <c r="N1960" s="111"/>
      <c r="O1960" s="111"/>
      <c r="P1960" s="111"/>
      <c r="Q1960" s="111"/>
    </row>
    <row r="1961" spans="14:17" x14ac:dyDescent="0.3">
      <c r="N1961" s="111"/>
      <c r="O1961" s="111"/>
      <c r="P1961" s="111"/>
      <c r="Q1961" s="111"/>
    </row>
    <row r="1962" spans="14:17" x14ac:dyDescent="0.3">
      <c r="N1962" s="111"/>
      <c r="O1962" s="111"/>
      <c r="P1962" s="111"/>
      <c r="Q1962" s="111"/>
    </row>
    <row r="1963" spans="14:17" x14ac:dyDescent="0.3">
      <c r="N1963" s="111"/>
      <c r="O1963" s="111"/>
      <c r="P1963" s="111"/>
      <c r="Q1963" s="111"/>
    </row>
    <row r="1964" spans="14:17" x14ac:dyDescent="0.3">
      <c r="N1964" s="111"/>
      <c r="O1964" s="111"/>
      <c r="P1964" s="111"/>
      <c r="Q1964" s="111"/>
    </row>
    <row r="1965" spans="14:17" x14ac:dyDescent="0.3">
      <c r="N1965" s="111"/>
      <c r="O1965" s="111"/>
      <c r="P1965" s="111"/>
      <c r="Q1965" s="111"/>
    </row>
    <row r="1966" spans="14:17" x14ac:dyDescent="0.3">
      <c r="N1966" s="111"/>
      <c r="O1966" s="111"/>
      <c r="P1966" s="111"/>
      <c r="Q1966" s="111"/>
    </row>
    <row r="1967" spans="14:17" x14ac:dyDescent="0.3">
      <c r="N1967" s="111"/>
      <c r="O1967" s="111"/>
      <c r="P1967" s="111"/>
      <c r="Q1967" s="111"/>
    </row>
    <row r="1968" spans="14:17" x14ac:dyDescent="0.3">
      <c r="N1968" s="111"/>
      <c r="O1968" s="111"/>
      <c r="P1968" s="111"/>
      <c r="Q1968" s="111"/>
    </row>
    <row r="1969" spans="14:17" x14ac:dyDescent="0.3">
      <c r="N1969" s="111"/>
      <c r="O1969" s="111"/>
      <c r="P1969" s="111"/>
      <c r="Q1969" s="111"/>
    </row>
    <row r="1970" spans="14:17" x14ac:dyDescent="0.3">
      <c r="N1970" s="111"/>
      <c r="O1970" s="111"/>
      <c r="P1970" s="111"/>
      <c r="Q1970" s="111"/>
    </row>
    <row r="1971" spans="14:17" x14ac:dyDescent="0.3">
      <c r="N1971" s="111"/>
      <c r="O1971" s="111"/>
      <c r="P1971" s="111"/>
      <c r="Q1971" s="111"/>
    </row>
    <row r="1972" spans="14:17" x14ac:dyDescent="0.3">
      <c r="N1972" s="111"/>
      <c r="O1972" s="111"/>
      <c r="P1972" s="111"/>
      <c r="Q1972" s="111"/>
    </row>
    <row r="1973" spans="14:17" x14ac:dyDescent="0.3">
      <c r="N1973" s="111"/>
      <c r="O1973" s="111"/>
      <c r="P1973" s="111"/>
      <c r="Q1973" s="111"/>
    </row>
    <row r="1974" spans="14:17" x14ac:dyDescent="0.3">
      <c r="N1974" s="111"/>
      <c r="O1974" s="111"/>
      <c r="P1974" s="111"/>
      <c r="Q1974" s="111"/>
    </row>
    <row r="1975" spans="14:17" x14ac:dyDescent="0.3">
      <c r="N1975" s="111"/>
      <c r="O1975" s="111"/>
      <c r="P1975" s="111"/>
      <c r="Q1975" s="111"/>
    </row>
    <row r="1976" spans="14:17" x14ac:dyDescent="0.3">
      <c r="N1976" s="111"/>
      <c r="O1976" s="111"/>
      <c r="P1976" s="111"/>
      <c r="Q1976" s="111"/>
    </row>
    <row r="1977" spans="14:17" x14ac:dyDescent="0.3">
      <c r="N1977" s="111"/>
      <c r="O1977" s="111"/>
      <c r="P1977" s="111"/>
      <c r="Q1977" s="111"/>
    </row>
    <row r="1978" spans="14:17" x14ac:dyDescent="0.3">
      <c r="N1978" s="111"/>
      <c r="O1978" s="111"/>
      <c r="P1978" s="111"/>
      <c r="Q1978" s="111"/>
    </row>
    <row r="1979" spans="14:17" x14ac:dyDescent="0.3">
      <c r="N1979" s="111"/>
      <c r="O1979" s="111"/>
      <c r="P1979" s="111"/>
      <c r="Q1979" s="111"/>
    </row>
    <row r="1980" spans="14:17" x14ac:dyDescent="0.3">
      <c r="N1980" s="111"/>
      <c r="O1980" s="111"/>
      <c r="P1980" s="111"/>
      <c r="Q1980" s="111"/>
    </row>
    <row r="1981" spans="14:17" x14ac:dyDescent="0.3">
      <c r="N1981" s="111"/>
      <c r="O1981" s="111"/>
      <c r="P1981" s="111"/>
      <c r="Q1981" s="111"/>
    </row>
    <row r="1982" spans="14:17" x14ac:dyDescent="0.3">
      <c r="N1982" s="111"/>
      <c r="O1982" s="111"/>
      <c r="P1982" s="111"/>
      <c r="Q1982" s="111"/>
    </row>
    <row r="1983" spans="14:17" x14ac:dyDescent="0.3">
      <c r="N1983" s="111"/>
      <c r="O1983" s="111"/>
      <c r="P1983" s="111"/>
      <c r="Q1983" s="111"/>
    </row>
    <row r="1984" spans="14:17" x14ac:dyDescent="0.3">
      <c r="N1984" s="111"/>
      <c r="O1984" s="111"/>
      <c r="P1984" s="111"/>
      <c r="Q1984" s="111"/>
    </row>
    <row r="1985" spans="14:17" x14ac:dyDescent="0.3">
      <c r="N1985" s="111"/>
      <c r="O1985" s="111"/>
      <c r="P1985" s="111"/>
      <c r="Q1985" s="111"/>
    </row>
    <row r="1986" spans="14:17" x14ac:dyDescent="0.3">
      <c r="N1986" s="111"/>
      <c r="O1986" s="111"/>
      <c r="P1986" s="111"/>
      <c r="Q1986" s="111"/>
    </row>
    <row r="1987" spans="14:17" x14ac:dyDescent="0.3">
      <c r="N1987" s="111"/>
      <c r="O1987" s="111"/>
      <c r="P1987" s="111"/>
      <c r="Q1987" s="111"/>
    </row>
    <row r="1988" spans="14:17" x14ac:dyDescent="0.3">
      <c r="N1988" s="111"/>
      <c r="O1988" s="111"/>
      <c r="P1988" s="111"/>
      <c r="Q1988" s="111"/>
    </row>
    <row r="1989" spans="14:17" x14ac:dyDescent="0.3">
      <c r="N1989" s="111"/>
      <c r="O1989" s="111"/>
      <c r="P1989" s="111"/>
      <c r="Q1989" s="111"/>
    </row>
    <row r="1990" spans="14:17" x14ac:dyDescent="0.3">
      <c r="N1990" s="111"/>
      <c r="O1990" s="111"/>
      <c r="P1990" s="111"/>
      <c r="Q1990" s="111"/>
    </row>
    <row r="1991" spans="14:17" x14ac:dyDescent="0.3">
      <c r="N1991" s="111"/>
      <c r="O1991" s="111"/>
      <c r="P1991" s="111"/>
      <c r="Q1991" s="111"/>
    </row>
    <row r="1992" spans="14:17" x14ac:dyDescent="0.3">
      <c r="N1992" s="111"/>
      <c r="O1992" s="111"/>
      <c r="P1992" s="111"/>
      <c r="Q1992" s="111"/>
    </row>
    <row r="1993" spans="14:17" x14ac:dyDescent="0.3">
      <c r="N1993" s="111"/>
      <c r="O1993" s="111"/>
      <c r="P1993" s="111"/>
      <c r="Q1993" s="111"/>
    </row>
    <row r="1994" spans="14:17" x14ac:dyDescent="0.3">
      <c r="N1994" s="111"/>
      <c r="O1994" s="111"/>
      <c r="P1994" s="111"/>
      <c r="Q1994" s="111"/>
    </row>
    <row r="1995" spans="14:17" x14ac:dyDescent="0.3">
      <c r="N1995" s="111"/>
      <c r="O1995" s="111"/>
      <c r="P1995" s="111"/>
      <c r="Q1995" s="111"/>
    </row>
    <row r="1996" spans="14:17" x14ac:dyDescent="0.3">
      <c r="N1996" s="111"/>
      <c r="O1996" s="111"/>
      <c r="P1996" s="111"/>
      <c r="Q1996" s="111"/>
    </row>
    <row r="1997" spans="14:17" x14ac:dyDescent="0.3">
      <c r="N1997" s="111"/>
      <c r="O1997" s="111"/>
      <c r="P1997" s="111"/>
      <c r="Q1997" s="111"/>
    </row>
    <row r="1998" spans="14:17" x14ac:dyDescent="0.3">
      <c r="N1998" s="111"/>
      <c r="O1998" s="111"/>
      <c r="P1998" s="111"/>
      <c r="Q1998" s="111"/>
    </row>
    <row r="1999" spans="14:17" x14ac:dyDescent="0.3">
      <c r="N1999" s="111"/>
      <c r="O1999" s="111"/>
      <c r="P1999" s="111"/>
      <c r="Q1999" s="111"/>
    </row>
    <row r="2000" spans="14:17" x14ac:dyDescent="0.3">
      <c r="N2000" s="111"/>
      <c r="O2000" s="111"/>
      <c r="P2000" s="111"/>
      <c r="Q2000" s="111"/>
    </row>
    <row r="2001" spans="14:17" x14ac:dyDescent="0.3">
      <c r="N2001" s="111"/>
      <c r="O2001" s="111"/>
      <c r="P2001" s="111"/>
      <c r="Q2001" s="111"/>
    </row>
    <row r="2002" spans="14:17" x14ac:dyDescent="0.3">
      <c r="N2002" s="111"/>
      <c r="O2002" s="111"/>
      <c r="P2002" s="111"/>
      <c r="Q2002" s="111"/>
    </row>
    <row r="2003" spans="14:17" x14ac:dyDescent="0.3">
      <c r="N2003" s="111"/>
      <c r="O2003" s="111"/>
      <c r="P2003" s="111"/>
      <c r="Q2003" s="111"/>
    </row>
    <row r="2004" spans="14:17" x14ac:dyDescent="0.3">
      <c r="N2004" s="111"/>
      <c r="O2004" s="111"/>
      <c r="P2004" s="111"/>
      <c r="Q2004" s="111"/>
    </row>
    <row r="2005" spans="14:17" x14ac:dyDescent="0.3">
      <c r="N2005" s="111"/>
      <c r="O2005" s="111"/>
      <c r="P2005" s="111"/>
      <c r="Q2005" s="111"/>
    </row>
    <row r="2006" spans="14:17" x14ac:dyDescent="0.3">
      <c r="N2006" s="111"/>
      <c r="O2006" s="111"/>
      <c r="P2006" s="111"/>
      <c r="Q2006" s="111"/>
    </row>
    <row r="2007" spans="14:17" x14ac:dyDescent="0.3">
      <c r="N2007" s="111"/>
      <c r="O2007" s="111"/>
      <c r="P2007" s="111"/>
      <c r="Q2007" s="111"/>
    </row>
    <row r="2008" spans="14:17" x14ac:dyDescent="0.3">
      <c r="N2008" s="111"/>
      <c r="O2008" s="111"/>
      <c r="P2008" s="111"/>
      <c r="Q2008" s="111"/>
    </row>
    <row r="2009" spans="14:17" x14ac:dyDescent="0.3">
      <c r="N2009" s="111"/>
      <c r="O2009" s="111"/>
      <c r="P2009" s="111"/>
      <c r="Q2009" s="111"/>
    </row>
    <row r="2010" spans="14:17" x14ac:dyDescent="0.3">
      <c r="N2010" s="111"/>
      <c r="O2010" s="111"/>
      <c r="P2010" s="111"/>
      <c r="Q2010" s="111"/>
    </row>
    <row r="2011" spans="14:17" x14ac:dyDescent="0.3">
      <c r="N2011" s="111"/>
      <c r="O2011" s="111"/>
      <c r="P2011" s="111"/>
      <c r="Q2011" s="111"/>
    </row>
    <row r="2012" spans="14:17" x14ac:dyDescent="0.3">
      <c r="N2012" s="111"/>
      <c r="O2012" s="111"/>
      <c r="P2012" s="111"/>
      <c r="Q2012" s="111"/>
    </row>
    <row r="2013" spans="14:17" x14ac:dyDescent="0.3">
      <c r="N2013" s="111"/>
      <c r="O2013" s="111"/>
      <c r="P2013" s="111"/>
      <c r="Q2013" s="111"/>
    </row>
    <row r="2014" spans="14:17" x14ac:dyDescent="0.3">
      <c r="N2014" s="111"/>
      <c r="O2014" s="111"/>
      <c r="P2014" s="111"/>
      <c r="Q2014" s="111"/>
    </row>
    <row r="2015" spans="14:17" x14ac:dyDescent="0.3">
      <c r="N2015" s="111"/>
      <c r="O2015" s="111"/>
      <c r="P2015" s="111"/>
      <c r="Q2015" s="111"/>
    </row>
    <row r="2016" spans="14:17" x14ac:dyDescent="0.3">
      <c r="N2016" s="111"/>
      <c r="O2016" s="111"/>
      <c r="P2016" s="111"/>
      <c r="Q2016" s="111"/>
    </row>
    <row r="2017" spans="14:17" x14ac:dyDescent="0.3">
      <c r="N2017" s="111"/>
      <c r="O2017" s="111"/>
      <c r="P2017" s="111"/>
      <c r="Q2017" s="111"/>
    </row>
    <row r="2018" spans="14:17" x14ac:dyDescent="0.3">
      <c r="N2018" s="111"/>
      <c r="O2018" s="111"/>
      <c r="P2018" s="111"/>
      <c r="Q2018" s="111"/>
    </row>
    <row r="2019" spans="14:17" x14ac:dyDescent="0.3">
      <c r="N2019" s="111"/>
      <c r="O2019" s="111"/>
      <c r="P2019" s="111"/>
      <c r="Q2019" s="111"/>
    </row>
    <row r="2020" spans="14:17" x14ac:dyDescent="0.3">
      <c r="N2020" s="111"/>
      <c r="O2020" s="111"/>
      <c r="P2020" s="111"/>
      <c r="Q2020" s="111"/>
    </row>
    <row r="2021" spans="14:17" x14ac:dyDescent="0.3">
      <c r="N2021" s="111"/>
      <c r="O2021" s="111"/>
      <c r="P2021" s="111"/>
      <c r="Q2021" s="111"/>
    </row>
    <row r="2022" spans="14:17" x14ac:dyDescent="0.3">
      <c r="N2022" s="111"/>
      <c r="O2022" s="111"/>
      <c r="P2022" s="111"/>
      <c r="Q2022" s="111"/>
    </row>
    <row r="2023" spans="14:17" x14ac:dyDescent="0.3">
      <c r="N2023" s="111"/>
      <c r="O2023" s="111"/>
      <c r="P2023" s="111"/>
      <c r="Q2023" s="111"/>
    </row>
    <row r="2024" spans="14:17" x14ac:dyDescent="0.3">
      <c r="N2024" s="111"/>
      <c r="O2024" s="111"/>
      <c r="P2024" s="111"/>
      <c r="Q2024" s="111"/>
    </row>
    <row r="2025" spans="14:17" x14ac:dyDescent="0.3">
      <c r="N2025" s="111"/>
      <c r="O2025" s="111"/>
      <c r="P2025" s="111"/>
      <c r="Q2025" s="111"/>
    </row>
    <row r="2026" spans="14:17" x14ac:dyDescent="0.3">
      <c r="N2026" s="111"/>
      <c r="O2026" s="111"/>
      <c r="P2026" s="111"/>
      <c r="Q2026" s="111"/>
    </row>
    <row r="2027" spans="14:17" x14ac:dyDescent="0.3">
      <c r="N2027" s="111"/>
      <c r="O2027" s="111"/>
      <c r="P2027" s="111"/>
      <c r="Q2027" s="111"/>
    </row>
    <row r="2028" spans="14:17" x14ac:dyDescent="0.3">
      <c r="N2028" s="111"/>
      <c r="O2028" s="111"/>
      <c r="P2028" s="111"/>
      <c r="Q2028" s="111"/>
    </row>
    <row r="2029" spans="14:17" x14ac:dyDescent="0.3">
      <c r="N2029" s="111"/>
      <c r="O2029" s="111"/>
      <c r="P2029" s="111"/>
      <c r="Q2029" s="111"/>
    </row>
    <row r="2030" spans="14:17" x14ac:dyDescent="0.3">
      <c r="N2030" s="111"/>
      <c r="O2030" s="111"/>
      <c r="P2030" s="111"/>
      <c r="Q2030" s="111"/>
    </row>
    <row r="2031" spans="14:17" x14ac:dyDescent="0.3">
      <c r="N2031" s="111"/>
      <c r="O2031" s="111"/>
      <c r="P2031" s="111"/>
      <c r="Q2031" s="111"/>
    </row>
    <row r="2032" spans="14:17" x14ac:dyDescent="0.3">
      <c r="N2032" s="111"/>
      <c r="O2032" s="111"/>
      <c r="P2032" s="111"/>
      <c r="Q2032" s="111"/>
    </row>
    <row r="2033" spans="14:17" x14ac:dyDescent="0.3">
      <c r="N2033" s="111"/>
      <c r="O2033" s="111"/>
      <c r="P2033" s="111"/>
      <c r="Q2033" s="111"/>
    </row>
    <row r="2034" spans="14:17" x14ac:dyDescent="0.3">
      <c r="N2034" s="111"/>
      <c r="O2034" s="111"/>
      <c r="P2034" s="111"/>
      <c r="Q2034" s="111"/>
    </row>
    <row r="2035" spans="14:17" x14ac:dyDescent="0.3">
      <c r="N2035" s="111"/>
      <c r="O2035" s="111"/>
      <c r="P2035" s="111"/>
      <c r="Q2035" s="111"/>
    </row>
    <row r="2036" spans="14:17" x14ac:dyDescent="0.3">
      <c r="N2036" s="111"/>
      <c r="O2036" s="111"/>
      <c r="P2036" s="111"/>
      <c r="Q2036" s="111"/>
    </row>
    <row r="2037" spans="14:17" x14ac:dyDescent="0.3">
      <c r="N2037" s="111"/>
      <c r="O2037" s="111"/>
      <c r="P2037" s="111"/>
      <c r="Q2037" s="111"/>
    </row>
    <row r="2038" spans="14:17" x14ac:dyDescent="0.3">
      <c r="N2038" s="111"/>
      <c r="O2038" s="111"/>
      <c r="P2038" s="111"/>
      <c r="Q2038" s="111"/>
    </row>
    <row r="2039" spans="14:17" x14ac:dyDescent="0.3">
      <c r="N2039" s="111"/>
      <c r="O2039" s="111"/>
      <c r="P2039" s="111"/>
      <c r="Q2039" s="111"/>
    </row>
    <row r="2040" spans="14:17" x14ac:dyDescent="0.3">
      <c r="N2040" s="111"/>
      <c r="O2040" s="111"/>
      <c r="P2040" s="111"/>
      <c r="Q2040" s="111"/>
    </row>
    <row r="2041" spans="14:17" x14ac:dyDescent="0.3">
      <c r="N2041" s="111"/>
      <c r="O2041" s="111"/>
      <c r="P2041" s="111"/>
      <c r="Q2041" s="111"/>
    </row>
    <row r="2042" spans="14:17" x14ac:dyDescent="0.3">
      <c r="N2042" s="111"/>
      <c r="O2042" s="111"/>
      <c r="P2042" s="111"/>
      <c r="Q2042" s="111"/>
    </row>
    <row r="2043" spans="14:17" x14ac:dyDescent="0.3">
      <c r="N2043" s="111"/>
      <c r="O2043" s="111"/>
      <c r="P2043" s="111"/>
      <c r="Q2043" s="111"/>
    </row>
    <row r="2044" spans="14:17" x14ac:dyDescent="0.3">
      <c r="N2044" s="111"/>
      <c r="O2044" s="111"/>
      <c r="P2044" s="111"/>
      <c r="Q2044" s="111"/>
    </row>
    <row r="2045" spans="14:17" x14ac:dyDescent="0.3">
      <c r="N2045" s="111"/>
      <c r="O2045" s="111"/>
      <c r="P2045" s="111"/>
      <c r="Q2045" s="111"/>
    </row>
    <row r="2046" spans="14:17" x14ac:dyDescent="0.3">
      <c r="N2046" s="111"/>
      <c r="O2046" s="111"/>
      <c r="P2046" s="111"/>
      <c r="Q2046" s="111"/>
    </row>
    <row r="2047" spans="14:17" x14ac:dyDescent="0.3">
      <c r="N2047" s="111"/>
      <c r="O2047" s="111"/>
      <c r="P2047" s="111"/>
      <c r="Q2047" s="111"/>
    </row>
    <row r="2048" spans="14:17" x14ac:dyDescent="0.3">
      <c r="N2048" s="111"/>
      <c r="O2048" s="111"/>
      <c r="P2048" s="111"/>
      <c r="Q2048" s="111"/>
    </row>
    <row r="2049" spans="14:17" x14ac:dyDescent="0.3">
      <c r="N2049" s="111"/>
      <c r="O2049" s="111"/>
      <c r="P2049" s="111"/>
      <c r="Q2049" s="111"/>
    </row>
    <row r="2050" spans="14:17" x14ac:dyDescent="0.3">
      <c r="N2050" s="111"/>
      <c r="O2050" s="111"/>
      <c r="P2050" s="111"/>
      <c r="Q2050" s="111"/>
    </row>
    <row r="2051" spans="14:17" x14ac:dyDescent="0.3">
      <c r="N2051" s="111"/>
      <c r="O2051" s="111"/>
      <c r="P2051" s="111"/>
      <c r="Q2051" s="111"/>
    </row>
    <row r="2052" spans="14:17" x14ac:dyDescent="0.3">
      <c r="N2052" s="111"/>
      <c r="O2052" s="111"/>
      <c r="P2052" s="111"/>
      <c r="Q2052" s="111"/>
    </row>
    <row r="2053" spans="14:17" x14ac:dyDescent="0.3">
      <c r="N2053" s="111"/>
      <c r="O2053" s="111"/>
      <c r="P2053" s="111"/>
      <c r="Q2053" s="111"/>
    </row>
    <row r="2054" spans="14:17" x14ac:dyDescent="0.3">
      <c r="N2054" s="111"/>
      <c r="O2054" s="111"/>
      <c r="P2054" s="111"/>
      <c r="Q2054" s="111"/>
    </row>
    <row r="2055" spans="14:17" x14ac:dyDescent="0.3">
      <c r="N2055" s="111"/>
      <c r="O2055" s="111"/>
      <c r="P2055" s="111"/>
      <c r="Q2055" s="111"/>
    </row>
    <row r="2056" spans="14:17" x14ac:dyDescent="0.3">
      <c r="N2056" s="111"/>
      <c r="O2056" s="111"/>
      <c r="P2056" s="111"/>
      <c r="Q2056" s="111"/>
    </row>
    <row r="2057" spans="14:17" x14ac:dyDescent="0.3">
      <c r="N2057" s="111"/>
      <c r="O2057" s="111"/>
      <c r="P2057" s="111"/>
      <c r="Q2057" s="111"/>
    </row>
    <row r="2058" spans="14:17" x14ac:dyDescent="0.3">
      <c r="N2058" s="111"/>
      <c r="O2058" s="111"/>
      <c r="P2058" s="111"/>
      <c r="Q2058" s="111"/>
    </row>
    <row r="2059" spans="14:17" x14ac:dyDescent="0.3">
      <c r="N2059" s="111"/>
      <c r="O2059" s="111"/>
      <c r="P2059" s="111"/>
      <c r="Q2059" s="111"/>
    </row>
    <row r="2060" spans="14:17" x14ac:dyDescent="0.3">
      <c r="N2060" s="111"/>
      <c r="O2060" s="111"/>
      <c r="P2060" s="111"/>
      <c r="Q2060" s="111"/>
    </row>
    <row r="2061" spans="14:17" x14ac:dyDescent="0.3">
      <c r="N2061" s="111"/>
      <c r="O2061" s="111"/>
      <c r="P2061" s="111"/>
      <c r="Q2061" s="111"/>
    </row>
    <row r="2062" spans="14:17" x14ac:dyDescent="0.3">
      <c r="N2062" s="111"/>
      <c r="O2062" s="111"/>
      <c r="P2062" s="111"/>
      <c r="Q2062" s="111"/>
    </row>
    <row r="2063" spans="14:17" x14ac:dyDescent="0.3">
      <c r="N2063" s="111"/>
      <c r="O2063" s="111"/>
      <c r="P2063" s="111"/>
      <c r="Q2063" s="111"/>
    </row>
    <row r="2064" spans="14:17" x14ac:dyDescent="0.3">
      <c r="N2064" s="111"/>
      <c r="O2064" s="111"/>
      <c r="P2064" s="111"/>
      <c r="Q2064" s="111"/>
    </row>
    <row r="2065" spans="14:17" x14ac:dyDescent="0.3">
      <c r="N2065" s="111"/>
      <c r="O2065" s="111"/>
      <c r="P2065" s="111"/>
      <c r="Q2065" s="111"/>
    </row>
    <row r="2066" spans="14:17" x14ac:dyDescent="0.3">
      <c r="N2066" s="111"/>
      <c r="O2066" s="111"/>
      <c r="P2066" s="111"/>
      <c r="Q2066" s="111"/>
    </row>
    <row r="2067" spans="14:17" x14ac:dyDescent="0.3">
      <c r="N2067" s="111"/>
      <c r="O2067" s="111"/>
      <c r="P2067" s="111"/>
      <c r="Q2067" s="111"/>
    </row>
    <row r="2068" spans="14:17" x14ac:dyDescent="0.3">
      <c r="N2068" s="111"/>
      <c r="O2068" s="111"/>
      <c r="P2068" s="111"/>
      <c r="Q2068" s="111"/>
    </row>
    <row r="2069" spans="14:17" x14ac:dyDescent="0.3">
      <c r="N2069" s="111"/>
      <c r="O2069" s="111"/>
      <c r="P2069" s="111"/>
      <c r="Q2069" s="111"/>
    </row>
    <row r="2070" spans="14:17" x14ac:dyDescent="0.3">
      <c r="N2070" s="111"/>
      <c r="O2070" s="111"/>
      <c r="P2070" s="111"/>
      <c r="Q2070" s="111"/>
    </row>
    <row r="2071" spans="14:17" x14ac:dyDescent="0.3">
      <c r="N2071" s="111"/>
      <c r="O2071" s="111"/>
      <c r="P2071" s="111"/>
      <c r="Q2071" s="111"/>
    </row>
    <row r="2072" spans="14:17" x14ac:dyDescent="0.3">
      <c r="N2072" s="111"/>
      <c r="O2072" s="111"/>
      <c r="P2072" s="111"/>
      <c r="Q2072" s="111"/>
    </row>
    <row r="2073" spans="14:17" x14ac:dyDescent="0.3">
      <c r="N2073" s="111"/>
      <c r="O2073" s="111"/>
      <c r="P2073" s="111"/>
      <c r="Q2073" s="111"/>
    </row>
    <row r="2074" spans="14:17" x14ac:dyDescent="0.3">
      <c r="N2074" s="111"/>
      <c r="O2074" s="111"/>
      <c r="P2074" s="111"/>
      <c r="Q2074" s="111"/>
    </row>
    <row r="2075" spans="14:17" x14ac:dyDescent="0.3">
      <c r="N2075" s="111"/>
      <c r="O2075" s="111"/>
      <c r="P2075" s="111"/>
      <c r="Q2075" s="111"/>
    </row>
    <row r="2076" spans="14:17" x14ac:dyDescent="0.3">
      <c r="N2076" s="111"/>
      <c r="O2076" s="111"/>
      <c r="P2076" s="111"/>
      <c r="Q2076" s="111"/>
    </row>
    <row r="2077" spans="14:17" x14ac:dyDescent="0.3">
      <c r="N2077" s="111"/>
      <c r="O2077" s="111"/>
      <c r="P2077" s="111"/>
      <c r="Q2077" s="111"/>
    </row>
    <row r="2078" spans="14:17" x14ac:dyDescent="0.3">
      <c r="N2078" s="111"/>
      <c r="O2078" s="111"/>
      <c r="P2078" s="111"/>
      <c r="Q2078" s="111"/>
    </row>
    <row r="2079" spans="14:17" x14ac:dyDescent="0.3">
      <c r="N2079" s="111"/>
      <c r="O2079" s="111"/>
      <c r="P2079" s="111"/>
      <c r="Q2079" s="111"/>
    </row>
    <row r="2080" spans="14:17" x14ac:dyDescent="0.3">
      <c r="N2080" s="111"/>
      <c r="O2080" s="111"/>
      <c r="P2080" s="111"/>
      <c r="Q2080" s="111"/>
    </row>
    <row r="2081" spans="14:17" x14ac:dyDescent="0.3">
      <c r="N2081" s="111"/>
      <c r="O2081" s="111"/>
      <c r="P2081" s="111"/>
      <c r="Q2081" s="111"/>
    </row>
    <row r="2082" spans="14:17" x14ac:dyDescent="0.3">
      <c r="N2082" s="111"/>
      <c r="O2082" s="111"/>
      <c r="P2082" s="111"/>
      <c r="Q2082" s="111"/>
    </row>
    <row r="2083" spans="14:17" x14ac:dyDescent="0.3">
      <c r="N2083" s="111"/>
      <c r="O2083" s="111"/>
      <c r="P2083" s="111"/>
      <c r="Q2083" s="111"/>
    </row>
    <row r="2084" spans="14:17" x14ac:dyDescent="0.3">
      <c r="N2084" s="111"/>
      <c r="O2084" s="111"/>
      <c r="P2084" s="111"/>
      <c r="Q2084" s="111"/>
    </row>
    <row r="2085" spans="14:17" x14ac:dyDescent="0.3">
      <c r="N2085" s="111"/>
      <c r="O2085" s="111"/>
      <c r="P2085" s="111"/>
      <c r="Q2085" s="111"/>
    </row>
    <row r="2086" spans="14:17" x14ac:dyDescent="0.3">
      <c r="N2086" s="111"/>
      <c r="O2086" s="111"/>
      <c r="P2086" s="111"/>
      <c r="Q2086" s="111"/>
    </row>
    <row r="2087" spans="14:17" x14ac:dyDescent="0.3">
      <c r="N2087" s="111"/>
      <c r="O2087" s="111"/>
      <c r="P2087" s="111"/>
      <c r="Q2087" s="111"/>
    </row>
    <row r="2088" spans="14:17" x14ac:dyDescent="0.3">
      <c r="N2088" s="111"/>
      <c r="O2088" s="111"/>
      <c r="P2088" s="111"/>
      <c r="Q2088" s="111"/>
    </row>
    <row r="2089" spans="14:17" x14ac:dyDescent="0.3">
      <c r="N2089" s="111"/>
      <c r="O2089" s="111"/>
      <c r="P2089" s="111"/>
      <c r="Q2089" s="111"/>
    </row>
    <row r="2090" spans="14:17" x14ac:dyDescent="0.3">
      <c r="N2090" s="111"/>
      <c r="O2090" s="111"/>
      <c r="P2090" s="111"/>
      <c r="Q2090" s="111"/>
    </row>
    <row r="2091" spans="14:17" x14ac:dyDescent="0.3">
      <c r="N2091" s="111"/>
      <c r="O2091" s="111"/>
      <c r="P2091" s="111"/>
      <c r="Q2091" s="111"/>
    </row>
    <row r="2092" spans="14:17" x14ac:dyDescent="0.3">
      <c r="N2092" s="111"/>
      <c r="O2092" s="111"/>
      <c r="P2092" s="111"/>
      <c r="Q2092" s="111"/>
    </row>
    <row r="2093" spans="14:17" x14ac:dyDescent="0.3">
      <c r="N2093" s="111"/>
      <c r="O2093" s="111"/>
      <c r="P2093" s="111"/>
      <c r="Q2093" s="111"/>
    </row>
    <row r="2094" spans="14:17" x14ac:dyDescent="0.3">
      <c r="N2094" s="111"/>
      <c r="O2094" s="111"/>
      <c r="P2094" s="111"/>
      <c r="Q2094" s="111"/>
    </row>
    <row r="2095" spans="14:17" x14ac:dyDescent="0.3">
      <c r="N2095" s="111"/>
      <c r="O2095" s="111"/>
      <c r="P2095" s="111"/>
      <c r="Q2095" s="111"/>
    </row>
    <row r="2096" spans="14:17" x14ac:dyDescent="0.3">
      <c r="N2096" s="111"/>
      <c r="O2096" s="111"/>
      <c r="P2096" s="111"/>
      <c r="Q2096" s="111"/>
    </row>
    <row r="2097" spans="14:17" x14ac:dyDescent="0.3">
      <c r="N2097" s="111"/>
      <c r="O2097" s="111"/>
      <c r="P2097" s="111"/>
      <c r="Q2097" s="111"/>
    </row>
    <row r="2098" spans="14:17" x14ac:dyDescent="0.3">
      <c r="N2098" s="111"/>
      <c r="O2098" s="111"/>
      <c r="P2098" s="111"/>
      <c r="Q2098" s="111"/>
    </row>
    <row r="2099" spans="14:17" x14ac:dyDescent="0.3">
      <c r="N2099" s="111"/>
      <c r="O2099" s="111"/>
      <c r="P2099" s="111"/>
      <c r="Q2099" s="111"/>
    </row>
    <row r="2100" spans="14:17" x14ac:dyDescent="0.3">
      <c r="N2100" s="111"/>
      <c r="O2100" s="111"/>
      <c r="P2100" s="111"/>
      <c r="Q2100" s="111"/>
    </row>
    <row r="2101" spans="14:17" x14ac:dyDescent="0.3">
      <c r="N2101" s="111"/>
      <c r="O2101" s="111"/>
      <c r="P2101" s="111"/>
      <c r="Q2101" s="111"/>
    </row>
    <row r="2102" spans="14:17" x14ac:dyDescent="0.3">
      <c r="N2102" s="111"/>
      <c r="O2102" s="111"/>
      <c r="P2102" s="111"/>
      <c r="Q2102" s="111"/>
    </row>
    <row r="2103" spans="14:17" x14ac:dyDescent="0.3">
      <c r="N2103" s="111"/>
      <c r="O2103" s="111"/>
      <c r="P2103" s="111"/>
      <c r="Q2103" s="111"/>
    </row>
    <row r="2104" spans="14:17" x14ac:dyDescent="0.3">
      <c r="N2104" s="111"/>
      <c r="O2104" s="111"/>
      <c r="P2104" s="111"/>
      <c r="Q2104" s="111"/>
    </row>
    <row r="2105" spans="14:17" x14ac:dyDescent="0.3">
      <c r="N2105" s="111"/>
      <c r="O2105" s="111"/>
      <c r="P2105" s="111"/>
      <c r="Q2105" s="111"/>
    </row>
    <row r="2106" spans="14:17" x14ac:dyDescent="0.3">
      <c r="N2106" s="111"/>
      <c r="O2106" s="111"/>
      <c r="P2106" s="111"/>
      <c r="Q2106" s="111"/>
    </row>
    <row r="2107" spans="14:17" x14ac:dyDescent="0.3">
      <c r="N2107" s="111"/>
      <c r="O2107" s="111"/>
      <c r="P2107" s="111"/>
      <c r="Q2107" s="111"/>
    </row>
    <row r="2108" spans="14:17" x14ac:dyDescent="0.3">
      <c r="N2108" s="111"/>
      <c r="O2108" s="111"/>
      <c r="P2108" s="111"/>
      <c r="Q2108" s="111"/>
    </row>
    <row r="2109" spans="14:17" x14ac:dyDescent="0.3">
      <c r="N2109" s="111"/>
      <c r="O2109" s="111"/>
      <c r="P2109" s="111"/>
      <c r="Q2109" s="111"/>
    </row>
    <row r="2110" spans="14:17" x14ac:dyDescent="0.3">
      <c r="N2110" s="111"/>
      <c r="O2110" s="111"/>
      <c r="P2110" s="111"/>
      <c r="Q2110" s="111"/>
    </row>
    <row r="2111" spans="14:17" x14ac:dyDescent="0.3">
      <c r="N2111" s="111"/>
      <c r="O2111" s="111"/>
      <c r="P2111" s="111"/>
      <c r="Q2111" s="111"/>
    </row>
    <row r="2112" spans="14:17" x14ac:dyDescent="0.3">
      <c r="N2112" s="111"/>
      <c r="O2112" s="111"/>
      <c r="P2112" s="111"/>
      <c r="Q2112" s="111"/>
    </row>
    <row r="2113" spans="14:17" x14ac:dyDescent="0.3">
      <c r="N2113" s="111"/>
      <c r="O2113" s="111"/>
      <c r="P2113" s="111"/>
      <c r="Q2113" s="111"/>
    </row>
    <row r="2114" spans="14:17" x14ac:dyDescent="0.3">
      <c r="N2114" s="111"/>
      <c r="O2114" s="111"/>
      <c r="P2114" s="111"/>
      <c r="Q2114" s="111"/>
    </row>
    <row r="2115" spans="14:17" x14ac:dyDescent="0.3">
      <c r="N2115" s="111"/>
      <c r="O2115" s="111"/>
      <c r="P2115" s="111"/>
      <c r="Q2115" s="111"/>
    </row>
    <row r="2116" spans="14:17" x14ac:dyDescent="0.3">
      <c r="N2116" s="111"/>
      <c r="O2116" s="111"/>
      <c r="P2116" s="111"/>
      <c r="Q2116" s="111"/>
    </row>
    <row r="2117" spans="14:17" x14ac:dyDescent="0.3">
      <c r="N2117" s="111"/>
      <c r="O2117" s="111"/>
      <c r="P2117" s="111"/>
      <c r="Q2117" s="111"/>
    </row>
    <row r="2118" spans="14:17" x14ac:dyDescent="0.3">
      <c r="N2118" s="111"/>
      <c r="O2118" s="111"/>
      <c r="P2118" s="111"/>
      <c r="Q2118" s="111"/>
    </row>
    <row r="2119" spans="14:17" x14ac:dyDescent="0.3">
      <c r="N2119" s="111"/>
      <c r="O2119" s="111"/>
      <c r="P2119" s="111"/>
      <c r="Q2119" s="111"/>
    </row>
    <row r="2120" spans="14:17" x14ac:dyDescent="0.3">
      <c r="N2120" s="111"/>
      <c r="O2120" s="111"/>
      <c r="P2120" s="111"/>
      <c r="Q2120" s="111"/>
    </row>
    <row r="2121" spans="14:17" x14ac:dyDescent="0.3">
      <c r="N2121" s="111"/>
      <c r="O2121" s="111"/>
      <c r="P2121" s="111"/>
      <c r="Q2121" s="111"/>
    </row>
    <row r="2122" spans="14:17" x14ac:dyDescent="0.3">
      <c r="N2122" s="111"/>
      <c r="O2122" s="111"/>
      <c r="P2122" s="111"/>
      <c r="Q2122" s="111"/>
    </row>
    <row r="2123" spans="14:17" x14ac:dyDescent="0.3">
      <c r="N2123" s="111"/>
      <c r="O2123" s="111"/>
      <c r="P2123" s="111"/>
      <c r="Q2123" s="111"/>
    </row>
  </sheetData>
  <mergeCells count="29">
    <mergeCell ref="S67:S68"/>
    <mergeCell ref="T67:T68"/>
    <mergeCell ref="U67:U68"/>
    <mergeCell ref="H66:U66"/>
    <mergeCell ref="B75:C75"/>
    <mergeCell ref="H67:H68"/>
    <mergeCell ref="I67:I68"/>
    <mergeCell ref="J67:J68"/>
    <mergeCell ref="K67:K68"/>
    <mergeCell ref="B66:B68"/>
    <mergeCell ref="C66:C68"/>
    <mergeCell ref="D67:D68"/>
    <mergeCell ref="E67:E68"/>
    <mergeCell ref="N67:N68"/>
    <mergeCell ref="O67:O68"/>
    <mergeCell ref="P67:P68"/>
    <mergeCell ref="T6:U7"/>
    <mergeCell ref="F7:I7"/>
    <mergeCell ref="J7:M7"/>
    <mergeCell ref="B57:F57"/>
    <mergeCell ref="B61:C61"/>
    <mergeCell ref="Q67:Q68"/>
    <mergeCell ref="D66:G66"/>
    <mergeCell ref="F67:F68"/>
    <mergeCell ref="G67:G68"/>
    <mergeCell ref="N6:R7"/>
    <mergeCell ref="L67:L68"/>
    <mergeCell ref="M67:M68"/>
    <mergeCell ref="R67:R68"/>
  </mergeCells>
  <phoneticPr fontId="0" type="noConversion"/>
  <pageMargins left="0.75" right="0.75" top="1" bottom="1" header="0.5" footer="0.5"/>
  <pageSetup orientation="portrait" horizontalDpi="4294967293" r:id="rId1"/>
  <headerFooter alignWithMargins="0"/>
  <ignoredErrors>
    <ignoredError sqref="N5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11"/>
  </sheetPr>
  <dimension ref="A1:CD199"/>
  <sheetViews>
    <sheetView topLeftCell="A91" zoomScale="80" zoomScaleNormal="80" workbookViewId="0">
      <selection activeCell="F136" sqref="F136"/>
    </sheetView>
  </sheetViews>
  <sheetFormatPr defaultRowHeight="12.5" x14ac:dyDescent="0.25"/>
  <cols>
    <col min="1" max="1" width="9.1796875" style="261"/>
    <col min="2" max="2" width="38.54296875" style="114" customWidth="1"/>
    <col min="3" max="3" width="20.1796875" customWidth="1"/>
    <col min="4" max="4" width="28.81640625" style="114" customWidth="1"/>
    <col min="5" max="5" width="16.7265625" customWidth="1"/>
    <col min="6" max="6" width="19.1796875" customWidth="1"/>
    <col min="7" max="7" width="19.453125" customWidth="1"/>
    <col min="8" max="8" width="23.81640625" customWidth="1"/>
    <col min="9" max="9" width="21.7265625" customWidth="1"/>
    <col min="10" max="10" width="16.7265625" customWidth="1"/>
    <col min="11" max="11" width="20.54296875" customWidth="1"/>
    <col min="12" max="12" width="21.453125" customWidth="1"/>
    <col min="13" max="13" width="18.1796875" customWidth="1"/>
    <col min="14" max="14" width="9.1796875" customWidth="1"/>
    <col min="15" max="15" width="21.81640625" customWidth="1"/>
    <col min="16" max="21" width="9.1796875" customWidth="1"/>
  </cols>
  <sheetData>
    <row r="1" spans="1:64" s="2" customFormat="1" ht="20.5" thickBot="1" x14ac:dyDescent="0.45">
      <c r="A1" s="1"/>
      <c r="B1" s="113" t="s">
        <v>73</v>
      </c>
      <c r="F1" s="16"/>
      <c r="G1" s="16"/>
      <c r="H1" s="16"/>
      <c r="I1"/>
      <c r="J1" s="114"/>
      <c r="K1"/>
      <c r="L1" s="114"/>
      <c r="M1"/>
      <c r="N1" s="114"/>
      <c r="O1"/>
      <c r="P1"/>
      <c r="Q1"/>
      <c r="R1"/>
      <c r="S1"/>
      <c r="T1"/>
      <c r="U1"/>
      <c r="V1"/>
    </row>
    <row r="2" spans="1:64" s="1" customFormat="1" ht="21" thickTop="1" thickBot="1" x14ac:dyDescent="0.45">
      <c r="B2" s="1773" t="s">
        <v>74</v>
      </c>
      <c r="C2" s="1774"/>
      <c r="D2" s="115"/>
      <c r="E2" s="13"/>
      <c r="F2" s="114"/>
      <c r="G2"/>
      <c r="H2" s="114"/>
      <c r="I2"/>
      <c r="J2" s="114"/>
      <c r="K2"/>
      <c r="L2" s="114"/>
      <c r="M2"/>
      <c r="N2" s="114"/>
      <c r="O2"/>
      <c r="P2"/>
      <c r="Q2"/>
      <c r="R2"/>
      <c r="S2"/>
      <c r="T2"/>
      <c r="U2"/>
      <c r="V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s="1" customFormat="1" ht="13" x14ac:dyDescent="0.3">
      <c r="B3" s="32" t="s">
        <v>75</v>
      </c>
      <c r="C3" s="1706">
        <v>24521</v>
      </c>
      <c r="D3" s="116" t="s">
        <v>723</v>
      </c>
      <c r="E3" s="1385">
        <v>2.7</v>
      </c>
      <c r="F3" s="114"/>
      <c r="G3"/>
      <c r="H3" s="114"/>
      <c r="I3"/>
      <c r="J3" s="114"/>
      <c r="K3"/>
      <c r="L3" s="114"/>
      <c r="M3"/>
      <c r="N3" s="114"/>
      <c r="O3"/>
      <c r="P3"/>
      <c r="Q3"/>
      <c r="R3"/>
      <c r="S3"/>
      <c r="T3"/>
      <c r="U3"/>
      <c r="V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64" s="1" customFormat="1" ht="13" x14ac:dyDescent="0.3">
      <c r="B4" s="39"/>
      <c r="C4" s="117"/>
      <c r="D4" s="118" t="s">
        <v>76</v>
      </c>
      <c r="E4" s="1386">
        <v>70</v>
      </c>
      <c r="F4" s="114"/>
      <c r="G4"/>
      <c r="H4" s="114"/>
      <c r="I4"/>
      <c r="J4" s="114"/>
      <c r="K4"/>
      <c r="L4" s="114"/>
      <c r="M4"/>
      <c r="N4" s="114"/>
      <c r="O4"/>
      <c r="P4"/>
      <c r="Q4"/>
      <c r="R4"/>
      <c r="S4"/>
      <c r="T4"/>
      <c r="U4"/>
      <c r="V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s="1" customFormat="1" ht="13" x14ac:dyDescent="0.3">
      <c r="B5" s="39"/>
      <c r="C5" s="117"/>
      <c r="D5" s="119" t="s">
        <v>77</v>
      </c>
      <c r="E5" s="120"/>
      <c r="F5" s="114"/>
      <c r="G5"/>
      <c r="H5" s="114"/>
      <c r="I5"/>
      <c r="J5"/>
      <c r="K5"/>
      <c r="L5"/>
      <c r="M5"/>
      <c r="N5"/>
      <c r="O5"/>
      <c r="P5"/>
      <c r="Q5"/>
      <c r="R5"/>
      <c r="S5"/>
      <c r="T5"/>
      <c r="U5"/>
      <c r="V5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spans="1:64" s="1" customFormat="1" ht="13" x14ac:dyDescent="0.3">
      <c r="B6" s="39"/>
      <c r="C6" s="117"/>
      <c r="D6" s="118" t="s">
        <v>78</v>
      </c>
      <c r="E6" s="1386">
        <v>60</v>
      </c>
      <c r="F6" s="114"/>
      <c r="G6"/>
      <c r="H6" s="114"/>
      <c r="I6"/>
      <c r="J6"/>
      <c r="K6"/>
      <c r="L6"/>
      <c r="M6"/>
      <c r="N6"/>
      <c r="O6"/>
      <c r="P6"/>
      <c r="Q6"/>
      <c r="R6"/>
      <c r="S6"/>
      <c r="T6"/>
      <c r="U6"/>
      <c r="V6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s="1" customFormat="1" ht="13" x14ac:dyDescent="0.3">
      <c r="B7" s="39"/>
      <c r="C7" s="117"/>
      <c r="D7" s="118" t="s">
        <v>79</v>
      </c>
      <c r="E7" s="1386">
        <v>10</v>
      </c>
      <c r="F7" s="114"/>
      <c r="G7"/>
      <c r="H7" s="114"/>
      <c r="I7"/>
      <c r="J7"/>
      <c r="K7"/>
      <c r="L7"/>
      <c r="M7"/>
      <c r="N7"/>
      <c r="O7"/>
      <c r="P7"/>
      <c r="Q7"/>
      <c r="R7"/>
      <c r="S7"/>
      <c r="T7"/>
      <c r="U7"/>
      <c r="V7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spans="1:64" s="1" customFormat="1" ht="13" x14ac:dyDescent="0.3">
      <c r="B8" s="39"/>
      <c r="C8" s="117"/>
      <c r="D8" s="118" t="s">
        <v>80</v>
      </c>
      <c r="E8" s="1386">
        <v>400</v>
      </c>
      <c r="F8" s="114"/>
      <c r="G8"/>
      <c r="H8" s="114"/>
      <c r="I8"/>
      <c r="J8"/>
      <c r="K8"/>
      <c r="L8"/>
      <c r="M8"/>
      <c r="N8"/>
      <c r="O8"/>
      <c r="P8"/>
      <c r="Q8"/>
      <c r="R8"/>
      <c r="S8"/>
      <c r="T8"/>
      <c r="U8"/>
      <c r="V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s="1" customFormat="1" ht="13.5" thickBot="1" x14ac:dyDescent="0.35">
      <c r="B9" s="97"/>
      <c r="C9" s="121"/>
      <c r="D9" s="122" t="s">
        <v>81</v>
      </c>
      <c r="E9" s="1387">
        <v>10000000</v>
      </c>
      <c r="F9" s="114"/>
      <c r="G9"/>
      <c r="H9" s="114"/>
      <c r="I9"/>
      <c r="J9"/>
      <c r="K9"/>
      <c r="L9"/>
      <c r="M9"/>
      <c r="N9"/>
      <c r="O9"/>
      <c r="P9"/>
      <c r="Q9"/>
      <c r="R9"/>
      <c r="S9"/>
      <c r="T9"/>
      <c r="U9"/>
      <c r="V9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s="2" customFormat="1" ht="13.5" thickTop="1" x14ac:dyDescent="0.3">
      <c r="A10" s="1"/>
      <c r="B10" s="114"/>
      <c r="C10"/>
      <c r="D10" s="114"/>
      <c r="E10" s="123"/>
      <c r="F10" s="114"/>
      <c r="G10"/>
      <c r="H10" s="114"/>
      <c r="I10" s="114"/>
      <c r="J10"/>
      <c r="K10"/>
      <c r="L10"/>
      <c r="M10" s="114"/>
      <c r="N10"/>
      <c r="O10"/>
      <c r="P10"/>
      <c r="Q10"/>
      <c r="R10"/>
      <c r="S10"/>
      <c r="T10"/>
      <c r="U10"/>
      <c r="V10"/>
    </row>
    <row r="11" spans="1:64" s="2" customFormat="1" ht="12" customHeight="1" thickBot="1" x14ac:dyDescent="0.35">
      <c r="A11" s="1"/>
      <c r="B11" s="114"/>
      <c r="C11"/>
      <c r="D11" s="114"/>
      <c r="E11" s="124"/>
      <c r="F11"/>
      <c r="G11" s="114"/>
      <c r="H11"/>
      <c r="I11" s="114"/>
      <c r="J11"/>
      <c r="K11" s="114"/>
      <c r="L11"/>
      <c r="M11" s="114"/>
      <c r="N11"/>
      <c r="O11"/>
      <c r="P11"/>
      <c r="Q11"/>
      <c r="R11"/>
      <c r="S11"/>
      <c r="T11"/>
      <c r="U11"/>
      <c r="V11"/>
    </row>
    <row r="12" spans="1:64" s="1" customFormat="1" ht="20.5" thickTop="1" x14ac:dyDescent="0.4">
      <c r="B12" s="125" t="s">
        <v>82</v>
      </c>
      <c r="C12" s="126"/>
      <c r="D12" s="13"/>
      <c r="E12" s="124"/>
      <c r="F12"/>
      <c r="G12" s="114"/>
      <c r="H12"/>
      <c r="I12" s="114"/>
      <c r="J12"/>
      <c r="K12" s="114"/>
      <c r="L12"/>
      <c r="M12" s="114"/>
      <c r="N12"/>
      <c r="O12"/>
      <c r="P12"/>
      <c r="Q12"/>
      <c r="R12"/>
      <c r="S12"/>
      <c r="T12"/>
      <c r="U12"/>
      <c r="V1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4" s="1" customFormat="1" ht="20" x14ac:dyDescent="0.4">
      <c r="B13" s="127"/>
      <c r="C13" s="1143" t="s">
        <v>83</v>
      </c>
      <c r="D13" s="1144" t="s">
        <v>84</v>
      </c>
      <c r="E13" s="124"/>
      <c r="F13"/>
      <c r="G13" s="114"/>
      <c r="H13"/>
      <c r="I13" s="114"/>
      <c r="J13"/>
      <c r="K13" s="114"/>
      <c r="L13"/>
      <c r="M13" s="114"/>
      <c r="N13"/>
      <c r="O13"/>
      <c r="P13"/>
      <c r="Q13"/>
      <c r="R13"/>
      <c r="S13"/>
      <c r="T13"/>
      <c r="U13"/>
      <c r="V13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4" s="1" customFormat="1" ht="13" x14ac:dyDescent="0.3">
      <c r="B14" s="39" t="s">
        <v>85</v>
      </c>
      <c r="C14" s="1284"/>
      <c r="D14" s="1386">
        <v>2</v>
      </c>
      <c r="E14" s="124"/>
      <c r="F14"/>
      <c r="G14" s="114"/>
      <c r="H14"/>
      <c r="I14" s="114"/>
      <c r="J14"/>
      <c r="K14" s="114"/>
      <c r="L14"/>
      <c r="M14" s="114"/>
      <c r="N14"/>
      <c r="O14"/>
      <c r="P14"/>
      <c r="Q14"/>
      <c r="R14"/>
      <c r="S14"/>
      <c r="T14"/>
      <c r="U14"/>
      <c r="V14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4" s="1" customFormat="1" ht="13.5" thickBot="1" x14ac:dyDescent="0.35">
      <c r="B15" s="97" t="s">
        <v>86</v>
      </c>
      <c r="C15" s="1285"/>
      <c r="D15" s="1388">
        <v>2</v>
      </c>
      <c r="E15" s="124"/>
      <c r="F15"/>
      <c r="G15" s="114"/>
      <c r="H15"/>
      <c r="I15" s="114"/>
      <c r="J15"/>
      <c r="K15" s="114"/>
      <c r="L15"/>
      <c r="M15" s="114"/>
      <c r="N15"/>
      <c r="O15"/>
      <c r="P15"/>
      <c r="Q15"/>
      <c r="R15"/>
      <c r="S15"/>
      <c r="T15"/>
      <c r="U15"/>
      <c r="V15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4" s="2" customFormat="1" ht="14.25" customHeight="1" thickTop="1" thickBot="1" x14ac:dyDescent="0.35">
      <c r="A16" s="1"/>
      <c r="B16" s="114"/>
      <c r="C16"/>
      <c r="D16" s="114"/>
      <c r="E16" s="124"/>
      <c r="F16"/>
      <c r="G16" s="114"/>
      <c r="H16" s="114"/>
      <c r="I16" s="114"/>
      <c r="J16"/>
      <c r="K16" s="114"/>
      <c r="L16"/>
      <c r="M16" s="114"/>
      <c r="N16"/>
      <c r="O16"/>
      <c r="P16"/>
      <c r="Q16"/>
      <c r="R16"/>
      <c r="S16"/>
      <c r="T16"/>
      <c r="U16"/>
      <c r="V16"/>
    </row>
    <row r="17" spans="2:70" s="1" customFormat="1" ht="24.75" customHeight="1" thickTop="1" thickBot="1" x14ac:dyDescent="0.45">
      <c r="B17" s="1818" t="s">
        <v>87</v>
      </c>
      <c r="C17" s="1819"/>
      <c r="D17" s="1819"/>
      <c r="E17" s="1819"/>
      <c r="F17" s="1819"/>
      <c r="G17" s="1820"/>
      <c r="H17" s="130"/>
      <c r="I17" s="130"/>
      <c r="J17" s="130"/>
      <c r="K17" s="130"/>
      <c r="L17" s="130"/>
      <c r="M17" s="131"/>
      <c r="N17" s="132"/>
      <c r="O17" s="114"/>
      <c r="P17"/>
      <c r="Q17" s="114"/>
      <c r="R17"/>
      <c r="S17" s="114"/>
      <c r="T17"/>
      <c r="U17"/>
      <c r="V17"/>
      <c r="W17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</row>
    <row r="18" spans="2:70" s="1" customFormat="1" ht="13" x14ac:dyDescent="0.3">
      <c r="B18" s="133" t="s">
        <v>88</v>
      </c>
      <c r="C18" s="1707">
        <f>11178/C3</f>
        <v>0.45585416581705479</v>
      </c>
      <c r="D18" s="134" t="s">
        <v>89</v>
      </c>
      <c r="E18" s="1361">
        <f>0.1+IF(C38=E52,0.1,IF(C38=E54,-0.05,0))+IF(C40=D52,0.05,0)+IF(C41=C52,0,0.05)</f>
        <v>0.1</v>
      </c>
      <c r="F18" s="135"/>
      <c r="G18" s="136"/>
      <c r="H18" s="130"/>
      <c r="I18" s="130"/>
      <c r="J18" s="130"/>
      <c r="K18" s="130"/>
      <c r="L18" s="130"/>
      <c r="M18" s="137"/>
      <c r="N18" s="132"/>
      <c r="O18" s="138" t="s">
        <v>90</v>
      </c>
      <c r="P18" s="139" t="s">
        <v>91</v>
      </c>
      <c r="Q18" s="114"/>
      <c r="R18"/>
      <c r="S18" s="114"/>
      <c r="T18"/>
      <c r="U18"/>
      <c r="V18"/>
      <c r="W18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</row>
    <row r="19" spans="2:70" s="1" customFormat="1" ht="13" x14ac:dyDescent="0.3">
      <c r="B19" s="86" t="s">
        <v>92</v>
      </c>
      <c r="C19" s="1708">
        <f>540/11178</f>
        <v>4.8309178743961352E-2</v>
      </c>
      <c r="D19" s="87"/>
      <c r="E19" s="140"/>
      <c r="F19" s="137"/>
      <c r="G19" s="141"/>
      <c r="H19" s="130"/>
      <c r="I19" s="130"/>
      <c r="J19" s="130"/>
      <c r="K19" s="130"/>
      <c r="L19" s="130"/>
      <c r="M19" s="137"/>
      <c r="N19" s="132"/>
      <c r="O19" s="142" t="s">
        <v>93</v>
      </c>
      <c r="P19" s="139"/>
      <c r="Q19" s="114"/>
      <c r="R19"/>
      <c r="S19" s="114"/>
      <c r="T19"/>
      <c r="U19"/>
      <c r="V19"/>
      <c r="W1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 spans="2:70" s="1" customFormat="1" ht="13" x14ac:dyDescent="0.3">
      <c r="B20" s="86"/>
      <c r="C20" s="143"/>
      <c r="D20" s="87"/>
      <c r="E20" s="144" t="s">
        <v>94</v>
      </c>
      <c r="F20" s="145" t="s">
        <v>95</v>
      </c>
      <c r="G20" s="146"/>
      <c r="H20" s="130"/>
      <c r="I20" s="130"/>
      <c r="J20" s="130"/>
      <c r="K20" s="130"/>
      <c r="L20" s="130"/>
      <c r="M20" s="137"/>
      <c r="N20" s="132"/>
      <c r="O20" s="142" t="s">
        <v>96</v>
      </c>
      <c r="P20" s="139"/>
      <c r="Q20" s="114"/>
      <c r="R20"/>
      <c r="S20" s="114"/>
      <c r="T20"/>
      <c r="U20"/>
      <c r="V20"/>
      <c r="W20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</row>
    <row r="21" spans="2:70" s="1" customFormat="1" ht="13" x14ac:dyDescent="0.3">
      <c r="B21" s="39" t="s">
        <v>97</v>
      </c>
      <c r="C21" s="1709" t="s">
        <v>98</v>
      </c>
      <c r="D21" s="40" t="s">
        <v>99</v>
      </c>
      <c r="E21" s="1389">
        <f>0.002</f>
        <v>2E-3</v>
      </c>
      <c r="F21" s="1325">
        <v>0.13</v>
      </c>
      <c r="G21" s="146"/>
      <c r="H21" s="130"/>
      <c r="I21" s="130"/>
      <c r="J21" s="130"/>
      <c r="K21" s="130"/>
      <c r="L21" s="130"/>
      <c r="M21" s="137"/>
      <c r="N21" s="132"/>
      <c r="O21" s="138" t="s">
        <v>100</v>
      </c>
      <c r="P21" s="147" t="s">
        <v>101</v>
      </c>
      <c r="Q21" s="114"/>
      <c r="R21"/>
      <c r="S21" s="114"/>
      <c r="T21"/>
      <c r="U21"/>
      <c r="V21"/>
      <c r="W21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</row>
    <row r="22" spans="2:70" s="1" customFormat="1" ht="13" x14ac:dyDescent="0.3">
      <c r="B22" s="148"/>
      <c r="C22" s="149"/>
      <c r="D22" s="128" t="s">
        <v>102</v>
      </c>
      <c r="E22" s="1325">
        <v>0.5</v>
      </c>
      <c r="F22" s="1390">
        <v>1</v>
      </c>
      <c r="G22" s="146"/>
      <c r="H22" s="130"/>
      <c r="I22" s="130"/>
      <c r="J22" s="130"/>
      <c r="K22" s="130"/>
      <c r="L22" s="130"/>
      <c r="M22" s="137"/>
      <c r="N22" s="132"/>
      <c r="O22" s="138" t="s">
        <v>103</v>
      </c>
      <c r="P22" s="147" t="s">
        <v>101</v>
      </c>
      <c r="Q22" s="114"/>
      <c r="R22"/>
      <c r="S22" s="114"/>
      <c r="T22"/>
      <c r="U22"/>
      <c r="V22"/>
      <c r="W2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</row>
    <row r="23" spans="2:70" s="1" customFormat="1" ht="13" x14ac:dyDescent="0.3">
      <c r="B23" s="148"/>
      <c r="C23" s="149"/>
      <c r="D23" s="149"/>
      <c r="E23" s="144"/>
      <c r="F23" s="145"/>
      <c r="G23" s="146"/>
      <c r="H23" s="130"/>
      <c r="I23" s="130"/>
      <c r="J23" s="130"/>
      <c r="K23" s="130"/>
      <c r="L23" s="130"/>
      <c r="M23" s="137"/>
      <c r="N23" s="132"/>
      <c r="O23" s="114"/>
      <c r="P23"/>
      <c r="Q23" s="114"/>
      <c r="R23"/>
      <c r="S23" s="114"/>
      <c r="T23"/>
      <c r="U23"/>
      <c r="V23"/>
      <c r="W23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</row>
    <row r="24" spans="2:70" s="1" customFormat="1" ht="13" x14ac:dyDescent="0.3">
      <c r="B24" s="150"/>
      <c r="C24" s="151"/>
      <c r="D24" s="152" t="s">
        <v>10</v>
      </c>
      <c r="E24" s="144" t="s">
        <v>11</v>
      </c>
      <c r="F24" s="145" t="s">
        <v>12</v>
      </c>
      <c r="G24" s="146" t="s">
        <v>104</v>
      </c>
      <c r="H24" s="130"/>
      <c r="I24" s="130"/>
      <c r="J24" s="130"/>
      <c r="K24" s="130"/>
      <c r="L24" s="130"/>
      <c r="M24" s="137"/>
      <c r="N24" s="132"/>
      <c r="O24" s="114"/>
      <c r="P24"/>
      <c r="Q24" s="114"/>
      <c r="R24"/>
      <c r="S24" s="114"/>
      <c r="T24"/>
      <c r="U24"/>
      <c r="V24"/>
      <c r="W24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</row>
    <row r="25" spans="2:70" s="1" customFormat="1" ht="13" x14ac:dyDescent="0.3">
      <c r="B25" s="1821" t="s">
        <v>105</v>
      </c>
      <c r="C25" s="1822"/>
      <c r="D25" s="503">
        <f>$C$18*$E$3*$E$4*3.04/1000*$E$6*$C$3</f>
        <v>385345.90080000006</v>
      </c>
      <c r="E25" s="503">
        <f>$C$18*$E$3*$E$4*3.04/1000*$E$7*$C$3</f>
        <v>64224.316800000015</v>
      </c>
      <c r="F25" s="503">
        <f>$C$18*$E$3*$E$4*3.04/1000*$E$8*$C$3</f>
        <v>2568972.6720000003</v>
      </c>
      <c r="G25" s="1396">
        <f>$C$18*$E$3*$E$4*1.38*10^-5*$E$9*$C$3</f>
        <v>291544596.00000006</v>
      </c>
      <c r="H25" s="130"/>
      <c r="I25" s="130"/>
      <c r="J25" s="130"/>
      <c r="K25" s="130"/>
      <c r="L25" s="130"/>
      <c r="M25" s="157"/>
      <c r="N25" s="132"/>
      <c r="O25" s="114"/>
      <c r="P25"/>
      <c r="Q25" s="114"/>
      <c r="R25"/>
      <c r="S25" s="114"/>
      <c r="T25"/>
      <c r="U25"/>
      <c r="V25"/>
      <c r="W25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</row>
    <row r="26" spans="2:70" s="1" customFormat="1" ht="13" x14ac:dyDescent="0.3">
      <c r="B26" s="153"/>
      <c r="C26" s="158"/>
      <c r="D26" s="159"/>
      <c r="E26" s="159"/>
      <c r="F26" s="159"/>
      <c r="G26" s="160"/>
      <c r="H26" s="130"/>
      <c r="I26" s="130"/>
      <c r="J26" s="130"/>
      <c r="K26" s="130"/>
      <c r="L26" s="130"/>
      <c r="M26" s="157"/>
      <c r="N26" s="132"/>
      <c r="O26" s="114"/>
      <c r="P26"/>
      <c r="Q26" s="114"/>
      <c r="R26"/>
      <c r="S26" s="114"/>
      <c r="T26"/>
      <c r="U26"/>
      <c r="V26"/>
      <c r="W26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</row>
    <row r="27" spans="2:70" s="1" customFormat="1" ht="25.5" x14ac:dyDescent="0.3">
      <c r="B27" s="39" t="s">
        <v>599</v>
      </c>
      <c r="C27" s="151" t="s">
        <v>106</v>
      </c>
      <c r="D27" s="161" t="s">
        <v>107</v>
      </c>
      <c r="E27" s="162" t="s">
        <v>108</v>
      </c>
      <c r="F27" s="163" t="s">
        <v>109</v>
      </c>
      <c r="G27" s="164" t="s">
        <v>110</v>
      </c>
      <c r="H27" s="130"/>
      <c r="I27" s="130"/>
      <c r="J27" s="130"/>
      <c r="K27" s="130"/>
      <c r="L27" s="130"/>
      <c r="M27" s="165"/>
      <c r="N27" s="132"/>
      <c r="O27" s="114"/>
      <c r="P27"/>
      <c r="Q27" s="114"/>
      <c r="R27"/>
      <c r="S27" s="114"/>
      <c r="T27"/>
      <c r="U27"/>
      <c r="V27"/>
      <c r="W27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</row>
    <row r="28" spans="2:70" s="1" customFormat="1" ht="13" x14ac:dyDescent="0.3">
      <c r="B28" s="39" t="s">
        <v>111</v>
      </c>
      <c r="C28" s="514">
        <f>1-SUM(C29:C32)</f>
        <v>1</v>
      </c>
      <c r="D28" s="1326">
        <v>0.28000000000000003</v>
      </c>
      <c r="E28" s="1391">
        <v>0.56999999999999995</v>
      </c>
      <c r="F28" s="1326">
        <v>0.72</v>
      </c>
      <c r="G28" s="1392">
        <v>3.5</v>
      </c>
      <c r="H28" s="1024"/>
      <c r="I28" s="130"/>
      <c r="J28" s="130"/>
      <c r="K28" s="130"/>
      <c r="L28" s="1027"/>
      <c r="M28" s="166"/>
      <c r="N28" s="132">
        <f>1-10^-G28</f>
        <v>0.99968377223398319</v>
      </c>
      <c r="O28" s="1025"/>
      <c r="P28"/>
      <c r="Q28" s="114"/>
      <c r="R28"/>
      <c r="S28" s="114"/>
      <c r="T28"/>
      <c r="U28"/>
      <c r="V28"/>
      <c r="W28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</row>
    <row r="29" spans="2:70" s="1" customFormat="1" ht="13" x14ac:dyDescent="0.3">
      <c r="B29" s="39" t="s">
        <v>112</v>
      </c>
      <c r="C29" s="1239"/>
      <c r="D29" s="1326">
        <v>0.55000000000000004</v>
      </c>
      <c r="E29" s="1391">
        <v>0.8</v>
      </c>
      <c r="F29" s="1326">
        <v>0.92</v>
      </c>
      <c r="G29" s="1392">
        <v>3.2</v>
      </c>
      <c r="H29" s="1024"/>
      <c r="I29" s="130"/>
      <c r="J29" s="130"/>
      <c r="K29" s="130"/>
      <c r="L29" s="1027"/>
      <c r="M29" s="166"/>
      <c r="N29" s="132">
        <f>1-10^-G29</f>
        <v>0.99936904265551985</v>
      </c>
      <c r="O29" s="1025"/>
      <c r="P29"/>
      <c r="Q29" s="114"/>
      <c r="R29"/>
      <c r="S29" s="114"/>
      <c r="T29"/>
      <c r="U29"/>
      <c r="V29"/>
      <c r="W29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2:70" s="1" customFormat="1" ht="13" x14ac:dyDescent="0.3">
      <c r="B30" s="39" t="s">
        <v>113</v>
      </c>
      <c r="C30" s="1239"/>
      <c r="D30" s="1326">
        <v>0.64</v>
      </c>
      <c r="E30" s="1391">
        <v>0.8</v>
      </c>
      <c r="F30" s="1326">
        <v>0.9</v>
      </c>
      <c r="G30" s="1392">
        <v>2.9</v>
      </c>
      <c r="H30" s="1024"/>
      <c r="I30" s="130"/>
      <c r="J30" s="130"/>
      <c r="K30" s="130"/>
      <c r="L30" s="1027"/>
      <c r="M30" s="166"/>
      <c r="N30" s="132">
        <f>1-10^-G30</f>
        <v>0.99874107458820582</v>
      </c>
      <c r="O30" s="1025"/>
      <c r="P30"/>
      <c r="Q30" s="114"/>
      <c r="R30"/>
      <c r="S30" s="114"/>
      <c r="T30"/>
      <c r="U30"/>
      <c r="V30"/>
      <c r="W30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</row>
    <row r="31" spans="2:70" s="1" customFormat="1" ht="13" x14ac:dyDescent="0.3">
      <c r="B31" s="39" t="s">
        <v>114</v>
      </c>
      <c r="C31" s="1239"/>
      <c r="D31" s="1326">
        <v>0.83</v>
      </c>
      <c r="E31" s="1391">
        <v>0.3</v>
      </c>
      <c r="F31" s="1326">
        <v>0.6</v>
      </c>
      <c r="G31" s="1393">
        <v>3</v>
      </c>
      <c r="H31" s="1024"/>
      <c r="L31" s="1028"/>
      <c r="M31" s="167"/>
      <c r="N31" s="132">
        <f>1-10^-G31</f>
        <v>0.999</v>
      </c>
      <c r="O31" s="1025"/>
      <c r="P31"/>
      <c r="Q31" s="114"/>
      <c r="R31"/>
      <c r="S31" s="114"/>
      <c r="T31"/>
      <c r="U31"/>
      <c r="V31"/>
      <c r="W31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</row>
    <row r="32" spans="2:70" s="1" customFormat="1" ht="13.5" thickBot="1" x14ac:dyDescent="0.35">
      <c r="B32" s="52" t="s">
        <v>115</v>
      </c>
      <c r="C32" s="1286"/>
      <c r="D32" s="1337">
        <f>IF($C32&gt;0,"Enter Value",0)</f>
        <v>0</v>
      </c>
      <c r="E32" s="1394">
        <f>IF($C32&gt;0,"Enter Value",0)</f>
        <v>0</v>
      </c>
      <c r="F32" s="1337">
        <f>IF($C32&gt;0,"Enter Value",0)</f>
        <v>0</v>
      </c>
      <c r="G32" s="1395">
        <f>IF($C32&gt;0,"Enter Value",0)</f>
        <v>0</v>
      </c>
      <c r="H32" s="130"/>
      <c r="L32" s="1028"/>
      <c r="M32" s="167"/>
      <c r="N32" s="132">
        <f>1-10^-G32</f>
        <v>0</v>
      </c>
      <c r="O32" s="114"/>
      <c r="P32"/>
      <c r="Q32" s="114"/>
      <c r="R32"/>
      <c r="S32" s="114"/>
      <c r="T32"/>
      <c r="U32"/>
      <c r="V32"/>
      <c r="W3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</row>
    <row r="33" spans="1:71" s="1" customFormat="1" ht="13" x14ac:dyDescent="0.3">
      <c r="B33" s="168"/>
      <c r="C33" s="169"/>
      <c r="D33" s="169"/>
      <c r="E33" s="170"/>
      <c r="F33" s="169"/>
      <c r="G33" s="171"/>
      <c r="H33" s="172"/>
      <c r="M33" s="130"/>
      <c r="N33" s="167"/>
      <c r="O33" s="132"/>
      <c r="P33" s="114"/>
      <c r="Q33"/>
      <c r="R33" s="114"/>
      <c r="S33"/>
      <c r="T33" s="114"/>
      <c r="U33"/>
      <c r="V33"/>
      <c r="W33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</row>
    <row r="34" spans="1:71" s="1" customFormat="1" ht="13.5" thickBot="1" x14ac:dyDescent="0.35">
      <c r="B34" s="173"/>
      <c r="C34" s="174"/>
      <c r="D34" s="174"/>
      <c r="E34" s="175"/>
      <c r="F34" s="174"/>
      <c r="G34" s="176"/>
      <c r="H34" s="172"/>
      <c r="M34" s="130"/>
      <c r="N34" s="167"/>
      <c r="O34" s="177">
        <f>1-10^-G34</f>
        <v>0</v>
      </c>
      <c r="P34" s="178"/>
      <c r="Q34" s="179"/>
      <c r="R34" s="178"/>
      <c r="S34" s="179"/>
      <c r="T34" s="114"/>
      <c r="U34"/>
      <c r="V34"/>
      <c r="W34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</row>
    <row r="35" spans="1:71" s="1" customFormat="1" ht="13.5" customHeight="1" x14ac:dyDescent="0.3">
      <c r="B35" s="86" t="s">
        <v>116</v>
      </c>
      <c r="C35" s="1353"/>
      <c r="D35" s="1361">
        <f>SUMPRODUCT($C28:$C34,D28:D34)</f>
        <v>0.28000000000000003</v>
      </c>
      <c r="E35" s="1397">
        <f>SUMPRODUCT($C28:$C34,E28:E34)</f>
        <v>0.56999999999999995</v>
      </c>
      <c r="F35" s="1361">
        <f>SUMPRODUCT($C28:$C34,F28:F34)</f>
        <v>0.72</v>
      </c>
      <c r="G35" s="1398">
        <f>-LOG(1-O35)</f>
        <v>3.5000000000000413</v>
      </c>
      <c r="H35" s="172"/>
      <c r="M35" s="1029"/>
      <c r="N35" s="167"/>
      <c r="O35" s="177">
        <f>SUMPRODUCT(C28:C32,N28:N32)</f>
        <v>0.99968377223398319</v>
      </c>
      <c r="P35" s="178"/>
      <c r="Q35" s="179"/>
      <c r="R35" s="178"/>
      <c r="S35" s="179"/>
      <c r="T35" s="114"/>
      <c r="U35"/>
      <c r="V35"/>
      <c r="W35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</row>
    <row r="36" spans="1:71" s="1" customFormat="1" ht="13.5" customHeight="1" thickBot="1" x14ac:dyDescent="0.35">
      <c r="B36" s="86" t="s">
        <v>117</v>
      </c>
      <c r="C36" s="1336"/>
      <c r="D36" s="1337">
        <f>IF($C41=$C52,D35,2/3*D35)</f>
        <v>0.28000000000000003</v>
      </c>
      <c r="E36" s="1399">
        <f>IF($C41=$C52,E35,2/3*E35)</f>
        <v>0.56999999999999995</v>
      </c>
      <c r="F36" s="1337">
        <f>IF($C41=$C52,F35,2/3*F35)</f>
        <v>0.72</v>
      </c>
      <c r="G36" s="1395">
        <f>IF($C41=$C52,G35,G35-1)</f>
        <v>3.5000000000000413</v>
      </c>
      <c r="H36" s="172"/>
      <c r="M36" s="1029"/>
      <c r="N36" s="167"/>
      <c r="O36" s="180">
        <f>1-(10^(-G36))</f>
        <v>0.99968377223398319</v>
      </c>
      <c r="P36" s="142" t="s">
        <v>118</v>
      </c>
      <c r="Q36" s="139"/>
      <c r="R36" s="138"/>
      <c r="S36" s="139"/>
      <c r="T36" s="114"/>
      <c r="U36"/>
      <c r="V36"/>
      <c r="W36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</row>
    <row r="37" spans="1:71" s="1" customFormat="1" ht="13.5" customHeight="1" thickBot="1" x14ac:dyDescent="0.35">
      <c r="B37" s="181"/>
      <c r="C37" s="182"/>
      <c r="D37" s="183"/>
      <c r="E37" s="183"/>
      <c r="F37" s="183"/>
      <c r="G37" s="184"/>
      <c r="H37" s="172"/>
      <c r="M37" s="130"/>
      <c r="N37" s="130"/>
      <c r="O37" s="132"/>
      <c r="P37" s="114"/>
      <c r="Q37"/>
      <c r="R37" s="114"/>
      <c r="S37"/>
      <c r="T37" s="114"/>
      <c r="U37"/>
      <c r="V37"/>
      <c r="W37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</row>
    <row r="38" spans="1:71" s="1" customFormat="1" ht="13.5" customHeight="1" x14ac:dyDescent="0.3">
      <c r="B38" s="150" t="s">
        <v>119</v>
      </c>
      <c r="C38" s="1823" t="s">
        <v>120</v>
      </c>
      <c r="D38" s="1824"/>
      <c r="E38" s="1824"/>
      <c r="F38" s="1824"/>
      <c r="G38" s="1825"/>
      <c r="H38" s="130"/>
      <c r="M38" s="185"/>
      <c r="N38" s="186"/>
      <c r="O38" s="114"/>
      <c r="P38" s="187"/>
      <c r="Q38" s="114"/>
      <c r="R38"/>
      <c r="S38" s="114"/>
      <c r="T38"/>
      <c r="U38"/>
      <c r="V38"/>
      <c r="W38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</row>
    <row r="39" spans="1:71" s="1" customFormat="1" ht="13.5" customHeight="1" x14ac:dyDescent="0.3">
      <c r="B39" s="150"/>
      <c r="C39" s="188"/>
      <c r="D39" s="189"/>
      <c r="E39" s="190"/>
      <c r="F39" s="190"/>
      <c r="G39" s="191"/>
      <c r="H39" s="130"/>
      <c r="M39" s="130"/>
      <c r="N39" s="132"/>
      <c r="O39" s="114"/>
      <c r="P39"/>
      <c r="Q39" s="114"/>
      <c r="R39"/>
      <c r="S39" s="114"/>
      <c r="T39"/>
      <c r="U39"/>
      <c r="V39"/>
      <c r="W39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</row>
    <row r="40" spans="1:71" s="1" customFormat="1" ht="13.5" customHeight="1" x14ac:dyDescent="0.3">
      <c r="B40" s="39" t="s">
        <v>121</v>
      </c>
      <c r="C40" s="1287" t="s">
        <v>146</v>
      </c>
      <c r="D40" s="163"/>
      <c r="E40" s="192"/>
      <c r="F40" s="192"/>
      <c r="G40" s="193"/>
      <c r="H40" s="130"/>
      <c r="M40" s="130"/>
      <c r="N40" s="132"/>
      <c r="O40" s="138" t="s">
        <v>122</v>
      </c>
      <c r="P40" s="139"/>
      <c r="Q40" s="138"/>
      <c r="R40" s="139"/>
      <c r="S40" s="114"/>
      <c r="T40"/>
      <c r="U40"/>
      <c r="V40"/>
      <c r="W40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</row>
    <row r="41" spans="1:71" s="1" customFormat="1" ht="13.5" customHeight="1" thickBot="1" x14ac:dyDescent="0.35">
      <c r="B41" s="97" t="s">
        <v>123</v>
      </c>
      <c r="C41" s="1288" t="s">
        <v>124</v>
      </c>
      <c r="D41" s="194"/>
      <c r="E41" s="195"/>
      <c r="F41" s="195"/>
      <c r="G41" s="196"/>
      <c r="H41" s="130"/>
      <c r="M41" s="130"/>
      <c r="N41" s="132"/>
      <c r="O41" s="142" t="s">
        <v>125</v>
      </c>
      <c r="P41" s="139" t="s">
        <v>126</v>
      </c>
      <c r="Q41" s="142" t="s">
        <v>127</v>
      </c>
      <c r="R41" s="139" t="s">
        <v>128</v>
      </c>
      <c r="S41" s="114"/>
      <c r="T41"/>
      <c r="U41"/>
      <c r="V41"/>
      <c r="W41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</row>
    <row r="42" spans="1:71" s="1" customFormat="1" ht="13.5" customHeight="1" thickTop="1" x14ac:dyDescent="0.3">
      <c r="B42" s="150"/>
      <c r="C42" s="188"/>
      <c r="D42" s="189"/>
      <c r="E42" s="190"/>
      <c r="F42" s="190"/>
      <c r="G42" s="191"/>
      <c r="H42" s="130"/>
      <c r="M42" s="130"/>
      <c r="N42" s="132"/>
      <c r="O42" s="142" t="s">
        <v>129</v>
      </c>
      <c r="P42" s="139" t="s">
        <v>130</v>
      </c>
      <c r="Q42" s="142" t="s">
        <v>131</v>
      </c>
      <c r="R42" s="139" t="s">
        <v>130</v>
      </c>
      <c r="S42" s="114"/>
      <c r="T42"/>
      <c r="U42"/>
      <c r="V42"/>
      <c r="W4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</row>
    <row r="43" spans="1:71" s="1" customFormat="1" ht="13.5" customHeight="1" x14ac:dyDescent="0.3">
      <c r="B43" s="39"/>
      <c r="C43" s="197"/>
      <c r="D43" s="163" t="s">
        <v>10</v>
      </c>
      <c r="E43" s="192" t="s">
        <v>11</v>
      </c>
      <c r="F43" s="192" t="s">
        <v>12</v>
      </c>
      <c r="G43" s="193" t="s">
        <v>68</v>
      </c>
      <c r="H43" s="130"/>
      <c r="M43" s="130"/>
      <c r="N43" s="132"/>
      <c r="O43" s="138" t="s">
        <v>132</v>
      </c>
      <c r="P43" s="147" t="s">
        <v>133</v>
      </c>
      <c r="Q43" s="138"/>
      <c r="R43" s="147" t="s">
        <v>134</v>
      </c>
      <c r="U43"/>
      <c r="V43"/>
      <c r="W43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</row>
    <row r="44" spans="1:71" s="1" customFormat="1" ht="13.5" customHeight="1" x14ac:dyDescent="0.3">
      <c r="B44" s="39" t="s">
        <v>135</v>
      </c>
      <c r="C44" s="197"/>
      <c r="D44" s="198">
        <f>IF(C40=D52,0,IF(C40=D53,0.1,0.2))*IF(C21=B52,0.5,1)</f>
        <v>0.2</v>
      </c>
      <c r="E44" s="199">
        <f>IF(C40=D52,0.5,IF(C40=D53,0.8,1))*IF(C21=B52,0.5,1)</f>
        <v>1</v>
      </c>
      <c r="F44" s="199">
        <v>1</v>
      </c>
      <c r="G44" s="200">
        <f>IF(C40=D52,0.5,1)*IF(C21=B52,0.5,1)</f>
        <v>1</v>
      </c>
      <c r="H44" s="130"/>
      <c r="M44" s="201"/>
      <c r="N44" s="132"/>
      <c r="O44" s="138" t="s">
        <v>136</v>
      </c>
      <c r="P44" s="147" t="s">
        <v>137</v>
      </c>
      <c r="Q44" s="138"/>
      <c r="R44" s="147"/>
      <c r="U44"/>
      <c r="V44"/>
      <c r="W44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</row>
    <row r="45" spans="1:71" s="1" customFormat="1" ht="13.5" thickBot="1" x14ac:dyDescent="0.35">
      <c r="B45" s="97"/>
      <c r="C45" s="202"/>
      <c r="D45" s="194"/>
      <c r="E45" s="195"/>
      <c r="F45" s="195"/>
      <c r="G45" s="196"/>
      <c r="H45" s="130"/>
      <c r="I45" s="130"/>
      <c r="J45" s="130"/>
      <c r="K45" s="130"/>
      <c r="L45" s="130"/>
      <c r="M45" s="130"/>
      <c r="N45" s="132"/>
      <c r="O45" s="138" t="s">
        <v>138</v>
      </c>
      <c r="P45" s="139" t="s">
        <v>138</v>
      </c>
      <c r="Q45" s="138"/>
      <c r="R45" s="139" t="s">
        <v>138</v>
      </c>
      <c r="U45"/>
      <c r="V45"/>
      <c r="W45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</row>
    <row r="46" spans="1:71" s="1" customFormat="1" ht="13.5" thickTop="1" x14ac:dyDescent="0.3">
      <c r="A46" s="87"/>
      <c r="B46" s="150"/>
      <c r="C46" s="87"/>
      <c r="D46" s="203" t="s">
        <v>10</v>
      </c>
      <c r="E46" s="204" t="s">
        <v>11</v>
      </c>
      <c r="F46" s="190" t="s">
        <v>12</v>
      </c>
      <c r="G46" s="191" t="s">
        <v>68</v>
      </c>
      <c r="H46" s="130"/>
      <c r="I46" s="130"/>
      <c r="J46" s="130"/>
      <c r="K46" s="130"/>
      <c r="L46" s="130"/>
      <c r="M46" s="130"/>
      <c r="N46" s="186"/>
      <c r="U46"/>
      <c r="V46"/>
      <c r="W46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</row>
    <row r="47" spans="1:71" s="1" customFormat="1" ht="13" x14ac:dyDescent="0.3">
      <c r="A47" s="104"/>
      <c r="B47" s="205"/>
      <c r="C47" s="118" t="s">
        <v>139</v>
      </c>
      <c r="D47" s="163">
        <f>D25*$E$18*($E22*(1-$C19)+$F22*$C19)</f>
        <v>20198.082240000003</v>
      </c>
      <c r="E47" s="163">
        <f>E25*$E$18*($E22*(1-$C19)+$F22*$C19)</f>
        <v>3366.3470400000006</v>
      </c>
      <c r="F47" s="163">
        <f>F25*$E$18*($E22*(1-$C19)+$F22*$C19)</f>
        <v>134653.88160000002</v>
      </c>
      <c r="G47" s="193">
        <f>G25*$E$18*($E22*(1-$C19)*E21+$F22*$C19*F21)</f>
        <v>210841.67160000006</v>
      </c>
      <c r="H47" s="130"/>
      <c r="I47" s="130"/>
      <c r="J47" s="130"/>
      <c r="K47" s="130"/>
      <c r="L47" s="130"/>
      <c r="M47" s="130"/>
      <c r="N47" s="132"/>
      <c r="O47" s="206" t="s">
        <v>600</v>
      </c>
      <c r="P47" s="207"/>
      <c r="Q47" s="208"/>
      <c r="R47" s="207"/>
      <c r="S47" s="208"/>
      <c r="T47" s="207"/>
      <c r="U47"/>
      <c r="V47"/>
      <c r="W47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</row>
    <row r="48" spans="1:71" s="1" customFormat="1" ht="13" x14ac:dyDescent="0.3">
      <c r="A48" s="104"/>
      <c r="B48" s="205"/>
      <c r="C48" s="118" t="s">
        <v>140</v>
      </c>
      <c r="D48" s="163">
        <f>D25*(1-$E18)*(1-D36)*(1-D44)</f>
        <v>199763.31497472004</v>
      </c>
      <c r="E48" s="163">
        <f>E25*(1-$E18)*(1-E36)*(1-E44)</f>
        <v>0</v>
      </c>
      <c r="F48" s="163">
        <f>F25*(1-$E18)*(1-F36)*(1-F44)</f>
        <v>0</v>
      </c>
      <c r="G48" s="193">
        <f>G25*(1-$E18)*(1-O36)*(1-G44)</f>
        <v>0</v>
      </c>
      <c r="H48" s="130"/>
      <c r="I48" s="130"/>
      <c r="J48" s="130"/>
      <c r="K48" s="130"/>
      <c r="L48" s="130"/>
      <c r="M48" s="130"/>
      <c r="N48" s="186"/>
      <c r="O48" s="208"/>
      <c r="P48" s="207"/>
      <c r="Q48" s="208"/>
      <c r="R48" s="207"/>
      <c r="S48" s="208"/>
      <c r="T48" s="207"/>
      <c r="U48"/>
      <c r="V48"/>
      <c r="W48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</row>
    <row r="49" spans="1:70" s="1" customFormat="1" ht="13.5" thickBot="1" x14ac:dyDescent="0.35">
      <c r="B49" s="97"/>
      <c r="C49" s="202"/>
      <c r="D49" s="194"/>
      <c r="E49" s="195"/>
      <c r="F49" s="195"/>
      <c r="G49" s="196"/>
      <c r="H49" s="130"/>
      <c r="I49" s="130"/>
      <c r="J49" s="130"/>
      <c r="K49" s="130"/>
      <c r="L49" s="130"/>
      <c r="M49" s="130"/>
      <c r="N49" s="132"/>
      <c r="O49" s="206" t="s">
        <v>603</v>
      </c>
      <c r="P49" s="207"/>
      <c r="Q49" s="208"/>
      <c r="R49" s="207"/>
      <c r="S49" s="208"/>
      <c r="T49" s="207"/>
      <c r="U49"/>
      <c r="V49"/>
      <c r="W49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</row>
    <row r="50" spans="1:70" s="1" customFormat="1" ht="14" thickTop="1" thickBot="1" x14ac:dyDescent="0.35">
      <c r="B50" s="209"/>
      <c r="C50" s="210"/>
      <c r="D50" s="211"/>
      <c r="E50" s="209"/>
      <c r="F50" s="209"/>
      <c r="G50" s="212"/>
      <c r="H50" s="130"/>
      <c r="I50" s="130"/>
      <c r="J50" s="130"/>
      <c r="K50" s="130"/>
      <c r="L50" s="130"/>
      <c r="M50" s="130"/>
      <c r="N50" s="132"/>
      <c r="O50" s="206" t="s">
        <v>141</v>
      </c>
      <c r="P50" s="207"/>
      <c r="Q50" s="208"/>
      <c r="R50" s="207"/>
      <c r="S50" s="208"/>
      <c r="T50" s="207"/>
      <c r="U50"/>
      <c r="V50"/>
      <c r="W50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</row>
    <row r="51" spans="1:70" s="1" customFormat="1" ht="13.5" thickTop="1" x14ac:dyDescent="0.3"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2"/>
      <c r="O51" s="114"/>
      <c r="P51"/>
      <c r="Q51" s="114"/>
      <c r="R51"/>
      <c r="S51" s="114"/>
      <c r="T51"/>
      <c r="U51"/>
      <c r="V51"/>
      <c r="W51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</row>
    <row r="52" spans="1:70" s="1" customFormat="1" ht="13" x14ac:dyDescent="0.3">
      <c r="B52" s="130" t="s">
        <v>142</v>
      </c>
      <c r="C52" s="213" t="s">
        <v>124</v>
      </c>
      <c r="D52" s="130" t="s">
        <v>64</v>
      </c>
      <c r="E52" s="214" t="s">
        <v>143</v>
      </c>
      <c r="F52" s="130"/>
      <c r="G52" s="130"/>
      <c r="H52" s="130"/>
      <c r="I52" s="130"/>
      <c r="J52" s="130"/>
      <c r="K52" s="130"/>
      <c r="L52" s="130"/>
      <c r="M52" s="130"/>
      <c r="N52" s="132"/>
      <c r="O52" s="114"/>
      <c r="P52"/>
      <c r="Q52" s="114"/>
      <c r="R52"/>
      <c r="S52" s="114"/>
      <c r="T52"/>
      <c r="U52"/>
      <c r="V52"/>
      <c r="W5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</row>
    <row r="53" spans="1:70" s="1" customFormat="1" ht="13" x14ac:dyDescent="0.3">
      <c r="B53" s="130" t="s">
        <v>98</v>
      </c>
      <c r="C53" s="213" t="s">
        <v>144</v>
      </c>
      <c r="D53" s="130" t="s">
        <v>65</v>
      </c>
      <c r="E53" s="214" t="s">
        <v>120</v>
      </c>
      <c r="F53" s="130"/>
      <c r="G53" s="130"/>
      <c r="H53" s="130"/>
      <c r="I53" s="130"/>
      <c r="J53" s="130"/>
      <c r="K53" s="130"/>
      <c r="L53" s="130"/>
      <c r="M53" s="130"/>
      <c r="N53" s="132"/>
      <c r="O53" s="114"/>
      <c r="P53"/>
      <c r="Q53" s="114"/>
      <c r="R53"/>
      <c r="S53" s="114"/>
      <c r="T53"/>
      <c r="U53"/>
      <c r="V53"/>
      <c r="W53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</row>
    <row r="54" spans="1:70" s="1" customFormat="1" ht="13" x14ac:dyDescent="0.3">
      <c r="B54" s="130"/>
      <c r="C54" s="124" t="s">
        <v>145</v>
      </c>
      <c r="D54" s="130" t="s">
        <v>146</v>
      </c>
      <c r="E54" s="214" t="s">
        <v>147</v>
      </c>
      <c r="F54" s="130"/>
      <c r="G54" s="130"/>
      <c r="H54" s="130"/>
      <c r="I54" s="130"/>
      <c r="J54" s="130"/>
      <c r="K54" s="130"/>
      <c r="L54" s="130"/>
      <c r="M54" s="130"/>
      <c r="N54" s="132"/>
      <c r="O54" s="114"/>
      <c r="P54"/>
      <c r="Q54" s="114"/>
      <c r="R54"/>
      <c r="S54" s="114"/>
      <c r="T54"/>
      <c r="U54"/>
      <c r="V54"/>
      <c r="W54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</row>
    <row r="55" spans="1:70" s="1" customFormat="1" ht="13" x14ac:dyDescent="0.3">
      <c r="B55" s="130"/>
      <c r="C55" s="130"/>
      <c r="D55" s="130"/>
      <c r="E55" s="130"/>
      <c r="F55" s="130"/>
      <c r="G55" s="130"/>
      <c r="H55" s="132"/>
      <c r="I55" s="114"/>
      <c r="J55"/>
      <c r="K55" s="114"/>
      <c r="L55"/>
      <c r="M55" s="114"/>
      <c r="N55"/>
      <c r="O55"/>
      <c r="P55"/>
      <c r="Q55"/>
      <c r="R55"/>
      <c r="S55"/>
      <c r="T55"/>
      <c r="U55"/>
      <c r="V55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70" s="2" customFormat="1" ht="13" x14ac:dyDescent="0.3">
      <c r="A56" s="1"/>
      <c r="B56" s="114"/>
      <c r="C56"/>
      <c r="D56" s="114"/>
      <c r="E56" s="123"/>
      <c r="F56" s="114"/>
      <c r="G56" s="123"/>
      <c r="H56"/>
      <c r="I56" s="114"/>
      <c r="J56"/>
      <c r="K56" s="114"/>
      <c r="L56"/>
      <c r="M56" s="114"/>
      <c r="N56"/>
      <c r="O56"/>
      <c r="P56"/>
      <c r="Q56"/>
      <c r="R56"/>
      <c r="S56"/>
      <c r="T56"/>
      <c r="U56"/>
      <c r="V56"/>
    </row>
    <row r="57" spans="1:70" s="2" customFormat="1" ht="13.5" thickBot="1" x14ac:dyDescent="0.35">
      <c r="A57" s="1"/>
      <c r="B57" s="114"/>
      <c r="C57"/>
      <c r="D57" s="114"/>
      <c r="E57"/>
      <c r="F57" s="114"/>
      <c r="G57" s="123"/>
      <c r="H57"/>
      <c r="I57" s="114"/>
      <c r="J57"/>
      <c r="K57"/>
      <c r="L57"/>
      <c r="M57"/>
      <c r="N57" s="114"/>
      <c r="O57"/>
      <c r="P57"/>
      <c r="Q57"/>
      <c r="R57"/>
      <c r="S57"/>
      <c r="T57"/>
      <c r="U57"/>
      <c r="V57"/>
    </row>
    <row r="58" spans="1:70" s="2" customFormat="1" ht="21" thickTop="1" thickBot="1" x14ac:dyDescent="0.45">
      <c r="A58" s="1"/>
      <c r="B58" s="1776" t="s">
        <v>148</v>
      </c>
      <c r="C58" s="1806"/>
      <c r="D58" s="12"/>
      <c r="E58" s="215"/>
      <c r="F58" s="114"/>
      <c r="G58" s="123"/>
      <c r="H58" s="114"/>
      <c r="I58"/>
      <c r="J58"/>
      <c r="K58"/>
      <c r="L58"/>
      <c r="M58"/>
      <c r="N58" s="114"/>
      <c r="O58"/>
      <c r="P58"/>
      <c r="Q58"/>
      <c r="R58"/>
      <c r="S58"/>
      <c r="T58"/>
      <c r="U58"/>
      <c r="V58"/>
    </row>
    <row r="59" spans="1:70" s="1" customFormat="1" ht="13" x14ac:dyDescent="0.3">
      <c r="B59" s="32" t="s">
        <v>149</v>
      </c>
      <c r="C59" s="1710">
        <v>310.07060000000001</v>
      </c>
      <c r="D59" s="116" t="s">
        <v>150</v>
      </c>
      <c r="E59" s="1385">
        <v>140</v>
      </c>
      <c r="F59" s="1656" t="s">
        <v>772</v>
      </c>
      <c r="G59" s="123"/>
      <c r="H59" s="114"/>
      <c r="I59"/>
      <c r="J59"/>
      <c r="K59"/>
      <c r="L59"/>
      <c r="M59"/>
      <c r="N59" s="114"/>
      <c r="O59"/>
      <c r="P59"/>
      <c r="Q59"/>
      <c r="R59"/>
      <c r="S59"/>
      <c r="T59"/>
      <c r="U59"/>
      <c r="V59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70" s="1" customFormat="1" ht="13.5" thickBot="1" x14ac:dyDescent="0.35">
      <c r="B60" s="97" t="s">
        <v>151</v>
      </c>
      <c r="C60" s="1400">
        <v>0.5</v>
      </c>
      <c r="D60" s="122" t="s">
        <v>152</v>
      </c>
      <c r="E60" s="1401">
        <v>90000</v>
      </c>
      <c r="F60" s="114"/>
      <c r="G60" s="123"/>
      <c r="H60" s="114"/>
      <c r="I60"/>
      <c r="J60"/>
      <c r="K60"/>
      <c r="L60"/>
      <c r="M60"/>
      <c r="N60" s="114"/>
      <c r="O60"/>
      <c r="P60"/>
      <c r="Q60"/>
      <c r="R60"/>
      <c r="S60"/>
      <c r="T60"/>
      <c r="U60"/>
      <c r="V60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70" s="2" customFormat="1" ht="14" thickTop="1" thickBot="1" x14ac:dyDescent="0.35">
      <c r="A61" s="1"/>
      <c r="B61" s="114"/>
      <c r="C61"/>
      <c r="D61" s="114"/>
      <c r="E61"/>
      <c r="F61" s="114"/>
      <c r="G61" s="123"/>
      <c r="H61" s="114"/>
      <c r="I61"/>
      <c r="J61"/>
      <c r="K61"/>
      <c r="L61"/>
      <c r="M61"/>
      <c r="N61" s="114"/>
      <c r="O61"/>
      <c r="P61"/>
      <c r="Q61"/>
      <c r="R61"/>
      <c r="S61"/>
      <c r="T61"/>
      <c r="U61"/>
      <c r="V61"/>
    </row>
    <row r="62" spans="1:70" s="2" customFormat="1" ht="21" thickTop="1" thickBot="1" x14ac:dyDescent="0.45">
      <c r="A62" s="1"/>
      <c r="B62" s="1776" t="s">
        <v>153</v>
      </c>
      <c r="C62" s="1806"/>
      <c r="D62" s="12"/>
      <c r="E62" s="215"/>
      <c r="F62" s="114"/>
      <c r="G62" s="123"/>
      <c r="H62" s="114"/>
      <c r="I62"/>
      <c r="J62" s="114"/>
      <c r="K62"/>
      <c r="L62" s="114"/>
      <c r="M62"/>
      <c r="N62" s="114"/>
      <c r="O62"/>
      <c r="P62"/>
      <c r="Q62"/>
      <c r="R62"/>
      <c r="S62"/>
      <c r="T62"/>
      <c r="U62"/>
      <c r="V62"/>
    </row>
    <row r="63" spans="1:70" s="1" customFormat="1" ht="14.25" customHeight="1" x14ac:dyDescent="0.3">
      <c r="B63" s="32" t="s">
        <v>154</v>
      </c>
      <c r="C63" s="1289"/>
      <c r="D63" s="116" t="s">
        <v>155</v>
      </c>
      <c r="E63" s="1290"/>
      <c r="F63" s="114"/>
      <c r="G63" s="123"/>
      <c r="H63" s="114"/>
      <c r="I63"/>
      <c r="J63" s="114"/>
      <c r="K63"/>
      <c r="L63" s="114"/>
      <c r="M63"/>
      <c r="N63" s="114"/>
      <c r="O63"/>
      <c r="P63"/>
      <c r="Q63"/>
      <c r="R63"/>
      <c r="S63"/>
      <c r="T63"/>
      <c r="U63"/>
      <c r="V6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1:70" s="1" customFormat="1" ht="26" x14ac:dyDescent="0.3">
      <c r="B64" s="39" t="s">
        <v>156</v>
      </c>
      <c r="C64" s="1210"/>
      <c r="D64" s="216" t="s">
        <v>157</v>
      </c>
      <c r="E64" s="1386">
        <v>0.1</v>
      </c>
      <c r="F64" s="114"/>
      <c r="G64" s="123"/>
      <c r="H64" s="114"/>
      <c r="I64"/>
      <c r="J64" s="114"/>
      <c r="K64"/>
      <c r="L64" s="114"/>
      <c r="M64"/>
      <c r="N64" s="114"/>
      <c r="O64"/>
      <c r="P64"/>
      <c r="Q64"/>
      <c r="R64"/>
      <c r="S64"/>
      <c r="T64"/>
      <c r="U64"/>
      <c r="V64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s="1" customFormat="1" ht="13" x14ac:dyDescent="0.3">
      <c r="B65" s="39" t="s">
        <v>158</v>
      </c>
      <c r="C65" s="1211"/>
      <c r="D65" s="119" t="s">
        <v>159</v>
      </c>
      <c r="E65" s="120"/>
      <c r="F65" s="114"/>
      <c r="G65" s="123"/>
      <c r="H65" s="114"/>
      <c r="I65"/>
      <c r="J65" s="114"/>
      <c r="K65"/>
      <c r="L65" s="114"/>
      <c r="M65"/>
      <c r="N65" s="114"/>
      <c r="O65"/>
      <c r="P65"/>
      <c r="Q65"/>
      <c r="R65"/>
      <c r="S65"/>
      <c r="T65"/>
      <c r="U65"/>
      <c r="V65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s="1" customFormat="1" ht="13" x14ac:dyDescent="0.3">
      <c r="B66" s="39"/>
      <c r="C66" s="117"/>
      <c r="D66" s="118" t="s">
        <v>78</v>
      </c>
      <c r="E66" s="1386">
        <v>10</v>
      </c>
      <c r="F66" s="114"/>
      <c r="G66" s="123"/>
      <c r="H66"/>
      <c r="I66" s="114"/>
      <c r="J66" s="114"/>
      <c r="K66"/>
      <c r="L66" s="114"/>
      <c r="M66"/>
      <c r="N66" s="114"/>
      <c r="O66"/>
      <c r="P66"/>
      <c r="Q66"/>
      <c r="R66"/>
      <c r="S66"/>
      <c r="T66"/>
      <c r="U66"/>
      <c r="V66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s="1" customFormat="1" ht="13" x14ac:dyDescent="0.3">
      <c r="B67" s="39"/>
      <c r="C67" s="117"/>
      <c r="D67" s="118" t="s">
        <v>79</v>
      </c>
      <c r="E67" s="1386">
        <v>2</v>
      </c>
      <c r="F67" s="114"/>
      <c r="G67" s="123"/>
      <c r="H67"/>
      <c r="I67" s="114"/>
      <c r="J67" s="114"/>
      <c r="K67"/>
      <c r="L67" s="114"/>
      <c r="M67"/>
      <c r="N67" s="114"/>
      <c r="O67"/>
      <c r="P67"/>
      <c r="Q67"/>
      <c r="R67"/>
      <c r="S67"/>
      <c r="T67"/>
      <c r="U67"/>
      <c r="V67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s="1" customFormat="1" ht="13" x14ac:dyDescent="0.3">
      <c r="B68" s="39"/>
      <c r="C68" s="117"/>
      <c r="D68" s="118" t="s">
        <v>80</v>
      </c>
      <c r="E68" s="1386">
        <v>200</v>
      </c>
      <c r="F68" s="114"/>
      <c r="G68" s="123"/>
      <c r="H68"/>
      <c r="I68" s="114"/>
      <c r="J68" s="114"/>
      <c r="K68"/>
      <c r="L68" s="114"/>
      <c r="M68"/>
      <c r="N68" s="114"/>
      <c r="O68"/>
      <c r="P68"/>
      <c r="Q68"/>
      <c r="R68"/>
      <c r="S68"/>
      <c r="T68"/>
      <c r="U68"/>
      <c r="V68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s="1" customFormat="1" ht="13.5" thickBot="1" x14ac:dyDescent="0.35">
      <c r="B69" s="97"/>
      <c r="C69" s="121"/>
      <c r="D69" s="122" t="s">
        <v>81</v>
      </c>
      <c r="E69" s="1402">
        <v>6400000</v>
      </c>
      <c r="F69" s="114"/>
      <c r="G69" s="123"/>
      <c r="H69"/>
      <c r="I69" s="114"/>
      <c r="J69" s="114"/>
      <c r="K69"/>
      <c r="L69" s="114"/>
      <c r="M69"/>
      <c r="N69" s="114"/>
      <c r="O69"/>
      <c r="P69"/>
      <c r="Q69"/>
      <c r="R69"/>
      <c r="S69"/>
      <c r="T69"/>
      <c r="U69"/>
      <c r="V69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s="2" customFormat="1" ht="14" thickTop="1" thickBot="1" x14ac:dyDescent="0.35">
      <c r="A70" s="1"/>
      <c r="B70" s="114"/>
      <c r="C70"/>
      <c r="D70" s="114"/>
      <c r="E70"/>
      <c r="F70" s="114"/>
      <c r="G70" s="123"/>
      <c r="H70"/>
      <c r="I70" s="114"/>
      <c r="J70" s="114"/>
      <c r="K70"/>
      <c r="L70" s="114"/>
      <c r="M70"/>
      <c r="N70" s="114"/>
      <c r="O70"/>
      <c r="P70"/>
      <c r="Q70"/>
      <c r="R70"/>
      <c r="S70"/>
      <c r="T70"/>
      <c r="U70"/>
      <c r="V70"/>
    </row>
    <row r="71" spans="1:64" s="2" customFormat="1" ht="20.5" thickTop="1" x14ac:dyDescent="0.4">
      <c r="A71" s="1"/>
      <c r="B71" s="1807" t="s">
        <v>160</v>
      </c>
      <c r="C71" s="1808"/>
      <c r="D71" s="217"/>
      <c r="E71" s="217"/>
      <c r="F71" s="218"/>
      <c r="G71" s="124"/>
      <c r="H71"/>
      <c r="I71" s="114"/>
      <c r="J71" s="114"/>
      <c r="K71"/>
      <c r="L71" s="114"/>
      <c r="M71"/>
      <c r="N71" s="114"/>
      <c r="O71"/>
      <c r="P71"/>
      <c r="Q71"/>
      <c r="R71"/>
      <c r="S71"/>
      <c r="T71"/>
      <c r="U71"/>
      <c r="V71"/>
    </row>
    <row r="72" spans="1:64" s="1" customFormat="1" ht="26" x14ac:dyDescent="0.3">
      <c r="B72" s="219" t="s">
        <v>161</v>
      </c>
      <c r="C72" s="1607">
        <v>1E-3</v>
      </c>
      <c r="D72" s="724"/>
      <c r="E72" s="220"/>
      <c r="F72" s="221"/>
      <c r="G72" s="114"/>
      <c r="H72"/>
      <c r="I72" s="114"/>
      <c r="J72" s="114"/>
      <c r="K72"/>
      <c r="L72" s="114"/>
      <c r="M72"/>
      <c r="N72" s="114"/>
      <c r="O72"/>
      <c r="P72"/>
      <c r="Q72"/>
      <c r="R72"/>
      <c r="S72"/>
      <c r="T72"/>
      <c r="U72"/>
      <c r="V7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s="1" customFormat="1" ht="13" x14ac:dyDescent="0.3">
      <c r="B73" s="219" t="s">
        <v>162</v>
      </c>
      <c r="C73" s="1328">
        <f>C72*C3</f>
        <v>24.521000000000001</v>
      </c>
      <c r="D73" s="220"/>
      <c r="E73" s="220"/>
      <c r="F73" s="221"/>
      <c r="G73" s="114"/>
      <c r="H73"/>
      <c r="I73" s="114"/>
      <c r="J73" s="114"/>
      <c r="K73"/>
      <c r="L73" s="114"/>
      <c r="M73"/>
      <c r="N73" s="114"/>
      <c r="O73"/>
      <c r="P73"/>
      <c r="Q73"/>
      <c r="R73"/>
      <c r="S73"/>
      <c r="T73"/>
      <c r="U73"/>
      <c r="V73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s="1" customFormat="1" ht="13" x14ac:dyDescent="0.3">
      <c r="B74" s="219"/>
      <c r="C74" s="222"/>
      <c r="D74" s="220"/>
      <c r="E74" s="220"/>
      <c r="F74" s="221"/>
      <c r="G74" s="114"/>
      <c r="H74"/>
      <c r="I74" s="114"/>
      <c r="J74" s="114"/>
      <c r="K74"/>
      <c r="L74" s="114"/>
      <c r="M74"/>
      <c r="N74" s="114"/>
      <c r="O74"/>
      <c r="P74"/>
      <c r="Q74"/>
      <c r="R74"/>
      <c r="S74"/>
      <c r="T74"/>
      <c r="U74"/>
      <c r="V74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s="1" customFormat="1" ht="13" x14ac:dyDescent="0.3">
      <c r="B75" s="219" t="s">
        <v>163</v>
      </c>
      <c r="C75" s="1711">
        <v>957</v>
      </c>
      <c r="D75" s="220"/>
      <c r="E75" s="220"/>
      <c r="F75" s="221"/>
      <c r="G75" s="114"/>
      <c r="H75"/>
      <c r="I75" s="114"/>
      <c r="J75"/>
      <c r="K75" s="114"/>
      <c r="L75"/>
      <c r="M75" s="114"/>
      <c r="N75"/>
      <c r="O75"/>
      <c r="P75"/>
      <c r="Q75"/>
      <c r="R75"/>
      <c r="S75"/>
      <c r="T75"/>
      <c r="U75"/>
      <c r="V75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s="1" customFormat="1" ht="26" x14ac:dyDescent="0.3">
      <c r="B76" s="219" t="s">
        <v>164</v>
      </c>
      <c r="C76" s="1239">
        <v>0.05</v>
      </c>
      <c r="D76" s="220"/>
      <c r="E76" s="220"/>
      <c r="F76" s="221"/>
      <c r="G76" s="114"/>
      <c r="H76"/>
      <c r="I76" s="114"/>
      <c r="J76"/>
      <c r="K76" s="114"/>
      <c r="L76"/>
      <c r="M76" s="114"/>
      <c r="N76"/>
      <c r="O76"/>
      <c r="P76"/>
      <c r="Q76"/>
      <c r="R76"/>
      <c r="S76"/>
      <c r="T76"/>
      <c r="U76"/>
      <c r="V76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s="1" customFormat="1" ht="24.75" customHeight="1" x14ac:dyDescent="0.3">
      <c r="B77" s="219" t="s">
        <v>601</v>
      </c>
      <c r="C77" s="1239">
        <v>0.9</v>
      </c>
      <c r="D77" s="220"/>
      <c r="E77" s="220"/>
      <c r="F77" s="221"/>
      <c r="G77" s="114"/>
      <c r="H77"/>
      <c r="I77" s="114"/>
      <c r="J77"/>
      <c r="K77" s="114"/>
      <c r="L77"/>
      <c r="M77" s="114"/>
      <c r="N77"/>
      <c r="O77"/>
      <c r="P77"/>
      <c r="Q77"/>
      <c r="R77"/>
      <c r="S77"/>
      <c r="T77"/>
      <c r="U77"/>
      <c r="V77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s="1" customFormat="1" ht="13" x14ac:dyDescent="0.3">
      <c r="B78" s="39" t="s">
        <v>165</v>
      </c>
      <c r="C78" s="1209">
        <v>100</v>
      </c>
      <c r="D78" s="220"/>
      <c r="E78" s="220"/>
      <c r="F78" s="221"/>
      <c r="G78" s="114"/>
      <c r="H78"/>
      <c r="I78" s="114"/>
      <c r="J78"/>
      <c r="K78" s="114"/>
      <c r="L78"/>
      <c r="M78" s="114"/>
      <c r="N78"/>
      <c r="O78"/>
      <c r="P78"/>
      <c r="Q78"/>
      <c r="R78"/>
      <c r="S78"/>
      <c r="T78"/>
      <c r="U78"/>
      <c r="V78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s="1" customFormat="1" ht="13" x14ac:dyDescent="0.3">
      <c r="B79" s="39" t="s">
        <v>166</v>
      </c>
      <c r="C79" s="1209">
        <v>150</v>
      </c>
      <c r="D79" s="220"/>
      <c r="E79" s="220"/>
      <c r="F79" s="221"/>
      <c r="G79" s="114"/>
      <c r="H79"/>
      <c r="I79" s="114"/>
      <c r="J79"/>
      <c r="K79"/>
      <c r="L79"/>
      <c r="M79"/>
      <c r="N79" s="114"/>
      <c r="O79"/>
      <c r="P79"/>
      <c r="Q79"/>
      <c r="R79"/>
      <c r="S79"/>
      <c r="T79"/>
      <c r="U79"/>
      <c r="V79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s="1" customFormat="1" ht="13" x14ac:dyDescent="0.3">
      <c r="B80" s="39"/>
      <c r="C80" s="223"/>
      <c r="D80" s="220"/>
      <c r="E80" s="220"/>
      <c r="F80" s="221"/>
      <c r="G80" s="114"/>
      <c r="H80"/>
      <c r="I80" s="114"/>
      <c r="J80"/>
      <c r="K80"/>
      <c r="L80"/>
      <c r="M80"/>
      <c r="N80" s="114"/>
      <c r="O80"/>
      <c r="P80"/>
      <c r="Q80"/>
      <c r="R80"/>
      <c r="S80"/>
      <c r="T80"/>
      <c r="U80"/>
      <c r="V80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s="1" customFormat="1" ht="13" x14ac:dyDescent="0.3">
      <c r="B81" s="39"/>
      <c r="C81" s="224" t="s">
        <v>10</v>
      </c>
      <c r="D81" s="220" t="s">
        <v>11</v>
      </c>
      <c r="E81" s="220" t="s">
        <v>12</v>
      </c>
      <c r="F81" s="221" t="s">
        <v>13</v>
      </c>
      <c r="G81" s="114"/>
      <c r="H81"/>
      <c r="I81" s="114"/>
      <c r="J81"/>
      <c r="K81"/>
      <c r="L81"/>
      <c r="M81"/>
      <c r="N81" s="114"/>
      <c r="O81"/>
      <c r="P81"/>
      <c r="Q81"/>
      <c r="R81"/>
      <c r="S81"/>
      <c r="T81"/>
      <c r="U81"/>
      <c r="V81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s="1" customFormat="1" ht="13" x14ac:dyDescent="0.3">
      <c r="B82" s="225" t="s">
        <v>167</v>
      </c>
      <c r="C82" s="1328">
        <v>15</v>
      </c>
      <c r="D82" s="1328">
        <v>10</v>
      </c>
      <c r="E82" s="1328">
        <v>150</v>
      </c>
      <c r="F82" s="1386">
        <v>0</v>
      </c>
      <c r="G82" s="114"/>
      <c r="H82"/>
      <c r="I82" s="114"/>
      <c r="J82"/>
      <c r="K82"/>
      <c r="L82"/>
      <c r="M82"/>
      <c r="N82" s="114"/>
      <c r="O82"/>
      <c r="P82"/>
      <c r="Q82"/>
      <c r="R82"/>
      <c r="S82"/>
      <c r="T82"/>
      <c r="U82"/>
      <c r="V8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s="1" customFormat="1" ht="13.5" thickBot="1" x14ac:dyDescent="0.35">
      <c r="B83" s="226" t="s">
        <v>168</v>
      </c>
      <c r="C83" s="1403">
        <v>30</v>
      </c>
      <c r="D83" s="1403">
        <v>10</v>
      </c>
      <c r="E83" s="1403">
        <v>225</v>
      </c>
      <c r="F83" s="1404">
        <v>3300000</v>
      </c>
      <c r="G83" s="114"/>
      <c r="H83"/>
      <c r="I83" s="114"/>
      <c r="J83"/>
      <c r="K83"/>
      <c r="L83"/>
      <c r="M83"/>
      <c r="N83" s="114"/>
      <c r="O83"/>
      <c r="P83"/>
      <c r="Q83"/>
      <c r="R83"/>
      <c r="S83"/>
      <c r="T83"/>
      <c r="U83"/>
      <c r="V8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s="2" customFormat="1" ht="14" thickTop="1" thickBot="1" x14ac:dyDescent="0.35">
      <c r="A84" s="1"/>
      <c r="B84" s="114"/>
      <c r="C84"/>
      <c r="D84" s="114"/>
      <c r="E84"/>
      <c r="F84" s="114"/>
      <c r="G84" s="114"/>
      <c r="H84" s="114"/>
      <c r="I84"/>
      <c r="J84" s="114"/>
      <c r="K84"/>
      <c r="L84" s="114"/>
      <c r="M84"/>
      <c r="N84" s="114"/>
      <c r="O84"/>
      <c r="P84"/>
      <c r="Q84"/>
      <c r="R84"/>
      <c r="S84"/>
      <c r="T84"/>
      <c r="U84"/>
      <c r="V84"/>
    </row>
    <row r="85" spans="1:64" s="1" customFormat="1" ht="48.75" customHeight="1" thickTop="1" thickBot="1" x14ac:dyDescent="0.45">
      <c r="B85" s="1809" t="s">
        <v>169</v>
      </c>
      <c r="C85" s="1810"/>
      <c r="D85" s="1810"/>
      <c r="E85" s="1811"/>
      <c r="F85" s="114"/>
      <c r="G85"/>
      <c r="H85" s="114"/>
      <c r="I85"/>
      <c r="J85" s="114"/>
      <c r="K85"/>
      <c r="L85" s="114"/>
      <c r="M85"/>
      <c r="N85" s="114"/>
      <c r="O85"/>
      <c r="P85"/>
      <c r="Q85"/>
      <c r="R85"/>
      <c r="S85"/>
      <c r="T85"/>
      <c r="U85"/>
      <c r="V85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 s="1" customFormat="1" ht="32.25" customHeight="1" thickTop="1" thickBot="1" x14ac:dyDescent="0.35">
      <c r="B86" s="227" t="s">
        <v>170</v>
      </c>
      <c r="C86" s="1812" t="s">
        <v>171</v>
      </c>
      <c r="D86" s="1813"/>
      <c r="E86" s="1814"/>
      <c r="F86" s="114"/>
      <c r="G86"/>
      <c r="H86" s="114"/>
      <c r="I86"/>
      <c r="J86" s="114"/>
      <c r="K86"/>
      <c r="L86" s="114"/>
      <c r="M86"/>
      <c r="N86" s="114"/>
      <c r="O86"/>
      <c r="P86"/>
      <c r="Q86"/>
      <c r="R86"/>
      <c r="S86"/>
      <c r="T86"/>
      <c r="U86"/>
      <c r="V86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 s="1" customFormat="1" ht="18" customHeight="1" thickTop="1" x14ac:dyDescent="0.3">
      <c r="B87" s="1815" t="str">
        <f>C95</f>
        <v>Method 1.  Estimate based on typical estimates of channel erosion rates.</v>
      </c>
      <c r="C87" s="1816"/>
      <c r="D87" s="1816"/>
      <c r="E87" s="1817"/>
      <c r="F87" s="114"/>
      <c r="G87"/>
      <c r="H87" s="114"/>
      <c r="I87"/>
      <c r="J87" s="114"/>
      <c r="K87"/>
      <c r="L87" s="114"/>
      <c r="M87"/>
      <c r="N87" s="114"/>
      <c r="O87"/>
      <c r="P87"/>
      <c r="Q87"/>
      <c r="R87"/>
      <c r="S87"/>
      <c r="T87"/>
      <c r="U87"/>
      <c r="V87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 s="1" customFormat="1" ht="27.75" customHeight="1" thickBot="1" x14ac:dyDescent="0.35">
      <c r="B88" s="228" t="s">
        <v>172</v>
      </c>
      <c r="C88" s="1794" t="s">
        <v>179</v>
      </c>
      <c r="D88" s="1795"/>
      <c r="E88" s="1796"/>
      <c r="F88" s="114"/>
      <c r="G88"/>
      <c r="H88" s="114"/>
      <c r="I88"/>
      <c r="J88" s="114"/>
      <c r="K88"/>
      <c r="L88" s="114"/>
      <c r="M88"/>
      <c r="N88" s="114"/>
      <c r="O88"/>
      <c r="P88"/>
      <c r="Q88"/>
      <c r="R88"/>
      <c r="S88"/>
      <c r="T88"/>
      <c r="U88"/>
      <c r="V88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s="1" customFormat="1" ht="20.25" customHeight="1" thickTop="1" x14ac:dyDescent="0.3">
      <c r="B89" s="1797" t="str">
        <f>C96</f>
        <v>Method 2.  Back calculate based on known watershed sediment loading.</v>
      </c>
      <c r="C89" s="1798"/>
      <c r="D89" s="1798"/>
      <c r="E89" s="1799"/>
      <c r="F89" s="114"/>
      <c r="G89"/>
      <c r="H89" s="114"/>
      <c r="I89"/>
      <c r="J89" s="114"/>
      <c r="K89"/>
      <c r="L89" s="114"/>
      <c r="M89"/>
      <c r="N89" s="114"/>
      <c r="O89"/>
      <c r="P89"/>
      <c r="Q89"/>
      <c r="R89"/>
      <c r="S89"/>
      <c r="T89"/>
      <c r="U89"/>
      <c r="V89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 s="1" customFormat="1" ht="24" customHeight="1" thickBot="1" x14ac:dyDescent="0.35">
      <c r="B90" s="1803" t="s">
        <v>174</v>
      </c>
      <c r="C90" s="1804"/>
      <c r="D90" s="1805"/>
      <c r="E90" s="927" t="str">
        <f>IF(C86=C96,"Enter Value","N/A")</f>
        <v>N/A</v>
      </c>
      <c r="F90" s="114"/>
      <c r="G90"/>
      <c r="H90" s="114"/>
      <c r="I90"/>
      <c r="J90" s="114"/>
      <c r="K90"/>
      <c r="L90" s="114"/>
      <c r="M90"/>
      <c r="N90" s="114"/>
      <c r="O90"/>
      <c r="P90"/>
      <c r="Q90"/>
      <c r="R90"/>
      <c r="S90"/>
      <c r="T90"/>
      <c r="U90"/>
      <c r="V90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spans="1:64" s="1" customFormat="1" ht="16.5" customHeight="1" thickTop="1" x14ac:dyDescent="0.3">
      <c r="B91" s="1797" t="str">
        <f>C97</f>
        <v>Method 3. Estimate based on other sediment study results.</v>
      </c>
      <c r="C91" s="1826"/>
      <c r="D91" s="1826"/>
      <c r="E91" s="229"/>
      <c r="F91" s="114"/>
      <c r="G91"/>
      <c r="H91" s="114"/>
      <c r="I91"/>
      <c r="J91" s="114"/>
      <c r="K91"/>
      <c r="L91" s="114"/>
      <c r="M91"/>
      <c r="N91" s="114"/>
      <c r="O91"/>
      <c r="P91"/>
      <c r="Q91"/>
      <c r="R91"/>
      <c r="S91"/>
      <c r="T91"/>
      <c r="U91"/>
      <c r="V91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spans="1:64" s="1" customFormat="1" ht="13.5" thickBot="1" x14ac:dyDescent="0.35">
      <c r="B92" s="1803" t="s">
        <v>175</v>
      </c>
      <c r="C92" s="1804"/>
      <c r="D92" s="1805"/>
      <c r="E92" s="1291"/>
      <c r="F92" s="114"/>
      <c r="G92"/>
      <c r="H92"/>
      <c r="I92" s="114"/>
      <c r="J92" s="114"/>
      <c r="K92"/>
      <c r="L92" s="114"/>
      <c r="M92"/>
      <c r="N92" s="114"/>
      <c r="O92"/>
      <c r="P92"/>
      <c r="Q92"/>
      <c r="R92"/>
      <c r="S92"/>
      <c r="T92"/>
      <c r="U92"/>
      <c r="V9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1:64" s="230" customFormat="1" ht="13.5" thickTop="1" x14ac:dyDescent="0.3">
      <c r="B93" s="231"/>
      <c r="C93" s="232"/>
      <c r="D93" s="231"/>
      <c r="E93" s="233"/>
      <c r="F93" s="178"/>
      <c r="G93" s="179"/>
      <c r="H93" s="179"/>
      <c r="I93" s="178"/>
      <c r="J93" s="178"/>
      <c r="K93" s="179"/>
      <c r="L93" s="178"/>
      <c r="M93" s="179"/>
      <c r="N93" s="178"/>
      <c r="O93" s="179"/>
      <c r="P93" s="179"/>
      <c r="Q93" s="179"/>
      <c r="R93" s="179"/>
      <c r="S93" s="179"/>
      <c r="T93" s="179"/>
      <c r="U93" s="179"/>
      <c r="V93" s="179"/>
    </row>
    <row r="94" spans="1:64" s="2" customFormat="1" ht="13" x14ac:dyDescent="0.3">
      <c r="A94" s="1"/>
      <c r="B94" s="87"/>
      <c r="C94" s="234" t="s">
        <v>176</v>
      </c>
      <c r="D94" s="235" t="s">
        <v>177</v>
      </c>
      <c r="E94" s="16"/>
      <c r="F94" s="114"/>
      <c r="G94"/>
      <c r="H94"/>
      <c r="I94" s="114"/>
      <c r="J94" s="114"/>
      <c r="K94"/>
      <c r="L94" s="114"/>
      <c r="M94"/>
      <c r="N94" s="114"/>
      <c r="O94"/>
      <c r="P94"/>
      <c r="Q94"/>
      <c r="R94"/>
      <c r="S94"/>
      <c r="T94"/>
      <c r="U94"/>
      <c r="V94"/>
    </row>
    <row r="95" spans="1:64" s="2" customFormat="1" ht="13" x14ac:dyDescent="0.3">
      <c r="A95" s="1"/>
      <c r="B95" s="87"/>
      <c r="C95" s="236" t="s">
        <v>171</v>
      </c>
      <c r="D95" s="235" t="s">
        <v>173</v>
      </c>
      <c r="E95" s="16">
        <f>1/3</f>
        <v>0.33333333333333331</v>
      </c>
      <c r="F95" s="114"/>
      <c r="G95"/>
      <c r="H95"/>
      <c r="I95" s="114"/>
      <c r="J95" s="114"/>
      <c r="K95"/>
      <c r="L95" s="114"/>
      <c r="M95"/>
      <c r="N95" s="114"/>
      <c r="O95"/>
      <c r="P95"/>
      <c r="Q95"/>
      <c r="R95"/>
      <c r="S95"/>
      <c r="T95"/>
      <c r="U95"/>
      <c r="V95"/>
    </row>
    <row r="96" spans="1:64" s="2" customFormat="1" ht="13" x14ac:dyDescent="0.3">
      <c r="A96" s="1"/>
      <c r="B96" s="87"/>
      <c r="C96" s="236" t="s">
        <v>178</v>
      </c>
      <c r="D96" s="235" t="s">
        <v>179</v>
      </c>
      <c r="E96" s="16">
        <v>1</v>
      </c>
      <c r="F96" s="114"/>
      <c r="G96"/>
      <c r="H96"/>
      <c r="I96" s="114"/>
      <c r="J96" s="114"/>
      <c r="K96"/>
      <c r="L96" s="114"/>
      <c r="M96"/>
      <c r="N96" s="114"/>
      <c r="O96"/>
      <c r="P96"/>
      <c r="Q96"/>
      <c r="R96"/>
      <c r="S96"/>
      <c r="T96"/>
      <c r="U96"/>
      <c r="V96"/>
    </row>
    <row r="97" spans="1:82" s="2" customFormat="1" ht="13" x14ac:dyDescent="0.3">
      <c r="A97" s="1"/>
      <c r="B97" s="87"/>
      <c r="C97" s="236" t="s">
        <v>180</v>
      </c>
      <c r="D97" s="235" t="s">
        <v>602</v>
      </c>
      <c r="E97" s="16">
        <v>3</v>
      </c>
      <c r="F97" s="114"/>
      <c r="G97"/>
      <c r="H97"/>
      <c r="I97" s="114"/>
      <c r="J97" s="114"/>
      <c r="K97"/>
      <c r="L97" s="114"/>
      <c r="M97"/>
      <c r="N97" s="114"/>
      <c r="O97"/>
      <c r="P97"/>
      <c r="Q97"/>
      <c r="R97"/>
      <c r="S97"/>
      <c r="T97"/>
      <c r="U97"/>
      <c r="V97"/>
    </row>
    <row r="98" spans="1:82" s="2" customFormat="1" ht="13" x14ac:dyDescent="0.3">
      <c r="A98" s="1"/>
      <c r="B98" s="114"/>
      <c r="C98"/>
      <c r="D98" s="114"/>
      <c r="E98"/>
      <c r="F98" s="114"/>
      <c r="G98"/>
      <c r="H98"/>
      <c r="I98" s="114"/>
      <c r="J98" s="114"/>
      <c r="K98"/>
      <c r="L98" s="114"/>
      <c r="M98"/>
      <c r="N98" s="114"/>
      <c r="O98"/>
      <c r="P98"/>
      <c r="Q98"/>
      <c r="R98"/>
      <c r="S98"/>
      <c r="T98"/>
      <c r="U98"/>
      <c r="V98"/>
    </row>
    <row r="99" spans="1:82" s="2" customFormat="1" ht="13.5" thickBot="1" x14ac:dyDescent="0.35">
      <c r="A99" s="1"/>
      <c r="B99" s="114"/>
      <c r="C99"/>
      <c r="D99" s="114"/>
      <c r="E99"/>
      <c r="F99" s="114"/>
      <c r="G99"/>
      <c r="H99"/>
      <c r="I99"/>
      <c r="J99" s="114"/>
      <c r="K99"/>
      <c r="L99"/>
      <c r="M99"/>
      <c r="N99" s="114"/>
      <c r="O99"/>
      <c r="P99"/>
      <c r="Q99"/>
      <c r="R99"/>
      <c r="S99"/>
      <c r="T99"/>
      <c r="U99"/>
      <c r="V99"/>
    </row>
    <row r="100" spans="1:82" s="1" customFormat="1" ht="21" thickTop="1" thickBot="1" x14ac:dyDescent="0.45">
      <c r="B100" s="98" t="s">
        <v>181</v>
      </c>
      <c r="C100" s="12"/>
      <c r="D100" s="12"/>
      <c r="E100" s="12"/>
      <c r="F100" s="12"/>
      <c r="G100" s="237"/>
      <c r="H100" s="12"/>
      <c r="I100" s="237"/>
      <c r="J100" s="238"/>
      <c r="K100" s="114"/>
      <c r="L100"/>
      <c r="M100"/>
      <c r="N100" s="114"/>
      <c r="O100"/>
      <c r="P100"/>
      <c r="Q100"/>
      <c r="R100"/>
      <c r="S100"/>
      <c r="T100"/>
      <c r="U100"/>
      <c r="V100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</row>
    <row r="101" spans="1:82" s="1" customFormat="1" ht="26" x14ac:dyDescent="0.3">
      <c r="B101" s="32"/>
      <c r="C101" s="239" t="s">
        <v>182</v>
      </c>
      <c r="D101" s="240" t="s">
        <v>183</v>
      </c>
      <c r="E101" s="241" t="s">
        <v>184</v>
      </c>
      <c r="F101" s="242" t="s">
        <v>185</v>
      </c>
      <c r="G101" s="241" t="s">
        <v>186</v>
      </c>
      <c r="H101" s="242" t="s">
        <v>187</v>
      </c>
      <c r="I101" s="243" t="s">
        <v>188</v>
      </c>
      <c r="J101" s="94" t="s">
        <v>189</v>
      </c>
      <c r="K101" s="186"/>
      <c r="L101"/>
      <c r="M101"/>
      <c r="N101" s="114"/>
      <c r="O101"/>
      <c r="P101"/>
      <c r="Q101"/>
      <c r="R101"/>
      <c r="S101"/>
      <c r="T101"/>
      <c r="U101"/>
      <c r="V101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</row>
    <row r="102" spans="1:82" s="1" customFormat="1" ht="13" x14ac:dyDescent="0.3">
      <c r="B102" s="39" t="s">
        <v>190</v>
      </c>
      <c r="C102" s="1210"/>
      <c r="D102" s="1405">
        <v>1</v>
      </c>
      <c r="E102" s="1327">
        <v>175</v>
      </c>
      <c r="F102" s="244">
        <f>$C102*$D102*E102*E$107</f>
        <v>0</v>
      </c>
      <c r="G102" s="1327">
        <v>30</v>
      </c>
      <c r="H102" s="244">
        <f>$C102*$D102*G102*G$107</f>
        <v>0</v>
      </c>
      <c r="I102" s="1327">
        <v>2000</v>
      </c>
      <c r="J102" s="49">
        <f>$C102*$D102*I102*I$107</f>
        <v>0</v>
      </c>
      <c r="K102" s="186"/>
      <c r="L102"/>
      <c r="M102"/>
      <c r="N102" s="114"/>
      <c r="O102"/>
      <c r="P102"/>
      <c r="Q102"/>
      <c r="R102"/>
      <c r="S102"/>
      <c r="T102"/>
      <c r="U102"/>
      <c r="V10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</row>
    <row r="103" spans="1:82" s="1" customFormat="1" ht="13" x14ac:dyDescent="0.3">
      <c r="B103" s="39" t="s">
        <v>191</v>
      </c>
      <c r="C103" s="1210"/>
      <c r="D103" s="1405">
        <v>0.15</v>
      </c>
      <c r="E103" s="1327">
        <v>0.9</v>
      </c>
      <c r="F103" s="244">
        <f>$C103*$D103*E103*E$107</f>
        <v>0</v>
      </c>
      <c r="G103" s="1327">
        <f>100/250</f>
        <v>0.4</v>
      </c>
      <c r="H103" s="244">
        <f>$C103*$D103*G103*G$107</f>
        <v>0</v>
      </c>
      <c r="I103" s="1327">
        <v>88</v>
      </c>
      <c r="J103" s="49">
        <f>$C103*$D103*I103*I$107</f>
        <v>0</v>
      </c>
      <c r="K103" s="186"/>
      <c r="L103"/>
      <c r="M103"/>
      <c r="N103" s="114"/>
      <c r="O103"/>
      <c r="P103"/>
      <c r="Q103"/>
      <c r="R103"/>
      <c r="S103"/>
      <c r="T103"/>
      <c r="U103"/>
      <c r="V10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</row>
    <row r="104" spans="1:82" s="1" customFormat="1" ht="13" x14ac:dyDescent="0.3">
      <c r="B104" s="39" t="s">
        <v>192</v>
      </c>
      <c r="C104" s="1210"/>
      <c r="D104" s="1405">
        <v>0.15</v>
      </c>
      <c r="E104" s="1327">
        <v>0.8</v>
      </c>
      <c r="F104" s="244">
        <f>$C104*$D104*E104*E$107</f>
        <v>0</v>
      </c>
      <c r="G104" s="1327">
        <v>0.2</v>
      </c>
      <c r="H104" s="244">
        <f>$C104*$D104*G104*G$107</f>
        <v>0</v>
      </c>
      <c r="I104" s="1327">
        <v>88</v>
      </c>
      <c r="J104" s="49">
        <f>$C104*$D104*I104*I$107</f>
        <v>0</v>
      </c>
      <c r="K104" s="186"/>
      <c r="L104" s="114"/>
      <c r="M104"/>
      <c r="N104" s="114"/>
      <c r="O104"/>
      <c r="P104"/>
      <c r="Q104"/>
      <c r="R104"/>
      <c r="S104"/>
      <c r="T104"/>
      <c r="U104"/>
      <c r="V104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</row>
    <row r="105" spans="1:82" s="1" customFormat="1" ht="13" x14ac:dyDescent="0.3">
      <c r="B105" s="39" t="s">
        <v>193</v>
      </c>
      <c r="C105" s="1210"/>
      <c r="D105" s="1405">
        <v>0.15</v>
      </c>
      <c r="E105" s="1327">
        <v>3</v>
      </c>
      <c r="F105" s="244">
        <f>$C105*$D105*E105*E$107</f>
        <v>0</v>
      </c>
      <c r="G105" s="1327">
        <v>0.8</v>
      </c>
      <c r="H105" s="244">
        <f>$C105*$D105*G105*G$107</f>
        <v>0</v>
      </c>
      <c r="I105" s="1327">
        <v>47</v>
      </c>
      <c r="J105" s="49">
        <f>$C105*$D105*I105*I$107</f>
        <v>0</v>
      </c>
      <c r="K105" s="186"/>
      <c r="L105" s="114"/>
      <c r="M105"/>
      <c r="N105" s="114"/>
      <c r="O105"/>
      <c r="P105"/>
      <c r="Q105"/>
      <c r="R105"/>
      <c r="S105"/>
      <c r="T105"/>
      <c r="U105"/>
      <c r="V105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</row>
    <row r="106" spans="1:82" s="1" customFormat="1" ht="13" x14ac:dyDescent="0.3">
      <c r="B106" s="39" t="s">
        <v>194</v>
      </c>
      <c r="C106" s="1210"/>
      <c r="D106" s="1405">
        <v>1</v>
      </c>
      <c r="E106" s="1327">
        <v>32</v>
      </c>
      <c r="F106" s="244">
        <f>$C106*$D106*E106*E$107</f>
        <v>0</v>
      </c>
      <c r="G106" s="1327">
        <v>7.4</v>
      </c>
      <c r="H106" s="244">
        <f>$C106*$D106*G106*G$107</f>
        <v>0</v>
      </c>
      <c r="I106" s="1327">
        <v>3200</v>
      </c>
      <c r="J106" s="49">
        <f>$C106*$D106*I106*I$107</f>
        <v>0</v>
      </c>
      <c r="K106" s="186"/>
      <c r="L106" s="114"/>
      <c r="M106"/>
      <c r="N106" s="114"/>
      <c r="O106"/>
      <c r="P106"/>
      <c r="Q106"/>
      <c r="R106"/>
      <c r="S106"/>
      <c r="T106"/>
      <c r="U106"/>
      <c r="V106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</row>
    <row r="107" spans="1:82" s="2" customFormat="1" ht="13.5" thickBot="1" x14ac:dyDescent="0.35">
      <c r="A107" s="1"/>
      <c r="B107" s="97" t="s">
        <v>195</v>
      </c>
      <c r="C107" s="973"/>
      <c r="D107" s="245"/>
      <c r="E107" s="1406">
        <v>0.15</v>
      </c>
      <c r="F107" s="246">
        <f>SUM(F102:F106)</f>
        <v>0</v>
      </c>
      <c r="G107" s="1406">
        <v>0.1</v>
      </c>
      <c r="H107" s="246">
        <f>SUM(H102:H106)</f>
        <v>0</v>
      </c>
      <c r="I107" s="1406">
        <v>0.05</v>
      </c>
      <c r="J107" s="247">
        <f>SUM(J102:J106)</f>
        <v>0</v>
      </c>
      <c r="K107" s="186"/>
      <c r="L107" s="114"/>
      <c r="M107"/>
      <c r="N107" s="114"/>
      <c r="O107"/>
      <c r="P107"/>
      <c r="Q107"/>
      <c r="R107"/>
      <c r="S107"/>
      <c r="T107"/>
      <c r="U107"/>
      <c r="V107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</row>
    <row r="108" spans="1:82" s="2" customFormat="1" ht="14" thickTop="1" thickBot="1" x14ac:dyDescent="0.35">
      <c r="A108" s="1"/>
      <c r="B108" s="114"/>
      <c r="C108"/>
      <c r="D108" s="114"/>
      <c r="E108"/>
      <c r="F108" s="114"/>
      <c r="G108"/>
      <c r="H108" s="114"/>
      <c r="I108" s="114"/>
      <c r="J108"/>
      <c r="K108" s="114"/>
      <c r="L108" s="114"/>
      <c r="M108"/>
      <c r="N108" s="114"/>
      <c r="O108"/>
      <c r="P108"/>
      <c r="Q108"/>
      <c r="R108"/>
      <c r="S108"/>
      <c r="T108"/>
      <c r="U108"/>
      <c r="V108"/>
    </row>
    <row r="109" spans="1:82" s="1" customFormat="1" ht="21" thickTop="1" thickBot="1" x14ac:dyDescent="0.45">
      <c r="B109" s="7" t="s">
        <v>196</v>
      </c>
      <c r="C109" s="12"/>
      <c r="D109" s="12"/>
      <c r="E109" s="215"/>
      <c r="F109" s="114"/>
      <c r="G109"/>
      <c r="H109" s="114"/>
      <c r="I109" s="114"/>
      <c r="J109"/>
      <c r="K109" s="114"/>
      <c r="L109" s="114"/>
      <c r="M109"/>
      <c r="N109" s="114"/>
      <c r="O109"/>
      <c r="P109"/>
      <c r="Q109"/>
      <c r="R109"/>
      <c r="S109"/>
      <c r="T109"/>
      <c r="U109"/>
      <c r="V109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</row>
    <row r="110" spans="1:82" s="1" customFormat="1" ht="26" x14ac:dyDescent="0.3">
      <c r="B110" s="39" t="s">
        <v>197</v>
      </c>
      <c r="C110" s="1210"/>
      <c r="D110" s="248" t="s">
        <v>198</v>
      </c>
      <c r="E110" s="1385">
        <v>0.5</v>
      </c>
      <c r="F110" s="114"/>
      <c r="G110"/>
      <c r="H110" s="114"/>
      <c r="I110" s="114"/>
      <c r="J110"/>
      <c r="K110" s="114"/>
      <c r="L110" s="114"/>
      <c r="M110"/>
      <c r="N110" s="114"/>
      <c r="O110"/>
      <c r="P110"/>
      <c r="Q110"/>
      <c r="R110"/>
      <c r="S110"/>
      <c r="T110"/>
      <c r="U110"/>
      <c r="V110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</row>
    <row r="111" spans="1:82" s="1" customFormat="1" ht="13" x14ac:dyDescent="0.3">
      <c r="B111" s="39" t="s">
        <v>199</v>
      </c>
      <c r="C111" s="1210"/>
      <c r="D111" s="216" t="s">
        <v>200</v>
      </c>
      <c r="E111" s="1386">
        <v>8</v>
      </c>
      <c r="F111" s="114"/>
      <c r="G111"/>
      <c r="H111" s="114"/>
      <c r="I111" s="114"/>
      <c r="J111"/>
      <c r="K111" s="114"/>
      <c r="L111" s="114"/>
      <c r="M111"/>
      <c r="N111" s="114"/>
      <c r="O111"/>
      <c r="P111"/>
      <c r="Q111"/>
      <c r="R111"/>
      <c r="S111"/>
      <c r="T111"/>
      <c r="U111"/>
      <c r="V111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</row>
    <row r="112" spans="1:82" s="2" customFormat="1" ht="13.5" thickBot="1" x14ac:dyDescent="0.35">
      <c r="A112" s="1"/>
      <c r="B112" s="97"/>
      <c r="C112" s="121"/>
      <c r="D112" s="249" t="s">
        <v>201</v>
      </c>
      <c r="E112" s="1388">
        <v>2</v>
      </c>
      <c r="F112" s="114"/>
      <c r="G112"/>
      <c r="H112" s="114"/>
      <c r="I112" s="114"/>
      <c r="J112"/>
      <c r="K112" s="114"/>
      <c r="L112" s="114"/>
      <c r="M112"/>
      <c r="N112" s="114"/>
      <c r="O112"/>
      <c r="P112"/>
      <c r="Q112"/>
      <c r="R112"/>
      <c r="S112"/>
      <c r="T112"/>
      <c r="U112"/>
      <c r="V112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</row>
    <row r="113" spans="1:82" s="2" customFormat="1" ht="14" thickTop="1" thickBot="1" x14ac:dyDescent="0.35">
      <c r="A113" s="1"/>
      <c r="B113" s="114"/>
      <c r="C113"/>
      <c r="D113" s="114"/>
      <c r="E113"/>
      <c r="F113" s="114"/>
      <c r="G113"/>
      <c r="H113" s="114"/>
      <c r="I113" s="114"/>
      <c r="J113"/>
      <c r="K113" s="114"/>
      <c r="L113" s="114"/>
      <c r="M113"/>
      <c r="N113" s="114"/>
      <c r="O113"/>
      <c r="P113"/>
      <c r="Q113"/>
      <c r="R113"/>
      <c r="S113"/>
      <c r="T113"/>
      <c r="U113"/>
      <c r="V113"/>
    </row>
    <row r="114" spans="1:82" s="1" customFormat="1" ht="21" thickTop="1" thickBot="1" x14ac:dyDescent="0.45">
      <c r="B114" s="7" t="s">
        <v>202</v>
      </c>
      <c r="C114" s="12"/>
      <c r="D114" s="12"/>
      <c r="E114" s="215"/>
      <c r="F114" s="114"/>
      <c r="G114"/>
      <c r="H114" s="114"/>
      <c r="I114" s="114"/>
      <c r="J114"/>
      <c r="K114" s="114"/>
      <c r="L114" s="114"/>
      <c r="M114"/>
      <c r="N114" s="114"/>
      <c r="O114"/>
      <c r="P114"/>
      <c r="Q114"/>
      <c r="R114"/>
      <c r="S114"/>
      <c r="T114"/>
      <c r="U114"/>
      <c r="V114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</row>
    <row r="115" spans="1:82" s="1" customFormat="1" ht="28.5" customHeight="1" x14ac:dyDescent="0.3">
      <c r="B115" s="250" t="s">
        <v>203</v>
      </c>
      <c r="C115" s="1292"/>
      <c r="D115" s="248" t="s">
        <v>204</v>
      </c>
      <c r="E115" s="1385">
        <v>0.9</v>
      </c>
      <c r="F115" s="114"/>
      <c r="G115"/>
      <c r="H115" s="114"/>
      <c r="I115" s="114"/>
      <c r="J115"/>
      <c r="K115" s="114"/>
      <c r="L115" s="114"/>
      <c r="M115"/>
      <c r="N115" s="114"/>
      <c r="O115"/>
      <c r="P115"/>
      <c r="Q115"/>
      <c r="R115"/>
      <c r="S115"/>
      <c r="T115"/>
      <c r="U115"/>
      <c r="V115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</row>
    <row r="116" spans="1:82" s="2" customFormat="1" ht="28.5" customHeight="1" thickBot="1" x14ac:dyDescent="0.35">
      <c r="A116" s="1"/>
      <c r="B116" s="251" t="s">
        <v>205</v>
      </c>
      <c r="C116" s="1293"/>
      <c r="D116" s="249" t="s">
        <v>206</v>
      </c>
      <c r="E116" s="1388">
        <v>0.35</v>
      </c>
      <c r="F116" s="114"/>
      <c r="G116"/>
      <c r="H116" s="114"/>
      <c r="I116" s="114"/>
      <c r="J116"/>
      <c r="K116" s="114"/>
      <c r="L116" s="114"/>
      <c r="M116"/>
      <c r="N116" s="114"/>
      <c r="O116"/>
      <c r="P116"/>
      <c r="Q116"/>
      <c r="R116"/>
      <c r="S116"/>
      <c r="T116"/>
      <c r="U116"/>
      <c r="V116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</row>
    <row r="117" spans="1:82" s="2" customFormat="1" ht="14" thickTop="1" thickBot="1" x14ac:dyDescent="0.35">
      <c r="A117" s="1"/>
      <c r="B117" s="114"/>
      <c r="C117"/>
      <c r="D117" s="114"/>
      <c r="E117"/>
      <c r="F117" s="114"/>
      <c r="G117"/>
      <c r="H117" s="114"/>
      <c r="I117" s="114"/>
      <c r="J117"/>
      <c r="K117" s="114"/>
      <c r="L117" s="114"/>
      <c r="M117" s="114"/>
      <c r="N117"/>
      <c r="O117"/>
      <c r="P117"/>
      <c r="Q117"/>
      <c r="R117"/>
      <c r="S117"/>
      <c r="T117"/>
      <c r="U117"/>
      <c r="V117"/>
    </row>
    <row r="118" spans="1:82" s="1" customFormat="1" ht="21" thickTop="1" thickBot="1" x14ac:dyDescent="0.45">
      <c r="B118" s="1776" t="s">
        <v>207</v>
      </c>
      <c r="C118" s="1806"/>
      <c r="D118" s="1827"/>
      <c r="E118" s="11"/>
      <c r="F118" s="12"/>
      <c r="G118" s="252"/>
      <c r="H118" s="252"/>
      <c r="I118" s="12"/>
      <c r="J118" s="12"/>
      <c r="K118" s="215"/>
      <c r="L118"/>
      <c r="M118" s="114"/>
      <c r="N118"/>
      <c r="O118"/>
      <c r="P118"/>
      <c r="Q118"/>
      <c r="R118"/>
      <c r="S118"/>
      <c r="T118"/>
      <c r="U118"/>
      <c r="V118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</row>
    <row r="119" spans="1:82" s="1" customFormat="1" ht="24.75" customHeight="1" thickBot="1" x14ac:dyDescent="0.35">
      <c r="B119" s="79"/>
      <c r="C119" s="253" t="s">
        <v>208</v>
      </c>
      <c r="D119" s="254" t="s">
        <v>209</v>
      </c>
      <c r="E119" s="255" t="s">
        <v>210</v>
      </c>
      <c r="F119" s="256" t="s">
        <v>211</v>
      </c>
      <c r="G119" s="257" t="s">
        <v>212</v>
      </c>
      <c r="H119" s="258" t="s">
        <v>213</v>
      </c>
      <c r="I119" s="258" t="s">
        <v>214</v>
      </c>
      <c r="J119" s="259" t="s">
        <v>215</v>
      </c>
      <c r="K119" s="260" t="s">
        <v>216</v>
      </c>
      <c r="L119"/>
      <c r="M119" s="114"/>
      <c r="N119"/>
      <c r="O119"/>
      <c r="P119"/>
      <c r="Q119"/>
      <c r="R119"/>
      <c r="S119"/>
      <c r="T119"/>
      <c r="U119"/>
      <c r="V119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</row>
    <row r="120" spans="1:82" s="1" customFormat="1" ht="13" x14ac:dyDescent="0.3">
      <c r="B120" s="32" t="s">
        <v>217</v>
      </c>
      <c r="C120" s="1294"/>
      <c r="D120" s="1289"/>
      <c r="E120" s="1362">
        <f t="shared" ref="E120:E129" si="0">D120*$C120*3039</f>
        <v>0</v>
      </c>
      <c r="F120" s="1294"/>
      <c r="G120" s="1362">
        <f t="shared" ref="G120:G129" si="1">F120*$C120*3039</f>
        <v>0</v>
      </c>
      <c r="H120" s="1294"/>
      <c r="I120" s="1362">
        <f t="shared" ref="I120:I129" si="2">H120*$C120*3039</f>
        <v>0</v>
      </c>
      <c r="J120" s="1294"/>
      <c r="K120" s="1385">
        <f t="shared" ref="K120:K129" si="3">J120*$C120*13.8</f>
        <v>0</v>
      </c>
      <c r="L120"/>
      <c r="M120" s="114"/>
      <c r="N120"/>
      <c r="O120"/>
      <c r="P120"/>
      <c r="Q120"/>
      <c r="R120"/>
      <c r="S120"/>
      <c r="T120"/>
      <c r="U120"/>
      <c r="V120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</row>
    <row r="121" spans="1:82" ht="13" x14ac:dyDescent="0.3">
      <c r="A121" s="1"/>
      <c r="B121" s="39" t="s">
        <v>218</v>
      </c>
      <c r="C121" s="1209"/>
      <c r="D121" s="1210"/>
      <c r="E121" s="1327">
        <f t="shared" si="0"/>
        <v>0</v>
      </c>
      <c r="F121" s="1209"/>
      <c r="G121" s="1327">
        <f t="shared" si="1"/>
        <v>0</v>
      </c>
      <c r="H121" s="1209"/>
      <c r="I121" s="1327">
        <f t="shared" si="2"/>
        <v>0</v>
      </c>
      <c r="J121" s="1209"/>
      <c r="K121" s="1386">
        <f t="shared" si="3"/>
        <v>0</v>
      </c>
      <c r="L121" s="114"/>
      <c r="N121" s="114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</row>
    <row r="122" spans="1:82" ht="13" x14ac:dyDescent="0.3">
      <c r="A122" s="1"/>
      <c r="B122" s="39" t="s">
        <v>219</v>
      </c>
      <c r="C122" s="1209"/>
      <c r="D122" s="1210"/>
      <c r="E122" s="1327">
        <f t="shared" si="0"/>
        <v>0</v>
      </c>
      <c r="F122" s="1209"/>
      <c r="G122" s="1327">
        <f t="shared" si="1"/>
        <v>0</v>
      </c>
      <c r="H122" s="1209"/>
      <c r="I122" s="1327">
        <f t="shared" si="2"/>
        <v>0</v>
      </c>
      <c r="J122" s="1209"/>
      <c r="K122" s="1386">
        <f t="shared" si="3"/>
        <v>0</v>
      </c>
      <c r="L122" s="114"/>
      <c r="N122" s="114"/>
      <c r="W122" s="261"/>
      <c r="X122" s="261"/>
      <c r="Y122" s="261"/>
      <c r="Z122" s="261"/>
      <c r="AA122" s="261"/>
      <c r="AB122" s="261"/>
      <c r="AC122" s="261"/>
      <c r="AD122" s="261"/>
      <c r="AE122" s="261"/>
      <c r="AF122" s="261"/>
      <c r="AG122" s="261"/>
      <c r="AH122" s="261"/>
      <c r="AI122" s="261"/>
      <c r="AJ122" s="261"/>
      <c r="AK122" s="261"/>
      <c r="AL122" s="261"/>
      <c r="AM122" s="261"/>
      <c r="AN122" s="261"/>
      <c r="AO122" s="261"/>
      <c r="AP122" s="261"/>
      <c r="AQ122" s="261"/>
      <c r="AR122" s="261"/>
      <c r="AS122" s="261"/>
      <c r="AT122" s="261"/>
      <c r="AU122" s="261"/>
      <c r="AV122" s="261"/>
      <c r="AW122" s="261"/>
      <c r="AX122" s="261"/>
      <c r="AY122" s="261"/>
      <c r="AZ122" s="261"/>
      <c r="BA122" s="261"/>
      <c r="BB122" s="261"/>
      <c r="BC122" s="261"/>
      <c r="BD122" s="261"/>
      <c r="BE122" s="261"/>
      <c r="BF122" s="261"/>
      <c r="BG122" s="261"/>
      <c r="BH122" s="261"/>
      <c r="BI122" s="261"/>
      <c r="BJ122" s="261"/>
      <c r="BK122" s="261"/>
      <c r="BL122" s="261"/>
    </row>
    <row r="123" spans="1:82" ht="13" x14ac:dyDescent="0.3">
      <c r="A123" s="1"/>
      <c r="B123" s="39" t="s">
        <v>220</v>
      </c>
      <c r="C123" s="1209"/>
      <c r="D123" s="1210"/>
      <c r="E123" s="1327">
        <f t="shared" si="0"/>
        <v>0</v>
      </c>
      <c r="F123" s="1209"/>
      <c r="G123" s="1327">
        <f t="shared" si="1"/>
        <v>0</v>
      </c>
      <c r="H123" s="1209"/>
      <c r="I123" s="1327">
        <f t="shared" si="2"/>
        <v>0</v>
      </c>
      <c r="J123" s="1209"/>
      <c r="K123" s="1386">
        <f t="shared" si="3"/>
        <v>0</v>
      </c>
      <c r="L123" s="114"/>
      <c r="N123" s="114"/>
      <c r="W123" s="261"/>
      <c r="X123" s="261"/>
      <c r="Y123" s="261"/>
      <c r="Z123" s="261"/>
      <c r="AA123" s="261"/>
      <c r="AB123" s="261"/>
      <c r="AC123" s="261"/>
      <c r="AD123" s="261"/>
      <c r="AE123" s="261"/>
      <c r="AF123" s="261"/>
      <c r="AG123" s="261"/>
      <c r="AH123" s="261"/>
      <c r="AI123" s="261"/>
      <c r="AJ123" s="261"/>
      <c r="AK123" s="261"/>
      <c r="AL123" s="261"/>
      <c r="AM123" s="261"/>
      <c r="AN123" s="261"/>
      <c r="AO123" s="261"/>
      <c r="AP123" s="261"/>
      <c r="AQ123" s="261"/>
      <c r="AR123" s="261"/>
      <c r="AS123" s="261"/>
      <c r="AT123" s="261"/>
      <c r="AU123" s="261"/>
      <c r="AV123" s="261"/>
      <c r="AW123" s="261"/>
      <c r="AX123" s="261"/>
      <c r="AY123" s="261"/>
      <c r="AZ123" s="261"/>
      <c r="BA123" s="261"/>
      <c r="BB123" s="261"/>
      <c r="BC123" s="261"/>
      <c r="BD123" s="261"/>
      <c r="BE123" s="261"/>
      <c r="BF123" s="261"/>
      <c r="BG123" s="261"/>
      <c r="BH123" s="261"/>
      <c r="BI123" s="261"/>
      <c r="BJ123" s="261"/>
      <c r="BK123" s="261"/>
      <c r="BL123" s="261"/>
    </row>
    <row r="124" spans="1:82" ht="13" x14ac:dyDescent="0.3">
      <c r="A124" s="1"/>
      <c r="B124" s="39" t="s">
        <v>221</v>
      </c>
      <c r="C124" s="1209"/>
      <c r="D124" s="1210"/>
      <c r="E124" s="1327">
        <f t="shared" si="0"/>
        <v>0</v>
      </c>
      <c r="F124" s="1209"/>
      <c r="G124" s="1327">
        <f t="shared" si="1"/>
        <v>0</v>
      </c>
      <c r="H124" s="1209"/>
      <c r="I124" s="1327">
        <f t="shared" si="2"/>
        <v>0</v>
      </c>
      <c r="J124" s="1209"/>
      <c r="K124" s="1386">
        <f t="shared" si="3"/>
        <v>0</v>
      </c>
      <c r="L124" s="114"/>
      <c r="N124" s="114"/>
      <c r="W124" s="261"/>
      <c r="X124" s="261"/>
      <c r="Y124" s="261"/>
      <c r="Z124" s="261"/>
      <c r="AA124" s="261"/>
      <c r="AB124" s="261"/>
      <c r="AC124" s="261"/>
      <c r="AD124" s="261"/>
      <c r="AE124" s="261"/>
      <c r="AF124" s="261"/>
      <c r="AG124" s="261"/>
      <c r="AH124" s="261"/>
      <c r="AI124" s="261"/>
      <c r="AJ124" s="261"/>
      <c r="AK124" s="261"/>
      <c r="AL124" s="261"/>
      <c r="AM124" s="261"/>
      <c r="AN124" s="261"/>
      <c r="AO124" s="261"/>
      <c r="AP124" s="261"/>
      <c r="AQ124" s="261"/>
      <c r="AR124" s="261"/>
      <c r="AS124" s="261"/>
      <c r="AT124" s="261"/>
      <c r="AU124" s="261"/>
      <c r="AV124" s="261"/>
      <c r="AW124" s="261"/>
      <c r="AX124" s="261"/>
      <c r="AY124" s="261"/>
      <c r="AZ124" s="261"/>
      <c r="BA124" s="261"/>
      <c r="BB124" s="261"/>
      <c r="BC124" s="261"/>
      <c r="BD124" s="261"/>
      <c r="BE124" s="261"/>
      <c r="BF124" s="261"/>
      <c r="BG124" s="261"/>
      <c r="BH124" s="261"/>
      <c r="BI124" s="261"/>
      <c r="BJ124" s="261"/>
      <c r="BK124" s="261"/>
      <c r="BL124" s="261"/>
    </row>
    <row r="125" spans="1:82" ht="13" x14ac:dyDescent="0.3">
      <c r="A125" s="1"/>
      <c r="B125" s="39" t="s">
        <v>222</v>
      </c>
      <c r="C125" s="1209"/>
      <c r="D125" s="1210"/>
      <c r="E125" s="1327">
        <f t="shared" si="0"/>
        <v>0</v>
      </c>
      <c r="F125" s="1209"/>
      <c r="G125" s="1327">
        <f t="shared" si="1"/>
        <v>0</v>
      </c>
      <c r="H125" s="1209"/>
      <c r="I125" s="1327">
        <f t="shared" si="2"/>
        <v>0</v>
      </c>
      <c r="J125" s="1209"/>
      <c r="K125" s="1386">
        <f t="shared" si="3"/>
        <v>0</v>
      </c>
      <c r="L125" s="114"/>
      <c r="N125" s="114"/>
      <c r="W125" s="261"/>
      <c r="X125" s="261"/>
      <c r="Y125" s="261"/>
      <c r="Z125" s="261"/>
      <c r="AA125" s="261"/>
      <c r="AB125" s="261"/>
      <c r="AC125" s="261"/>
      <c r="AD125" s="261"/>
      <c r="AE125" s="261"/>
      <c r="AF125" s="261"/>
      <c r="AG125" s="261"/>
      <c r="AH125" s="261"/>
      <c r="AI125" s="261"/>
      <c r="AJ125" s="261"/>
      <c r="AK125" s="261"/>
      <c r="AL125" s="261"/>
      <c r="AM125" s="261"/>
      <c r="AN125" s="261"/>
      <c r="AO125" s="261"/>
      <c r="AP125" s="261"/>
      <c r="AQ125" s="261"/>
      <c r="AR125" s="261"/>
      <c r="AS125" s="261"/>
      <c r="AT125" s="261"/>
      <c r="AU125" s="261"/>
      <c r="AV125" s="261"/>
      <c r="AW125" s="261"/>
      <c r="AX125" s="261"/>
      <c r="AY125" s="261"/>
      <c r="AZ125" s="261"/>
      <c r="BA125" s="261"/>
      <c r="BB125" s="261"/>
      <c r="BC125" s="261"/>
      <c r="BD125" s="261"/>
      <c r="BE125" s="261"/>
      <c r="BF125" s="261"/>
      <c r="BG125" s="261"/>
      <c r="BH125" s="261"/>
      <c r="BI125" s="261"/>
      <c r="BJ125" s="261"/>
      <c r="BK125" s="261"/>
      <c r="BL125" s="261"/>
    </row>
    <row r="126" spans="1:82" ht="13" x14ac:dyDescent="0.3">
      <c r="A126" s="1"/>
      <c r="B126" s="39" t="s">
        <v>223</v>
      </c>
      <c r="C126" s="1209"/>
      <c r="D126" s="1210"/>
      <c r="E126" s="1327">
        <f t="shared" si="0"/>
        <v>0</v>
      </c>
      <c r="F126" s="1209"/>
      <c r="G126" s="1327">
        <f t="shared" si="1"/>
        <v>0</v>
      </c>
      <c r="H126" s="1209"/>
      <c r="I126" s="1327">
        <f t="shared" si="2"/>
        <v>0</v>
      </c>
      <c r="J126" s="1209"/>
      <c r="K126" s="1386">
        <f t="shared" si="3"/>
        <v>0</v>
      </c>
      <c r="L126" s="114"/>
      <c r="N126" s="114"/>
      <c r="W126" s="261"/>
      <c r="X126" s="261"/>
      <c r="Y126" s="261"/>
      <c r="Z126" s="261"/>
      <c r="AA126" s="261"/>
      <c r="AB126" s="261"/>
      <c r="AC126" s="261"/>
      <c r="AD126" s="261"/>
      <c r="AE126" s="261"/>
      <c r="AF126" s="261"/>
      <c r="AG126" s="261"/>
      <c r="AH126" s="261"/>
      <c r="AI126" s="261"/>
      <c r="AJ126" s="261"/>
      <c r="AK126" s="261"/>
      <c r="AL126" s="261"/>
      <c r="AM126" s="261"/>
      <c r="AN126" s="261"/>
      <c r="AO126" s="261"/>
      <c r="AP126" s="261"/>
      <c r="AQ126" s="261"/>
      <c r="AR126" s="261"/>
      <c r="AS126" s="261"/>
      <c r="AT126" s="261"/>
      <c r="AU126" s="261"/>
      <c r="AV126" s="261"/>
      <c r="AW126" s="261"/>
      <c r="AX126" s="261"/>
      <c r="AY126" s="261"/>
      <c r="AZ126" s="261"/>
      <c r="BA126" s="261"/>
      <c r="BB126" s="261"/>
      <c r="BC126" s="261"/>
      <c r="BD126" s="261"/>
      <c r="BE126" s="261"/>
      <c r="BF126" s="261"/>
      <c r="BG126" s="261"/>
      <c r="BH126" s="261"/>
      <c r="BI126" s="261"/>
      <c r="BJ126" s="261"/>
      <c r="BK126" s="261"/>
      <c r="BL126" s="261"/>
    </row>
    <row r="127" spans="1:82" ht="13" x14ac:dyDescent="0.3">
      <c r="A127" s="1"/>
      <c r="B127" s="39" t="s">
        <v>224</v>
      </c>
      <c r="C127" s="1209"/>
      <c r="D127" s="1210"/>
      <c r="E127" s="1327">
        <f t="shared" si="0"/>
        <v>0</v>
      </c>
      <c r="F127" s="1209"/>
      <c r="G127" s="1327">
        <f t="shared" si="1"/>
        <v>0</v>
      </c>
      <c r="H127" s="1209"/>
      <c r="I127" s="1327">
        <f t="shared" si="2"/>
        <v>0</v>
      </c>
      <c r="J127" s="1209"/>
      <c r="K127" s="1386">
        <f t="shared" si="3"/>
        <v>0</v>
      </c>
      <c r="L127" s="114"/>
      <c r="N127" s="114"/>
      <c r="W127" s="261"/>
      <c r="X127" s="261"/>
      <c r="Y127" s="261"/>
      <c r="Z127" s="261"/>
      <c r="AA127" s="261"/>
      <c r="AB127" s="261"/>
      <c r="AC127" s="261"/>
      <c r="AD127" s="261"/>
      <c r="AE127" s="261"/>
      <c r="AF127" s="261"/>
      <c r="AG127" s="261"/>
      <c r="AH127" s="261"/>
      <c r="AI127" s="261"/>
      <c r="AJ127" s="261"/>
      <c r="AK127" s="261"/>
      <c r="AL127" s="261"/>
      <c r="AM127" s="261"/>
      <c r="AN127" s="261"/>
      <c r="AO127" s="261"/>
      <c r="AP127" s="261"/>
      <c r="AQ127" s="261"/>
      <c r="AR127" s="261"/>
      <c r="AS127" s="261"/>
      <c r="AT127" s="261"/>
      <c r="AU127" s="261"/>
      <c r="AV127" s="261"/>
      <c r="AW127" s="261"/>
      <c r="AX127" s="261"/>
      <c r="AY127" s="261"/>
      <c r="AZ127" s="261"/>
      <c r="BA127" s="261"/>
      <c r="BB127" s="261"/>
      <c r="BC127" s="261"/>
      <c r="BD127" s="261"/>
      <c r="BE127" s="261"/>
      <c r="BF127" s="261"/>
      <c r="BG127" s="261"/>
      <c r="BH127" s="261"/>
      <c r="BI127" s="261"/>
      <c r="BJ127" s="261"/>
      <c r="BK127" s="261"/>
      <c r="BL127" s="261"/>
    </row>
    <row r="128" spans="1:82" ht="13" x14ac:dyDescent="0.3">
      <c r="A128" s="1"/>
      <c r="B128" s="39" t="s">
        <v>225</v>
      </c>
      <c r="C128" s="1209"/>
      <c r="D128" s="1210"/>
      <c r="E128" s="1327">
        <f t="shared" si="0"/>
        <v>0</v>
      </c>
      <c r="F128" s="1209"/>
      <c r="G128" s="1327">
        <f t="shared" si="1"/>
        <v>0</v>
      </c>
      <c r="H128" s="1209"/>
      <c r="I128" s="1327">
        <f t="shared" si="2"/>
        <v>0</v>
      </c>
      <c r="J128" s="1209"/>
      <c r="K128" s="1386">
        <f t="shared" si="3"/>
        <v>0</v>
      </c>
      <c r="L128" s="114"/>
      <c r="N128" s="114"/>
      <c r="W128" s="261"/>
      <c r="X128" s="261"/>
      <c r="Y128" s="261"/>
      <c r="Z128" s="261"/>
      <c r="AA128" s="261"/>
      <c r="AB128" s="261"/>
      <c r="AC128" s="261"/>
      <c r="AD128" s="261"/>
      <c r="AE128" s="261"/>
      <c r="AF128" s="261"/>
      <c r="AG128" s="261"/>
      <c r="AH128" s="261"/>
      <c r="AI128" s="261"/>
      <c r="AJ128" s="261"/>
      <c r="AK128" s="261"/>
      <c r="AL128" s="261"/>
      <c r="AM128" s="261"/>
      <c r="AN128" s="261"/>
      <c r="AO128" s="261"/>
      <c r="AP128" s="261"/>
      <c r="AQ128" s="261"/>
      <c r="AR128" s="261"/>
      <c r="AS128" s="261"/>
      <c r="AT128" s="261"/>
      <c r="AU128" s="261"/>
      <c r="AV128" s="261"/>
      <c r="AW128" s="261"/>
      <c r="AX128" s="261"/>
      <c r="AY128" s="261"/>
      <c r="AZ128" s="261"/>
      <c r="BA128" s="261"/>
      <c r="BB128" s="261"/>
      <c r="BC128" s="261"/>
      <c r="BD128" s="261"/>
      <c r="BE128" s="261"/>
      <c r="BF128" s="261"/>
      <c r="BG128" s="261"/>
      <c r="BH128" s="261"/>
      <c r="BI128" s="261"/>
      <c r="BJ128" s="261"/>
      <c r="BK128" s="261"/>
      <c r="BL128" s="261"/>
    </row>
    <row r="129" spans="1:82" s="261" customFormat="1" ht="13.5" customHeight="1" thickBot="1" x14ac:dyDescent="0.35">
      <c r="A129" s="1"/>
      <c r="B129" s="97" t="s">
        <v>226</v>
      </c>
      <c r="C129" s="1260"/>
      <c r="D129" s="1295"/>
      <c r="E129" s="1407">
        <f t="shared" si="0"/>
        <v>0</v>
      </c>
      <c r="F129" s="1260"/>
      <c r="G129" s="1407">
        <f t="shared" si="1"/>
        <v>0</v>
      </c>
      <c r="H129" s="1260"/>
      <c r="I129" s="1407">
        <f t="shared" si="2"/>
        <v>0</v>
      </c>
      <c r="J129" s="1260"/>
      <c r="K129" s="1388">
        <f t="shared" si="3"/>
        <v>0</v>
      </c>
      <c r="L129" s="114"/>
      <c r="M129"/>
      <c r="N129" s="114"/>
      <c r="O129"/>
      <c r="P129"/>
      <c r="Q129"/>
      <c r="R129"/>
      <c r="S129"/>
      <c r="T129"/>
      <c r="U129"/>
      <c r="V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</row>
    <row r="130" spans="1:82" s="261" customFormat="1" ht="21" customHeight="1" thickTop="1" thickBot="1" x14ac:dyDescent="0.35">
      <c r="A130" s="1"/>
      <c r="B130" s="114"/>
      <c r="C130"/>
      <c r="D130" s="114"/>
      <c r="E130"/>
      <c r="F130"/>
      <c r="G130" s="114"/>
      <c r="H130"/>
      <c r="I130" s="114"/>
      <c r="J130"/>
      <c r="K130"/>
      <c r="L130"/>
      <c r="M130"/>
      <c r="N130"/>
      <c r="O130"/>
      <c r="P130"/>
      <c r="Q130"/>
      <c r="R130"/>
      <c r="S130"/>
      <c r="T130"/>
      <c r="U130"/>
      <c r="V130"/>
    </row>
    <row r="131" spans="1:82" s="261" customFormat="1" ht="21.75" customHeight="1" thickTop="1" thickBot="1" x14ac:dyDescent="0.45">
      <c r="A131" s="1"/>
      <c r="B131" s="7" t="s">
        <v>227</v>
      </c>
      <c r="C131" s="1800" t="s">
        <v>228</v>
      </c>
      <c r="D131" s="1801"/>
      <c r="E131" s="1801"/>
      <c r="F131" s="1802"/>
      <c r="G131"/>
      <c r="H131" s="114"/>
      <c r="I131"/>
      <c r="J131"/>
      <c r="K131"/>
      <c r="L131"/>
      <c r="M131"/>
      <c r="N131"/>
      <c r="O131"/>
      <c r="P131"/>
      <c r="Q131"/>
      <c r="R131"/>
      <c r="S131"/>
      <c r="T131"/>
      <c r="U131"/>
    </row>
    <row r="132" spans="1:82" ht="26" x14ac:dyDescent="0.3">
      <c r="A132" s="1"/>
      <c r="B132" s="264"/>
      <c r="C132" s="265" t="s">
        <v>210</v>
      </c>
      <c r="D132" s="266" t="s">
        <v>212</v>
      </c>
      <c r="E132" s="265" t="s">
        <v>214</v>
      </c>
      <c r="F132" s="267" t="s">
        <v>229</v>
      </c>
      <c r="H132" s="114"/>
      <c r="V132" s="261"/>
      <c r="W132" s="261"/>
      <c r="X132" s="261"/>
      <c r="Y132" s="261"/>
      <c r="Z132" s="261"/>
      <c r="AA132" s="261"/>
      <c r="AB132" s="261"/>
      <c r="AC132" s="261"/>
      <c r="AD132" s="261"/>
      <c r="AE132" s="261"/>
      <c r="AF132" s="261"/>
      <c r="AG132" s="261"/>
      <c r="AH132" s="261"/>
      <c r="AI132" s="261"/>
      <c r="AJ132" s="261"/>
      <c r="AK132" s="261"/>
      <c r="AL132" s="261"/>
      <c r="AM132" s="261"/>
      <c r="AN132" s="261"/>
      <c r="AO132" s="261"/>
      <c r="AP132" s="261"/>
      <c r="AQ132" s="261"/>
      <c r="AR132" s="261"/>
      <c r="AS132" s="261"/>
      <c r="AT132" s="261"/>
      <c r="AU132" s="261"/>
      <c r="AV132" s="261"/>
      <c r="AW132" s="261"/>
      <c r="AX132" s="261"/>
      <c r="AY132" s="261"/>
      <c r="AZ132" s="261"/>
      <c r="BA132" s="261"/>
      <c r="BB132" s="261"/>
      <c r="BC132" s="261"/>
      <c r="BD132" s="261"/>
      <c r="BE132" s="261"/>
      <c r="BF132" s="261"/>
      <c r="BG132" s="261"/>
      <c r="BH132" s="261"/>
      <c r="BI132" s="261"/>
      <c r="BJ132" s="261"/>
      <c r="BK132" s="261"/>
      <c r="BL132" s="261"/>
      <c r="BM132" s="261"/>
      <c r="BN132" s="261"/>
      <c r="BO132" s="261"/>
      <c r="BP132" s="261"/>
      <c r="BQ132" s="261"/>
      <c r="BR132" s="261"/>
      <c r="BS132" s="261"/>
      <c r="BT132" s="261"/>
      <c r="BU132" s="261"/>
      <c r="BV132" s="261"/>
      <c r="BW132" s="261"/>
      <c r="BX132" s="261"/>
      <c r="BY132" s="261"/>
      <c r="BZ132" s="261"/>
      <c r="CA132" s="261"/>
      <c r="CB132" s="261"/>
      <c r="CC132" s="261"/>
    </row>
    <row r="133" spans="1:82" ht="13" x14ac:dyDescent="0.3">
      <c r="A133" s="1"/>
      <c r="B133" s="1145" t="s">
        <v>230</v>
      </c>
      <c r="C133" s="979">
        <f>D47</f>
        <v>20198.082240000003</v>
      </c>
      <c r="D133" s="979">
        <f>E47</f>
        <v>3366.3470400000006</v>
      </c>
      <c r="E133" s="979">
        <f>F47</f>
        <v>134653.88160000002</v>
      </c>
      <c r="F133" s="1113">
        <f>G47</f>
        <v>210841.67160000006</v>
      </c>
      <c r="G133" s="269"/>
      <c r="H133" s="114"/>
      <c r="V133" s="261"/>
      <c r="W133" s="261"/>
      <c r="X133" s="261"/>
      <c r="Y133" s="261"/>
      <c r="Z133" s="261"/>
      <c r="AA133" s="261"/>
      <c r="AB133" s="261"/>
      <c r="AC133" s="261"/>
      <c r="AD133" s="261"/>
      <c r="AE133" s="261"/>
      <c r="AF133" s="261"/>
      <c r="AG133" s="261"/>
      <c r="AH133" s="261"/>
      <c r="AI133" s="261"/>
      <c r="AJ133" s="261"/>
      <c r="AK133" s="261"/>
      <c r="AL133" s="261"/>
      <c r="AM133" s="261"/>
      <c r="AN133" s="261"/>
      <c r="AO133" s="261"/>
      <c r="AP133" s="261"/>
      <c r="AQ133" s="261"/>
      <c r="AR133" s="261"/>
      <c r="AS133" s="261"/>
      <c r="AT133" s="261"/>
      <c r="AU133" s="261"/>
      <c r="AV133" s="261"/>
      <c r="AW133" s="261"/>
      <c r="AX133" s="261"/>
      <c r="AY133" s="261"/>
      <c r="AZ133" s="261"/>
      <c r="BA133" s="261"/>
      <c r="BB133" s="261"/>
      <c r="BC133" s="261"/>
      <c r="BD133" s="261"/>
      <c r="BE133" s="261"/>
      <c r="BF133" s="261"/>
      <c r="BG133" s="261"/>
      <c r="BH133" s="261"/>
      <c r="BI133" s="261"/>
      <c r="BJ133" s="261"/>
      <c r="BK133" s="261"/>
    </row>
    <row r="134" spans="1:82" ht="13" x14ac:dyDescent="0.3">
      <c r="A134" s="1"/>
      <c r="B134" s="1145" t="s">
        <v>148</v>
      </c>
      <c r="C134" s="979">
        <f>$C$59*$E$59*$E$60*$E$6*3.78/454000/1000</f>
        <v>1951.7236832775334</v>
      </c>
      <c r="D134" s="979">
        <f>$C$59*$E$59*$E$60*$E$7*3.78/454000/1000</f>
        <v>325.2872805462556</v>
      </c>
      <c r="E134" s="979">
        <f>$C$59*$E$59*$E$60*$E$8*3.78/454000/1000</f>
        <v>13011.491221850221</v>
      </c>
      <c r="F134" s="1113">
        <f>$C$59*$E$59*$E$60*$E$9*37.8/1000000000000</f>
        <v>1476804.2536800003</v>
      </c>
      <c r="H134" s="114"/>
      <c r="V134" s="261"/>
      <c r="W134" s="261"/>
      <c r="X134" s="261"/>
      <c r="Y134" s="261"/>
      <c r="Z134" s="261"/>
      <c r="AA134" s="261"/>
      <c r="AB134" s="261"/>
      <c r="AC134" s="261"/>
      <c r="AD134" s="261"/>
      <c r="AE134" s="261"/>
      <c r="AF134" s="261"/>
      <c r="AG134" s="261"/>
      <c r="AH134" s="261"/>
      <c r="AI134" s="261"/>
      <c r="AJ134" s="261"/>
      <c r="AK134" s="261"/>
      <c r="AL134" s="261"/>
      <c r="AM134" s="261"/>
      <c r="AN134" s="261"/>
      <c r="AO134" s="261"/>
      <c r="AP134" s="261"/>
      <c r="AQ134" s="261"/>
      <c r="AR134" s="261"/>
      <c r="AS134" s="261"/>
      <c r="AT134" s="261"/>
      <c r="AU134" s="261"/>
      <c r="AV134" s="261"/>
      <c r="AW134" s="261"/>
      <c r="AX134" s="261"/>
      <c r="AY134" s="261"/>
      <c r="AZ134" s="261"/>
      <c r="BA134" s="261"/>
      <c r="BB134" s="261"/>
      <c r="BC134" s="261"/>
      <c r="BD134" s="261"/>
      <c r="BE134" s="261"/>
      <c r="BF134" s="261"/>
      <c r="BG134" s="261"/>
      <c r="BH134" s="261"/>
      <c r="BI134" s="261"/>
      <c r="BJ134" s="261"/>
      <c r="BK134" s="261"/>
    </row>
    <row r="135" spans="1:82" ht="13" x14ac:dyDescent="0.3">
      <c r="A135" s="1"/>
      <c r="B135" s="1145" t="s">
        <v>153</v>
      </c>
      <c r="C135" s="979">
        <f>0.226*(0.05+0.9*$C65)*($C63-$E64)*$E63*$E66*$C64</f>
        <v>0</v>
      </c>
      <c r="D135" s="979">
        <f>0.226*(0.05+0.9*$C65)*($C63-$E64)*$E63*$E67*$C64</f>
        <v>0</v>
      </c>
      <c r="E135" s="979">
        <f>0.226*(0.05+0.9*$C65)*($C63-$E64)*$E63*$E68*$C64</f>
        <v>0</v>
      </c>
      <c r="F135" s="1113">
        <f>1.03*(0.05+0.9*$C65)*($C63-$E64)*$E63*$E69*$C64/1000</f>
        <v>0</v>
      </c>
      <c r="H135" s="114"/>
      <c r="V135" s="261"/>
      <c r="W135" s="261"/>
      <c r="X135" s="261"/>
      <c r="Y135" s="261"/>
      <c r="Z135" s="261"/>
      <c r="AA135" s="261"/>
      <c r="AB135" s="261"/>
      <c r="AC135" s="261"/>
      <c r="AD135" s="261"/>
      <c r="AE135" s="261"/>
      <c r="AF135" s="261"/>
      <c r="AG135" s="261"/>
      <c r="AH135" s="261"/>
      <c r="AI135" s="261"/>
      <c r="AJ135" s="261"/>
      <c r="AK135" s="261"/>
      <c r="AL135" s="261"/>
      <c r="AM135" s="261"/>
      <c r="AN135" s="261"/>
      <c r="AO135" s="261"/>
      <c r="AP135" s="261"/>
      <c r="AQ135" s="261"/>
      <c r="AR135" s="261"/>
      <c r="AS135" s="261"/>
      <c r="AT135" s="261"/>
      <c r="AU135" s="261"/>
      <c r="AV135" s="261"/>
      <c r="AW135" s="261"/>
      <c r="AX135" s="261"/>
      <c r="AY135" s="261"/>
      <c r="AZ135" s="261"/>
      <c r="BA135" s="261"/>
      <c r="BB135" s="261"/>
      <c r="BC135" s="261"/>
      <c r="BD135" s="261"/>
      <c r="BE135" s="261"/>
      <c r="BF135" s="261"/>
      <c r="BG135" s="261"/>
      <c r="BH135" s="261"/>
      <c r="BI135" s="261"/>
      <c r="BJ135" s="261"/>
      <c r="BK135" s="261"/>
    </row>
    <row r="136" spans="1:82" ht="13" x14ac:dyDescent="0.3">
      <c r="A136" s="1"/>
      <c r="B136" s="1145" t="s">
        <v>160</v>
      </c>
      <c r="C136" s="979">
        <f>($E$3*$E$4*$E$6*$C$73+$C$75*$C$76*($C$77*$C$78*C$82+(1-$C$77)*$C$79*C$83))*3.78*365/454000</f>
        <v>1106.7933342687224</v>
      </c>
      <c r="D136" s="979">
        <f>($E$3*$E$4*$E$7*$C$73+$C$75*$C$76*($C$77*$C$78*D$82+(1-$C$77)*$C$79*D$83))*3.78*365/454000</f>
        <v>293.52719392731279</v>
      </c>
      <c r="E136" s="979">
        <f>($E$3*$E$4*$E$8*$C$73+$C$75*$C$76*($C$77*$C$78*E$82+(1-$C$77)*$C$79*E$83))*3.78*365/454000</f>
        <v>8087.5228768612342</v>
      </c>
      <c r="F136" s="1113">
        <f>($E$3*$E$4*$E$9*$C$73+$C$75*$C$76*($C$77*$C$78*F$82+(1-$C$77)*$C$79*F$83))*37.8*365/10^9</f>
        <v>672096.91720499983</v>
      </c>
      <c r="H136" s="114"/>
      <c r="V136" s="261"/>
      <c r="W136" s="261"/>
      <c r="X136" s="261"/>
      <c r="Y136" s="261"/>
      <c r="Z136" s="261"/>
      <c r="AA136" s="261"/>
      <c r="AB136" s="261"/>
      <c r="AC136" s="261"/>
      <c r="AD136" s="261"/>
      <c r="AE136" s="261"/>
      <c r="AF136" s="261"/>
      <c r="AG136" s="261"/>
      <c r="AH136" s="261"/>
      <c r="AI136" s="261"/>
      <c r="AJ136" s="261"/>
      <c r="AK136" s="261"/>
      <c r="AL136" s="261"/>
      <c r="AM136" s="261"/>
      <c r="AN136" s="261"/>
      <c r="AO136" s="261"/>
      <c r="AP136" s="261"/>
      <c r="AQ136" s="261"/>
      <c r="AR136" s="261"/>
      <c r="AS136" s="261"/>
      <c r="AT136" s="261"/>
      <c r="AU136" s="261"/>
      <c r="AV136" s="261"/>
      <c r="AW136" s="261"/>
      <c r="AX136" s="261"/>
      <c r="AY136" s="261"/>
      <c r="AZ136" s="261"/>
      <c r="BA136" s="261"/>
      <c r="BB136" s="261"/>
      <c r="BC136" s="261"/>
      <c r="BD136" s="261"/>
      <c r="BE136" s="261"/>
      <c r="BF136" s="261"/>
      <c r="BG136" s="261"/>
      <c r="BH136" s="261"/>
      <c r="BI136" s="261"/>
      <c r="BJ136" s="261"/>
      <c r="BK136" s="261"/>
    </row>
    <row r="137" spans="1:82" ht="13" x14ac:dyDescent="0.3">
      <c r="A137" s="1"/>
      <c r="B137" s="1145" t="s">
        <v>232</v>
      </c>
      <c r="C137" s="979">
        <f>E137*C15*D15</f>
        <v>0</v>
      </c>
      <c r="D137" s="979">
        <f>E137*C14*D14</f>
        <v>0</v>
      </c>
      <c r="E137" s="1146">
        <f>IF(C86=C95,VLOOKUP(C88,D95:E97,2,FALSE)*('Primary Sources'!R54),IF(C86=C96,E90*2000-E133-E134-E135-'Primary Sources'!R54-E138-E140+SUM('Existing Management Practices'!E177:E180)+'Existing Management Practices'!E182+'Existing Management Practices'!E183,IF(C86=C97,E92*2000,0)))</f>
        <v>3922983.5369412447</v>
      </c>
      <c r="F137" s="1113">
        <v>0</v>
      </c>
      <c r="H137" s="114"/>
      <c r="V137" s="261"/>
      <c r="W137" s="261"/>
      <c r="X137" s="261"/>
      <c r="Y137" s="261"/>
      <c r="Z137" s="261"/>
      <c r="AA137" s="261"/>
      <c r="AB137" s="261"/>
      <c r="AC137" s="261"/>
      <c r="AD137" s="261"/>
      <c r="AE137" s="261"/>
      <c r="AF137" s="261"/>
      <c r="AG137" s="261"/>
      <c r="AH137" s="261"/>
      <c r="AI137" s="261"/>
      <c r="AJ137" s="261"/>
      <c r="AK137" s="261"/>
      <c r="AL137" s="261"/>
      <c r="AM137" s="261"/>
      <c r="AN137" s="261"/>
      <c r="AO137" s="261"/>
      <c r="AP137" s="261"/>
      <c r="AQ137" s="261"/>
      <c r="AR137" s="261"/>
      <c r="AS137" s="261"/>
      <c r="AT137" s="261"/>
      <c r="AU137" s="261"/>
      <c r="AV137" s="261"/>
      <c r="AW137" s="261"/>
      <c r="AX137" s="261"/>
      <c r="AY137" s="261"/>
      <c r="AZ137" s="261"/>
      <c r="BA137" s="261"/>
      <c r="BB137" s="261"/>
      <c r="BC137" s="261"/>
      <c r="BD137" s="261"/>
      <c r="BE137" s="261"/>
      <c r="BF137" s="261"/>
      <c r="BG137" s="261"/>
      <c r="BH137" s="261"/>
      <c r="BI137" s="261"/>
      <c r="BJ137" s="261"/>
      <c r="BK137" s="261"/>
    </row>
    <row r="138" spans="1:82" ht="13" x14ac:dyDescent="0.3">
      <c r="A138" s="1"/>
      <c r="B138" s="1145" t="s">
        <v>233</v>
      </c>
      <c r="C138" s="979">
        <f>F107</f>
        <v>0</v>
      </c>
      <c r="D138" s="979">
        <f>H107</f>
        <v>0</v>
      </c>
      <c r="E138" s="979">
        <v>0</v>
      </c>
      <c r="F138" s="1113">
        <f>J107</f>
        <v>0</v>
      </c>
      <c r="H138" s="114"/>
      <c r="V138" s="261"/>
      <c r="W138" s="261"/>
      <c r="X138" s="261"/>
      <c r="Y138" s="261"/>
      <c r="Z138" s="261"/>
      <c r="AA138" s="261"/>
      <c r="AB138" s="261"/>
      <c r="AC138" s="261"/>
      <c r="AD138" s="261"/>
      <c r="AE138" s="261"/>
      <c r="AF138" s="261"/>
      <c r="AG138" s="261"/>
      <c r="AH138" s="261"/>
      <c r="AI138" s="261"/>
      <c r="AJ138" s="261"/>
      <c r="AK138" s="261"/>
      <c r="AL138" s="261"/>
      <c r="AM138" s="261"/>
      <c r="AN138" s="261"/>
      <c r="AO138" s="261"/>
      <c r="AP138" s="261"/>
      <c r="AQ138" s="261"/>
      <c r="AR138" s="261"/>
      <c r="AS138" s="261"/>
      <c r="AT138" s="261"/>
      <c r="AU138" s="261"/>
      <c r="AV138" s="261"/>
      <c r="AW138" s="261"/>
      <c r="AX138" s="261"/>
      <c r="AY138" s="261"/>
      <c r="AZ138" s="261"/>
      <c r="BA138" s="261"/>
      <c r="BB138" s="261"/>
      <c r="BC138" s="261"/>
      <c r="BD138" s="261"/>
      <c r="BE138" s="261"/>
      <c r="BF138" s="261"/>
      <c r="BG138" s="261"/>
      <c r="BH138" s="261"/>
      <c r="BI138" s="261"/>
      <c r="BJ138" s="261"/>
      <c r="BK138" s="261"/>
    </row>
    <row r="139" spans="1:82" ht="13" x14ac:dyDescent="0.3">
      <c r="A139" s="1"/>
      <c r="B139" s="1145" t="s">
        <v>196</v>
      </c>
      <c r="C139" s="979">
        <f>$E$112*$E$111*$E$110*$C$111*$C$110*$E$6*3.78/454000</f>
        <v>0</v>
      </c>
      <c r="D139" s="1114">
        <f>$E$112*$E$111*$E$110*$C$111*$C$110*$E$7*3.78/454000</f>
        <v>0</v>
      </c>
      <c r="E139" s="979">
        <f>$E$112*$E$111*$E$110*$C$111*$C$110*$E$8*3.78/454000</f>
        <v>0</v>
      </c>
      <c r="F139" s="1113">
        <f>C110*C111*E110*E111*E112*$E$9*37.8/1000000000</f>
        <v>0</v>
      </c>
      <c r="H139" s="271"/>
      <c r="V139" s="261"/>
      <c r="W139" s="261"/>
      <c r="X139" s="261"/>
      <c r="Y139" s="261"/>
      <c r="Z139" s="261"/>
      <c r="AA139" s="261"/>
      <c r="AB139" s="261"/>
      <c r="AC139" s="261"/>
      <c r="AD139" s="261"/>
      <c r="AE139" s="261"/>
      <c r="AF139" s="261"/>
      <c r="AG139" s="261"/>
      <c r="AH139" s="261"/>
      <c r="AI139" s="261"/>
      <c r="AJ139" s="261"/>
      <c r="AK139" s="261"/>
      <c r="AL139" s="261"/>
      <c r="AM139" s="261"/>
      <c r="AN139" s="261"/>
      <c r="AO139" s="261"/>
      <c r="AP139" s="261"/>
      <c r="AQ139" s="261"/>
      <c r="AR139" s="261"/>
      <c r="AS139" s="261"/>
      <c r="AT139" s="261"/>
      <c r="AU139" s="261"/>
      <c r="AV139" s="261"/>
      <c r="AW139" s="261"/>
      <c r="AX139" s="261"/>
      <c r="AY139" s="261"/>
      <c r="AZ139" s="261"/>
      <c r="BA139" s="261"/>
      <c r="BB139" s="261"/>
      <c r="BC139" s="261"/>
      <c r="BD139" s="261"/>
      <c r="BE139" s="261"/>
      <c r="BF139" s="261"/>
      <c r="BG139" s="261"/>
      <c r="BH139" s="261"/>
      <c r="BI139" s="261"/>
      <c r="BJ139" s="261"/>
      <c r="BK139" s="261"/>
    </row>
    <row r="140" spans="1:82" ht="13" x14ac:dyDescent="0.3">
      <c r="A140" s="1"/>
      <c r="B140" s="1145" t="s">
        <v>202</v>
      </c>
      <c r="C140" s="979">
        <v>0</v>
      </c>
      <c r="D140" s="1114">
        <v>0</v>
      </c>
      <c r="E140" s="979">
        <f>C115*((1-C116)*E115+E116*C116)</f>
        <v>0</v>
      </c>
      <c r="F140" s="1113">
        <v>0</v>
      </c>
      <c r="H140" s="272"/>
      <c r="V140" s="261"/>
      <c r="W140" s="261"/>
      <c r="X140" s="261"/>
      <c r="Y140" s="261"/>
      <c r="Z140" s="261"/>
      <c r="AA140" s="261"/>
      <c r="AB140" s="261"/>
      <c r="AC140" s="261"/>
      <c r="AD140" s="261"/>
      <c r="AE140" s="261"/>
      <c r="AF140" s="261"/>
      <c r="AG140" s="261"/>
      <c r="AH140" s="261"/>
      <c r="AI140" s="261"/>
      <c r="AJ140" s="261"/>
      <c r="AK140" s="261"/>
      <c r="AL140" s="261"/>
      <c r="AM140" s="261"/>
      <c r="AN140" s="261"/>
      <c r="AO140" s="261"/>
      <c r="AP140" s="261"/>
      <c r="AQ140" s="261"/>
      <c r="AR140" s="261"/>
      <c r="AS140" s="261"/>
      <c r="AT140" s="261"/>
      <c r="AU140" s="261"/>
      <c r="AV140" s="261"/>
      <c r="AW140" s="261"/>
      <c r="AX140" s="261"/>
      <c r="AY140" s="261"/>
      <c r="AZ140" s="261"/>
      <c r="BA140" s="261"/>
      <c r="BB140" s="261"/>
      <c r="BC140" s="261"/>
      <c r="BD140" s="261"/>
      <c r="BE140" s="261"/>
      <c r="BF140" s="261"/>
      <c r="BG140" s="261"/>
      <c r="BH140" s="261"/>
      <c r="BI140" s="261"/>
      <c r="BJ140" s="261"/>
      <c r="BK140" s="261"/>
    </row>
    <row r="141" spans="1:82" ht="13.5" thickBot="1" x14ac:dyDescent="0.35">
      <c r="A141" s="1"/>
      <c r="B141" s="1145" t="s">
        <v>592</v>
      </c>
      <c r="C141" s="1114">
        <f>SUM(E120:E129)</f>
        <v>0</v>
      </c>
      <c r="D141" s="1114">
        <f>SUM(G120:G129)</f>
        <v>0</v>
      </c>
      <c r="E141" s="979">
        <f>SUM(I120:I129)</f>
        <v>0</v>
      </c>
      <c r="F141" s="1113">
        <f>SUM(K120:K129)</f>
        <v>0</v>
      </c>
      <c r="G141" s="269"/>
      <c r="H141" s="272"/>
      <c r="V141" s="261"/>
      <c r="W141" s="261"/>
      <c r="X141" s="261"/>
      <c r="Y141" s="261"/>
      <c r="Z141" s="261"/>
      <c r="AA141" s="261"/>
      <c r="AB141" s="261"/>
      <c r="AC141" s="261"/>
      <c r="AD141" s="261"/>
      <c r="AE141" s="261"/>
      <c r="AF141" s="261"/>
      <c r="AG141" s="261"/>
      <c r="AH141" s="261"/>
      <c r="AI141" s="261"/>
      <c r="AJ141" s="261"/>
      <c r="AK141" s="261"/>
      <c r="AL141" s="261"/>
      <c r="AM141" s="261"/>
      <c r="AN141" s="261"/>
      <c r="AO141" s="261"/>
      <c r="AP141" s="261"/>
      <c r="AQ141" s="261"/>
      <c r="AR141" s="261"/>
      <c r="AS141" s="261"/>
      <c r="AT141" s="261"/>
      <c r="AU141" s="261"/>
      <c r="AV141" s="261"/>
      <c r="AW141" s="261"/>
      <c r="AX141" s="261"/>
      <c r="AY141" s="261"/>
      <c r="AZ141" s="261"/>
      <c r="BA141" s="261"/>
      <c r="BB141" s="261"/>
      <c r="BC141" s="261"/>
      <c r="BD141" s="261"/>
      <c r="BE141" s="261"/>
      <c r="BF141" s="261"/>
      <c r="BG141" s="261"/>
      <c r="BH141" s="261"/>
      <c r="BI141" s="261"/>
      <c r="BJ141" s="261"/>
      <c r="BK141" s="261"/>
    </row>
    <row r="142" spans="1:82" s="261" customFormat="1" ht="13.5" thickBot="1" x14ac:dyDescent="0.35">
      <c r="A142" s="1"/>
      <c r="B142" s="1147" t="s">
        <v>234</v>
      </c>
      <c r="C142" s="1148">
        <f>SUM(C133:C141)</f>
        <v>23256.599257546259</v>
      </c>
      <c r="D142" s="1148">
        <f>SUM(D133:D141)</f>
        <v>3985.1615144735692</v>
      </c>
      <c r="E142" s="1148">
        <f>SUM(E133:E141)</f>
        <v>4078736.432639956</v>
      </c>
      <c r="F142" s="1149">
        <f>SUM(F133:F141)</f>
        <v>2359742.8424850004</v>
      </c>
      <c r="G142" s="269"/>
      <c r="H142" s="114"/>
      <c r="I142"/>
      <c r="J142"/>
      <c r="K142"/>
      <c r="L142"/>
      <c r="M142"/>
      <c r="N142"/>
      <c r="O142"/>
      <c r="P142"/>
      <c r="Q142"/>
      <c r="R142"/>
      <c r="S142"/>
      <c r="T142"/>
      <c r="U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</row>
    <row r="143" spans="1:82" s="261" customFormat="1" ht="16" thickTop="1" x14ac:dyDescent="0.35">
      <c r="A143" s="1"/>
      <c r="B143" s="1828" t="s">
        <v>519</v>
      </c>
      <c r="C143" s="1829"/>
      <c r="D143" s="1829"/>
      <c r="E143" s="1829"/>
      <c r="F143" s="1830"/>
      <c r="G143" s="269"/>
      <c r="H143" s="114"/>
      <c r="I143"/>
      <c r="J143"/>
      <c r="K143"/>
      <c r="L143"/>
      <c r="M143"/>
      <c r="N143"/>
      <c r="O143"/>
      <c r="P143"/>
      <c r="Q143"/>
      <c r="R143"/>
      <c r="S143"/>
      <c r="T143"/>
      <c r="U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</row>
    <row r="144" spans="1:82" s="261" customFormat="1" ht="13" x14ac:dyDescent="0.3">
      <c r="A144" s="1"/>
      <c r="B144" s="1145" t="s">
        <v>235</v>
      </c>
      <c r="C144" s="979">
        <f>C135+C134*$C$60+C137+C138+C140</f>
        <v>975.86184163876669</v>
      </c>
      <c r="D144" s="979">
        <f>D135+D134*$C$60+D137+D138+D140</f>
        <v>162.6436402731278</v>
      </c>
      <c r="E144" s="979">
        <f>E135+E134*$C$60+E137+E138+E140</f>
        <v>3929489.2825521696</v>
      </c>
      <c r="F144" s="1113">
        <f>F135+F134*$C$60+F137+F138+F140</f>
        <v>738402.12684000016</v>
      </c>
      <c r="G144" s="269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</row>
    <row r="145" spans="1:82" s="273" customFormat="1" ht="13" x14ac:dyDescent="0.3">
      <c r="A145" s="1"/>
      <c r="B145" s="1145" t="s">
        <v>522</v>
      </c>
      <c r="C145" s="979">
        <f>C142-C144-C147</f>
        <v>-177482.57755881254</v>
      </c>
      <c r="D145" s="979">
        <f>D142-D144-D147</f>
        <v>3822.5178742004414</v>
      </c>
      <c r="E145" s="979">
        <f>E142-E144-E147</f>
        <v>149247.15008778637</v>
      </c>
      <c r="F145" s="1113">
        <f>F142-F144-F147</f>
        <v>1621340.7156450003</v>
      </c>
      <c r="G145" s="269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 s="261"/>
      <c r="W145" s="261"/>
      <c r="X145" s="261"/>
      <c r="Y145" s="261"/>
      <c r="Z145" s="261"/>
      <c r="AA145" s="261"/>
      <c r="AB145" s="261"/>
      <c r="AC145" s="261"/>
      <c r="AD145" s="261"/>
      <c r="AE145" s="261"/>
      <c r="AF145" s="261"/>
      <c r="AG145" s="261"/>
      <c r="AH145" s="261"/>
      <c r="AI145" s="261"/>
      <c r="AJ145" s="261"/>
      <c r="AK145" s="261"/>
      <c r="AL145" s="261"/>
      <c r="AM145" s="261"/>
      <c r="AN145" s="261"/>
      <c r="AO145" s="261"/>
      <c r="AP145" s="261"/>
      <c r="AQ145" s="261"/>
      <c r="AR145" s="261"/>
      <c r="AS145" s="261"/>
      <c r="AT145" s="261"/>
      <c r="AU145" s="261"/>
      <c r="AV145" s="261"/>
      <c r="AW145" s="261"/>
      <c r="AX145" s="261"/>
      <c r="AY145" s="261"/>
      <c r="AZ145" s="261"/>
      <c r="BA145" s="261"/>
      <c r="BB145" s="261"/>
      <c r="BC145" s="261"/>
      <c r="BD145" s="261"/>
      <c r="BE145" s="261"/>
      <c r="BF145" s="261"/>
      <c r="BG145" s="261"/>
      <c r="BH145" s="261"/>
      <c r="BI145" s="261"/>
      <c r="BJ145" s="261"/>
      <c r="BK145" s="261"/>
      <c r="BL145" s="261"/>
      <c r="BM145" s="261"/>
      <c r="BN145" s="261"/>
      <c r="BO145" s="261"/>
      <c r="BP145" s="261"/>
      <c r="BQ145" s="261"/>
      <c r="BR145" s="261"/>
      <c r="BS145" s="261"/>
      <c r="BT145" s="261"/>
      <c r="BU145" s="261"/>
      <c r="BV145" s="261"/>
      <c r="BW145" s="261"/>
      <c r="BX145" s="261"/>
      <c r="BY145" s="261"/>
      <c r="BZ145" s="261"/>
      <c r="CA145" s="261"/>
      <c r="CB145" s="261"/>
      <c r="CC145" s="261"/>
    </row>
    <row r="146" spans="1:82" s="273" customFormat="1" ht="15.5" x14ac:dyDescent="0.35">
      <c r="A146" s="1"/>
      <c r="B146" s="1831" t="s">
        <v>520</v>
      </c>
      <c r="C146" s="1832"/>
      <c r="D146" s="1832"/>
      <c r="E146" s="1832"/>
      <c r="F146" s="1833"/>
      <c r="G146" s="753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 s="261"/>
      <c r="W146" s="261"/>
      <c r="X146" s="261"/>
      <c r="Y146" s="261"/>
      <c r="Z146" s="261"/>
      <c r="AA146" s="261"/>
      <c r="AB146" s="261"/>
      <c r="AC146" s="261"/>
      <c r="AD146" s="261"/>
      <c r="AE146" s="261"/>
      <c r="AF146" s="261"/>
      <c r="AG146" s="261"/>
      <c r="AH146" s="261"/>
      <c r="AI146" s="261"/>
      <c r="AJ146" s="261"/>
      <c r="AK146" s="261"/>
      <c r="AL146" s="261"/>
      <c r="AM146" s="261"/>
      <c r="AN146" s="261"/>
      <c r="AO146" s="261"/>
      <c r="AP146" s="261"/>
      <c r="AQ146" s="261"/>
      <c r="AR146" s="261"/>
      <c r="AS146" s="261"/>
      <c r="AT146" s="261"/>
      <c r="AU146" s="261"/>
      <c r="AV146" s="261"/>
      <c r="AW146" s="261"/>
      <c r="AX146" s="261"/>
      <c r="AY146" s="261"/>
      <c r="AZ146" s="261"/>
      <c r="BA146" s="261"/>
      <c r="BB146" s="261"/>
      <c r="BC146" s="261"/>
      <c r="BD146" s="261"/>
      <c r="BE146" s="261"/>
      <c r="BF146" s="261"/>
      <c r="BG146" s="261"/>
      <c r="BH146" s="261"/>
      <c r="BI146" s="261"/>
      <c r="BJ146" s="261"/>
      <c r="BK146" s="261"/>
      <c r="BL146" s="261"/>
      <c r="BM146" s="261"/>
      <c r="BN146" s="261"/>
      <c r="BO146" s="261"/>
      <c r="BP146" s="261"/>
      <c r="BQ146" s="261"/>
      <c r="BR146" s="261"/>
      <c r="BS146" s="261"/>
      <c r="BT146" s="261"/>
      <c r="BU146" s="261"/>
      <c r="BV146" s="261"/>
      <c r="BW146" s="261"/>
      <c r="BX146" s="261"/>
      <c r="BY146" s="261"/>
      <c r="BZ146" s="261"/>
      <c r="CA146" s="261"/>
      <c r="CB146" s="261"/>
      <c r="CC146" s="261"/>
    </row>
    <row r="147" spans="1:82" s="261" customFormat="1" ht="13.5" thickBot="1" x14ac:dyDescent="0.35">
      <c r="A147" s="1"/>
      <c r="B147" s="1150" t="s">
        <v>231</v>
      </c>
      <c r="C147" s="1151">
        <f>D48</f>
        <v>199763.31497472004</v>
      </c>
      <c r="D147" s="1151">
        <f>E48</f>
        <v>0</v>
      </c>
      <c r="E147" s="1151">
        <f>F48</f>
        <v>0</v>
      </c>
      <c r="F147" s="1152">
        <f>G48</f>
        <v>0</v>
      </c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 s="273"/>
      <c r="X147" s="273"/>
      <c r="Y147" s="273"/>
      <c r="Z147" s="273"/>
      <c r="AA147" s="273"/>
      <c r="AB147" s="273"/>
      <c r="AC147" s="273"/>
      <c r="AD147" s="273"/>
      <c r="AE147" s="273"/>
      <c r="AF147" s="273"/>
      <c r="AG147" s="273"/>
      <c r="AH147" s="273"/>
      <c r="AI147" s="273"/>
      <c r="AJ147" s="273"/>
      <c r="AK147" s="273"/>
      <c r="AL147" s="273"/>
      <c r="AM147" s="273"/>
      <c r="AN147" s="273"/>
      <c r="AO147" s="273"/>
      <c r="AP147" s="273"/>
      <c r="AQ147" s="273"/>
      <c r="AR147" s="273"/>
      <c r="AS147" s="273"/>
      <c r="AT147" s="273"/>
      <c r="AU147" s="273"/>
      <c r="AV147" s="273"/>
      <c r="AW147" s="273"/>
      <c r="AX147" s="273"/>
      <c r="AY147" s="273"/>
      <c r="AZ147" s="273"/>
      <c r="BA147" s="273"/>
      <c r="BB147" s="273"/>
      <c r="BC147" s="273"/>
      <c r="BD147" s="273"/>
      <c r="BE147" s="273"/>
      <c r="BF147" s="273"/>
      <c r="BG147" s="273"/>
      <c r="BH147" s="273"/>
      <c r="BI147" s="273"/>
      <c r="BJ147" s="273"/>
      <c r="BK147" s="273"/>
      <c r="BL147" s="273"/>
      <c r="BM147" s="273"/>
      <c r="BN147" s="273"/>
      <c r="BO147" s="273"/>
      <c r="BP147" s="273"/>
      <c r="BQ147" s="273"/>
      <c r="BR147" s="273"/>
      <c r="BS147" s="273"/>
      <c r="BT147" s="273"/>
      <c r="BU147" s="273"/>
      <c r="BV147" s="273"/>
      <c r="BW147" s="273"/>
      <c r="BX147" s="273"/>
      <c r="BY147" s="273"/>
      <c r="BZ147" s="273"/>
      <c r="CA147" s="273"/>
      <c r="CB147" s="273"/>
      <c r="CC147" s="273"/>
      <c r="CD147" s="273"/>
    </row>
    <row r="148" spans="1:82" s="261" customFormat="1" ht="13.5" thickTop="1" x14ac:dyDescent="0.3">
      <c r="A148" s="1"/>
      <c r="B148" s="114"/>
      <c r="C148"/>
      <c r="D148" s="114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</row>
    <row r="149" spans="1:82" s="261" customFormat="1" ht="13" x14ac:dyDescent="0.3">
      <c r="A149" s="1"/>
      <c r="B149" s="114"/>
      <c r="C149"/>
      <c r="D149" s="114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</row>
    <row r="150" spans="1:82" s="261" customFormat="1" ht="13" x14ac:dyDescent="0.3">
      <c r="A150" s="1"/>
      <c r="B150" s="114"/>
      <c r="C150"/>
      <c r="D150" s="114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</row>
    <row r="151" spans="1:82" s="261" customFormat="1" ht="13" x14ac:dyDescent="0.3">
      <c r="A151" s="1"/>
      <c r="B151" s="114"/>
      <c r="C151"/>
      <c r="D151" s="114"/>
      <c r="E151" s="735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</row>
    <row r="152" spans="1:82" s="261" customFormat="1" ht="13" x14ac:dyDescent="0.3">
      <c r="A152" s="1"/>
      <c r="B152" s="114"/>
      <c r="C152"/>
      <c r="D152" s="114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</row>
    <row r="153" spans="1:82" s="261" customFormat="1" ht="13" x14ac:dyDescent="0.3">
      <c r="A153" s="1"/>
      <c r="B153" s="114"/>
      <c r="C153"/>
      <c r="D153" s="114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</row>
    <row r="154" spans="1:82" s="261" customFormat="1" ht="13" x14ac:dyDescent="0.3">
      <c r="A154" s="1"/>
      <c r="B154" s="114"/>
      <c r="C154"/>
      <c r="D154" s="11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</row>
    <row r="155" spans="1:82" s="261" customFormat="1" ht="13" x14ac:dyDescent="0.3">
      <c r="A155" s="1"/>
      <c r="B155" s="114"/>
      <c r="C155"/>
      <c r="D155" s="114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</row>
    <row r="156" spans="1:82" s="261" customFormat="1" ht="13" x14ac:dyDescent="0.3">
      <c r="A156" s="1"/>
      <c r="B156" s="114"/>
      <c r="C156"/>
      <c r="D156" s="114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</row>
    <row r="157" spans="1:82" s="261" customFormat="1" ht="13" x14ac:dyDescent="0.3">
      <c r="A157" s="1"/>
      <c r="B157" s="114"/>
      <c r="C157"/>
      <c r="D157" s="114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</row>
    <row r="158" spans="1:82" s="261" customFormat="1" ht="13" x14ac:dyDescent="0.3">
      <c r="A158" s="1"/>
      <c r="B158" s="114"/>
      <c r="C158"/>
      <c r="D158" s="114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</row>
    <row r="159" spans="1:82" s="261" customFormat="1" ht="13" x14ac:dyDescent="0.3">
      <c r="A159" s="1"/>
      <c r="B159" s="114"/>
      <c r="C159"/>
      <c r="D159" s="114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</row>
    <row r="160" spans="1:82" s="261" customFormat="1" ht="13" x14ac:dyDescent="0.3">
      <c r="A160" s="1"/>
      <c r="B160" s="114"/>
      <c r="C160"/>
      <c r="D160" s="114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</row>
    <row r="161" spans="1:23" s="261" customFormat="1" ht="13" x14ac:dyDescent="0.3">
      <c r="A161" s="1"/>
      <c r="B161" s="114"/>
      <c r="C161"/>
      <c r="D161" s="114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</row>
    <row r="162" spans="1:23" s="261" customFormat="1" ht="13" x14ac:dyDescent="0.3">
      <c r="A162" s="1"/>
      <c r="B162" s="114"/>
      <c r="C162"/>
      <c r="D162" s="114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</row>
    <row r="163" spans="1:23" s="261" customFormat="1" ht="13" x14ac:dyDescent="0.3">
      <c r="A163" s="1"/>
      <c r="B163" s="114"/>
      <c r="C163"/>
      <c r="D163" s="114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</row>
    <row r="164" spans="1:23" s="261" customFormat="1" ht="13" x14ac:dyDescent="0.3">
      <c r="A164" s="1"/>
      <c r="B164" s="114"/>
      <c r="C164"/>
      <c r="D164" s="11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</row>
    <row r="165" spans="1:23" s="261" customFormat="1" ht="13" x14ac:dyDescent="0.3">
      <c r="A165" s="1"/>
      <c r="B165" s="114"/>
      <c r="C165"/>
      <c r="D165" s="114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</row>
    <row r="166" spans="1:23" s="261" customFormat="1" ht="13" x14ac:dyDescent="0.3">
      <c r="A166" s="1"/>
      <c r="B166" s="114"/>
      <c r="C166"/>
      <c r="D166" s="114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</row>
    <row r="167" spans="1:23" s="261" customFormat="1" ht="13" x14ac:dyDescent="0.3">
      <c r="A167" s="1"/>
      <c r="B167" s="114"/>
      <c r="C167"/>
      <c r="D167" s="114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</row>
    <row r="168" spans="1:23" s="261" customFormat="1" ht="13" x14ac:dyDescent="0.3">
      <c r="A168" s="1"/>
      <c r="B168" s="114"/>
      <c r="C168"/>
      <c r="D168" s="114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</row>
    <row r="169" spans="1:23" s="261" customFormat="1" ht="13" x14ac:dyDescent="0.3">
      <c r="A169" s="1"/>
      <c r="B169" s="114"/>
      <c r="C169"/>
      <c r="D169" s="114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</row>
    <row r="170" spans="1:23" s="261" customFormat="1" ht="13" x14ac:dyDescent="0.3">
      <c r="A170" s="1"/>
      <c r="B170" s="114"/>
      <c r="C170"/>
      <c r="D170" s="114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</row>
    <row r="171" spans="1:23" s="261" customFormat="1" ht="13" x14ac:dyDescent="0.3">
      <c r="A171" s="1"/>
      <c r="B171" s="114"/>
      <c r="C171"/>
      <c r="D171" s="114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</row>
    <row r="172" spans="1:23" s="261" customFormat="1" ht="13" x14ac:dyDescent="0.3">
      <c r="A172" s="1"/>
      <c r="B172" s="114"/>
      <c r="C172"/>
      <c r="D172" s="114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</row>
    <row r="173" spans="1:23" s="261" customFormat="1" ht="13" x14ac:dyDescent="0.3">
      <c r="A173" s="1"/>
      <c r="B173" s="114"/>
      <c r="C173"/>
      <c r="D173" s="114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</row>
    <row r="174" spans="1:23" s="261" customFormat="1" ht="13" x14ac:dyDescent="0.3">
      <c r="A174" s="1"/>
      <c r="B174" s="114"/>
      <c r="C174"/>
      <c r="D174" s="11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</row>
    <row r="175" spans="1:23" s="261" customFormat="1" ht="13" x14ac:dyDescent="0.3">
      <c r="A175" s="1"/>
      <c r="B175" s="114"/>
      <c r="C175"/>
      <c r="D175" s="114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</row>
    <row r="176" spans="1:23" s="261" customFormat="1" ht="13" x14ac:dyDescent="0.3">
      <c r="A176" s="1"/>
      <c r="B176" s="114"/>
      <c r="C176"/>
      <c r="D176" s="114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</row>
    <row r="177" spans="1:82" s="261" customFormat="1" ht="13" x14ac:dyDescent="0.3">
      <c r="A177" s="1"/>
      <c r="B177" s="114"/>
      <c r="C177"/>
      <c r="D177" s="114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</row>
    <row r="178" spans="1:82" s="261" customFormat="1" ht="13" x14ac:dyDescent="0.3">
      <c r="A178" s="1"/>
      <c r="B178" s="114"/>
      <c r="C178"/>
      <c r="D178" s="114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</row>
    <row r="179" spans="1:82" s="261" customFormat="1" ht="13" x14ac:dyDescent="0.3">
      <c r="A179" s="1"/>
      <c r="B179" s="114"/>
      <c r="C179"/>
      <c r="D179" s="114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</row>
    <row r="180" spans="1:82" ht="13" x14ac:dyDescent="0.3">
      <c r="A180" s="1"/>
      <c r="X180" s="261"/>
      <c r="Y180" s="261"/>
      <c r="Z180" s="261"/>
      <c r="AA180" s="261"/>
      <c r="AB180" s="261"/>
      <c r="AC180" s="261"/>
      <c r="AD180" s="261"/>
      <c r="AE180" s="261"/>
      <c r="AF180" s="261"/>
      <c r="AG180" s="261"/>
      <c r="AH180" s="261"/>
      <c r="AI180" s="261"/>
      <c r="AJ180" s="261"/>
      <c r="AK180" s="261"/>
      <c r="AL180" s="261"/>
      <c r="AM180" s="261"/>
      <c r="AN180" s="261"/>
      <c r="AO180" s="261"/>
      <c r="AP180" s="261"/>
      <c r="AQ180" s="261"/>
      <c r="AR180" s="261"/>
      <c r="AS180" s="261"/>
      <c r="AT180" s="261"/>
      <c r="AU180" s="261"/>
      <c r="AV180" s="261"/>
      <c r="AW180" s="261"/>
      <c r="AX180" s="261"/>
      <c r="AY180" s="261"/>
      <c r="AZ180" s="261"/>
      <c r="BA180" s="261"/>
      <c r="BB180" s="261"/>
      <c r="BC180" s="261"/>
      <c r="BD180" s="261"/>
      <c r="BE180" s="261"/>
      <c r="BF180" s="261"/>
      <c r="BG180" s="261"/>
      <c r="BH180" s="261"/>
      <c r="BI180" s="261"/>
      <c r="BJ180" s="261"/>
      <c r="BK180" s="261"/>
      <c r="BL180" s="261"/>
      <c r="BM180" s="261"/>
      <c r="BN180" s="261"/>
      <c r="BO180" s="261"/>
      <c r="BP180" s="261"/>
      <c r="BQ180" s="261"/>
      <c r="BR180" s="261"/>
      <c r="BS180" s="261"/>
      <c r="BT180" s="261"/>
      <c r="BU180" s="261"/>
      <c r="BV180" s="261"/>
      <c r="BW180" s="261"/>
      <c r="BX180" s="261"/>
      <c r="BY180" s="261"/>
      <c r="BZ180" s="261"/>
      <c r="CA180" s="261"/>
      <c r="CB180" s="261"/>
      <c r="CC180" s="261"/>
      <c r="CD180" s="261"/>
    </row>
    <row r="181" spans="1:82" ht="13" x14ac:dyDescent="0.3">
      <c r="A181" s="1"/>
    </row>
    <row r="182" spans="1:82" ht="13" x14ac:dyDescent="0.3">
      <c r="A182" s="1"/>
    </row>
    <row r="183" spans="1:82" ht="13" x14ac:dyDescent="0.3">
      <c r="A183" s="1"/>
    </row>
    <row r="184" spans="1:82" ht="13" x14ac:dyDescent="0.3">
      <c r="A184" s="1"/>
    </row>
    <row r="185" spans="1:82" ht="13" x14ac:dyDescent="0.3">
      <c r="A185" s="1"/>
    </row>
    <row r="186" spans="1:82" ht="13" x14ac:dyDescent="0.3">
      <c r="A186" s="1"/>
    </row>
    <row r="187" spans="1:82" ht="13" x14ac:dyDescent="0.3">
      <c r="A187" s="1"/>
    </row>
    <row r="188" spans="1:82" ht="13" x14ac:dyDescent="0.3">
      <c r="A188" s="1"/>
    </row>
    <row r="189" spans="1:82" ht="13" x14ac:dyDescent="0.3">
      <c r="A189" s="1"/>
    </row>
    <row r="190" spans="1:82" ht="13" x14ac:dyDescent="0.3">
      <c r="A190" s="1"/>
    </row>
    <row r="191" spans="1:82" ht="13" x14ac:dyDescent="0.3">
      <c r="A191" s="1"/>
    </row>
    <row r="192" spans="1:82" ht="13" x14ac:dyDescent="0.3">
      <c r="A192" s="1"/>
    </row>
    <row r="193" spans="1:1" ht="13" x14ac:dyDescent="0.3">
      <c r="A193" s="1"/>
    </row>
    <row r="194" spans="1:1" ht="13" x14ac:dyDescent="0.3">
      <c r="A194" s="1"/>
    </row>
    <row r="195" spans="1:1" ht="13" x14ac:dyDescent="0.3">
      <c r="A195" s="1"/>
    </row>
    <row r="196" spans="1:1" ht="13" x14ac:dyDescent="0.3">
      <c r="A196" s="1"/>
    </row>
    <row r="197" spans="1:1" ht="13" x14ac:dyDescent="0.3">
      <c r="A197" s="1"/>
    </row>
    <row r="198" spans="1:1" ht="13" x14ac:dyDescent="0.3">
      <c r="A198" s="1"/>
    </row>
    <row r="199" spans="1:1" ht="13" x14ac:dyDescent="0.3">
      <c r="A199" s="1"/>
    </row>
  </sheetData>
  <mergeCells count="19">
    <mergeCell ref="B143:F143"/>
    <mergeCell ref="B146:F146"/>
    <mergeCell ref="B2:C2"/>
    <mergeCell ref="B17:G17"/>
    <mergeCell ref="B25:C25"/>
    <mergeCell ref="C38:G38"/>
    <mergeCell ref="B58:C58"/>
    <mergeCell ref="C88:E88"/>
    <mergeCell ref="B89:E89"/>
    <mergeCell ref="C131:F131"/>
    <mergeCell ref="B90:D90"/>
    <mergeCell ref="B62:C62"/>
    <mergeCell ref="B71:C71"/>
    <mergeCell ref="B85:E85"/>
    <mergeCell ref="C86:E86"/>
    <mergeCell ref="B87:E87"/>
    <mergeCell ref="B91:D91"/>
    <mergeCell ref="B92:D92"/>
    <mergeCell ref="B118:D118"/>
  </mergeCells>
  <phoneticPr fontId="0" type="noConversion"/>
  <conditionalFormatting sqref="D32:G32">
    <cfRule type="cellIs" dxfId="16" priority="1" stopIfTrue="1" operator="equal">
      <formula>"Enter Value"</formula>
    </cfRule>
  </conditionalFormatting>
  <conditionalFormatting sqref="E90 E92">
    <cfRule type="cellIs" dxfId="15" priority="2" stopIfTrue="1" operator="equal">
      <formula>"N/A"</formula>
    </cfRule>
  </conditionalFormatting>
  <dataValidations count="8">
    <dataValidation type="list" allowBlank="1" showInputMessage="1" showErrorMessage="1" sqref="C40">
      <formula1>$D$52:$D$54</formula1>
    </dataValidation>
    <dataValidation type="list" allowBlank="1" showInputMessage="1" showErrorMessage="1" sqref="C41:C42">
      <formula1>$C$52:$C$54</formula1>
    </dataValidation>
    <dataValidation type="list" allowBlank="1" showInputMessage="1" showErrorMessage="1" sqref="C38">
      <formula1>$E$52:$E$54</formula1>
    </dataValidation>
    <dataValidation type="list" allowBlank="1" showInputMessage="1" showErrorMessage="1" sqref="C21">
      <formula1>$B$52:$B$53</formula1>
    </dataValidation>
    <dataValidation type="list" allowBlank="1" showInputMessage="1" showErrorMessage="1" sqref="C88:E88">
      <formula1>$D$95:$D$97</formula1>
    </dataValidation>
    <dataValidation type="list" allowBlank="1" showInputMessage="1" showErrorMessage="1" sqref="C86:E86">
      <formula1>$C$95:$C$97</formula1>
    </dataValidation>
    <dataValidation allowBlank="1" showInputMessage="1" showErrorMessage="1" prompt="Consult Figure 4.2 of the WTM documentation._x000a__x000a_Note that the values will be a fraction of a %, so that a small decimal value needs to be entered.  For example, if the value is 0.05%, you need to enter 0.0005." sqref="C14"/>
    <dataValidation allowBlank="1" showInputMessage="1" showErrorMessage="1" prompt="Consult Figure 4.1 of the WTM documentation._x000a__x000a_Note that the values will be a fraction of a %, so that a small decimal value needs to be entered.  For example, if the value is 0.05%, you need to enter 0.0005." sqref="C15"/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1"/>
  </sheetPr>
  <dimension ref="A1:IV253"/>
  <sheetViews>
    <sheetView topLeftCell="A53" zoomScale="90" zoomScaleNormal="90" workbookViewId="0">
      <selection activeCell="C82" sqref="C82"/>
    </sheetView>
  </sheetViews>
  <sheetFormatPr defaultColWidth="9.1796875" defaultRowHeight="12.5" x14ac:dyDescent="0.25"/>
  <cols>
    <col min="1" max="1" width="2.54296875" style="277" customWidth="1"/>
    <col min="2" max="2" width="65.81640625" style="114" customWidth="1"/>
    <col min="3" max="3" width="34.7265625" style="114" customWidth="1"/>
    <col min="4" max="4" width="37.453125" style="114" customWidth="1"/>
    <col min="5" max="5" width="31.7265625" style="114" customWidth="1"/>
    <col min="6" max="6" width="23.81640625" style="114" customWidth="1"/>
    <col min="7" max="7" width="19.453125" style="114" customWidth="1"/>
    <col min="8" max="8" width="13.81640625" style="114" bestFit="1" customWidth="1"/>
    <col min="9" max="9" width="18.7265625" style="114" customWidth="1"/>
    <col min="10" max="10" width="10.81640625" style="114" customWidth="1"/>
    <col min="11" max="11" width="11.26953125" style="277" customWidth="1"/>
    <col min="12" max="12" width="14.81640625" style="277" customWidth="1"/>
    <col min="13" max="15" width="9.1796875" style="277"/>
    <col min="16" max="16" width="13" style="277" customWidth="1"/>
    <col min="17" max="17" width="9.1796875" style="277"/>
    <col min="18" max="18" width="13.54296875" style="277" hidden="1" customWidth="1"/>
    <col min="19" max="19" width="21.7265625" style="277" hidden="1" customWidth="1"/>
    <col min="20" max="36" width="0" style="277" hidden="1" customWidth="1"/>
    <col min="37" max="233" width="9.1796875" style="277"/>
    <col min="234" max="16384" width="9.1796875" style="114"/>
  </cols>
  <sheetData>
    <row r="1" spans="1:247" x14ac:dyDescent="0.25">
      <c r="B1" s="277"/>
      <c r="C1" s="277"/>
      <c r="D1" s="277"/>
      <c r="E1" s="277"/>
      <c r="F1" s="277"/>
      <c r="G1" s="277"/>
      <c r="H1" s="277"/>
      <c r="I1" s="277"/>
      <c r="J1" s="277"/>
    </row>
    <row r="2" spans="1:247" ht="13" thickBot="1" x14ac:dyDescent="0.3">
      <c r="B2" s="277"/>
      <c r="C2" s="277"/>
      <c r="D2" s="277"/>
      <c r="E2" s="277"/>
      <c r="F2" s="277"/>
      <c r="G2" s="277"/>
      <c r="H2" s="277"/>
      <c r="I2" s="277"/>
      <c r="J2" s="277"/>
    </row>
    <row r="3" spans="1:247" ht="21" thickTop="1" thickBot="1" x14ac:dyDescent="0.45">
      <c r="B3" s="278" t="s">
        <v>236</v>
      </c>
      <c r="C3" s="279"/>
      <c r="D3" s="279"/>
      <c r="E3" s="280"/>
      <c r="F3" s="281"/>
      <c r="G3" s="277"/>
      <c r="H3" s="277"/>
      <c r="I3" s="277"/>
      <c r="J3" s="277"/>
      <c r="HX3" s="114"/>
      <c r="HY3" s="114"/>
    </row>
    <row r="4" spans="1:247" ht="13" x14ac:dyDescent="0.3">
      <c r="B4" s="282"/>
      <c r="C4" s="283"/>
      <c r="D4" s="283"/>
      <c r="E4" s="284"/>
      <c r="F4" s="281"/>
      <c r="G4" s="277"/>
      <c r="H4" s="277"/>
      <c r="I4" s="277"/>
      <c r="J4" s="277"/>
      <c r="HY4" s="114"/>
    </row>
    <row r="5" spans="1:247" ht="13" x14ac:dyDescent="0.3">
      <c r="B5" s="285"/>
      <c r="C5" s="286"/>
      <c r="D5" s="286"/>
      <c r="E5" s="287"/>
      <c r="F5" s="288"/>
      <c r="G5" s="277"/>
      <c r="H5" s="277"/>
      <c r="I5" s="277"/>
      <c r="J5" s="277"/>
    </row>
    <row r="6" spans="1:247" ht="13" x14ac:dyDescent="0.3">
      <c r="B6" s="285" t="s">
        <v>237</v>
      </c>
      <c r="C6" s="1408">
        <f>MAX(SUMPRODUCT('Primary Sources'!D11:D20,'Primary Sources'!F11:F20),0.001)</f>
        <v>16789.272000000001</v>
      </c>
      <c r="D6" s="289"/>
      <c r="E6" s="287"/>
      <c r="F6" s="277"/>
      <c r="G6" s="277"/>
      <c r="H6" s="277"/>
      <c r="I6" s="277"/>
      <c r="J6" s="277"/>
      <c r="HY6" s="114"/>
    </row>
    <row r="7" spans="1:247" ht="13" x14ac:dyDescent="0.3">
      <c r="B7" s="285"/>
      <c r="C7" s="289"/>
      <c r="D7" s="289"/>
      <c r="E7" s="287"/>
      <c r="F7" s="277"/>
      <c r="G7" s="277"/>
      <c r="H7" s="277"/>
      <c r="I7" s="277"/>
      <c r="J7" s="277"/>
      <c r="HZ7" s="277"/>
      <c r="IA7" s="277"/>
      <c r="IB7" s="277"/>
      <c r="IC7" s="277"/>
      <c r="ID7" s="277"/>
      <c r="IE7" s="277"/>
      <c r="IF7" s="277"/>
      <c r="IG7" s="277"/>
      <c r="IH7" s="277"/>
      <c r="II7" s="277"/>
      <c r="IJ7" s="277"/>
      <c r="IK7" s="277"/>
    </row>
    <row r="8" spans="1:247" ht="13" x14ac:dyDescent="0.3">
      <c r="B8" s="285" t="s">
        <v>238</v>
      </c>
      <c r="C8" s="1209"/>
      <c r="D8" s="289"/>
      <c r="E8" s="287"/>
      <c r="F8" s="277"/>
      <c r="G8" s="277"/>
      <c r="H8" s="277"/>
      <c r="I8" s="277"/>
      <c r="J8" s="277"/>
      <c r="HZ8" s="277"/>
      <c r="IA8" s="277"/>
      <c r="IB8" s="277"/>
      <c r="IC8" s="277"/>
      <c r="ID8" s="277"/>
      <c r="IE8" s="277"/>
      <c r="IF8" s="277"/>
      <c r="IG8" s="277"/>
      <c r="IH8" s="277"/>
      <c r="II8" s="277"/>
      <c r="IJ8" s="277"/>
      <c r="IK8" s="277"/>
    </row>
    <row r="9" spans="1:247" ht="13" x14ac:dyDescent="0.3">
      <c r="B9" s="285"/>
      <c r="C9" s="289"/>
      <c r="D9" s="289"/>
      <c r="E9" s="287"/>
      <c r="F9" s="277"/>
      <c r="G9" s="277"/>
      <c r="H9" s="277"/>
      <c r="I9" s="277"/>
      <c r="J9" s="277"/>
      <c r="HZ9" s="277"/>
      <c r="IA9" s="277"/>
      <c r="IB9" s="277"/>
      <c r="IC9" s="277"/>
      <c r="ID9" s="277"/>
      <c r="IE9" s="277"/>
      <c r="IF9" s="277"/>
      <c r="IG9" s="277"/>
      <c r="IH9" s="277"/>
      <c r="II9" s="277"/>
      <c r="IJ9" s="277"/>
      <c r="IK9" s="277"/>
    </row>
    <row r="10" spans="1:247" ht="13" x14ac:dyDescent="0.3">
      <c r="B10" s="285" t="s">
        <v>239</v>
      </c>
      <c r="C10" s="286"/>
      <c r="D10" s="286"/>
      <c r="E10" s="287"/>
      <c r="F10" s="290"/>
      <c r="G10" s="277"/>
      <c r="H10" s="277"/>
      <c r="I10" s="277"/>
      <c r="J10" s="277"/>
      <c r="S10" s="289" t="s">
        <v>240</v>
      </c>
      <c r="T10" s="291"/>
      <c r="U10" s="281"/>
      <c r="HZ10" s="277"/>
      <c r="IA10" s="277"/>
      <c r="IB10" s="277"/>
      <c r="IC10" s="277"/>
      <c r="ID10" s="277"/>
      <c r="IE10" s="277"/>
      <c r="IF10" s="277"/>
      <c r="IG10" s="277"/>
      <c r="IH10" s="277"/>
      <c r="II10" s="277"/>
      <c r="IJ10" s="277"/>
      <c r="IK10" s="277"/>
      <c r="IL10" s="277"/>
      <c r="IM10" s="277"/>
    </row>
    <row r="11" spans="1:247" ht="13" x14ac:dyDescent="0.3">
      <c r="B11" s="285" t="s">
        <v>241</v>
      </c>
      <c r="C11" s="1409">
        <v>1.1000000000000001</v>
      </c>
      <c r="D11" s="286"/>
      <c r="E11" s="287"/>
      <c r="F11" s="290"/>
      <c r="G11" s="277"/>
      <c r="H11" s="277"/>
      <c r="I11" s="277"/>
      <c r="J11" s="277"/>
      <c r="S11" s="293">
        <f>MIN(IF(C11&gt;1.1,C11*0.5,0),2)</f>
        <v>0</v>
      </c>
      <c r="T11" s="291"/>
      <c r="U11" s="290"/>
      <c r="HZ11" s="277"/>
      <c r="IA11" s="277"/>
      <c r="IB11" s="277"/>
      <c r="IC11" s="277"/>
      <c r="ID11" s="277"/>
      <c r="IE11" s="277"/>
      <c r="IF11" s="277"/>
      <c r="IG11" s="277"/>
      <c r="IH11" s="277"/>
      <c r="II11" s="277"/>
      <c r="IJ11" s="277"/>
      <c r="IK11" s="277"/>
      <c r="IL11" s="277"/>
    </row>
    <row r="12" spans="1:247" ht="13" x14ac:dyDescent="0.3">
      <c r="B12" s="285" t="s">
        <v>242</v>
      </c>
      <c r="C12" s="1209"/>
      <c r="D12" s="286"/>
      <c r="E12" s="287"/>
      <c r="F12" s="290"/>
      <c r="G12" s="277"/>
      <c r="H12" s="277"/>
      <c r="I12" s="277"/>
      <c r="J12" s="277"/>
      <c r="S12" s="293">
        <f>C12*2</f>
        <v>0</v>
      </c>
      <c r="T12" s="291"/>
      <c r="U12" s="290"/>
      <c r="HZ12" s="277"/>
      <c r="IA12" s="277"/>
      <c r="IB12" s="277"/>
      <c r="IC12" s="277"/>
      <c r="ID12" s="277"/>
      <c r="IE12" s="277"/>
      <c r="IF12" s="277"/>
      <c r="IG12" s="277"/>
      <c r="IH12" s="277"/>
      <c r="II12" s="277"/>
      <c r="IJ12" s="277"/>
      <c r="IK12" s="277"/>
      <c r="IL12" s="277"/>
    </row>
    <row r="13" spans="1:247" ht="13" x14ac:dyDescent="0.3">
      <c r="A13" s="294"/>
      <c r="B13" s="285" t="s">
        <v>243</v>
      </c>
      <c r="C13" s="1209"/>
      <c r="D13" s="286"/>
      <c r="E13" s="287"/>
      <c r="F13" s="290"/>
      <c r="G13" s="277"/>
      <c r="H13" s="277"/>
      <c r="I13" s="277"/>
      <c r="J13" s="277"/>
      <c r="S13" s="293">
        <f>C13*2</f>
        <v>0</v>
      </c>
      <c r="T13" s="291"/>
      <c r="U13" s="290"/>
      <c r="HZ13" s="277"/>
      <c r="IA13" s="277"/>
      <c r="IB13" s="277"/>
      <c r="IC13" s="277"/>
      <c r="ID13" s="277"/>
      <c r="IE13" s="277"/>
      <c r="IF13" s="277"/>
      <c r="IG13" s="277"/>
      <c r="IH13" s="277"/>
      <c r="II13" s="277"/>
      <c r="IJ13" s="277"/>
      <c r="IK13" s="277"/>
      <c r="IL13" s="277"/>
    </row>
    <row r="14" spans="1:247" ht="13" x14ac:dyDescent="0.3">
      <c r="A14" s="294"/>
      <c r="B14" s="285"/>
      <c r="C14" s="295"/>
      <c r="D14" s="295"/>
      <c r="E14" s="296"/>
      <c r="F14" s="290"/>
      <c r="G14" s="277"/>
      <c r="H14" s="277"/>
      <c r="I14" s="277"/>
      <c r="J14" s="277"/>
      <c r="S14" s="293">
        <f>SUM(S11:S13)</f>
        <v>0</v>
      </c>
      <c r="T14" s="291"/>
      <c r="U14" s="290"/>
      <c r="HZ14" s="277"/>
      <c r="IA14" s="277"/>
      <c r="IB14" s="277"/>
      <c r="IC14" s="277"/>
      <c r="ID14" s="277"/>
      <c r="IE14" s="277"/>
      <c r="IF14" s="277"/>
      <c r="IG14" s="277"/>
      <c r="IH14" s="277"/>
      <c r="II14" s="277"/>
      <c r="IJ14" s="277"/>
      <c r="IK14" s="277"/>
      <c r="IL14" s="277"/>
    </row>
    <row r="15" spans="1:247" ht="13" x14ac:dyDescent="0.3">
      <c r="A15" s="294"/>
      <c r="B15" s="285"/>
      <c r="C15" s="297"/>
      <c r="D15" s="289"/>
      <c r="E15" s="291"/>
      <c r="F15" s="290"/>
      <c r="G15" s="277"/>
      <c r="H15" s="277"/>
      <c r="I15" s="277"/>
      <c r="J15" s="277"/>
      <c r="HZ15" s="277"/>
      <c r="IA15" s="277"/>
      <c r="IB15" s="277"/>
      <c r="IC15" s="277"/>
      <c r="ID15" s="277"/>
      <c r="IE15" s="277"/>
      <c r="IF15" s="277"/>
      <c r="IG15" s="277"/>
      <c r="IH15" s="277"/>
      <c r="II15" s="277"/>
      <c r="IJ15" s="277"/>
    </row>
    <row r="16" spans="1:247" ht="13" x14ac:dyDescent="0.3">
      <c r="B16" s="285" t="s">
        <v>244</v>
      </c>
      <c r="C16" s="298">
        <v>150</v>
      </c>
      <c r="D16" s="286"/>
      <c r="E16" s="287"/>
      <c r="F16" s="277"/>
      <c r="G16" s="277"/>
      <c r="H16" s="277"/>
      <c r="I16" s="277"/>
      <c r="J16" s="277"/>
      <c r="HZ16" s="277"/>
      <c r="IA16" s="277"/>
      <c r="IB16" s="277"/>
      <c r="IC16" s="277"/>
      <c r="ID16" s="277"/>
      <c r="IE16" s="277"/>
      <c r="IF16" s="277"/>
      <c r="IG16" s="277"/>
      <c r="IH16" s="277"/>
      <c r="II16" s="277"/>
      <c r="IJ16" s="277"/>
      <c r="IK16" s="277"/>
    </row>
    <row r="17" spans="1:240" ht="13" x14ac:dyDescent="0.3">
      <c r="B17" s="285" t="s">
        <v>245</v>
      </c>
      <c r="C17" s="1409">
        <f>C16*(1+S14/6)</f>
        <v>150</v>
      </c>
      <c r="D17" s="286"/>
      <c r="E17" s="287"/>
      <c r="F17" s="277"/>
      <c r="G17" s="277"/>
      <c r="H17" s="277"/>
      <c r="I17" s="277"/>
      <c r="J17" s="277"/>
      <c r="HZ17" s="277"/>
      <c r="IA17" s="277"/>
      <c r="IB17" s="277"/>
      <c r="IC17" s="277"/>
      <c r="ID17" s="277"/>
      <c r="IE17" s="277"/>
    </row>
    <row r="18" spans="1:240" ht="13" x14ac:dyDescent="0.3">
      <c r="B18" s="299"/>
      <c r="C18" s="300"/>
      <c r="D18" s="289"/>
      <c r="E18" s="287"/>
      <c r="F18" s="288"/>
      <c r="G18" s="277"/>
      <c r="H18" s="277"/>
      <c r="I18" s="277"/>
      <c r="J18" s="277"/>
      <c r="HZ18" s="277"/>
      <c r="IA18" s="277"/>
      <c r="IB18" s="277"/>
      <c r="IC18" s="277"/>
      <c r="ID18" s="277"/>
      <c r="IE18" s="277"/>
    </row>
    <row r="19" spans="1:240" ht="13" x14ac:dyDescent="0.3">
      <c r="B19" s="299"/>
      <c r="C19" s="300"/>
      <c r="D19" s="286" t="s">
        <v>246</v>
      </c>
      <c r="E19" s="291"/>
      <c r="F19" s="281"/>
      <c r="G19" s="277"/>
      <c r="H19" s="277"/>
      <c r="I19" s="277"/>
      <c r="J19" s="277"/>
      <c r="HZ19" s="277"/>
      <c r="IA19" s="277"/>
      <c r="IB19" s="277"/>
      <c r="IC19" s="277"/>
      <c r="ID19" s="277"/>
      <c r="IE19" s="277"/>
    </row>
    <row r="20" spans="1:240" ht="13" x14ac:dyDescent="0.3">
      <c r="B20" s="285" t="s">
        <v>247</v>
      </c>
      <c r="C20" s="300" t="s">
        <v>248</v>
      </c>
      <c r="D20" s="286" t="s">
        <v>249</v>
      </c>
      <c r="E20" s="287" t="s">
        <v>250</v>
      </c>
      <c r="F20" s="288"/>
      <c r="G20" s="277"/>
      <c r="H20" s="277"/>
      <c r="I20" s="277"/>
      <c r="J20" s="277"/>
      <c r="HZ20" s="277"/>
      <c r="IA20" s="277"/>
      <c r="IB20" s="277"/>
      <c r="IC20" s="277"/>
      <c r="ID20" s="277"/>
      <c r="IE20" s="277"/>
      <c r="IF20" s="277"/>
    </row>
    <row r="21" spans="1:240" ht="13" x14ac:dyDescent="0.3">
      <c r="B21" s="285" t="s">
        <v>251</v>
      </c>
      <c r="C21" s="1325">
        <v>0.2</v>
      </c>
      <c r="D21" s="1328">
        <v>0.8</v>
      </c>
      <c r="E21" s="1386">
        <v>0.3</v>
      </c>
      <c r="F21" s="288"/>
      <c r="G21" s="277"/>
      <c r="H21" s="277"/>
      <c r="I21" s="277"/>
      <c r="J21" s="277"/>
      <c r="HZ21" s="277"/>
      <c r="IA21" s="277"/>
      <c r="IB21" s="277"/>
      <c r="IC21" s="277"/>
      <c r="ID21" s="277"/>
      <c r="IE21" s="277"/>
      <c r="IF21" s="277"/>
    </row>
    <row r="22" spans="1:240" ht="13" x14ac:dyDescent="0.3">
      <c r="B22" s="285" t="s">
        <v>252</v>
      </c>
      <c r="C22" s="1325">
        <v>0.3</v>
      </c>
      <c r="D22" s="1328">
        <v>35</v>
      </c>
      <c r="E22" s="1386">
        <v>3</v>
      </c>
      <c r="F22" s="288"/>
      <c r="G22" s="277"/>
      <c r="H22" s="277"/>
      <c r="I22" s="277"/>
      <c r="J22" s="277"/>
    </row>
    <row r="23" spans="1:240" ht="13" x14ac:dyDescent="0.3">
      <c r="B23" s="285" t="s">
        <v>253</v>
      </c>
      <c r="C23" s="1325">
        <v>0.3</v>
      </c>
      <c r="D23" s="1328">
        <v>24</v>
      </c>
      <c r="E23" s="1386">
        <v>5</v>
      </c>
      <c r="F23" s="281"/>
      <c r="G23" s="277"/>
      <c r="H23" s="277"/>
      <c r="I23" s="277"/>
      <c r="J23" s="277"/>
      <c r="HY23" s="114"/>
    </row>
    <row r="24" spans="1:240" ht="13" x14ac:dyDescent="0.3">
      <c r="B24" s="285" t="s">
        <v>254</v>
      </c>
      <c r="C24" s="1325">
        <v>0.2</v>
      </c>
      <c r="D24" s="1328">
        <v>10</v>
      </c>
      <c r="E24" s="1386">
        <v>0</v>
      </c>
      <c r="F24" s="281"/>
      <c r="G24" s="277"/>
      <c r="H24" s="277"/>
      <c r="I24" s="277"/>
      <c r="J24" s="277"/>
      <c r="HY24" s="114"/>
    </row>
    <row r="25" spans="1:240" ht="13" x14ac:dyDescent="0.3">
      <c r="B25" s="285"/>
      <c r="C25" s="286" t="s">
        <v>249</v>
      </c>
      <c r="D25" s="286" t="s">
        <v>250</v>
      </c>
      <c r="E25" s="291"/>
      <c r="F25" s="281"/>
      <c r="G25" s="277"/>
      <c r="H25" s="277"/>
      <c r="I25" s="277"/>
      <c r="J25" s="277"/>
      <c r="HY25" s="114"/>
    </row>
    <row r="26" spans="1:240" ht="13.5" thickBot="1" x14ac:dyDescent="0.35">
      <c r="B26" s="301" t="s">
        <v>255</v>
      </c>
      <c r="C26" s="302">
        <f>C6*C17</f>
        <v>2518390.8000000003</v>
      </c>
      <c r="D26" s="303">
        <f>C26*(E21/D21*C21+E22/D22*C22+E23/D23*C23+E24/D24*C24)</f>
        <v>411037.3555714286</v>
      </c>
      <c r="E26" s="304"/>
      <c r="F26" s="281"/>
      <c r="G26" s="277"/>
      <c r="H26" s="277"/>
      <c r="I26" s="277"/>
      <c r="J26" s="277"/>
      <c r="HY26" s="114"/>
    </row>
    <row r="27" spans="1:240" ht="15" customHeight="1" thickTop="1" x14ac:dyDescent="0.3">
      <c r="B27" s="305"/>
      <c r="C27" s="306"/>
      <c r="D27" s="307"/>
      <c r="E27" s="308"/>
      <c r="F27" s="281"/>
      <c r="G27" s="277"/>
      <c r="H27" s="277"/>
      <c r="I27" s="277"/>
      <c r="J27" s="277"/>
      <c r="HY27" s="114"/>
    </row>
    <row r="28" spans="1:240" ht="15" customHeight="1" x14ac:dyDescent="0.3">
      <c r="A28" s="294"/>
      <c r="B28" s="285" t="s">
        <v>256</v>
      </c>
      <c r="C28" s="286" t="s">
        <v>249</v>
      </c>
      <c r="D28" s="286" t="s">
        <v>250</v>
      </c>
      <c r="E28" s="291"/>
      <c r="F28" s="309"/>
      <c r="G28" s="277"/>
      <c r="H28" s="277"/>
      <c r="I28" s="277"/>
      <c r="J28" s="277"/>
      <c r="HX28" s="114"/>
      <c r="HY28" s="114"/>
    </row>
    <row r="29" spans="1:240" ht="15" customHeight="1" x14ac:dyDescent="0.3">
      <c r="B29" s="285" t="s">
        <v>257</v>
      </c>
      <c r="C29" s="1190">
        <f>C$26*D78</f>
        <v>20451.133878733752</v>
      </c>
      <c r="D29" s="310">
        <f>D$26*E78</f>
        <v>3192.1533829950745</v>
      </c>
      <c r="E29" s="291"/>
      <c r="F29" s="311"/>
      <c r="G29" s="277"/>
      <c r="H29" s="277"/>
      <c r="I29" s="277"/>
      <c r="J29" s="277"/>
      <c r="HY29" s="114"/>
    </row>
    <row r="30" spans="1:240" ht="15" customHeight="1" x14ac:dyDescent="0.3">
      <c r="B30" s="285" t="s">
        <v>258</v>
      </c>
      <c r="C30" s="298">
        <f>C$26*F78</f>
        <v>457694.33857691393</v>
      </c>
      <c r="D30" s="310">
        <f>D$26*G78</f>
        <v>18937.802581359607</v>
      </c>
      <c r="E30" s="291"/>
      <c r="F30" s="277"/>
      <c r="G30" s="277"/>
      <c r="H30" s="277"/>
      <c r="I30" s="277"/>
      <c r="J30" s="277"/>
    </row>
    <row r="31" spans="1:240" ht="15" customHeight="1" x14ac:dyDescent="0.3">
      <c r="B31" s="285" t="s">
        <v>41</v>
      </c>
      <c r="C31" s="298">
        <f>SUM(C29:C30)</f>
        <v>478145.47245564766</v>
      </c>
      <c r="D31" s="310">
        <f>SUM(D29:D30)</f>
        <v>22129.955964354682</v>
      </c>
      <c r="E31" s="291"/>
      <c r="F31" s="277"/>
      <c r="G31" s="277"/>
      <c r="H31" s="277"/>
      <c r="I31" s="277"/>
      <c r="J31" s="277"/>
      <c r="HZ31" s="277"/>
    </row>
    <row r="32" spans="1:240" ht="15" customHeight="1" thickBot="1" x14ac:dyDescent="0.35">
      <c r="B32" s="301" t="s">
        <v>259</v>
      </c>
      <c r="C32" s="1632">
        <f>MIN(SUMPRODUCT('Primary Sources'!C70:C73,'Primary Sources'!E70:E73)+0.03*C12+C8*0.5,0.5)</f>
        <v>0.20196376975591776</v>
      </c>
      <c r="D32" s="312"/>
      <c r="E32" s="304"/>
      <c r="F32" s="277"/>
      <c r="G32" s="277"/>
      <c r="H32" s="277"/>
      <c r="I32" s="277"/>
      <c r="J32" s="277"/>
      <c r="HZ32" s="277"/>
      <c r="IA32" s="277"/>
    </row>
    <row r="33" spans="2:237" ht="15" hidden="1" customHeight="1" thickTop="1" x14ac:dyDescent="0.3">
      <c r="B33" s="277" t="s">
        <v>260</v>
      </c>
      <c r="C33" s="2">
        <f>D33*2.5</f>
        <v>74712.260399999999</v>
      </c>
      <c r="D33" s="2">
        <f>C6*2*0.89</f>
        <v>29884.904160000002</v>
      </c>
      <c r="E33" s="277"/>
      <c r="F33" s="277"/>
      <c r="G33" s="16"/>
      <c r="H33" s="277"/>
      <c r="I33" s="277"/>
      <c r="J33" s="277"/>
      <c r="HZ33" s="277"/>
      <c r="IA33" s="277"/>
      <c r="IB33" s="277"/>
      <c r="IC33" s="277"/>
    </row>
    <row r="34" spans="2:237" ht="15" hidden="1" customHeight="1" x14ac:dyDescent="0.3">
      <c r="B34" s="277" t="s">
        <v>604</v>
      </c>
      <c r="C34" s="974">
        <f>C33+C29</f>
        <v>95163.394278733758</v>
      </c>
      <c r="D34" s="314">
        <f>D33+D29</f>
        <v>33077.057542995077</v>
      </c>
      <c r="E34" s="277"/>
      <c r="F34" s="277"/>
      <c r="G34" s="16"/>
      <c r="H34" s="277"/>
      <c r="I34" s="277"/>
      <c r="J34" s="277"/>
      <c r="HZ34" s="277"/>
      <c r="IA34" s="277"/>
      <c r="IB34" s="277"/>
      <c r="IC34" s="277"/>
    </row>
    <row r="35" spans="2:237" ht="15" hidden="1" customHeight="1" x14ac:dyDescent="0.3">
      <c r="B35" s="277" t="s">
        <v>261</v>
      </c>
      <c r="C35" s="315">
        <f>D35*10</f>
        <v>448273.56240000005</v>
      </c>
      <c r="D35" s="271">
        <f>C6*3*0.89</f>
        <v>44827.356240000008</v>
      </c>
      <c r="E35" s="277"/>
      <c r="F35" s="277"/>
      <c r="G35" s="16"/>
      <c r="H35" s="277"/>
      <c r="I35" s="277"/>
      <c r="J35" s="277"/>
      <c r="HZ35" s="277"/>
      <c r="IA35" s="277"/>
      <c r="IB35" s="277"/>
      <c r="IC35" s="277"/>
    </row>
    <row r="36" spans="2:237" ht="15" hidden="1" customHeight="1" x14ac:dyDescent="0.3">
      <c r="B36" s="277" t="s">
        <v>262</v>
      </c>
      <c r="C36" s="316">
        <f>C35+C30</f>
        <v>905967.90097691398</v>
      </c>
      <c r="D36" s="316">
        <f>D35+D30</f>
        <v>63765.158821359611</v>
      </c>
      <c r="E36" s="316"/>
      <c r="F36" s="277"/>
      <c r="G36" s="16"/>
      <c r="H36" s="277"/>
      <c r="I36" s="277"/>
      <c r="J36" s="277"/>
      <c r="HZ36" s="277"/>
      <c r="IA36" s="277"/>
      <c r="IB36" s="277"/>
      <c r="IC36" s="277"/>
    </row>
    <row r="37" spans="2:237" ht="15" hidden="1" customHeight="1" x14ac:dyDescent="0.3">
      <c r="B37" s="277" t="s">
        <v>605</v>
      </c>
      <c r="C37" s="2">
        <f>D37*'Primary Sources'!G$11/'Primary Sources'!H$11</f>
        <v>56105.32049455971</v>
      </c>
      <c r="D37" s="317">
        <f>0.226*'Primary Sources'!E74*'Primary Sources'!C$62*SUMPRODUCT('Primary Sources'!D11:D20,'Primary Sources'!H11:H20)/MAX(SUM('Primary Sources'!D11:D20),0.01)*C6*0.9</f>
        <v>8415.7980741839565</v>
      </c>
      <c r="E37" s="277"/>
      <c r="F37" s="277"/>
      <c r="G37" s="16"/>
      <c r="H37" s="277"/>
      <c r="I37" s="277"/>
      <c r="J37" s="277"/>
      <c r="HZ37" s="277"/>
      <c r="IA37" s="277"/>
      <c r="IB37" s="277"/>
      <c r="IC37" s="277"/>
    </row>
    <row r="38" spans="2:237" ht="15" hidden="1" customHeight="1" x14ac:dyDescent="0.3">
      <c r="B38" s="277" t="s">
        <v>264</v>
      </c>
      <c r="C38" s="313">
        <f>C34-C37</f>
        <v>39058.073784174048</v>
      </c>
      <c r="D38" s="317">
        <f>D34-D37</f>
        <v>24661.25946881112</v>
      </c>
      <c r="E38" s="277"/>
      <c r="F38" s="277"/>
      <c r="G38" s="16"/>
      <c r="H38" s="277"/>
      <c r="I38" s="277"/>
      <c r="J38" s="277"/>
      <c r="HZ38" s="277"/>
      <c r="IA38" s="277"/>
      <c r="IB38" s="277"/>
      <c r="IC38" s="277"/>
    </row>
    <row r="39" spans="2:237" ht="15" hidden="1" customHeight="1" x14ac:dyDescent="0.3">
      <c r="B39" s="277" t="s">
        <v>265</v>
      </c>
      <c r="C39" s="316">
        <f>C36</f>
        <v>905967.90097691398</v>
      </c>
      <c r="D39" s="318">
        <f>D36</f>
        <v>63765.158821359611</v>
      </c>
      <c r="E39" s="277"/>
      <c r="F39" s="277"/>
      <c r="G39" s="16"/>
      <c r="H39" s="277"/>
      <c r="I39" s="277"/>
      <c r="J39" s="277"/>
      <c r="HZ39" s="277"/>
      <c r="IA39" s="277"/>
      <c r="IB39" s="277"/>
      <c r="IC39" s="277"/>
    </row>
    <row r="40" spans="2:237" ht="13" thickTop="1" x14ac:dyDescent="0.25">
      <c r="B40" s="277"/>
      <c r="C40" s="277"/>
      <c r="D40" s="277"/>
      <c r="E40" s="277"/>
      <c r="F40" s="277"/>
      <c r="G40" s="277"/>
      <c r="H40" s="277"/>
      <c r="I40" s="277"/>
      <c r="J40" s="277"/>
    </row>
    <row r="41" spans="2:237" ht="13" thickBot="1" x14ac:dyDescent="0.3">
      <c r="B41" s="277"/>
      <c r="C41" s="277"/>
      <c r="D41" s="277"/>
      <c r="E41" s="277"/>
      <c r="F41" s="277"/>
      <c r="G41" s="277"/>
      <c r="H41" s="277"/>
      <c r="I41" s="277"/>
      <c r="J41" s="277"/>
    </row>
    <row r="42" spans="2:237" s="178" customFormat="1" ht="21" thickTop="1" thickBot="1" x14ac:dyDescent="0.45">
      <c r="B42" s="278" t="s">
        <v>266</v>
      </c>
      <c r="C42" s="279"/>
      <c r="D42" s="279"/>
      <c r="E42" s="280"/>
      <c r="F42" s="319"/>
    </row>
    <row r="43" spans="2:237" s="178" customFormat="1" ht="13" x14ac:dyDescent="0.3">
      <c r="B43" s="282"/>
      <c r="C43" s="283"/>
      <c r="D43" s="283"/>
      <c r="E43" s="284"/>
      <c r="F43" s="319"/>
    </row>
    <row r="44" spans="2:237" s="178" customFormat="1" ht="13" x14ac:dyDescent="0.3">
      <c r="B44" s="285"/>
      <c r="C44" s="286"/>
      <c r="D44" s="286"/>
      <c r="E44" s="287"/>
      <c r="F44" s="173"/>
    </row>
    <row r="45" spans="2:237" s="178" customFormat="1" ht="13" x14ac:dyDescent="0.3">
      <c r="B45" s="285" t="s">
        <v>267</v>
      </c>
      <c r="C45" s="286" t="s">
        <v>268</v>
      </c>
      <c r="D45" s="286" t="s">
        <v>269</v>
      </c>
      <c r="E45" s="287"/>
      <c r="F45" s="173"/>
    </row>
    <row r="46" spans="2:237" s="178" customFormat="1" ht="13" x14ac:dyDescent="0.3">
      <c r="B46" s="320" t="s">
        <v>34</v>
      </c>
      <c r="C46" s="1410">
        <f>SUMPRODUCT('Primary Sources'!D21:D25,'Primary Sources'!F21:F25)</f>
        <v>1695.9599999999998</v>
      </c>
      <c r="D46" s="1209" t="s">
        <v>272</v>
      </c>
      <c r="E46" s="287"/>
      <c r="F46" s="173"/>
    </row>
    <row r="47" spans="2:237" s="178" customFormat="1" ht="13" x14ac:dyDescent="0.3">
      <c r="B47" s="320" t="s">
        <v>35</v>
      </c>
      <c r="C47" s="1410">
        <f>SUMPRODUCT('Primary Sources'!D26:D30,'Primary Sources'!F26:F30)</f>
        <v>0</v>
      </c>
      <c r="D47" s="1209" t="s">
        <v>272</v>
      </c>
      <c r="E47" s="287"/>
      <c r="F47" s="173"/>
    </row>
    <row r="48" spans="2:237" s="178" customFormat="1" ht="13" x14ac:dyDescent="0.3">
      <c r="B48" s="320" t="s">
        <v>36</v>
      </c>
      <c r="C48" s="1410">
        <f>SUMPRODUCT('Primary Sources'!D31:D35,'Primary Sources'!F31:F35)</f>
        <v>486.24799999999999</v>
      </c>
      <c r="D48" s="1209" t="s">
        <v>272</v>
      </c>
      <c r="E48" s="287"/>
      <c r="F48" s="173"/>
    </row>
    <row r="49" spans="1:7" s="178" customFormat="1" ht="13.5" thickBot="1" x14ac:dyDescent="0.35">
      <c r="A49" s="177"/>
      <c r="B49" s="301"/>
      <c r="C49" s="321"/>
      <c r="D49" s="312"/>
      <c r="E49" s="304"/>
      <c r="F49" s="319"/>
    </row>
    <row r="50" spans="1:7" s="178" customFormat="1" ht="13.5" thickTop="1" x14ac:dyDescent="0.3">
      <c r="A50" s="177"/>
      <c r="B50" s="305" t="s">
        <v>256</v>
      </c>
      <c r="C50" s="306" t="s">
        <v>249</v>
      </c>
      <c r="D50" s="306" t="s">
        <v>250</v>
      </c>
      <c r="E50" s="308"/>
      <c r="F50" s="322"/>
    </row>
    <row r="51" spans="1:7" s="178" customFormat="1" x14ac:dyDescent="0.25">
      <c r="B51" s="320" t="s">
        <v>257</v>
      </c>
      <c r="C51" s="976">
        <f>C29*SUMPRODUCT($C$46:$C$48,$E$63:$E$65)/$C$6</f>
        <v>2126.5307017120849</v>
      </c>
      <c r="D51" s="298">
        <f>D29*SUMPRODUCT($C$46:$C$48,$E$63:$E$65)/$C$6</f>
        <v>331.92351161379315</v>
      </c>
      <c r="E51" s="291"/>
      <c r="F51" s="323"/>
    </row>
    <row r="52" spans="1:7" s="178" customFormat="1" x14ac:dyDescent="0.25">
      <c r="B52" s="320" t="s">
        <v>258</v>
      </c>
      <c r="C52" s="298">
        <f>C30*SUMPRODUCT($C$46:$C$48,$E$63:$E$65)/$C$6</f>
        <v>47591.545229465584</v>
      </c>
      <c r="D52" s="298">
        <f>D30*SUMPRODUCT($C$46:$C$48,$E$63:$E$65)/$C$6</f>
        <v>1969.1729001931035</v>
      </c>
      <c r="E52" s="291"/>
    </row>
    <row r="53" spans="1:7" s="178" customFormat="1" ht="13" thickBot="1" x14ac:dyDescent="0.3">
      <c r="B53" s="324" t="s">
        <v>41</v>
      </c>
      <c r="C53" s="302">
        <f>SUM(C51:C52)</f>
        <v>49718.075931177671</v>
      </c>
      <c r="D53" s="302">
        <f>SUM(D51:D52)</f>
        <v>2301.0964118068969</v>
      </c>
      <c r="E53" s="304"/>
    </row>
    <row r="54" spans="1:7" s="178" customFormat="1" ht="13.5" hidden="1" thickTop="1" x14ac:dyDescent="0.3">
      <c r="B54" s="178" t="s">
        <v>260</v>
      </c>
      <c r="C54" s="325">
        <f>D54*2.5</f>
        <v>9710.8255999999983</v>
      </c>
      <c r="D54" s="325">
        <f>SUM(C46:C48)*2*0.89</f>
        <v>3884.3302399999993</v>
      </c>
      <c r="G54" s="326"/>
    </row>
    <row r="55" spans="1:7" s="178" customFormat="1" ht="13" hidden="1" x14ac:dyDescent="0.3">
      <c r="B55" s="178" t="s">
        <v>604</v>
      </c>
      <c r="C55" s="975">
        <f>C54+C51</f>
        <v>11837.356301712083</v>
      </c>
      <c r="D55" s="328">
        <f>D54+D51</f>
        <v>4216.2537516137927</v>
      </c>
      <c r="G55" s="326"/>
    </row>
    <row r="56" spans="1:7" s="178" customFormat="1" ht="13" hidden="1" x14ac:dyDescent="0.3">
      <c r="B56" s="178" t="s">
        <v>261</v>
      </c>
      <c r="C56" s="178">
        <f>D56*10</f>
        <v>58264.953599999993</v>
      </c>
      <c r="D56" s="178">
        <f>SUM(C46:C48)*3*0.89</f>
        <v>5826.495359999999</v>
      </c>
      <c r="G56" s="326"/>
    </row>
    <row r="57" spans="1:7" s="178" customFormat="1" ht="13" hidden="1" x14ac:dyDescent="0.3">
      <c r="B57" s="178" t="s">
        <v>262</v>
      </c>
      <c r="C57" s="327">
        <f>C56+C52</f>
        <v>105856.49882946558</v>
      </c>
      <c r="D57" s="328">
        <f>D56+D52</f>
        <v>7795.6682601931025</v>
      </c>
      <c r="G57" s="326"/>
    </row>
    <row r="58" spans="1:7" s="178" customFormat="1" ht="13" hidden="1" x14ac:dyDescent="0.3">
      <c r="B58" s="178" t="s">
        <v>263</v>
      </c>
      <c r="C58" s="178">
        <f>D58*'Primary Sources'!G$11/'Primary Sources'!H$11</f>
        <v>7292.3637919376224</v>
      </c>
      <c r="D58" s="329">
        <f>D37*SUM(C46:C48)/C6</f>
        <v>1093.8545687906433</v>
      </c>
      <c r="G58" s="326"/>
    </row>
    <row r="59" spans="1:7" s="178" customFormat="1" ht="13" hidden="1" x14ac:dyDescent="0.3">
      <c r="B59" s="178" t="s">
        <v>264</v>
      </c>
      <c r="C59" s="327">
        <f>C55-C58</f>
        <v>4544.9925097744608</v>
      </c>
      <c r="D59" s="329">
        <f>D55-D58</f>
        <v>3122.3991828231492</v>
      </c>
      <c r="G59" s="326"/>
    </row>
    <row r="60" spans="1:7" s="178" customFormat="1" ht="13" hidden="1" x14ac:dyDescent="0.3">
      <c r="B60" s="178" t="s">
        <v>265</v>
      </c>
      <c r="C60" s="327">
        <f>C57</f>
        <v>105856.49882946558</v>
      </c>
      <c r="D60" s="329">
        <f>D57</f>
        <v>7795.6682601931025</v>
      </c>
      <c r="G60" s="326"/>
    </row>
    <row r="61" spans="1:7" s="178" customFormat="1" ht="13" hidden="1" x14ac:dyDescent="0.3">
      <c r="C61" s="327"/>
      <c r="D61" s="329"/>
      <c r="G61" s="326"/>
    </row>
    <row r="62" spans="1:7" s="178" customFormat="1" ht="13" hidden="1" x14ac:dyDescent="0.3">
      <c r="C62" s="327"/>
      <c r="D62" s="329"/>
      <c r="G62" s="326"/>
    </row>
    <row r="63" spans="1:7" s="178" customFormat="1" ht="13" hidden="1" x14ac:dyDescent="0.3">
      <c r="C63" s="327" t="s">
        <v>271</v>
      </c>
      <c r="D63" s="329" t="str">
        <f>B46</f>
        <v>Commercial</v>
      </c>
      <c r="E63" s="178">
        <f>VLOOKUP(D46,$B$64:$C$66,2,FALSE)</f>
        <v>0.8</v>
      </c>
      <c r="G63" s="326"/>
    </row>
    <row r="64" spans="1:7" s="178" customFormat="1" ht="13" hidden="1" x14ac:dyDescent="0.3">
      <c r="B64" s="178" t="s">
        <v>270</v>
      </c>
      <c r="C64" s="328">
        <v>1</v>
      </c>
      <c r="D64" s="329" t="str">
        <f>B47</f>
        <v>Roadway</v>
      </c>
      <c r="E64" s="178">
        <f>VLOOKUP(D47,$B$64:$C$66,2,FALSE)</f>
        <v>0.8</v>
      </c>
      <c r="G64" s="326"/>
    </row>
    <row r="65" spans="2:238" s="178" customFormat="1" ht="13" hidden="1" x14ac:dyDescent="0.3">
      <c r="B65" s="178" t="s">
        <v>606</v>
      </c>
      <c r="C65" s="328">
        <v>1.5</v>
      </c>
      <c r="D65" s="329" t="str">
        <f>B48</f>
        <v>Industrial</v>
      </c>
      <c r="E65" s="178">
        <f>VLOOKUP(D48,$B$64:$C$66,2,FALSE)</f>
        <v>0.8</v>
      </c>
      <c r="G65" s="326"/>
    </row>
    <row r="66" spans="2:238" s="178" customFormat="1" ht="13" hidden="1" x14ac:dyDescent="0.3">
      <c r="B66" s="178" t="s">
        <v>272</v>
      </c>
      <c r="C66" s="328">
        <v>0.8</v>
      </c>
      <c r="D66" s="329"/>
      <c r="G66" s="326"/>
    </row>
    <row r="67" spans="2:238" s="178" customFormat="1" ht="13.5" hidden="1" thickTop="1" x14ac:dyDescent="0.3">
      <c r="C67" s="327"/>
      <c r="D67" s="329"/>
      <c r="G67" s="326"/>
    </row>
    <row r="68" spans="2:238" ht="13.5" hidden="1" thickBot="1" x14ac:dyDescent="0.35">
      <c r="B68" s="277"/>
      <c r="C68" s="277"/>
      <c r="D68" s="277"/>
      <c r="E68" s="277"/>
      <c r="F68" s="277"/>
      <c r="G68" s="16"/>
      <c r="H68" s="277"/>
      <c r="I68" s="277"/>
      <c r="J68" s="277"/>
      <c r="HZ68" s="277"/>
      <c r="IA68" s="277"/>
      <c r="IB68" s="277"/>
      <c r="IC68" s="277"/>
    </row>
    <row r="69" spans="2:238" ht="13.5" hidden="1" thickTop="1" x14ac:dyDescent="0.3">
      <c r="B69" s="330"/>
      <c r="C69" s="1834" t="s">
        <v>628</v>
      </c>
      <c r="D69" s="331" t="s">
        <v>273</v>
      </c>
      <c r="E69" s="332"/>
      <c r="F69" s="333"/>
      <c r="G69" s="334"/>
      <c r="H69" s="16"/>
      <c r="I69" s="277"/>
      <c r="J69" s="277"/>
      <c r="HZ69" s="277"/>
      <c r="IA69" s="277"/>
      <c r="IB69" s="277"/>
      <c r="IC69" s="277"/>
      <c r="ID69" s="277"/>
    </row>
    <row r="70" spans="2:238" ht="13" hidden="1" x14ac:dyDescent="0.3">
      <c r="B70" s="335"/>
      <c r="C70" s="1835"/>
      <c r="D70" s="336" t="s">
        <v>274</v>
      </c>
      <c r="E70" s="337"/>
      <c r="F70" s="338" t="s">
        <v>275</v>
      </c>
      <c r="G70" s="339"/>
      <c r="H70" s="16"/>
      <c r="I70" s="277"/>
      <c r="J70" s="277"/>
      <c r="HZ70" s="277"/>
      <c r="IA70" s="277"/>
      <c r="IB70" s="277"/>
      <c r="IC70" s="277"/>
      <c r="ID70" s="277"/>
    </row>
    <row r="71" spans="2:238" ht="13.5" hidden="1" thickBot="1" x14ac:dyDescent="0.35">
      <c r="B71" s="340"/>
      <c r="C71" s="1836"/>
      <c r="D71" s="341"/>
      <c r="E71" s="342"/>
      <c r="F71" s="294"/>
      <c r="G71" s="343"/>
      <c r="H71" s="16"/>
      <c r="I71" s="277"/>
      <c r="J71" s="277"/>
      <c r="HZ71" s="277"/>
      <c r="IA71" s="277"/>
      <c r="IB71" s="277"/>
      <c r="IC71" s="277"/>
      <c r="ID71" s="277"/>
    </row>
    <row r="72" spans="2:238" ht="13" hidden="1" x14ac:dyDescent="0.3">
      <c r="B72" s="344"/>
      <c r="C72" s="969"/>
      <c r="D72" s="92" t="s">
        <v>249</v>
      </c>
      <c r="E72" s="345" t="s">
        <v>250</v>
      </c>
      <c r="F72" s="346" t="s">
        <v>249</v>
      </c>
      <c r="G72" s="347" t="s">
        <v>250</v>
      </c>
      <c r="H72" s="16"/>
      <c r="I72" s="277"/>
      <c r="J72" s="277"/>
      <c r="HZ72" s="277"/>
      <c r="IA72" s="277"/>
      <c r="IB72" s="277"/>
      <c r="IC72" s="277"/>
      <c r="ID72" s="277"/>
    </row>
    <row r="73" spans="2:238" ht="13" hidden="1" x14ac:dyDescent="0.3">
      <c r="B73" s="348" t="s">
        <v>251</v>
      </c>
      <c r="C73" s="383">
        <f>$C$17*C21/D21</f>
        <v>37.5</v>
      </c>
      <c r="D73" s="349">
        <v>8.6567164179104461E-4</v>
      </c>
      <c r="E73" s="350">
        <v>9.7142857142857144E-4</v>
      </c>
      <c r="F73" s="351">
        <v>1.082089552238806E-2</v>
      </c>
      <c r="G73" s="352">
        <v>1.1657142857142857E-2</v>
      </c>
      <c r="H73" s="16"/>
      <c r="I73" s="277"/>
      <c r="J73" s="277"/>
      <c r="HZ73" s="277"/>
      <c r="IA73" s="277"/>
      <c r="IB73" s="277"/>
      <c r="IC73" s="277"/>
      <c r="ID73" s="277"/>
    </row>
    <row r="74" spans="2:238" ht="13" hidden="1" x14ac:dyDescent="0.3">
      <c r="B74" s="348" t="s">
        <v>252</v>
      </c>
      <c r="C74" s="383">
        <f>$C$17*C22/D22</f>
        <v>1.2857142857142858</v>
      </c>
      <c r="D74" s="349">
        <v>8.2499999999999987E-3</v>
      </c>
      <c r="E74" s="350">
        <v>9.1264367816091957E-3</v>
      </c>
      <c r="F74" s="351">
        <v>0.20624999999999999</v>
      </c>
      <c r="G74" s="352">
        <v>0.12777011494252874</v>
      </c>
      <c r="H74" s="16"/>
      <c r="I74" s="277"/>
      <c r="J74" s="277"/>
      <c r="HZ74" s="277"/>
      <c r="IA74" s="277"/>
      <c r="IB74" s="277"/>
      <c r="IC74" s="277"/>
      <c r="ID74" s="277"/>
    </row>
    <row r="75" spans="2:238" ht="13" hidden="1" x14ac:dyDescent="0.3">
      <c r="B75" s="348" t="s">
        <v>253</v>
      </c>
      <c r="C75" s="383">
        <f>$C$17*C23/D23</f>
        <v>1.875</v>
      </c>
      <c r="D75" s="349">
        <v>1.2741935483870969E-2</v>
      </c>
      <c r="E75" s="350">
        <v>1.536E-2</v>
      </c>
      <c r="F75" s="351">
        <v>0.25483870967741934</v>
      </c>
      <c r="G75" s="352">
        <v>5.3760000000000009E-2</v>
      </c>
      <c r="H75" s="16"/>
      <c r="I75" s="277"/>
      <c r="J75" s="277"/>
      <c r="HZ75" s="277"/>
      <c r="IA75" s="277"/>
      <c r="IB75" s="277"/>
      <c r="IC75" s="277"/>
      <c r="ID75" s="277"/>
    </row>
    <row r="76" spans="2:238" ht="13" hidden="1" x14ac:dyDescent="0.3">
      <c r="B76" s="348" t="s">
        <v>254</v>
      </c>
      <c r="C76" s="383">
        <f>$C$17*C24/D24</f>
        <v>3</v>
      </c>
      <c r="D76" s="349">
        <v>8.2499999999999987E-3</v>
      </c>
      <c r="E76" s="350">
        <v>0</v>
      </c>
      <c r="F76" s="351">
        <v>0.20624999999999999</v>
      </c>
      <c r="G76" s="352">
        <v>0</v>
      </c>
      <c r="H76" s="16"/>
      <c r="I76" s="277"/>
      <c r="J76" s="277"/>
      <c r="HZ76" s="277"/>
      <c r="IA76" s="277"/>
      <c r="IB76" s="277"/>
      <c r="IC76" s="277"/>
      <c r="ID76" s="277"/>
    </row>
    <row r="77" spans="2:238" ht="13" hidden="1" x14ac:dyDescent="0.3">
      <c r="B77" s="348" t="s">
        <v>276</v>
      </c>
      <c r="C77" s="383"/>
      <c r="D77" s="349"/>
      <c r="E77" s="350"/>
      <c r="F77" s="351"/>
      <c r="G77" s="352"/>
      <c r="H77" s="16"/>
      <c r="I77" s="277"/>
      <c r="J77" s="277"/>
      <c r="HZ77" s="277"/>
      <c r="IA77" s="277"/>
      <c r="IB77" s="277"/>
      <c r="IC77" s="277"/>
      <c r="ID77" s="277"/>
    </row>
    <row r="78" spans="2:238" ht="13" hidden="1" x14ac:dyDescent="0.3">
      <c r="B78" s="348" t="s">
        <v>277</v>
      </c>
      <c r="C78" s="383"/>
      <c r="D78" s="977">
        <f>SUMPRODUCT($C21:$C24,D$73:D$76)</f>
        <v>8.1207149735194988E-3</v>
      </c>
      <c r="E78" s="970">
        <f>SUMPRODUCT(C73:C76,E73:E76,E21:E24)/SUMPRODUCT(C73:C76,E21:E24)</f>
        <v>7.7660906964460881E-3</v>
      </c>
      <c r="F78" s="351">
        <f>SUMPRODUCT($C$21:$C$24,F$73:F$76)</f>
        <v>0.18174079200770343</v>
      </c>
      <c r="G78" s="352">
        <f>SUMPRODUCT(C73:C76,G73:G76,E21:E24)/SUMPRODUCT(E21:E24,C73:C76)</f>
        <v>4.6073190975628162E-2</v>
      </c>
      <c r="H78" s="16"/>
      <c r="I78" s="277"/>
      <c r="J78" s="277"/>
      <c r="HZ78" s="277"/>
      <c r="IA78" s="277"/>
      <c r="IB78" s="277"/>
      <c r="IC78" s="277"/>
      <c r="ID78" s="277"/>
    </row>
    <row r="79" spans="2:238" ht="14" thickTop="1" thickBot="1" x14ac:dyDescent="0.35">
      <c r="B79" s="16"/>
      <c r="C79" s="16"/>
      <c r="D79" s="353"/>
      <c r="E79" s="353"/>
      <c r="F79" s="353"/>
      <c r="G79" s="353"/>
      <c r="H79" s="16"/>
      <c r="I79" s="294"/>
      <c r="J79" s="294"/>
      <c r="K79" s="294"/>
      <c r="L79" s="294"/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HZ79" s="277"/>
      <c r="IA79" s="277"/>
      <c r="IB79" s="277"/>
      <c r="IC79" s="277"/>
      <c r="ID79" s="277"/>
    </row>
    <row r="80" spans="2:238" ht="21" thickTop="1" thickBot="1" x14ac:dyDescent="0.45">
      <c r="B80" s="354" t="s">
        <v>278</v>
      </c>
      <c r="C80" s="237"/>
      <c r="D80" s="237"/>
      <c r="E80" s="238"/>
      <c r="F80" s="16"/>
      <c r="G80" s="16"/>
      <c r="H80" s="294"/>
      <c r="I80" s="294"/>
      <c r="J80" s="355"/>
      <c r="K80" s="355"/>
      <c r="L80" s="355"/>
      <c r="M80" s="355"/>
      <c r="N80" s="355"/>
      <c r="O80" s="355"/>
      <c r="P80" s="355"/>
      <c r="Q80" s="355"/>
      <c r="R80" s="355"/>
      <c r="S80" s="356"/>
      <c r="T80" s="355"/>
      <c r="U80" s="294"/>
      <c r="V80" s="294"/>
      <c r="HZ80" s="277"/>
      <c r="IA80" s="277"/>
      <c r="IB80" s="277"/>
    </row>
    <row r="81" spans="1:236" ht="13" x14ac:dyDescent="0.3">
      <c r="A81" s="343"/>
      <c r="B81" s="32"/>
      <c r="C81" s="357"/>
      <c r="D81" s="116"/>
      <c r="E81" s="94"/>
      <c r="F81" s="16"/>
      <c r="G81" s="16"/>
      <c r="H81" s="294"/>
      <c r="I81" s="294"/>
      <c r="J81" s="355"/>
      <c r="K81" s="355"/>
      <c r="L81" s="355"/>
      <c r="M81" s="355"/>
      <c r="N81" s="355"/>
      <c r="O81" s="355"/>
      <c r="P81" s="355"/>
      <c r="Q81" s="355"/>
      <c r="R81" s="355"/>
      <c r="S81" s="356"/>
      <c r="T81" s="355"/>
      <c r="U81" s="294"/>
      <c r="V81" s="294"/>
      <c r="HZ81" s="277"/>
      <c r="IA81" s="277"/>
      <c r="IB81" s="277"/>
    </row>
    <row r="82" spans="1:236" ht="13" x14ac:dyDescent="0.3">
      <c r="A82" s="343"/>
      <c r="B82" s="39" t="s">
        <v>279</v>
      </c>
      <c r="C82" s="1209" t="s">
        <v>357</v>
      </c>
      <c r="D82" s="358"/>
      <c r="E82" s="359"/>
      <c r="F82" s="15"/>
      <c r="G82" s="16"/>
      <c r="H82" s="294"/>
      <c r="I82" s="294"/>
      <c r="J82" s="355"/>
      <c r="K82" s="355"/>
      <c r="L82" s="355"/>
      <c r="M82" s="355"/>
      <c r="N82" s="355"/>
      <c r="O82" s="355"/>
      <c r="P82" s="355"/>
      <c r="Q82" s="355"/>
      <c r="R82" s="355"/>
      <c r="S82" s="356"/>
      <c r="T82" s="355"/>
      <c r="U82" s="294"/>
      <c r="V82" s="294"/>
      <c r="HZ82" s="277"/>
      <c r="IA82" s="277"/>
      <c r="IB82" s="277"/>
    </row>
    <row r="83" spans="1:236" ht="13" x14ac:dyDescent="0.3">
      <c r="A83" s="343"/>
      <c r="B83" s="360"/>
      <c r="C83" s="163"/>
      <c r="D83" s="358"/>
      <c r="E83" s="359"/>
      <c r="F83" s="15"/>
      <c r="G83" s="16"/>
      <c r="H83" s="294"/>
      <c r="I83" s="294"/>
      <c r="J83" s="355"/>
      <c r="K83" s="355"/>
      <c r="L83" s="355"/>
      <c r="M83" s="355"/>
      <c r="N83" s="355"/>
      <c r="O83" s="355"/>
      <c r="P83" s="355"/>
      <c r="Q83" s="355"/>
      <c r="R83" s="355"/>
      <c r="S83" s="356"/>
      <c r="T83" s="355"/>
      <c r="U83" s="294"/>
      <c r="V83" s="294"/>
      <c r="HZ83" s="277"/>
      <c r="IA83" s="277"/>
      <c r="IB83" s="277"/>
    </row>
    <row r="84" spans="1:236" ht="13" x14ac:dyDescent="0.3">
      <c r="A84" s="343"/>
      <c r="B84" s="361" t="s">
        <v>281</v>
      </c>
      <c r="C84" s="163"/>
      <c r="D84" s="362"/>
      <c r="E84" s="359"/>
      <c r="F84" s="15"/>
      <c r="G84" s="16"/>
      <c r="H84" s="294"/>
      <c r="I84" s="294"/>
      <c r="J84" s="355"/>
      <c r="K84" s="355"/>
      <c r="L84" s="355"/>
      <c r="M84" s="355"/>
      <c r="N84" s="355"/>
      <c r="O84" s="355"/>
      <c r="P84" s="355"/>
      <c r="Q84" s="355"/>
      <c r="R84" s="355"/>
      <c r="S84" s="356"/>
      <c r="T84" s="355"/>
      <c r="U84" s="294"/>
      <c r="V84" s="294"/>
      <c r="HZ84" s="277"/>
      <c r="IA84" s="277"/>
      <c r="IB84" s="277"/>
    </row>
    <row r="85" spans="1:236" ht="13" x14ac:dyDescent="0.3">
      <c r="A85" s="343"/>
      <c r="B85" s="39" t="s">
        <v>282</v>
      </c>
      <c r="C85" s="1209">
        <f>+'Secondary Sources'!C3</f>
        <v>24521</v>
      </c>
      <c r="D85" s="362"/>
      <c r="E85" s="359"/>
      <c r="F85" s="15"/>
      <c r="G85" s="16"/>
      <c r="H85" s="294"/>
      <c r="I85" s="294"/>
      <c r="J85" s="355"/>
      <c r="K85" s="355"/>
      <c r="L85" s="355"/>
      <c r="M85" s="355"/>
      <c r="N85" s="355"/>
      <c r="O85" s="355"/>
      <c r="P85" s="355"/>
      <c r="Q85" s="355"/>
      <c r="R85" s="355"/>
      <c r="S85" s="356"/>
      <c r="T85" s="355"/>
      <c r="U85" s="294"/>
      <c r="V85" s="294"/>
      <c r="HZ85" s="277"/>
      <c r="IA85" s="277"/>
      <c r="IB85" s="277"/>
    </row>
    <row r="86" spans="1:236" ht="13" x14ac:dyDescent="0.3">
      <c r="A86" s="343"/>
      <c r="B86" s="39" t="s">
        <v>283</v>
      </c>
      <c r="C86" s="1326">
        <v>0.4</v>
      </c>
      <c r="D86" s="118" t="s">
        <v>284</v>
      </c>
      <c r="E86" s="1386">
        <v>0.32</v>
      </c>
      <c r="F86" s="15"/>
      <c r="G86" s="16"/>
      <c r="H86" s="294"/>
      <c r="I86" s="294"/>
      <c r="J86" s="355"/>
      <c r="K86" s="355"/>
      <c r="L86" s="355"/>
      <c r="M86" s="355"/>
      <c r="N86" s="355"/>
      <c r="O86" s="355"/>
      <c r="P86" s="355"/>
      <c r="Q86" s="355"/>
      <c r="R86" s="355"/>
      <c r="S86" s="356"/>
      <c r="T86" s="355"/>
      <c r="U86" s="294"/>
      <c r="V86" s="294"/>
      <c r="HZ86" s="277"/>
      <c r="IA86" s="277"/>
      <c r="IB86" s="277"/>
    </row>
    <row r="87" spans="1:236" ht="13" x14ac:dyDescent="0.3">
      <c r="A87" s="343"/>
      <c r="B87" s="39" t="s">
        <v>285</v>
      </c>
      <c r="C87" s="1326">
        <v>0.5</v>
      </c>
      <c r="D87" s="118" t="s">
        <v>286</v>
      </c>
      <c r="E87" s="1386">
        <v>0.23</v>
      </c>
      <c r="F87" s="16"/>
      <c r="G87" s="16"/>
      <c r="H87" s="294"/>
      <c r="I87" s="294"/>
      <c r="J87" s="355"/>
      <c r="K87" s="355"/>
      <c r="L87" s="355"/>
      <c r="M87" s="355"/>
      <c r="N87" s="355"/>
      <c r="O87" s="355"/>
      <c r="P87" s="355"/>
      <c r="Q87" s="355"/>
      <c r="R87" s="355"/>
      <c r="S87" s="356"/>
      <c r="T87" s="355"/>
      <c r="U87" s="294"/>
      <c r="V87" s="294"/>
      <c r="HZ87" s="277"/>
      <c r="IA87" s="277"/>
      <c r="IB87" s="277"/>
    </row>
    <row r="88" spans="1:236" ht="12" customHeight="1" x14ac:dyDescent="0.3">
      <c r="A88" s="343"/>
      <c r="B88" s="39" t="s">
        <v>287</v>
      </c>
      <c r="C88" s="1326">
        <v>0.6</v>
      </c>
      <c r="D88" s="118" t="s">
        <v>288</v>
      </c>
      <c r="E88" s="1386">
        <v>0.25</v>
      </c>
      <c r="F88" s="16"/>
      <c r="G88" s="16"/>
      <c r="H88" s="294"/>
      <c r="I88" s="294"/>
      <c r="J88" s="355"/>
      <c r="K88" s="355"/>
      <c r="L88" s="355"/>
      <c r="M88" s="355"/>
      <c r="N88" s="355"/>
      <c r="O88" s="355"/>
      <c r="P88" s="355"/>
      <c r="Q88" s="355"/>
      <c r="R88" s="355"/>
      <c r="S88" s="356"/>
      <c r="T88" s="355"/>
      <c r="U88" s="294"/>
      <c r="V88" s="294"/>
      <c r="HZ88" s="277"/>
      <c r="IA88" s="277"/>
      <c r="IB88" s="277"/>
    </row>
    <row r="89" spans="1:236" ht="12" customHeight="1" x14ac:dyDescent="0.3">
      <c r="A89" s="343"/>
      <c r="B89" s="39" t="s">
        <v>289</v>
      </c>
      <c r="C89" s="1326">
        <v>0.6</v>
      </c>
      <c r="D89" s="118" t="s">
        <v>290</v>
      </c>
      <c r="E89" s="1386">
        <v>0.01</v>
      </c>
      <c r="F89" s="16"/>
      <c r="G89" s="16"/>
      <c r="H89" s="294"/>
      <c r="I89" s="294"/>
      <c r="J89" s="355"/>
      <c r="K89" s="355"/>
      <c r="L89" s="355"/>
      <c r="M89" s="355"/>
      <c r="N89" s="355"/>
      <c r="O89" s="355"/>
      <c r="P89" s="355"/>
      <c r="Q89" s="355"/>
      <c r="R89" s="355"/>
      <c r="S89" s="356"/>
      <c r="T89" s="355"/>
      <c r="U89" s="294"/>
      <c r="V89" s="294"/>
      <c r="HZ89" s="277"/>
      <c r="IA89" s="277"/>
      <c r="IB89" s="277"/>
    </row>
    <row r="90" spans="1:236" ht="13" x14ac:dyDescent="0.3">
      <c r="A90" s="343"/>
      <c r="B90" s="39" t="s">
        <v>291</v>
      </c>
      <c r="C90" s="1711">
        <v>0.45</v>
      </c>
      <c r="D90" s="118" t="s">
        <v>292</v>
      </c>
      <c r="E90" s="1386">
        <v>0.75</v>
      </c>
      <c r="F90" s="16"/>
      <c r="G90" s="16"/>
      <c r="H90" s="294"/>
      <c r="I90" s="294"/>
      <c r="J90" s="355"/>
      <c r="K90" s="355"/>
      <c r="L90" s="355"/>
      <c r="M90" s="355"/>
      <c r="N90" s="355"/>
      <c r="O90" s="355"/>
      <c r="P90" s="355"/>
      <c r="Q90" s="355"/>
      <c r="R90" s="355"/>
      <c r="S90" s="356"/>
      <c r="T90" s="355"/>
      <c r="U90" s="294"/>
      <c r="V90" s="294"/>
      <c r="HZ90" s="277"/>
      <c r="IA90" s="277"/>
      <c r="IB90" s="277"/>
    </row>
    <row r="91" spans="1:236" ht="13" x14ac:dyDescent="0.3">
      <c r="A91" s="343"/>
      <c r="B91" s="76"/>
      <c r="C91" s="363"/>
      <c r="D91" s="118" t="s">
        <v>293</v>
      </c>
      <c r="E91" s="1386">
        <v>10</v>
      </c>
      <c r="F91" s="16"/>
      <c r="G91" s="364"/>
      <c r="H91" s="294"/>
      <c r="I91" s="294"/>
      <c r="J91" s="294"/>
      <c r="K91" s="355"/>
      <c r="L91" s="355"/>
      <c r="M91" s="355"/>
      <c r="N91" s="355"/>
      <c r="O91" s="294"/>
      <c r="P91" s="294"/>
      <c r="Q91" s="294"/>
      <c r="R91" s="355"/>
      <c r="S91" s="294"/>
      <c r="T91" s="294"/>
      <c r="U91" s="294"/>
      <c r="V91" s="294"/>
      <c r="HZ91" s="277"/>
      <c r="IA91" s="277"/>
    </row>
    <row r="92" spans="1:236" ht="13" x14ac:dyDescent="0.3">
      <c r="A92" s="343"/>
      <c r="B92" s="76"/>
      <c r="C92" s="363"/>
      <c r="D92" s="118" t="s">
        <v>294</v>
      </c>
      <c r="E92" s="1411">
        <f>'Secondary Sources'!I107</f>
        <v>0.05</v>
      </c>
      <c r="F92" s="16"/>
      <c r="G92" s="364"/>
      <c r="H92" s="294"/>
      <c r="I92" s="294"/>
      <c r="J92" s="294"/>
      <c r="K92" s="294"/>
      <c r="L92" s="294"/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HZ92" s="277"/>
    </row>
    <row r="93" spans="1:236" ht="13.5" thickBot="1" x14ac:dyDescent="0.35">
      <c r="B93" s="97"/>
      <c r="C93" s="121"/>
      <c r="D93" s="365"/>
      <c r="E93" s="366"/>
      <c r="F93" s="364"/>
      <c r="G93" s="277"/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4"/>
      <c r="S93" s="294"/>
      <c r="T93" s="294"/>
      <c r="U93" s="294"/>
      <c r="V93" s="294"/>
    </row>
    <row r="94" spans="1:236" ht="14" thickTop="1" thickBot="1" x14ac:dyDescent="0.35">
      <c r="B94" s="252"/>
      <c r="C94" s="277"/>
      <c r="D94" s="277"/>
      <c r="E94" s="277"/>
      <c r="F94" s="16"/>
      <c r="G94" s="16"/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</row>
    <row r="95" spans="1:236" ht="21" thickTop="1" thickBot="1" x14ac:dyDescent="0.45">
      <c r="A95" s="343"/>
      <c r="B95" s="98" t="s">
        <v>295</v>
      </c>
      <c r="C95" s="238"/>
      <c r="D95" s="15"/>
      <c r="E95" s="16"/>
      <c r="F95" s="16"/>
      <c r="G95" s="16"/>
      <c r="H95" s="277"/>
      <c r="I95" s="277"/>
      <c r="J95" s="277"/>
    </row>
    <row r="96" spans="1:236" ht="13" x14ac:dyDescent="0.3">
      <c r="A96" s="343"/>
      <c r="B96" s="32"/>
      <c r="C96" s="94"/>
      <c r="D96" s="15"/>
      <c r="E96" s="16"/>
      <c r="F96" s="16"/>
      <c r="G96" s="16"/>
      <c r="H96" s="277"/>
      <c r="I96" s="277"/>
      <c r="J96" s="277"/>
    </row>
    <row r="97" spans="1:13" ht="13" x14ac:dyDescent="0.3">
      <c r="A97" s="343"/>
      <c r="B97" s="39" t="s">
        <v>296</v>
      </c>
      <c r="C97" s="1412">
        <v>0.7</v>
      </c>
      <c r="D97" s="15"/>
      <c r="E97" s="16"/>
      <c r="F97" s="16"/>
      <c r="G97" s="16"/>
      <c r="H97" s="277"/>
      <c r="I97" s="277"/>
      <c r="J97" s="277"/>
    </row>
    <row r="98" spans="1:13" ht="13" x14ac:dyDescent="0.3">
      <c r="B98" s="39"/>
      <c r="C98" s="367"/>
      <c r="D98" s="15"/>
      <c r="E98" s="16"/>
      <c r="F98" s="16"/>
      <c r="G98" s="16"/>
      <c r="H98" s="277"/>
      <c r="I98" s="277"/>
      <c r="J98" s="277"/>
    </row>
    <row r="99" spans="1:13" ht="13" x14ac:dyDescent="0.3">
      <c r="B99" s="39" t="s">
        <v>297</v>
      </c>
      <c r="C99" s="1209">
        <v>1</v>
      </c>
      <c r="D99" s="15"/>
      <c r="E99" s="16"/>
      <c r="F99" s="16"/>
      <c r="G99" s="16"/>
      <c r="H99" s="277"/>
      <c r="I99" s="277"/>
      <c r="J99" s="277"/>
    </row>
    <row r="100" spans="1:13" ht="13.5" thickBot="1" x14ac:dyDescent="0.35">
      <c r="B100" s="52" t="s">
        <v>298</v>
      </c>
      <c r="C100" s="1296">
        <v>0.6</v>
      </c>
      <c r="D100" s="15"/>
      <c r="E100" s="368"/>
      <c r="F100" s="16"/>
      <c r="G100" s="16"/>
      <c r="H100" s="277"/>
      <c r="I100" s="277"/>
      <c r="J100" s="294"/>
      <c r="K100" s="16"/>
    </row>
    <row r="101" spans="1:13" ht="13" thickBot="1" x14ac:dyDescent="0.3">
      <c r="B101" s="392"/>
      <c r="C101" s="277"/>
      <c r="D101" s="277"/>
      <c r="E101" s="277"/>
      <c r="F101" s="277"/>
      <c r="G101" s="277"/>
      <c r="H101" s="277"/>
      <c r="I101" s="277"/>
      <c r="J101" s="294"/>
      <c r="K101" s="294"/>
      <c r="L101" s="294"/>
    </row>
    <row r="102" spans="1:13" ht="20.5" thickBot="1" x14ac:dyDescent="0.45">
      <c r="B102" s="1297" t="s">
        <v>299</v>
      </c>
      <c r="C102" s="1298"/>
      <c r="D102" s="1298"/>
      <c r="E102" s="1298"/>
      <c r="F102" s="1298"/>
      <c r="G102" s="1299"/>
      <c r="H102" s="1299"/>
      <c r="I102" s="1299"/>
      <c r="J102" s="1057"/>
    </row>
    <row r="103" spans="1:13" ht="13" x14ac:dyDescent="0.3">
      <c r="B103" s="101"/>
      <c r="C103" s="370" t="s">
        <v>300</v>
      </c>
      <c r="D103" s="370" t="s">
        <v>300</v>
      </c>
      <c r="E103" s="102" t="s">
        <v>301</v>
      </c>
      <c r="F103" s="1863" t="s">
        <v>302</v>
      </c>
      <c r="G103" s="1863"/>
      <c r="H103" s="1863" t="s">
        <v>303</v>
      </c>
      <c r="I103" s="1863"/>
      <c r="J103" s="934"/>
    </row>
    <row r="104" spans="1:13" ht="13" x14ac:dyDescent="0.3">
      <c r="B104" s="1300" t="s">
        <v>304</v>
      </c>
      <c r="C104" s="371" t="s">
        <v>29</v>
      </c>
      <c r="D104" s="371" t="s">
        <v>305</v>
      </c>
      <c r="E104" s="371" t="s">
        <v>306</v>
      </c>
      <c r="F104" s="371" t="s">
        <v>307</v>
      </c>
      <c r="G104" s="371" t="s">
        <v>12</v>
      </c>
      <c r="H104" s="371" t="s">
        <v>307</v>
      </c>
      <c r="I104" s="371" t="s">
        <v>12</v>
      </c>
      <c r="J104" s="1301"/>
    </row>
    <row r="105" spans="1:13" ht="13" x14ac:dyDescent="0.3">
      <c r="A105" s="294"/>
      <c r="B105" s="192" t="s">
        <v>308</v>
      </c>
      <c r="C105" s="1716">
        <f>'Retrofit Worksheet'!AZ75</f>
        <v>0</v>
      </c>
      <c r="D105" s="1209"/>
      <c r="E105" s="1209"/>
      <c r="F105" s="1413">
        <v>0.24</v>
      </c>
      <c r="G105" s="1413">
        <v>0.3</v>
      </c>
      <c r="H105" s="1413">
        <v>0.04</v>
      </c>
      <c r="I105" s="1413">
        <v>0.05</v>
      </c>
      <c r="J105" s="117"/>
    </row>
    <row r="106" spans="1:13" ht="13" x14ac:dyDescent="0.3">
      <c r="A106" s="294"/>
      <c r="B106" s="192" t="s">
        <v>309</v>
      </c>
      <c r="C106" s="1215"/>
      <c r="D106" s="1215"/>
      <c r="E106" s="1215"/>
      <c r="F106" s="1413">
        <v>0.51</v>
      </c>
      <c r="G106" s="1413">
        <v>0.64</v>
      </c>
      <c r="H106" s="1413">
        <v>0.18</v>
      </c>
      <c r="I106" s="1413">
        <v>0.22</v>
      </c>
      <c r="J106" s="117"/>
    </row>
    <row r="107" spans="1:13" ht="13" x14ac:dyDescent="0.3">
      <c r="A107" s="294"/>
      <c r="B107" s="192" t="s">
        <v>310</v>
      </c>
      <c r="C107" s="1215"/>
      <c r="D107" s="1215"/>
      <c r="E107" s="1215"/>
      <c r="F107" s="1413">
        <v>0.62</v>
      </c>
      <c r="G107" s="1413">
        <v>0.78</v>
      </c>
      <c r="H107" s="1413">
        <v>0.63</v>
      </c>
      <c r="I107" s="1413">
        <v>0.79</v>
      </c>
      <c r="J107" s="117"/>
    </row>
    <row r="108" spans="1:13" ht="13.5" thickBot="1" x14ac:dyDescent="0.35">
      <c r="A108" s="294"/>
      <c r="B108" s="1302" t="s">
        <v>311</v>
      </c>
      <c r="C108" s="1215" t="s">
        <v>312</v>
      </c>
      <c r="D108" s="1215" t="s">
        <v>312</v>
      </c>
      <c r="E108" s="1215" t="s">
        <v>312</v>
      </c>
      <c r="F108" s="375"/>
      <c r="G108" s="376"/>
      <c r="H108" s="376"/>
      <c r="I108" s="376"/>
      <c r="J108" s="117"/>
    </row>
    <row r="109" spans="1:13" ht="15" hidden="1" customHeight="1" thickBot="1" x14ac:dyDescent="0.35">
      <c r="A109" s="294"/>
      <c r="B109" s="1303" t="s">
        <v>314</v>
      </c>
      <c r="C109" s="292">
        <f>0.35*SUMPRODUCT('Primary Sources'!D11:D20,'Primary Sources'!E11:E20)</f>
        <v>1165.9059999999997</v>
      </c>
      <c r="D109" s="377">
        <f>SUMPRODUCT('Primary Sources'!D26:D30,'Primary Sources'!E26:E30)+0.1*SUMPRODUCT('Primary Sources'!D31:D35,'Primary Sources'!E31:E35)+0.1*SUMPRODUCT('Primary Sources'!D21:D25,'Primary Sources'!E21:E25)</f>
        <v>140.79500000000002</v>
      </c>
      <c r="E109" s="377">
        <f>0.55*SUMPRODUCT('Primary Sources'!D31:D35,'Primary Sources'!E31:E35)+0.6*SUMPRODUCT('Primary Sources'!D21:D25,'Primary Sources'!E21:E25)</f>
        <v>831.96900000000005</v>
      </c>
      <c r="F109" s="378"/>
      <c r="G109" s="378"/>
      <c r="H109" s="378"/>
      <c r="I109" s="378"/>
      <c r="J109" s="1304"/>
      <c r="K109" s="294"/>
      <c r="L109" s="294"/>
    </row>
    <row r="110" spans="1:13" ht="13.5" thickBot="1" x14ac:dyDescent="0.35">
      <c r="A110" s="294"/>
      <c r="B110" s="1305" t="s">
        <v>315</v>
      </c>
      <c r="C110" s="1282">
        <v>0.5</v>
      </c>
      <c r="D110" s="31"/>
      <c r="E110" s="31"/>
      <c r="F110" s="1306"/>
      <c r="G110" s="1306"/>
      <c r="H110" s="1307"/>
      <c r="I110" s="1307"/>
      <c r="J110" s="1308"/>
      <c r="K110" s="16"/>
      <c r="M110" s="294"/>
    </row>
    <row r="111" spans="1:13" ht="13" x14ac:dyDescent="0.3">
      <c r="A111" s="294"/>
      <c r="B111" s="87"/>
      <c r="C111" s="381"/>
      <c r="D111" s="16"/>
      <c r="E111" s="16"/>
      <c r="F111" s="16"/>
      <c r="G111" s="16"/>
      <c r="H111" s="87"/>
      <c r="I111" s="87"/>
      <c r="J111" s="382"/>
      <c r="K111" s="16"/>
      <c r="M111" s="294"/>
    </row>
    <row r="112" spans="1:13" ht="13" x14ac:dyDescent="0.3">
      <c r="A112" s="294"/>
      <c r="B112" s="87" t="s">
        <v>312</v>
      </c>
      <c r="C112" s="381">
        <v>0.6</v>
      </c>
      <c r="D112" s="16"/>
      <c r="E112" s="16"/>
      <c r="F112" s="16"/>
      <c r="G112" s="16"/>
      <c r="H112" s="87"/>
      <c r="I112" s="87"/>
      <c r="J112" s="382"/>
      <c r="K112" s="16"/>
      <c r="M112" s="294"/>
    </row>
    <row r="113" spans="1:235" ht="13" x14ac:dyDescent="0.3">
      <c r="A113" s="294"/>
      <c r="B113" s="87" t="s">
        <v>313</v>
      </c>
      <c r="C113" s="381">
        <v>1</v>
      </c>
      <c r="D113" s="16"/>
      <c r="E113" s="16"/>
      <c r="F113" s="16"/>
      <c r="G113" s="16"/>
      <c r="H113" s="87"/>
      <c r="I113" s="87"/>
      <c r="J113" s="382"/>
      <c r="K113" s="16"/>
      <c r="M113" s="294"/>
    </row>
    <row r="114" spans="1:235" ht="13" thickBot="1" x14ac:dyDescent="0.3">
      <c r="B114" s="277"/>
      <c r="C114" s="277"/>
      <c r="D114" s="277"/>
      <c r="E114" s="277"/>
      <c r="F114" s="277"/>
      <c r="G114" s="277"/>
      <c r="H114" s="277"/>
      <c r="I114" s="277"/>
      <c r="J114" s="277"/>
    </row>
    <row r="115" spans="1:235" ht="21" thickTop="1" thickBot="1" x14ac:dyDescent="0.45">
      <c r="B115" s="1864" t="s">
        <v>316</v>
      </c>
      <c r="C115" s="1801"/>
      <c r="D115" s="1801"/>
      <c r="E115" s="1801"/>
      <c r="F115" s="1801"/>
      <c r="G115" s="1801"/>
      <c r="H115" s="1801"/>
      <c r="I115" s="1801"/>
      <c r="J115" s="1801"/>
      <c r="K115" s="1801"/>
      <c r="L115" s="1802"/>
    </row>
    <row r="116" spans="1:235" x14ac:dyDescent="0.25">
      <c r="B116" s="1865" t="s">
        <v>317</v>
      </c>
      <c r="C116" s="1868" t="s">
        <v>318</v>
      </c>
      <c r="D116" s="1868" t="s">
        <v>513</v>
      </c>
      <c r="E116" s="1868" t="s">
        <v>319</v>
      </c>
      <c r="F116" s="1837" t="s">
        <v>320</v>
      </c>
      <c r="G116" s="1838"/>
      <c r="H116" s="1838"/>
      <c r="I116" s="1839"/>
      <c r="J116" s="1843" t="s">
        <v>14</v>
      </c>
      <c r="K116" s="1844"/>
      <c r="L116" s="1845"/>
      <c r="HZ116" s="277"/>
      <c r="IA116" s="277"/>
    </row>
    <row r="117" spans="1:235" x14ac:dyDescent="0.25">
      <c r="B117" s="1866"/>
      <c r="C117" s="1869"/>
      <c r="D117" s="1869"/>
      <c r="E117" s="1869"/>
      <c r="F117" s="1840"/>
      <c r="G117" s="1841"/>
      <c r="H117" s="1841"/>
      <c r="I117" s="1842"/>
      <c r="J117" s="1846"/>
      <c r="K117" s="1847"/>
      <c r="L117" s="1848"/>
      <c r="HZ117" s="277"/>
      <c r="IA117" s="277"/>
    </row>
    <row r="118" spans="1:235" ht="13" x14ac:dyDescent="0.3">
      <c r="B118" s="1867"/>
      <c r="C118" s="1870"/>
      <c r="D118" s="1870"/>
      <c r="E118" s="1870"/>
      <c r="F118" s="220" t="s">
        <v>10</v>
      </c>
      <c r="G118" s="220" t="s">
        <v>11</v>
      </c>
      <c r="H118" s="220" t="s">
        <v>12</v>
      </c>
      <c r="I118" s="40" t="s">
        <v>68</v>
      </c>
      <c r="J118" s="383" t="s">
        <v>321</v>
      </c>
      <c r="K118" s="384" t="s">
        <v>322</v>
      </c>
      <c r="L118" s="385" t="s">
        <v>323</v>
      </c>
      <c r="M118" s="294"/>
      <c r="HZ118" s="277"/>
      <c r="IA118" s="277"/>
    </row>
    <row r="119" spans="1:235" ht="13" x14ac:dyDescent="0.3">
      <c r="B119" s="1602" t="s">
        <v>682</v>
      </c>
      <c r="C119" s="1617"/>
      <c r="D119" s="1617"/>
      <c r="E119" s="1603"/>
      <c r="F119" s="220"/>
      <c r="G119" s="220"/>
      <c r="H119" s="220"/>
      <c r="I119" s="40"/>
      <c r="J119" s="1610"/>
      <c r="K119" s="1611"/>
      <c r="L119" s="385"/>
      <c r="M119" s="294"/>
      <c r="HZ119" s="277"/>
      <c r="IA119" s="277"/>
    </row>
    <row r="120" spans="1:235" ht="13" x14ac:dyDescent="0.3">
      <c r="B120" s="1608" t="s">
        <v>743</v>
      </c>
      <c r="C120" s="1618"/>
      <c r="D120" s="1618"/>
      <c r="E120" s="1612">
        <f t="shared" ref="E120:E125" si="0">C120-D120</f>
        <v>0</v>
      </c>
      <c r="F120" s="1325">
        <v>0</v>
      </c>
      <c r="G120" s="1325">
        <v>0</v>
      </c>
      <c r="H120" s="1325">
        <v>0</v>
      </c>
      <c r="I120" s="1414">
        <v>0</v>
      </c>
      <c r="J120" s="1415">
        <v>0.6</v>
      </c>
      <c r="K120" s="1325">
        <v>0.6</v>
      </c>
      <c r="L120" s="1416">
        <v>0.6</v>
      </c>
      <c r="M120" s="294"/>
      <c r="HZ120" s="277"/>
      <c r="IA120" s="277"/>
    </row>
    <row r="121" spans="1:235" ht="13" x14ac:dyDescent="0.3">
      <c r="A121" s="294"/>
      <c r="B121" s="1608" t="s">
        <v>744</v>
      </c>
      <c r="C121" s="1618"/>
      <c r="D121" s="1618"/>
      <c r="E121" s="1612">
        <f t="shared" si="0"/>
        <v>0</v>
      </c>
      <c r="F121" s="1325">
        <v>0.25</v>
      </c>
      <c r="G121" s="1325">
        <v>0.25</v>
      </c>
      <c r="H121" s="1325">
        <v>0.25</v>
      </c>
      <c r="I121" s="1414">
        <v>0</v>
      </c>
      <c r="J121" s="1415">
        <v>0.45</v>
      </c>
      <c r="K121" s="1325">
        <v>0.75</v>
      </c>
      <c r="L121" s="1416">
        <v>0.75</v>
      </c>
      <c r="M121" s="294"/>
      <c r="HZ121" s="277"/>
      <c r="IA121" s="277"/>
    </row>
    <row r="122" spans="1:235" ht="13" x14ac:dyDescent="0.3">
      <c r="A122" s="294"/>
      <c r="B122" s="1608" t="s">
        <v>745</v>
      </c>
      <c r="C122" s="1618"/>
      <c r="D122" s="1618"/>
      <c r="E122" s="1612">
        <f t="shared" si="0"/>
        <v>0</v>
      </c>
      <c r="F122" s="1325">
        <v>0</v>
      </c>
      <c r="G122" s="1325">
        <v>0</v>
      </c>
      <c r="H122" s="1325">
        <v>0</v>
      </c>
      <c r="I122" s="1414">
        <v>0</v>
      </c>
      <c r="J122" s="1415">
        <v>0.25</v>
      </c>
      <c r="K122" s="1325">
        <v>0.5</v>
      </c>
      <c r="L122" s="1416">
        <v>0.5</v>
      </c>
      <c r="M122" s="294"/>
      <c r="HZ122" s="277"/>
      <c r="IA122" s="277"/>
    </row>
    <row r="123" spans="1:235" ht="13" x14ac:dyDescent="0.3">
      <c r="A123" s="294"/>
      <c r="B123" s="1608" t="s">
        <v>746</v>
      </c>
      <c r="C123" s="1618"/>
      <c r="D123" s="1618"/>
      <c r="E123" s="1612">
        <f t="shared" si="0"/>
        <v>0</v>
      </c>
      <c r="F123" s="1325">
        <v>0</v>
      </c>
      <c r="G123" s="1325">
        <v>0</v>
      </c>
      <c r="H123" s="1325">
        <v>0</v>
      </c>
      <c r="I123" s="1414">
        <v>0</v>
      </c>
      <c r="J123" s="1415">
        <v>0.5</v>
      </c>
      <c r="K123" s="1325">
        <v>0.75</v>
      </c>
      <c r="L123" s="1416">
        <v>0.75</v>
      </c>
      <c r="M123" s="294"/>
      <c r="HZ123" s="277"/>
      <c r="IA123" s="277"/>
    </row>
    <row r="124" spans="1:235" ht="13" x14ac:dyDescent="0.3">
      <c r="A124" s="294"/>
      <c r="B124" s="1608" t="s">
        <v>747</v>
      </c>
      <c r="C124" s="1618"/>
      <c r="D124" s="1618"/>
      <c r="E124" s="1612">
        <f t="shared" si="0"/>
        <v>0</v>
      </c>
      <c r="F124" s="1325">
        <v>0</v>
      </c>
      <c r="G124" s="1325">
        <v>0</v>
      </c>
      <c r="H124" s="1325">
        <v>0</v>
      </c>
      <c r="I124" s="1414">
        <v>0</v>
      </c>
      <c r="J124" s="1415">
        <v>0.4</v>
      </c>
      <c r="K124" s="1325">
        <v>0.4</v>
      </c>
      <c r="L124" s="1416">
        <v>0.4</v>
      </c>
      <c r="M124" s="294"/>
      <c r="HZ124" s="277"/>
      <c r="IA124" s="277"/>
    </row>
    <row r="125" spans="1:235" ht="13" x14ac:dyDescent="0.3">
      <c r="A125" s="294"/>
      <c r="B125" s="1608" t="s">
        <v>760</v>
      </c>
      <c r="C125" s="1618">
        <f>6.84054</f>
        <v>6.8405399999999998</v>
      </c>
      <c r="D125" s="1618">
        <f>4.74739</f>
        <v>4.7473900000000002</v>
      </c>
      <c r="E125" s="1612">
        <f t="shared" si="0"/>
        <v>2.0931499999999996</v>
      </c>
      <c r="F125" s="1325">
        <v>0.2</v>
      </c>
      <c r="G125" s="1325">
        <v>0.15</v>
      </c>
      <c r="H125" s="1325">
        <v>0.4</v>
      </c>
      <c r="I125" s="1414">
        <v>0</v>
      </c>
      <c r="J125" s="1415">
        <v>0.1</v>
      </c>
      <c r="K125" s="1325">
        <v>0.2</v>
      </c>
      <c r="L125" s="1416">
        <v>0.2</v>
      </c>
      <c r="M125" s="294"/>
      <c r="HZ125" s="277"/>
      <c r="IA125" s="277"/>
    </row>
    <row r="126" spans="1:235" s="178" customFormat="1" ht="13" x14ac:dyDescent="0.3">
      <c r="A126" s="177"/>
      <c r="B126" s="285" t="s">
        <v>683</v>
      </c>
      <c r="C126" s="1617"/>
      <c r="D126" s="1617"/>
      <c r="E126" s="1613"/>
      <c r="F126" s="295"/>
      <c r="G126" s="295"/>
      <c r="H126" s="295"/>
      <c r="I126" s="1614"/>
      <c r="J126" s="1615"/>
      <c r="K126" s="295"/>
      <c r="L126" s="296"/>
      <c r="M126" s="177"/>
    </row>
    <row r="127" spans="1:235" ht="13" x14ac:dyDescent="0.3">
      <c r="A127" s="294"/>
      <c r="B127" s="1608" t="s">
        <v>748</v>
      </c>
      <c r="C127" s="1618">
        <f>1536.62</f>
        <v>1536.62</v>
      </c>
      <c r="D127" s="1618">
        <f>354.637</f>
        <v>354.637</v>
      </c>
      <c r="E127" s="1612">
        <f t="shared" ref="E127:E133" si="1">C127-D127</f>
        <v>1181.9829999999999</v>
      </c>
      <c r="F127" s="1325">
        <v>0.4</v>
      </c>
      <c r="G127" s="1325">
        <v>0.75</v>
      </c>
      <c r="H127" s="1325">
        <v>0.85</v>
      </c>
      <c r="I127" s="1414">
        <v>0.7</v>
      </c>
      <c r="J127" s="1415">
        <v>0</v>
      </c>
      <c r="K127" s="1325">
        <v>0</v>
      </c>
      <c r="L127" s="1416">
        <v>0</v>
      </c>
      <c r="M127" s="294"/>
      <c r="HZ127" s="277"/>
      <c r="IA127" s="277"/>
    </row>
    <row r="128" spans="1:235" ht="13" x14ac:dyDescent="0.3">
      <c r="A128" s="294"/>
      <c r="B128" s="1608" t="s">
        <v>749</v>
      </c>
      <c r="C128" s="1618">
        <f>760.257</f>
        <v>760.25699999999995</v>
      </c>
      <c r="D128" s="1618">
        <f>170.629</f>
        <v>170.62899999999999</v>
      </c>
      <c r="E128" s="1612">
        <f t="shared" si="1"/>
        <v>589.62799999999993</v>
      </c>
      <c r="F128" s="1325">
        <v>0.55000000000000004</v>
      </c>
      <c r="G128" s="1325">
        <v>0.75</v>
      </c>
      <c r="H128" s="1325">
        <v>0.85</v>
      </c>
      <c r="I128" s="1414">
        <v>0.8</v>
      </c>
      <c r="J128" s="1415">
        <v>0</v>
      </c>
      <c r="K128" s="1325">
        <v>0</v>
      </c>
      <c r="L128" s="1416">
        <v>0</v>
      </c>
      <c r="M128" s="294"/>
      <c r="HZ128" s="277"/>
      <c r="IA128" s="277"/>
    </row>
    <row r="129" spans="1:235" ht="13" x14ac:dyDescent="0.3">
      <c r="A129" s="294"/>
      <c r="B129" s="1608" t="s">
        <v>750</v>
      </c>
      <c r="C129" s="1618">
        <f>1.39222+191.869</f>
        <v>193.26122000000001</v>
      </c>
      <c r="D129" s="1618">
        <f>0.09913+74.7469</f>
        <v>74.846029999999999</v>
      </c>
      <c r="E129" s="1612">
        <f t="shared" si="1"/>
        <v>118.41519000000001</v>
      </c>
      <c r="F129" s="1325">
        <v>0.15</v>
      </c>
      <c r="G129" s="1325">
        <v>0.25</v>
      </c>
      <c r="H129" s="1325">
        <v>0.5</v>
      </c>
      <c r="I129" s="1326">
        <v>0.85</v>
      </c>
      <c r="J129" s="1417">
        <v>0.5</v>
      </c>
      <c r="K129" s="1364">
        <v>0.9</v>
      </c>
      <c r="L129" s="1416">
        <v>0.9</v>
      </c>
      <c r="M129" s="294"/>
      <c r="HZ129" s="277"/>
      <c r="IA129" s="277"/>
    </row>
    <row r="130" spans="1:235" ht="13" x14ac:dyDescent="0.3">
      <c r="A130" s="294"/>
      <c r="B130" s="1608" t="s">
        <v>751</v>
      </c>
      <c r="C130" s="1618">
        <f>42.8058</f>
        <v>42.805799999999998</v>
      </c>
      <c r="D130" s="1618">
        <f>13.2161</f>
        <v>13.216100000000001</v>
      </c>
      <c r="E130" s="1612">
        <f t="shared" si="1"/>
        <v>29.589699999999997</v>
      </c>
      <c r="F130" s="1325">
        <v>0.6</v>
      </c>
      <c r="G130" s="1325">
        <v>0.5</v>
      </c>
      <c r="H130" s="1325">
        <v>0.5</v>
      </c>
      <c r="I130" s="1414">
        <v>0.5</v>
      </c>
      <c r="J130" s="1415">
        <v>0.4</v>
      </c>
      <c r="K130" s="1325">
        <v>0.8</v>
      </c>
      <c r="L130" s="1416">
        <v>0.8</v>
      </c>
      <c r="M130" s="294"/>
      <c r="HZ130" s="277"/>
      <c r="IA130" s="277"/>
    </row>
    <row r="131" spans="1:235" ht="13" x14ac:dyDescent="0.3">
      <c r="A131" s="294"/>
      <c r="B131" s="1608" t="s">
        <v>752</v>
      </c>
      <c r="C131" s="1618">
        <f>11.1899</f>
        <v>11.1899</v>
      </c>
      <c r="D131" s="1618">
        <f>4.33202</f>
        <v>4.33202</v>
      </c>
      <c r="E131" s="1612">
        <f t="shared" si="1"/>
        <v>6.8578799999999998</v>
      </c>
      <c r="F131" s="1325">
        <v>0.45</v>
      </c>
      <c r="G131" s="1325">
        <v>0.65</v>
      </c>
      <c r="H131" s="1325">
        <v>0.9</v>
      </c>
      <c r="I131" s="1414">
        <v>0.8</v>
      </c>
      <c r="J131" s="1415">
        <v>0</v>
      </c>
      <c r="K131" s="1325">
        <v>0</v>
      </c>
      <c r="L131" s="1416">
        <v>0</v>
      </c>
      <c r="M131" s="294"/>
      <c r="HZ131" s="277"/>
      <c r="IA131" s="277"/>
    </row>
    <row r="132" spans="1:235" ht="13" x14ac:dyDescent="0.3">
      <c r="A132" s="294"/>
      <c r="B132" s="1608" t="s">
        <v>753</v>
      </c>
      <c r="C132" s="1618">
        <f>6.1+1.76053</f>
        <v>7.8605299999999998</v>
      </c>
      <c r="D132" s="1618">
        <f>3.3+0.31868</f>
        <v>3.6186799999999999</v>
      </c>
      <c r="E132" s="1612">
        <f t="shared" si="1"/>
        <v>4.2418499999999995</v>
      </c>
      <c r="F132" s="1325">
        <v>0.35</v>
      </c>
      <c r="G132" s="1325">
        <v>0.4</v>
      </c>
      <c r="H132" s="1325">
        <v>0.4</v>
      </c>
      <c r="I132" s="1414">
        <v>0</v>
      </c>
      <c r="J132" s="1415">
        <v>0.4</v>
      </c>
      <c r="K132" s="1325">
        <v>0.6</v>
      </c>
      <c r="L132" s="1416">
        <v>0.6</v>
      </c>
      <c r="M132" s="294"/>
      <c r="HZ132" s="277"/>
      <c r="IA132" s="277"/>
    </row>
    <row r="133" spans="1:235" ht="13" x14ac:dyDescent="0.3">
      <c r="A133" s="294"/>
      <c r="B133" s="1608" t="s">
        <v>754</v>
      </c>
      <c r="C133" s="1618"/>
      <c r="D133" s="1618"/>
      <c r="E133" s="1612">
        <f t="shared" si="1"/>
        <v>0</v>
      </c>
      <c r="F133" s="1325">
        <v>0.35</v>
      </c>
      <c r="G133" s="1325">
        <v>0.4</v>
      </c>
      <c r="H133" s="1325">
        <v>0.4</v>
      </c>
      <c r="I133" s="1414">
        <v>0</v>
      </c>
      <c r="J133" s="1415">
        <v>0</v>
      </c>
      <c r="K133" s="1325">
        <v>0</v>
      </c>
      <c r="L133" s="1416">
        <v>0</v>
      </c>
      <c r="M133" s="294"/>
      <c r="HZ133" s="277"/>
      <c r="IA133" s="277"/>
    </row>
    <row r="134" spans="1:235" s="178" customFormat="1" ht="13" x14ac:dyDescent="0.3">
      <c r="A134" s="177"/>
      <c r="B134" s="285" t="s">
        <v>684</v>
      </c>
      <c r="C134" s="1617"/>
      <c r="D134" s="1617"/>
      <c r="E134" s="1613"/>
      <c r="F134" s="295"/>
      <c r="G134" s="295"/>
      <c r="H134" s="295"/>
      <c r="I134" s="1614"/>
      <c r="J134" s="1615"/>
      <c r="K134" s="295"/>
      <c r="L134" s="296"/>
      <c r="M134" s="177"/>
    </row>
    <row r="135" spans="1:235" ht="13" x14ac:dyDescent="0.3">
      <c r="B135" s="1608" t="s">
        <v>755</v>
      </c>
      <c r="C135" s="1618">
        <f>741.07</f>
        <v>741.07</v>
      </c>
      <c r="D135" s="1618">
        <f>217.951</f>
        <v>217.95099999999999</v>
      </c>
      <c r="E135" s="1612">
        <f>C135-D135</f>
        <v>523.11900000000003</v>
      </c>
      <c r="F135" s="1325">
        <v>0.05</v>
      </c>
      <c r="G135" s="1325">
        <v>0.1</v>
      </c>
      <c r="H135" s="1325">
        <v>0.1</v>
      </c>
      <c r="I135" s="1414">
        <v>0</v>
      </c>
      <c r="J135" s="1415">
        <v>0</v>
      </c>
      <c r="K135" s="1325">
        <v>0</v>
      </c>
      <c r="L135" s="1416">
        <v>0</v>
      </c>
      <c r="M135" s="294"/>
      <c r="HZ135" s="277"/>
      <c r="IA135" s="277"/>
    </row>
    <row r="136" spans="1:235" ht="13" x14ac:dyDescent="0.3">
      <c r="A136" s="294"/>
      <c r="B136" s="1608" t="s">
        <v>756</v>
      </c>
      <c r="C136" s="1618">
        <f>2170.06</f>
        <v>2170.06</v>
      </c>
      <c r="D136" s="1618">
        <f>843.796</f>
        <v>843.79600000000005</v>
      </c>
      <c r="E136" s="1612">
        <f>C136-D136</f>
        <v>1326.2639999999999</v>
      </c>
      <c r="F136" s="1325">
        <v>0.1</v>
      </c>
      <c r="G136" s="1325">
        <v>0.15</v>
      </c>
      <c r="H136" s="1325">
        <v>0.7</v>
      </c>
      <c r="I136" s="1414">
        <v>0</v>
      </c>
      <c r="J136" s="1415">
        <v>0</v>
      </c>
      <c r="K136" s="1325">
        <v>0.15</v>
      </c>
      <c r="L136" s="1416">
        <v>0.15</v>
      </c>
      <c r="M136" s="294"/>
      <c r="HZ136" s="277"/>
      <c r="IA136" s="277"/>
    </row>
    <row r="137" spans="1:235" ht="13" x14ac:dyDescent="0.3">
      <c r="A137" s="294"/>
      <c r="B137" s="1608" t="s">
        <v>759</v>
      </c>
      <c r="C137" s="1618"/>
      <c r="D137" s="1618"/>
      <c r="E137" s="1612">
        <f>C137-D137</f>
        <v>0</v>
      </c>
      <c r="F137" s="1325">
        <v>0</v>
      </c>
      <c r="G137" s="1325">
        <v>0</v>
      </c>
      <c r="H137" s="1325">
        <v>0</v>
      </c>
      <c r="I137" s="1414">
        <v>0</v>
      </c>
      <c r="J137" s="1415">
        <v>0.75</v>
      </c>
      <c r="K137" s="1325">
        <v>0.5</v>
      </c>
      <c r="L137" s="1416">
        <v>0.5</v>
      </c>
      <c r="M137" s="294"/>
      <c r="HZ137" s="277"/>
      <c r="IA137" s="277"/>
    </row>
    <row r="138" spans="1:235" ht="13" x14ac:dyDescent="0.3">
      <c r="A138" s="294"/>
      <c r="B138" s="1608" t="s">
        <v>325</v>
      </c>
      <c r="C138" s="1618"/>
      <c r="D138" s="1618"/>
      <c r="E138" s="1612">
        <f>C138-D138</f>
        <v>0</v>
      </c>
      <c r="F138" s="1325">
        <v>0</v>
      </c>
      <c r="G138" s="1325">
        <v>0</v>
      </c>
      <c r="H138" s="1325">
        <v>0</v>
      </c>
      <c r="I138" s="1414">
        <v>0</v>
      </c>
      <c r="J138" s="1415">
        <v>0.75</v>
      </c>
      <c r="K138" s="1325">
        <v>0.5</v>
      </c>
      <c r="L138" s="1416">
        <v>0.5</v>
      </c>
      <c r="M138" s="294"/>
      <c r="HZ138" s="277"/>
      <c r="IA138" s="277"/>
    </row>
    <row r="139" spans="1:235" ht="13" x14ac:dyDescent="0.3">
      <c r="A139" s="294"/>
      <c r="B139" s="1608" t="s">
        <v>326</v>
      </c>
      <c r="C139" s="1618"/>
      <c r="D139" s="1618"/>
      <c r="E139" s="1612">
        <f>C139-D139</f>
        <v>0</v>
      </c>
      <c r="F139" s="1325">
        <v>0</v>
      </c>
      <c r="G139" s="1325">
        <v>0</v>
      </c>
      <c r="H139" s="1325">
        <v>0</v>
      </c>
      <c r="I139" s="1414">
        <v>0</v>
      </c>
      <c r="J139" s="1415">
        <v>0.5</v>
      </c>
      <c r="K139" s="1325">
        <v>0.75</v>
      </c>
      <c r="L139" s="1416">
        <v>0.75</v>
      </c>
      <c r="M139" s="294"/>
      <c r="HZ139" s="277"/>
      <c r="IA139" s="277"/>
    </row>
    <row r="140" spans="1:235" s="178" customFormat="1" ht="13.5" thickBot="1" x14ac:dyDescent="0.35">
      <c r="A140" s="177"/>
      <c r="B140" s="1620"/>
      <c r="C140" s="1617"/>
      <c r="D140" s="1617"/>
      <c r="E140" s="1613"/>
      <c r="F140" s="1621"/>
      <c r="G140" s="1621"/>
      <c r="H140" s="1621"/>
      <c r="I140" s="1622"/>
      <c r="J140" s="1615"/>
      <c r="K140" s="295"/>
      <c r="L140" s="296"/>
      <c r="M140" s="177"/>
    </row>
    <row r="141" spans="1:235" ht="13.5" thickBot="1" x14ac:dyDescent="0.35">
      <c r="A141" s="294"/>
      <c r="B141" s="82" t="s">
        <v>41</v>
      </c>
      <c r="C141" s="1619">
        <f>SUM(C119:C140)</f>
        <v>5469.9649899999995</v>
      </c>
      <c r="D141" s="1619">
        <f>SUM(D119:D140)</f>
        <v>1687.77322</v>
      </c>
      <c r="E141" s="1536">
        <f>IF($C$141&gt;0,SUMPRODUCT($C135:$C139,E135:E139)/$C141,0)</f>
        <v>597.03128980538497</v>
      </c>
      <c r="F141" s="1623">
        <f t="shared" ref="F141:L141" si="2">IF($C$141&gt;0,SUMPRODUCT($C119:$C140,F119:F140)/$C141,0)</f>
        <v>0.24692594266494566</v>
      </c>
      <c r="G141" s="1623">
        <f t="shared" si="2"/>
        <v>0.4028244581141277</v>
      </c>
      <c r="H141" s="1623">
        <f t="shared" si="2"/>
        <v>0.67266962489279125</v>
      </c>
      <c r="I141" s="1623">
        <f t="shared" si="2"/>
        <v>0.34341471297058518</v>
      </c>
      <c r="J141" s="1623">
        <f t="shared" si="2"/>
        <v>2.149578584414304E-2</v>
      </c>
      <c r="K141" s="1623">
        <f t="shared" si="2"/>
        <v>9.8679454984957768E-2</v>
      </c>
      <c r="L141" s="1623">
        <f t="shared" si="2"/>
        <v>9.8679454984957768E-2</v>
      </c>
      <c r="M141" s="294"/>
      <c r="HZ141" s="277"/>
      <c r="IA141" s="277"/>
    </row>
    <row r="142" spans="1:235" ht="13.5" thickBot="1" x14ac:dyDescent="0.35">
      <c r="A142" s="294"/>
      <c r="B142" s="386"/>
      <c r="C142" s="387"/>
      <c r="D142" s="387"/>
      <c r="E142" s="1616" t="s">
        <v>757</v>
      </c>
      <c r="F142" s="1624">
        <f>IF($D141&gt;0,SUMPRODUCT($D119:$D140,F119:F140,$L119:$L140)/MAX(SUMPRODUCT($D119:$D140,$L119:$L140),0.001),0)</f>
        <v>0.14475515143348305</v>
      </c>
      <c r="G142" s="1624">
        <f>IF($D141&gt;0,SUMPRODUCT($D119:$D140,G119:G140,$L119:$L140)/MAX(SUMPRODUCT($D119:$D140,$L119:$L140),0.001),0)</f>
        <v>0.2028813235350434</v>
      </c>
      <c r="H142" s="1624">
        <f>IF($D141&gt;0,SUMPRODUCT($D119:$D140,H119:H140,$L119:$L140)/MAX(SUMPRODUCT($D119:$D140,$L119:$L140),0.001),0)</f>
        <v>0.62041846836368597</v>
      </c>
      <c r="I142" s="1624">
        <f>IF($D141&gt;0,SUMPRODUCT($D119:$D140,I119:I140,$L119:$L140)/MAX(SUMPRODUCT($D119:$D140,$L119:$L140),0.001),0)</f>
        <v>0.30123460950949049</v>
      </c>
      <c r="J142" s="388"/>
      <c r="K142" s="388"/>
      <c r="L142" s="389"/>
      <c r="M142" s="294"/>
      <c r="HZ142" s="277"/>
      <c r="IA142" s="277"/>
    </row>
    <row r="143" spans="1:235" ht="13.5" thickBot="1" x14ac:dyDescent="0.35">
      <c r="A143" s="294"/>
      <c r="B143" s="390"/>
      <c r="C143" s="23"/>
      <c r="D143" s="23"/>
      <c r="E143" s="391"/>
      <c r="F143" s="1854"/>
      <c r="G143" s="1855"/>
      <c r="H143" s="1855"/>
      <c r="I143" s="1855"/>
      <c r="J143" s="1855"/>
      <c r="K143" s="1855"/>
      <c r="L143" s="1856"/>
      <c r="HZ143" s="277"/>
    </row>
    <row r="144" spans="1:235" ht="13" x14ac:dyDescent="0.3">
      <c r="A144" s="294"/>
      <c r="B144" s="264" t="s">
        <v>327</v>
      </c>
      <c r="C144" s="266" t="s">
        <v>328</v>
      </c>
      <c r="D144" s="266" t="s">
        <v>329</v>
      </c>
      <c r="E144" s="345" t="s">
        <v>607</v>
      </c>
      <c r="F144" s="1857"/>
      <c r="G144" s="1858"/>
      <c r="H144" s="1858"/>
      <c r="I144" s="1858"/>
      <c r="J144" s="1858"/>
      <c r="K144" s="1858"/>
      <c r="L144" s="1859"/>
    </row>
    <row r="145" spans="1:256" ht="13" thickBot="1" x14ac:dyDescent="0.3">
      <c r="A145" s="294"/>
      <c r="B145" s="394">
        <f>(D141*0.95+'Primary Sources'!E74*'Existing Management Practices'!E141)/MAX(('Primary Sources'!D74*SUMPRODUCT('Primary Sources'!D10:D35,'Primary Sources'!E10:E35)+'Primary Sources'!E74*SUMPRODUCT('Primary Sources'!D10:D35,'Primary Sources'!F10:F35)),0.001)</f>
        <v>0.20686633586628206</v>
      </c>
      <c r="C145" s="1309">
        <v>0.9</v>
      </c>
      <c r="D145" s="1260">
        <v>1.2</v>
      </c>
      <c r="E145" s="1295">
        <v>0.9</v>
      </c>
      <c r="F145" s="1860"/>
      <c r="G145" s="1861"/>
      <c r="H145" s="1861"/>
      <c r="I145" s="1861"/>
      <c r="J145" s="1861"/>
      <c r="K145" s="1861"/>
      <c r="L145" s="1862"/>
    </row>
    <row r="146" spans="1:256" ht="14" thickTop="1" thickBot="1" x14ac:dyDescent="0.35">
      <c r="A146" s="294"/>
      <c r="B146" s="294"/>
      <c r="C146" s="277"/>
      <c r="D146" s="277"/>
      <c r="E146" s="368"/>
      <c r="F146" s="368"/>
      <c r="G146" s="368"/>
      <c r="H146" s="364"/>
      <c r="I146" s="277"/>
      <c r="J146" s="277"/>
    </row>
    <row r="147" spans="1:256" ht="21" thickTop="1" thickBot="1" x14ac:dyDescent="0.45">
      <c r="A147" s="343"/>
      <c r="B147" s="354" t="s">
        <v>330</v>
      </c>
      <c r="C147" s="262"/>
      <c r="D147" s="262"/>
      <c r="E147" s="262"/>
      <c r="F147" s="263"/>
      <c r="G147" s="16"/>
      <c r="H147" s="16"/>
      <c r="I147" s="277"/>
      <c r="J147" s="277"/>
    </row>
    <row r="148" spans="1:256" ht="13.5" thickBot="1" x14ac:dyDescent="0.35">
      <c r="A148" s="343"/>
      <c r="B148" s="79"/>
      <c r="C148" s="230" t="s">
        <v>612</v>
      </c>
      <c r="D148" s="944" t="s">
        <v>613</v>
      </c>
      <c r="E148" s="945" t="s">
        <v>614</v>
      </c>
      <c r="F148" s="946" t="s">
        <v>615</v>
      </c>
      <c r="G148" s="294"/>
      <c r="H148" s="277"/>
      <c r="I148" s="277"/>
      <c r="J148" s="277"/>
    </row>
    <row r="149" spans="1:256" ht="14.25" customHeight="1" x14ac:dyDescent="0.3">
      <c r="A149" s="343"/>
      <c r="B149" s="32" t="s">
        <v>331</v>
      </c>
      <c r="C149" s="1310">
        <v>0</v>
      </c>
      <c r="D149" s="1310"/>
      <c r="E149" s="1310"/>
      <c r="F149" s="1311"/>
      <c r="G149" s="294"/>
      <c r="H149" s="277"/>
      <c r="I149" s="277"/>
      <c r="J149" s="277"/>
    </row>
    <row r="150" spans="1:256" ht="13.5" thickBot="1" x14ac:dyDescent="0.35">
      <c r="A150" s="343"/>
      <c r="B150" s="52" t="s">
        <v>332</v>
      </c>
      <c r="C150" s="1312">
        <v>35</v>
      </c>
      <c r="D150" s="1312"/>
      <c r="E150" s="1312"/>
      <c r="F150" s="1313"/>
      <c r="G150" s="294"/>
      <c r="H150" s="277"/>
      <c r="I150" s="277"/>
      <c r="J150" s="277"/>
    </row>
    <row r="151" spans="1:256" s="1" customFormat="1" ht="13.5" thickBot="1" x14ac:dyDescent="0.35">
      <c r="A151" s="400"/>
      <c r="B151" s="150"/>
      <c r="C151" s="114"/>
      <c r="D151" s="397"/>
      <c r="E151" s="398"/>
      <c r="F151" s="399"/>
      <c r="G151" s="294"/>
      <c r="H151" s="277"/>
      <c r="I151" s="277"/>
      <c r="J151" s="277"/>
      <c r="K151" s="277"/>
      <c r="L151" s="277"/>
      <c r="M151" s="277"/>
      <c r="N151" s="277"/>
      <c r="O151" s="277"/>
      <c r="P151" s="277"/>
      <c r="Q151" s="277"/>
      <c r="R151" s="277"/>
      <c r="S151" s="277"/>
      <c r="T151" s="277"/>
      <c r="U151" s="277"/>
      <c r="V151" s="277"/>
      <c r="W151" s="277"/>
      <c r="X151" s="277"/>
      <c r="Y151" s="277"/>
      <c r="Z151" s="277"/>
      <c r="AA151" s="277"/>
      <c r="AB151" s="277"/>
      <c r="AC151" s="277"/>
      <c r="AD151" s="277"/>
      <c r="AE151" s="277"/>
      <c r="AF151" s="277"/>
      <c r="AG151" s="277"/>
      <c r="AH151" s="277"/>
      <c r="AI151" s="277"/>
      <c r="AJ151" s="277"/>
      <c r="AK151" s="277"/>
      <c r="AL151" s="277"/>
      <c r="AM151" s="277"/>
      <c r="AN151" s="277"/>
      <c r="AO151" s="277"/>
      <c r="AP151" s="277"/>
      <c r="AQ151" s="277"/>
      <c r="AR151" s="277"/>
      <c r="AS151" s="277"/>
      <c r="AT151" s="277"/>
      <c r="AU151" s="277"/>
      <c r="AV151" s="277"/>
      <c r="AW151" s="277"/>
      <c r="AX151" s="277"/>
      <c r="AY151" s="277"/>
      <c r="AZ151" s="277"/>
      <c r="BA151" s="277"/>
      <c r="BB151" s="277"/>
      <c r="BC151" s="277"/>
      <c r="BD151" s="277"/>
      <c r="BE151" s="277"/>
      <c r="BF151" s="277"/>
      <c r="BG151" s="277"/>
      <c r="BH151" s="277"/>
      <c r="BI151" s="277"/>
      <c r="BJ151" s="277"/>
      <c r="BK151" s="277"/>
      <c r="BL151" s="277"/>
      <c r="BM151" s="277"/>
      <c r="BN151" s="277"/>
      <c r="BO151" s="277"/>
      <c r="BP151" s="277"/>
      <c r="BQ151" s="277"/>
      <c r="BR151" s="277"/>
      <c r="BS151" s="277"/>
      <c r="BT151" s="277"/>
      <c r="BU151" s="277"/>
      <c r="BV151" s="277"/>
      <c r="BW151" s="277"/>
      <c r="BX151" s="277"/>
      <c r="BY151" s="277"/>
      <c r="BZ151" s="277"/>
      <c r="CA151" s="277"/>
      <c r="CB151" s="277"/>
      <c r="CC151" s="277"/>
      <c r="CD151" s="277"/>
      <c r="CE151" s="277"/>
      <c r="CF151" s="277"/>
      <c r="CG151" s="277"/>
      <c r="CH151" s="277"/>
      <c r="CI151" s="277"/>
      <c r="CJ151" s="277"/>
      <c r="CK151" s="277"/>
      <c r="CL151" s="277"/>
      <c r="CM151" s="277"/>
      <c r="CN151" s="277"/>
      <c r="CO151" s="277"/>
      <c r="CP151" s="277"/>
      <c r="CQ151" s="277"/>
      <c r="CR151" s="277"/>
      <c r="CS151" s="277"/>
      <c r="CT151" s="277"/>
      <c r="CU151" s="277"/>
      <c r="CV151" s="277"/>
      <c r="CW151" s="277"/>
      <c r="CX151" s="277"/>
      <c r="CY151" s="277"/>
      <c r="CZ151" s="277"/>
      <c r="DA151" s="277"/>
      <c r="DB151" s="277"/>
      <c r="DC151" s="277"/>
      <c r="DD151" s="277"/>
      <c r="DE151" s="277"/>
      <c r="DF151" s="277"/>
      <c r="DG151" s="277"/>
      <c r="DH151" s="277"/>
      <c r="DI151" s="277"/>
      <c r="DJ151" s="277"/>
      <c r="DK151" s="277"/>
      <c r="DL151" s="277"/>
      <c r="DM151" s="277"/>
      <c r="DN151" s="277"/>
      <c r="DO151" s="277"/>
      <c r="DP151" s="277"/>
      <c r="DQ151" s="277"/>
      <c r="DR151" s="277"/>
      <c r="DS151" s="277"/>
      <c r="DT151" s="277"/>
      <c r="DU151" s="277"/>
      <c r="DV151" s="277"/>
      <c r="DW151" s="277"/>
      <c r="DX151" s="277"/>
      <c r="DY151" s="277"/>
      <c r="DZ151" s="277"/>
      <c r="EA151" s="277"/>
      <c r="EB151" s="277"/>
      <c r="EC151" s="277"/>
      <c r="ED151" s="277"/>
      <c r="EE151" s="277"/>
      <c r="EF151" s="277"/>
      <c r="EG151" s="277"/>
      <c r="EH151" s="277"/>
      <c r="EI151" s="277"/>
      <c r="EJ151" s="277"/>
      <c r="EK151" s="277"/>
      <c r="EL151" s="277"/>
      <c r="EM151" s="277"/>
      <c r="EN151" s="277"/>
      <c r="EO151" s="277"/>
      <c r="EP151" s="277"/>
      <c r="EQ151" s="277"/>
      <c r="ER151" s="277"/>
      <c r="ES151" s="277"/>
      <c r="ET151" s="277"/>
      <c r="EU151" s="277"/>
      <c r="EV151" s="277"/>
      <c r="EW151" s="277"/>
      <c r="EX151" s="277"/>
      <c r="EY151" s="277"/>
      <c r="EZ151" s="277"/>
      <c r="FA151" s="277"/>
      <c r="FB151" s="277"/>
      <c r="FC151" s="277"/>
      <c r="FD151" s="277"/>
      <c r="FE151" s="277"/>
      <c r="FF151" s="277"/>
      <c r="FG151" s="277"/>
      <c r="FH151" s="277"/>
      <c r="FI151" s="277"/>
      <c r="FJ151" s="277"/>
      <c r="FK151" s="277"/>
      <c r="FL151" s="277"/>
      <c r="FM151" s="277"/>
      <c r="FN151" s="277"/>
      <c r="FO151" s="277"/>
      <c r="FP151" s="277"/>
      <c r="FQ151" s="277"/>
      <c r="FR151" s="277"/>
      <c r="FS151" s="277"/>
      <c r="FT151" s="277"/>
      <c r="FU151" s="277"/>
      <c r="FV151" s="277"/>
      <c r="FW151" s="277"/>
      <c r="FX151" s="277"/>
      <c r="FY151" s="277"/>
      <c r="FZ151" s="277"/>
      <c r="GA151" s="277"/>
      <c r="GB151" s="277"/>
      <c r="GC151" s="277"/>
      <c r="GD151" s="277"/>
      <c r="GE151" s="277"/>
      <c r="GF151" s="277"/>
      <c r="GG151" s="277"/>
      <c r="GH151" s="277"/>
      <c r="GI151" s="277"/>
      <c r="GJ151" s="277"/>
      <c r="GK151" s="277"/>
      <c r="GL151" s="277"/>
      <c r="GM151" s="277"/>
      <c r="GN151" s="277"/>
      <c r="GO151" s="277"/>
      <c r="GP151" s="277"/>
      <c r="GQ151" s="277"/>
      <c r="GR151" s="277"/>
      <c r="GS151" s="277"/>
      <c r="GT151" s="277"/>
      <c r="GU151" s="277"/>
      <c r="GV151" s="277"/>
      <c r="GW151" s="277"/>
      <c r="GX151" s="277"/>
      <c r="GY151" s="277"/>
      <c r="GZ151" s="277"/>
      <c r="HA151" s="277"/>
      <c r="HB151" s="277"/>
      <c r="HC151" s="277"/>
      <c r="HD151" s="277"/>
      <c r="HE151" s="277"/>
      <c r="HF151" s="277"/>
      <c r="HG151" s="277"/>
      <c r="HH151" s="277"/>
      <c r="HI151" s="277"/>
      <c r="HJ151" s="277"/>
      <c r="HK151" s="277"/>
      <c r="HL151" s="277"/>
      <c r="HM151" s="277"/>
      <c r="HN151" s="277"/>
      <c r="HO151" s="277"/>
      <c r="HP151" s="277"/>
      <c r="HQ151" s="277"/>
      <c r="HR151" s="277"/>
      <c r="HS151" s="277"/>
      <c r="HT151" s="277"/>
      <c r="HU151" s="277"/>
      <c r="HV151" s="277"/>
      <c r="HW151" s="277"/>
      <c r="HX151" s="277"/>
      <c r="HY151" s="277"/>
      <c r="HZ151" s="114"/>
      <c r="IA151" s="114"/>
      <c r="IB151" s="114"/>
      <c r="IC151" s="114"/>
      <c r="ID151" s="114"/>
      <c r="IE151" s="114"/>
      <c r="IF151" s="114"/>
      <c r="IG151" s="114"/>
      <c r="IH151" s="114"/>
      <c r="II151" s="114"/>
      <c r="IJ151" s="114"/>
      <c r="IK151" s="114"/>
      <c r="IL151" s="114"/>
      <c r="IM151" s="114"/>
      <c r="IN151" s="114"/>
      <c r="IO151" s="114"/>
      <c r="IP151" s="114"/>
      <c r="IQ151" s="114"/>
      <c r="IR151" s="114"/>
      <c r="IS151" s="114"/>
      <c r="IT151" s="114"/>
      <c r="IU151" s="114"/>
      <c r="IV151" s="114"/>
    </row>
    <row r="152" spans="1:256" ht="13.5" customHeight="1" x14ac:dyDescent="0.3">
      <c r="A152" s="343"/>
      <c r="B152" s="32"/>
      <c r="C152" s="93" t="s">
        <v>333</v>
      </c>
      <c r="D152" s="93"/>
      <c r="E152" s="93"/>
      <c r="F152" s="94"/>
      <c r="G152" s="294"/>
      <c r="H152" s="277"/>
      <c r="I152" s="277"/>
      <c r="J152" s="277"/>
      <c r="K152" s="2"/>
      <c r="L152" s="2"/>
    </row>
    <row r="153" spans="1:256" ht="13" x14ac:dyDescent="0.3">
      <c r="A153" s="343"/>
      <c r="B153" s="39" t="s">
        <v>10</v>
      </c>
      <c r="C153" s="220" t="s">
        <v>11</v>
      </c>
      <c r="D153" s="220" t="s">
        <v>12</v>
      </c>
      <c r="E153" s="220" t="s">
        <v>68</v>
      </c>
      <c r="F153" s="221" t="s">
        <v>334</v>
      </c>
      <c r="G153" s="294"/>
      <c r="H153" s="277"/>
      <c r="I153" s="277"/>
      <c r="J153" s="277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</row>
    <row r="154" spans="1:256" ht="13.5" thickBot="1" x14ac:dyDescent="0.35">
      <c r="A154" s="343"/>
      <c r="B154" s="1418">
        <f>F123</f>
        <v>0</v>
      </c>
      <c r="C154" s="1336">
        <f>G123</f>
        <v>0</v>
      </c>
      <c r="D154" s="1336">
        <f>H123</f>
        <v>0</v>
      </c>
      <c r="E154" s="1336">
        <v>0.42</v>
      </c>
      <c r="F154" s="1419">
        <f>L123</f>
        <v>0.75</v>
      </c>
      <c r="G154" s="16"/>
      <c r="H154" s="2"/>
      <c r="I154" s="2"/>
      <c r="J154" s="2"/>
    </row>
    <row r="155" spans="1:256" ht="13.5" thickBot="1" x14ac:dyDescent="0.35">
      <c r="A155" s="343"/>
      <c r="B155" s="401"/>
      <c r="D155" s="402"/>
      <c r="E155" s="403"/>
      <c r="F155" s="404"/>
      <c r="G155" s="364"/>
      <c r="H155" s="294"/>
      <c r="I155" s="277"/>
      <c r="J155" s="277"/>
    </row>
    <row r="156" spans="1:256" ht="13" x14ac:dyDescent="0.3">
      <c r="B156" s="32" t="s">
        <v>327</v>
      </c>
      <c r="C156" s="1524">
        <f>MIN(SUMPRODUCT(C149:F149,C150:F150)/'Primary Sources'!D53*5280/43560,1)</f>
        <v>0</v>
      </c>
      <c r="D156" s="405"/>
      <c r="E156" s="391"/>
      <c r="F156" s="406"/>
      <c r="G156" s="1525" t="s">
        <v>680</v>
      </c>
      <c r="H156" s="294"/>
      <c r="I156" s="277"/>
      <c r="J156" s="277"/>
    </row>
    <row r="157" spans="1:256" ht="13.5" thickBot="1" x14ac:dyDescent="0.35">
      <c r="B157" s="97" t="s">
        <v>335</v>
      </c>
      <c r="C157" s="1312">
        <v>0.4</v>
      </c>
      <c r="D157" s="122"/>
      <c r="E157" s="407"/>
      <c r="F157" s="408"/>
      <c r="G157" s="16"/>
      <c r="H157" s="364"/>
      <c r="I157" s="277"/>
      <c r="J157" s="277"/>
    </row>
    <row r="158" spans="1:256" ht="16.5" customHeight="1" thickTop="1" thickBot="1" x14ac:dyDescent="0.45">
      <c r="B158" s="16"/>
      <c r="C158" s="369"/>
      <c r="D158" s="369"/>
      <c r="E158" s="409"/>
      <c r="F158" s="16"/>
      <c r="G158" s="16"/>
      <c r="H158" s="16"/>
      <c r="I158" s="16"/>
      <c r="J158" s="277"/>
    </row>
    <row r="159" spans="1:256" ht="21" thickTop="1" thickBot="1" x14ac:dyDescent="0.45">
      <c r="B159" s="98" t="s">
        <v>336</v>
      </c>
      <c r="C159" s="369"/>
      <c r="D159" s="369"/>
      <c r="E159" s="410"/>
      <c r="F159" s="15"/>
      <c r="G159" s="277"/>
      <c r="H159" s="277"/>
      <c r="I159" s="277"/>
      <c r="J159" s="277"/>
    </row>
    <row r="160" spans="1:256" s="277" customFormat="1" ht="13" x14ac:dyDescent="0.3">
      <c r="B160" s="250"/>
      <c r="C160" s="102" t="s">
        <v>337</v>
      </c>
      <c r="D160" s="101" t="s">
        <v>333</v>
      </c>
      <c r="E160" s="103"/>
      <c r="F160" s="15"/>
      <c r="HZ160" s="114"/>
      <c r="IA160" s="114"/>
      <c r="IB160" s="114"/>
      <c r="IC160" s="114"/>
      <c r="ID160" s="114"/>
      <c r="IE160" s="114"/>
      <c r="IF160" s="114"/>
      <c r="IG160" s="114"/>
      <c r="IH160" s="114"/>
      <c r="II160" s="114"/>
      <c r="IJ160" s="114"/>
      <c r="IK160" s="114"/>
      <c r="IL160" s="114"/>
      <c r="IM160" s="114"/>
      <c r="IN160" s="114"/>
      <c r="IO160" s="114"/>
      <c r="IP160" s="114"/>
      <c r="IQ160" s="114"/>
      <c r="IR160" s="114"/>
      <c r="IS160" s="114"/>
      <c r="IT160" s="114"/>
      <c r="IU160" s="114"/>
      <c r="IV160" s="114"/>
    </row>
    <row r="161" spans="2:256" ht="13.5" thickBot="1" x14ac:dyDescent="0.35">
      <c r="B161" s="86"/>
      <c r="C161" s="87" t="s">
        <v>338</v>
      </c>
      <c r="D161" s="411" t="s">
        <v>307</v>
      </c>
      <c r="E161" s="412" t="s">
        <v>12</v>
      </c>
      <c r="F161" s="15"/>
      <c r="G161" s="277"/>
      <c r="H161" s="277"/>
      <c r="I161" s="277"/>
      <c r="J161" s="277"/>
    </row>
    <row r="162" spans="2:256" ht="13" x14ac:dyDescent="0.3">
      <c r="B162" s="32" t="s">
        <v>339</v>
      </c>
      <c r="C162" s="1314"/>
      <c r="D162" s="1421">
        <v>0.15</v>
      </c>
      <c r="E162" s="1422">
        <v>0.25</v>
      </c>
      <c r="F162" s="15"/>
      <c r="G162" s="277"/>
      <c r="H162" s="277"/>
      <c r="I162" s="277"/>
      <c r="J162" s="277"/>
      <c r="HZ162" s="277"/>
      <c r="IA162" s="277"/>
      <c r="IB162" s="277"/>
      <c r="IC162" s="277"/>
      <c r="ID162" s="277"/>
      <c r="IE162" s="277"/>
      <c r="IF162" s="277"/>
      <c r="IG162" s="277"/>
      <c r="IH162" s="277"/>
      <c r="II162" s="277"/>
      <c r="IJ162" s="277"/>
      <c r="IK162" s="277"/>
      <c r="IL162" s="277"/>
      <c r="IM162" s="277"/>
      <c r="IN162" s="277"/>
      <c r="IO162" s="277"/>
      <c r="IP162" s="277"/>
      <c r="IQ162" s="277"/>
      <c r="IR162" s="277"/>
      <c r="IS162" s="277"/>
      <c r="IT162" s="277"/>
      <c r="IU162" s="277"/>
      <c r="IV162" s="277"/>
    </row>
    <row r="163" spans="2:256" s="277" customFormat="1" ht="13" x14ac:dyDescent="0.3">
      <c r="B163" s="39" t="s">
        <v>340</v>
      </c>
      <c r="C163" s="1209"/>
      <c r="D163" s="1413">
        <v>0.08</v>
      </c>
      <c r="E163" s="1412">
        <v>0.13</v>
      </c>
      <c r="F163" s="364"/>
      <c r="HZ163" s="114"/>
      <c r="IA163" s="114"/>
      <c r="IB163" s="114"/>
      <c r="IC163" s="114"/>
      <c r="ID163" s="114"/>
      <c r="IE163" s="114"/>
      <c r="IF163" s="114"/>
      <c r="IG163" s="114"/>
      <c r="IH163" s="114"/>
      <c r="II163" s="114"/>
      <c r="IJ163" s="114"/>
      <c r="IK163" s="114"/>
      <c r="IL163" s="114"/>
      <c r="IM163" s="114"/>
      <c r="IN163" s="114"/>
      <c r="IO163" s="114"/>
      <c r="IP163" s="114"/>
      <c r="IQ163" s="114"/>
      <c r="IR163" s="114"/>
      <c r="IS163" s="114"/>
      <c r="IT163" s="114"/>
      <c r="IU163" s="114"/>
      <c r="IV163" s="114"/>
    </row>
    <row r="164" spans="2:256" s="277" customFormat="1" ht="13.5" thickBot="1" x14ac:dyDescent="0.35">
      <c r="B164" s="413"/>
      <c r="C164" s="414"/>
      <c r="D164" s="415"/>
      <c r="E164" s="416"/>
      <c r="F164" s="364"/>
      <c r="HZ164" s="114"/>
      <c r="IA164" s="114"/>
      <c r="IB164" s="114"/>
      <c r="IC164" s="114"/>
      <c r="ID164" s="114"/>
      <c r="IE164" s="114"/>
      <c r="IF164" s="114"/>
      <c r="IG164" s="114"/>
      <c r="IH164" s="114"/>
      <c r="II164" s="114"/>
      <c r="IJ164" s="114"/>
      <c r="IK164" s="114"/>
      <c r="IL164" s="114"/>
      <c r="IM164" s="114"/>
      <c r="IN164" s="114"/>
      <c r="IO164" s="114"/>
      <c r="IP164" s="114"/>
      <c r="IQ164" s="114"/>
      <c r="IR164" s="114"/>
      <c r="IS164" s="114"/>
      <c r="IT164" s="114"/>
      <c r="IU164" s="114"/>
      <c r="IV164" s="114"/>
    </row>
    <row r="165" spans="2:256" ht="13.5" thickBot="1" x14ac:dyDescent="0.35">
      <c r="B165" s="379" t="s">
        <v>341</v>
      </c>
      <c r="C165" s="1312"/>
      <c r="D165" s="417"/>
      <c r="E165" s="418"/>
      <c r="F165" s="364"/>
      <c r="G165" s="16"/>
      <c r="H165" s="364"/>
      <c r="I165" s="277"/>
      <c r="J165" s="277"/>
      <c r="HZ165" s="277"/>
      <c r="IA165" s="277"/>
      <c r="IB165" s="277"/>
      <c r="IC165" s="277"/>
      <c r="ID165" s="277"/>
      <c r="IE165" s="277"/>
      <c r="IF165" s="277"/>
      <c r="IG165" s="277"/>
      <c r="IH165" s="277"/>
      <c r="II165" s="277"/>
      <c r="IJ165" s="277"/>
      <c r="IK165" s="277"/>
      <c r="IL165" s="277"/>
      <c r="IM165" s="277"/>
      <c r="IN165" s="277"/>
      <c r="IO165" s="277"/>
      <c r="IP165" s="277"/>
      <c r="IQ165" s="277"/>
      <c r="IR165" s="277"/>
      <c r="IS165" s="277"/>
      <c r="IT165" s="277"/>
      <c r="IU165" s="277"/>
      <c r="IV165" s="277"/>
    </row>
    <row r="166" spans="2:256" ht="14" thickTop="1" thickBot="1" x14ac:dyDescent="0.35">
      <c r="B166" s="16"/>
      <c r="C166" s="740"/>
      <c r="D166" s="16"/>
      <c r="E166" s="16"/>
      <c r="F166" s="16"/>
      <c r="G166" s="277"/>
      <c r="H166" s="277"/>
      <c r="I166" s="277"/>
      <c r="J166" s="277"/>
      <c r="HZ166" s="277"/>
      <c r="IA166" s="277"/>
      <c r="IB166" s="277"/>
      <c r="IC166" s="277"/>
      <c r="ID166" s="277"/>
      <c r="IE166" s="277"/>
      <c r="IF166" s="277"/>
      <c r="IG166" s="277"/>
      <c r="IH166" s="277"/>
      <c r="II166" s="277"/>
      <c r="IJ166" s="277"/>
      <c r="IK166" s="277"/>
      <c r="IL166" s="277"/>
      <c r="IM166" s="277"/>
      <c r="IN166" s="277"/>
      <c r="IO166" s="277"/>
      <c r="IP166" s="277"/>
      <c r="IQ166" s="277"/>
      <c r="IR166" s="277"/>
      <c r="IS166" s="277"/>
      <c r="IT166" s="277"/>
      <c r="IU166" s="277"/>
      <c r="IV166" s="277"/>
    </row>
    <row r="167" spans="2:256" ht="21" thickTop="1" thickBot="1" x14ac:dyDescent="0.45">
      <c r="B167" s="98" t="s">
        <v>342</v>
      </c>
      <c r="C167" s="410"/>
      <c r="D167" s="277"/>
      <c r="E167" s="277"/>
      <c r="F167" s="277"/>
      <c r="G167" s="277"/>
      <c r="H167" s="277"/>
      <c r="I167" s="277"/>
      <c r="J167" s="277"/>
    </row>
    <row r="168" spans="2:256" ht="13" x14ac:dyDescent="0.3">
      <c r="B168" s="32"/>
      <c r="C168" s="94"/>
      <c r="D168" s="277"/>
      <c r="E168" s="277"/>
      <c r="F168" s="277"/>
      <c r="G168" s="277"/>
      <c r="H168" s="277"/>
      <c r="I168" s="277"/>
      <c r="J168" s="277"/>
    </row>
    <row r="169" spans="2:256" s="277" customFormat="1" ht="13" x14ac:dyDescent="0.3">
      <c r="B169" s="39" t="s">
        <v>343</v>
      </c>
      <c r="C169" s="1315"/>
      <c r="HZ169" s="114"/>
      <c r="IA169" s="114"/>
      <c r="IB169" s="114"/>
      <c r="IC169" s="114"/>
      <c r="ID169" s="114"/>
      <c r="IE169" s="114"/>
      <c r="IF169" s="114"/>
      <c r="IG169" s="114"/>
      <c r="IH169" s="114"/>
      <c r="II169" s="114"/>
      <c r="IJ169" s="114"/>
      <c r="IK169" s="114"/>
      <c r="IL169" s="114"/>
      <c r="IM169" s="114"/>
      <c r="IN169" s="114"/>
      <c r="IO169" s="114"/>
      <c r="IP169" s="114"/>
      <c r="IQ169" s="114"/>
      <c r="IR169" s="114"/>
      <c r="IS169" s="114"/>
      <c r="IT169" s="114"/>
      <c r="IU169" s="114"/>
      <c r="IV169" s="114"/>
    </row>
    <row r="170" spans="2:256" s="277" customFormat="1" ht="13" x14ac:dyDescent="0.3">
      <c r="B170" s="39" t="s">
        <v>344</v>
      </c>
      <c r="C170" s="1423">
        <f>'Secondary Sources'!C110</f>
        <v>0</v>
      </c>
      <c r="HZ170" s="114"/>
      <c r="IA170" s="114"/>
      <c r="IB170" s="114"/>
      <c r="IC170" s="114"/>
      <c r="ID170" s="114"/>
      <c r="IE170" s="114"/>
      <c r="IF170" s="114"/>
      <c r="IG170" s="114"/>
      <c r="IH170" s="114"/>
      <c r="II170" s="114"/>
      <c r="IJ170" s="114"/>
      <c r="IK170" s="114"/>
      <c r="IL170" s="114"/>
      <c r="IM170" s="114"/>
      <c r="IN170" s="114"/>
      <c r="IO170" s="114"/>
      <c r="IP170" s="114"/>
      <c r="IQ170" s="114"/>
      <c r="IR170" s="114"/>
      <c r="IS170" s="114"/>
      <c r="IT170" s="114"/>
      <c r="IU170" s="114"/>
      <c r="IV170" s="114"/>
    </row>
    <row r="171" spans="2:256" s="277" customFormat="1" ht="13" x14ac:dyDescent="0.3">
      <c r="B171" s="39" t="s">
        <v>345</v>
      </c>
      <c r="C171" s="1423">
        <v>160</v>
      </c>
      <c r="HZ171" s="114"/>
      <c r="IA171" s="114"/>
      <c r="IB171" s="114"/>
      <c r="IC171" s="114"/>
      <c r="ID171" s="114"/>
      <c r="IE171" s="114"/>
      <c r="IF171" s="114"/>
      <c r="IG171" s="114"/>
      <c r="IH171" s="114"/>
      <c r="II171" s="114"/>
      <c r="IJ171" s="114"/>
      <c r="IK171" s="114"/>
      <c r="IL171" s="114"/>
      <c r="IM171" s="114"/>
      <c r="IN171" s="114"/>
      <c r="IO171" s="114"/>
      <c r="IP171" s="114"/>
      <c r="IQ171" s="114"/>
      <c r="IR171" s="114"/>
      <c r="IS171" s="114"/>
      <c r="IT171" s="114"/>
      <c r="IU171" s="114"/>
      <c r="IV171" s="114"/>
    </row>
    <row r="172" spans="2:256" ht="21" customHeight="1" thickBot="1" x14ac:dyDescent="0.35">
      <c r="B172" s="97" t="s">
        <v>346</v>
      </c>
      <c r="C172" s="1380">
        <v>0.9</v>
      </c>
      <c r="D172" s="277"/>
      <c r="E172" s="983"/>
      <c r="F172" s="277"/>
      <c r="G172" s="277"/>
      <c r="H172" s="277"/>
      <c r="I172" s="277"/>
      <c r="J172" s="277"/>
      <c r="HZ172" s="277"/>
      <c r="IA172" s="277"/>
      <c r="IB172" s="277"/>
      <c r="IC172" s="277"/>
      <c r="ID172" s="277"/>
      <c r="IE172" s="277"/>
      <c r="IF172" s="277"/>
      <c r="IG172" s="277"/>
      <c r="IH172" s="277"/>
      <c r="II172" s="277"/>
      <c r="IJ172" s="277"/>
      <c r="IK172" s="277"/>
      <c r="IL172" s="277"/>
      <c r="IM172" s="277"/>
      <c r="IN172" s="277"/>
      <c r="IO172" s="277"/>
      <c r="IP172" s="277"/>
      <c r="IQ172" s="277"/>
      <c r="IR172" s="277"/>
      <c r="IS172" s="277"/>
      <c r="IT172" s="277"/>
      <c r="IU172" s="277"/>
      <c r="IV172" s="277"/>
    </row>
    <row r="173" spans="2:256" ht="15.75" customHeight="1" thickTop="1" thickBot="1" x14ac:dyDescent="0.35">
      <c r="B173" s="16"/>
      <c r="C173" s="16"/>
      <c r="D173" s="277"/>
      <c r="E173" s="277"/>
      <c r="F173" s="277"/>
      <c r="G173" s="277"/>
      <c r="H173" s="277"/>
      <c r="I173" s="277"/>
      <c r="J173" s="277"/>
      <c r="HZ173" s="277"/>
      <c r="IA173" s="277"/>
      <c r="IB173" s="277"/>
      <c r="IC173" s="277"/>
      <c r="ID173" s="277"/>
      <c r="IE173" s="277"/>
      <c r="IF173" s="277"/>
      <c r="IG173" s="277"/>
      <c r="IH173" s="277"/>
      <c r="II173" s="277"/>
      <c r="IJ173" s="277"/>
      <c r="IK173" s="277"/>
      <c r="IL173" s="277"/>
      <c r="IM173" s="277"/>
      <c r="IN173" s="277"/>
      <c r="IO173" s="277"/>
      <c r="IP173" s="277"/>
      <c r="IQ173" s="277"/>
      <c r="IR173" s="277"/>
      <c r="IS173" s="277"/>
      <c r="IT173" s="277"/>
      <c r="IU173" s="277"/>
      <c r="IV173" s="277"/>
    </row>
    <row r="174" spans="2:256" ht="21" thickTop="1" thickBot="1" x14ac:dyDescent="0.45">
      <c r="B174" s="419" t="s">
        <v>347</v>
      </c>
      <c r="C174" s="420"/>
      <c r="D174" s="420"/>
      <c r="E174" s="420"/>
      <c r="F174" s="421"/>
      <c r="G174" s="422" t="s">
        <v>348</v>
      </c>
      <c r="H174" s="294"/>
      <c r="I174" s="277"/>
      <c r="J174" s="277"/>
    </row>
    <row r="175" spans="2:256" ht="13" x14ac:dyDescent="0.3">
      <c r="B175" s="423"/>
      <c r="C175" s="424" t="s">
        <v>349</v>
      </c>
      <c r="D175" s="424" t="s">
        <v>350</v>
      </c>
      <c r="E175" s="424" t="s">
        <v>351</v>
      </c>
      <c r="F175" s="425" t="s">
        <v>352</v>
      </c>
      <c r="G175" s="426" t="s">
        <v>27</v>
      </c>
      <c r="H175" s="294"/>
      <c r="I175" s="277"/>
      <c r="J175" s="277"/>
    </row>
    <row r="176" spans="2:256" ht="13" x14ac:dyDescent="0.3">
      <c r="B176" s="423" t="s">
        <v>626</v>
      </c>
      <c r="C176" s="428">
        <f>-C34+C37-C55+C58</f>
        <v>-43603.066293948512</v>
      </c>
      <c r="D176" s="428">
        <f>-D34+D37-D55+D58</f>
        <v>-27783.658651634269</v>
      </c>
      <c r="E176" s="424"/>
      <c r="F176" s="425"/>
      <c r="G176" s="978">
        <f>(-C32+'Primary Sources'!E74)*'Primary Sources'!C62/12*'Primary Sources'!F53</f>
        <v>0</v>
      </c>
      <c r="H176" s="294"/>
      <c r="I176" s="277"/>
      <c r="J176" s="277"/>
    </row>
    <row r="177" spans="2:10" ht="13" x14ac:dyDescent="0.3">
      <c r="B177" s="427" t="s">
        <v>278</v>
      </c>
      <c r="C177" s="979">
        <f>IF($C82=$B$196,$C85*C86*$C87*(1-C88)*C89*C90*E86*E87*(E88),0)*365</f>
        <v>0</v>
      </c>
      <c r="D177" s="979">
        <f>IF($C82=$B$196,$C85*C86*$C87*(1-C88)*C89*C90*E86*E89*(E90),0)*365</f>
        <v>0</v>
      </c>
      <c r="E177" s="428">
        <v>0</v>
      </c>
      <c r="F177" s="428">
        <f>IF($C82=$B$196,$C85*C86*$C87*(1-C88)*C89*C90*E86*E91*(E92),0)*365</f>
        <v>0</v>
      </c>
      <c r="G177" s="429"/>
      <c r="H177" s="294"/>
      <c r="I177" s="277"/>
      <c r="J177" s="277"/>
    </row>
    <row r="178" spans="2:10" ht="13" x14ac:dyDescent="0.3">
      <c r="B178" s="427" t="s">
        <v>295</v>
      </c>
      <c r="C178" s="428">
        <f>'Primary Sources'!P52*$C$97*$C99*$C100</f>
        <v>305.259097333113</v>
      </c>
      <c r="D178" s="428">
        <f>'Primary Sources'!Q52*$C$97*$C99*$C100</f>
        <v>61.051819466622597</v>
      </c>
      <c r="E178" s="428">
        <f>'Primary Sources'!R52*$C$97*$C99*$C100</f>
        <v>207576.18618651686</v>
      </c>
      <c r="F178" s="428">
        <f>'Primary Sources'!S52*$C$97*$C99*$C100</f>
        <v>0</v>
      </c>
      <c r="G178" s="429"/>
      <c r="H178" s="294"/>
      <c r="I178" s="277"/>
      <c r="J178" s="277"/>
    </row>
    <row r="179" spans="2:10" ht="13" x14ac:dyDescent="0.3">
      <c r="B179" s="427" t="s">
        <v>299</v>
      </c>
      <c r="C179" s="428">
        <f>(SUMPRODUCT($C105:$C107,$F105:$F107)*VLOOKUP($C108,$B112:$C113,2,FALSE)*SUMPRODUCT('Primary Sources'!$D11:$D20,'Primary Sources'!G11:G20)/MAX(SUM('Primary Sources'!$D11:$D20),1)+SUMPRODUCT($D105:$D107,$H105:$H107)*VLOOKUP($D108,$B112:$C113,2,FALSE)*SUMPRODUCT('Primary Sources'!$D21:$D35,'Primary Sources'!G21:G35)/MAX(SUM('Primary Sources'!$D21:$D35),1)+SUMPRODUCT($E105:$E107,$H105:$H107)*VLOOKUP($E108,$B112:$C113,2,FALSE)*(SUMPRODUCT('Primary Sources'!$D21:$D25,'Primary Sources'!G21:G25)+SUMPRODUCT('Primary Sources'!$D31:$D35,'Primary Sources'!G31:G35))/MAX(SUM('Primary Sources'!$D31:$D35)+SUM('Primary Sources'!$D21:$D25),1))*0.226*0.95*'Primary Sources'!$C$62*0.9*$C110</f>
        <v>0</v>
      </c>
      <c r="D179" s="428">
        <f>(SUMPRODUCT($C105:$C107,F105:F107)*VLOOKUP($C108,$B112:$C113,2,FALSE)*SUMPRODUCT('Primary Sources'!$D11:$D20,'Primary Sources'!H11:H20)/MAX(SUM('Primary Sources'!$D11:$D20),1)+SUMPRODUCT($D105:$D107,H105:H107)*VLOOKUP($D108,$B112:$C113,2,FALSE)*SUMPRODUCT('Primary Sources'!$D21:$D35,'Primary Sources'!H21:H35)/MAX(SUM('Primary Sources'!$D21:$D35),1)+SUMPRODUCT($E105:$E107,H105:H107)*VLOOKUP($E108,$B112:$C113,2,FALSE)*(SUMPRODUCT('Primary Sources'!$D21:$D25,'Primary Sources'!H21:H25)+SUMPRODUCT('Primary Sources'!$D31:$D35,'Primary Sources'!H31:H35))/MAX(SUM('Primary Sources'!$D31:$D35)+SUM('Primary Sources'!$D21:$D25),1))*0.226*0.95*'Primary Sources'!$C$62*0.9*$C110</f>
        <v>0</v>
      </c>
      <c r="E179" s="428">
        <f>(SUMPRODUCT($C105:$C107,G105:G107)*VLOOKUP($C108,$B112:$C113,2,FALSE)*SUMPRODUCT('Primary Sources'!$D11:$D20,'Primary Sources'!I11:I20)/MAX(SUM('Primary Sources'!$D11:$D20),1)+SUMPRODUCT($D105:$D107,I105:I107)*VLOOKUP($D108,$B112:$C113,2,FALSE)*SUMPRODUCT('Primary Sources'!$D21:$D35,'Primary Sources'!I21:I35)/MAX(SUM('Primary Sources'!$D21:$D35),1)+SUMPRODUCT($E105:$E107,I105:I107)*VLOOKUP($E108,$B112:$C113,2,FALSE)*(SUMPRODUCT('Primary Sources'!$D21:$D25,'Primary Sources'!I21:I25)+SUMPRODUCT('Primary Sources'!$D31:$D35,'Primary Sources'!I31:I35))/MAX(SUM('Primary Sources'!$D31:$D35)+SUM('Primary Sources'!$D21:$D25),1))*0.226*0.95*'Primary Sources'!$C$62*0.9*$C110</f>
        <v>0</v>
      </c>
      <c r="F179" s="428">
        <v>0</v>
      </c>
      <c r="G179" s="429"/>
      <c r="H179" s="294"/>
      <c r="I179" s="277"/>
      <c r="J179" s="277"/>
    </row>
    <row r="180" spans="2:10" ht="13" x14ac:dyDescent="0.3">
      <c r="B180" s="427" t="s">
        <v>353</v>
      </c>
      <c r="C180" s="428">
        <v>0</v>
      </c>
      <c r="D180" s="428">
        <v>0</v>
      </c>
      <c r="E180" s="428">
        <f>'Secondary Sources'!E140*SUM(C105:E108)/MAX(C109+D109+E109,0.1)*C110</f>
        <v>0</v>
      </c>
      <c r="F180" s="428">
        <v>0</v>
      </c>
      <c r="G180" s="429"/>
      <c r="H180" s="294"/>
      <c r="I180" s="277"/>
      <c r="J180" s="277"/>
    </row>
    <row r="181" spans="2:10" ht="13" x14ac:dyDescent="0.3">
      <c r="B181" s="427" t="s">
        <v>681</v>
      </c>
      <c r="C181" s="982">
        <f>(F$141*(1-$L141)+$L141)*$B145*$C145*$D145*$E145*(SUM('Primary Sources'!P11:P35)-C176-'Existing Management Practices'!C177-'Existing Management Practices'!C179-'Existing Management Practices'!C180-'Existing Management Practices'!C183)</f>
        <v>11933.670885941179</v>
      </c>
      <c r="D181" s="982">
        <f>(G$141*(1-$L141)+$L141)*$B145*$C145*$D145*$E145*(SUM('Primary Sources'!Q11:Q35)-D176-'Existing Management Practices'!D177-'Existing Management Practices'!D179-'Existing Management Practices'!D180-'Existing Management Practices'!D183)</f>
        <v>4434.6364798666937</v>
      </c>
      <c r="E181" s="890">
        <f>(H$141*(1-$L141)+$L141)*$B145*$C145*$D145*$E145*(SUM('Primary Sources'!R11:R35)-E176-'Existing Management Practices'!E177-'Existing Management Practices'!E179-'Existing Management Practices'!E180-'Existing Management Practices'!E183)</f>
        <v>486030.32557354972</v>
      </c>
      <c r="F181" s="890">
        <f>(I$141*(1-$L141)+$L141)*$B145*$C145*$D145*$E145*(SUM('Primary Sources'!S11:S35)-F176-'Existing Management Practices'!F177-'Existing Management Practices'!F179-'Existing Management Practices'!F180-'Existing Management Practices'!F183)</f>
        <v>193280.37861278147</v>
      </c>
      <c r="G181" s="980">
        <f>L141*SUM('Primary Sources'!U11:U35)*B145*C145*D145*E145</f>
        <v>512.75219197276544</v>
      </c>
      <c r="H181" s="294"/>
      <c r="I181" s="277"/>
      <c r="J181" s="277"/>
    </row>
    <row r="182" spans="2:10" ht="13" x14ac:dyDescent="0.3">
      <c r="B182" s="427" t="s">
        <v>330</v>
      </c>
      <c r="C182" s="428">
        <f>(B154*(1-$F154)+$F154)*$C156*$C157*(SUM('Primary Sources'!P11:P35)-C176-'Existing Management Practices'!C177-'Existing Management Practices'!C179-'Existing Management Practices'!C180)</f>
        <v>0</v>
      </c>
      <c r="D182" s="428">
        <f>(C154*(1-$F154)+$F154)*$C156*$C157*(SUM('Primary Sources'!Q11:Q35)-D176-'Existing Management Practices'!D177-'Existing Management Practices'!D179-'Existing Management Practices'!D180)</f>
        <v>0</v>
      </c>
      <c r="E182" s="428">
        <f>(D154*(1-$F154)+$F154)*$C156*$C157*(SUM('Primary Sources'!R11:R35)-'Existing Management Practices'!E177-'Existing Management Practices'!E179-'Existing Management Practices'!E180)</f>
        <v>0</v>
      </c>
      <c r="F182" s="428">
        <f>(E154*(1-$F154)+$F154)*$C156*$C157*(SUM('Primary Sources'!S11:S35)-'Existing Management Practices'!F177-'Existing Management Practices'!F179-'Existing Management Practices'!F180)</f>
        <v>0</v>
      </c>
      <c r="G182" s="981">
        <f>F154*(SUM('Primary Sources'!U11:U35)-G176)*C156*C157</f>
        <v>0</v>
      </c>
      <c r="H182" s="294"/>
      <c r="I182" s="277"/>
      <c r="J182" s="277"/>
    </row>
    <row r="183" spans="2:10" ht="13" x14ac:dyDescent="0.3">
      <c r="B183" s="427" t="s">
        <v>336</v>
      </c>
      <c r="C183" s="428">
        <f>($D162*$C162+$D$163*$C$163)*'Primary Sources'!$C62*0.9*0.226*0.95*'Primary Sources'!G26*$C165</f>
        <v>0</v>
      </c>
      <c r="D183" s="428">
        <f>($D162*$C162+$D$163*$C$163)*'Primary Sources'!$C62*0.9*0.226*0.95*'Primary Sources'!H26*C165</f>
        <v>0</v>
      </c>
      <c r="E183" s="428">
        <f>(E162*$C162+E$163*$C$163)*'Primary Sources'!$C62*0.9*0.226*0.95*'Primary Sources'!I26*C165</f>
        <v>0</v>
      </c>
      <c r="F183" s="428"/>
      <c r="G183" s="429"/>
      <c r="H183" s="294"/>
      <c r="I183" s="277"/>
      <c r="J183" s="277"/>
    </row>
    <row r="184" spans="2:10" ht="13.5" thickBot="1" x14ac:dyDescent="0.35">
      <c r="B184" s="431" t="s">
        <v>342</v>
      </c>
      <c r="C184" s="432">
        <f>IF($C169&gt;0,'Secondary Sources'!C139,0)*MIN($C169*$C171*$C172/MAX($C170,0.0001),1)</f>
        <v>0</v>
      </c>
      <c r="D184" s="432">
        <f>IF($C169&gt;0,'Secondary Sources'!D139,0)*MIN($C169*$C171*$C172/MAX($C170,0.0001),1)</f>
        <v>0</v>
      </c>
      <c r="E184" s="432">
        <f>IF($C169&gt;0,'Secondary Sources'!E139,0)*MIN($C169*$C171*$C172/MAX($C170,0.0001),1)</f>
        <v>0</v>
      </c>
      <c r="F184" s="433">
        <f>IF($C169&gt;0,'Secondary Sources'!F139,0)*MIN($C169*$C171*$C172/MAX($C170,0.0001),1)</f>
        <v>0</v>
      </c>
      <c r="G184" s="434"/>
      <c r="H184" s="294"/>
      <c r="I184" s="277"/>
      <c r="J184" s="277"/>
    </row>
    <row r="185" spans="2:10" ht="13.5" thickBot="1" x14ac:dyDescent="0.35">
      <c r="B185" s="435" t="s">
        <v>356</v>
      </c>
      <c r="C185" s="436">
        <f>SUM(C176:C184)</f>
        <v>-31364.136310674221</v>
      </c>
      <c r="D185" s="436">
        <f>SUM(D176:D184)</f>
        <v>-23287.970352300952</v>
      </c>
      <c r="E185" s="436">
        <f>SUM(E177:E184)</f>
        <v>693606.51176006661</v>
      </c>
      <c r="F185" s="437">
        <f>SUM(F177:F184)</f>
        <v>193280.37861278147</v>
      </c>
      <c r="G185" s="755">
        <f>SUM(G176:G184)</f>
        <v>512.75219197276544</v>
      </c>
      <c r="H185" s="294"/>
      <c r="I185" s="277"/>
      <c r="J185" s="277"/>
    </row>
    <row r="186" spans="2:10" s="277" customFormat="1" ht="16" thickTop="1" x14ac:dyDescent="0.35">
      <c r="B186" s="1852" t="s">
        <v>521</v>
      </c>
      <c r="C186" s="1853"/>
      <c r="D186" s="1853"/>
      <c r="E186" s="1853"/>
      <c r="F186" s="1853"/>
      <c r="G186" s="756"/>
      <c r="H186" s="294"/>
    </row>
    <row r="187" spans="2:10" ht="13" x14ac:dyDescent="0.3">
      <c r="B187" s="427" t="s">
        <v>235</v>
      </c>
      <c r="C187" s="428">
        <f>C185-C188</f>
        <v>-31364.136310674221</v>
      </c>
      <c r="D187" s="428">
        <f>D185-D188</f>
        <v>-23287.970352300952</v>
      </c>
      <c r="E187" s="428">
        <f>E185-E188</f>
        <v>693606.51176006661</v>
      </c>
      <c r="F187" s="438">
        <f>F185-F188</f>
        <v>193280.37861278147</v>
      </c>
      <c r="G187" s="430">
        <f>G185-G188-G193</f>
        <v>512.75219197276544</v>
      </c>
      <c r="H187" s="294"/>
      <c r="I187" s="277"/>
      <c r="J187" s="277"/>
    </row>
    <row r="188" spans="2:10" ht="13" x14ac:dyDescent="0.3">
      <c r="B188" s="427" t="s">
        <v>522</v>
      </c>
      <c r="C188" s="428">
        <f>C184</f>
        <v>0</v>
      </c>
      <c r="D188" s="428">
        <f>D184</f>
        <v>0</v>
      </c>
      <c r="E188" s="428">
        <f>E184</f>
        <v>0</v>
      </c>
      <c r="F188" s="438">
        <f>F184</f>
        <v>0</v>
      </c>
      <c r="G188" s="430">
        <f>G184</f>
        <v>0</v>
      </c>
      <c r="H188" s="294"/>
      <c r="I188" s="277"/>
      <c r="J188" s="277"/>
    </row>
    <row r="189" spans="2:10" ht="15.5" x14ac:dyDescent="0.35">
      <c r="B189" s="1849" t="s">
        <v>534</v>
      </c>
      <c r="C189" s="1850"/>
      <c r="D189" s="1850"/>
      <c r="E189" s="1850"/>
      <c r="F189" s="1850"/>
      <c r="G189" s="1851"/>
      <c r="H189" s="294"/>
      <c r="I189" s="277"/>
      <c r="J189" s="277"/>
    </row>
    <row r="190" spans="2:10" ht="13" x14ac:dyDescent="0.3">
      <c r="B190" s="423" t="s">
        <v>630</v>
      </c>
      <c r="C190" s="1188">
        <f>-C57-C36</f>
        <v>-1011824.3998063796</v>
      </c>
      <c r="D190" s="428">
        <f>-D57-D36</f>
        <v>-71560.827081552707</v>
      </c>
      <c r="E190" s="424"/>
      <c r="F190" s="425"/>
      <c r="G190" s="429"/>
      <c r="H190" s="294"/>
      <c r="I190" s="277"/>
      <c r="J190" s="277"/>
    </row>
    <row r="191" spans="2:10" ht="13" x14ac:dyDescent="0.3">
      <c r="B191" s="427" t="s">
        <v>676</v>
      </c>
      <c r="C191" s="1188">
        <f>-$B145*$C145*$D145*$E145*'Existing Management Practices'!$L141*(1-F142)*(1-'Primary Sources'!B93)*(SUM('Primary Sources'!P11:P35)-C176-'Existing Management Practices'!C177-'Existing Management Practices'!C179-'Existing Management Practices'!C180-'Existing Management Practices'!C183)</f>
        <v>-2659.0696318669325</v>
      </c>
      <c r="D191" s="979">
        <f>-$B145*$C145*$D145*$E145*'Existing Management Practices'!$L141*(1-G142)*(1-'Primary Sources'!C93)*(SUM('Primary Sources'!Q11:Q35)-D176-'Existing Management Practices'!D177-'Existing Management Practices'!D179-'Existing Management Practices'!D180-'Existing Management Practices'!D183)</f>
        <v>-116.37119876908829</v>
      </c>
      <c r="E191" s="428">
        <f>-$B145*$C145*$D145*$E145*'Existing Management Practices'!$L141*(1-H142)*(1-'Primary Sources'!D93)*(SUM('Primary Sources'!R11:R35)-'Existing Management Practices'!E177-'Existing Management Practices'!E179-'Existing Management Practices'!E180-'Existing Management Practices'!E183)</f>
        <v>0</v>
      </c>
      <c r="F191" s="428">
        <f>-$B145*$C145*$D145*$E145*'Existing Management Practices'!$L141*(1-I142)*(1-'Primary Sources'!E93)*(SUM('Primary Sources'!S11:S35)-'Existing Management Practices'!F177-'Existing Management Practices'!F179-'Existing Management Practices'!F180-'Existing Management Practices'!F183)</f>
        <v>-4968.5412981350783</v>
      </c>
      <c r="G191" s="429"/>
      <c r="H191" s="294"/>
      <c r="I191" s="277"/>
      <c r="J191" s="277"/>
    </row>
    <row r="192" spans="2:10" ht="13" x14ac:dyDescent="0.3">
      <c r="B192" s="427" t="s">
        <v>355</v>
      </c>
      <c r="C192" s="1188">
        <f>-$C156*$C157*'Existing Management Practices'!$F154*(1-B154)*(1-'Primary Sources'!B93)*(SUM('Primary Sources'!P11:P35)-C176-'Existing Management Practices'!C177-'Existing Management Practices'!C179-'Existing Management Practices'!C180)</f>
        <v>0</v>
      </c>
      <c r="D192" s="428">
        <f>-$C156*$C157*'Existing Management Practices'!$F154*(1-C154)*(1-'Primary Sources'!C93)*(SUM('Primary Sources'!Q11:Q35)-D176-'Existing Management Practices'!D177-'Existing Management Practices'!D179-'Existing Management Practices'!D180)</f>
        <v>0</v>
      </c>
      <c r="E192" s="428">
        <f>-$C156*$C157*SUM('Primary Sources'!R11:R35)*'Existing Management Practices'!$F154*(1-D154)*(1-'Primary Sources'!D93)*(SUM('Primary Sources'!R11:R35)-'Existing Management Practices'!E177-'Existing Management Practices'!E179-'Existing Management Practices'!E180-'Existing Management Practices'!E183)/MAX(SUM('Primary Sources'!R11:R35),0.001)</f>
        <v>0</v>
      </c>
      <c r="F192" s="428">
        <f>-$C156*$C157*SUM('Primary Sources'!S11:S35)*'Existing Management Practices'!$F154*(1-E154)*(1-'Primary Sources'!E93)*(SUM('Primary Sources'!S11:S35)-'Existing Management Practices'!F177-'Existing Management Practices'!F179-'Existing Management Practices'!F180-'Existing Management Practices'!F183)/MAX(SUM('Primary Sources'!S11:S35),0.001)</f>
        <v>0</v>
      </c>
      <c r="G192" s="429"/>
      <c r="H192" s="294"/>
      <c r="I192" s="277"/>
      <c r="J192" s="277"/>
    </row>
    <row r="193" spans="2:256" ht="13.5" thickBot="1" x14ac:dyDescent="0.35">
      <c r="B193" s="754" t="s">
        <v>45</v>
      </c>
      <c r="C193" s="1189">
        <f>SUM(C190:C192)</f>
        <v>-1014483.4694382465</v>
      </c>
      <c r="D193" s="746">
        <f>SUM(D190:D192)</f>
        <v>-71677.198280321798</v>
      </c>
      <c r="E193" s="746">
        <f>SUM(E190:E192)</f>
        <v>0</v>
      </c>
      <c r="F193" s="440">
        <f>SUM(F190:F192)</f>
        <v>-4968.5412981350783</v>
      </c>
      <c r="G193" s="984"/>
      <c r="H193" s="277"/>
      <c r="I193" s="277"/>
      <c r="J193" s="277"/>
    </row>
    <row r="194" spans="2:256" ht="13" hidden="1" thickTop="1" x14ac:dyDescent="0.25">
      <c r="B194" s="277"/>
      <c r="C194" s="277"/>
      <c r="D194" s="277"/>
      <c r="E194" s="277"/>
      <c r="F194" s="277"/>
      <c r="G194" s="277"/>
      <c r="H194" s="277"/>
      <c r="I194" s="277"/>
      <c r="J194" s="277"/>
    </row>
    <row r="195" spans="2:256" hidden="1" x14ac:dyDescent="0.25">
      <c r="B195" s="277"/>
      <c r="C195" s="277"/>
      <c r="D195" s="277"/>
      <c r="E195" s="277"/>
      <c r="F195" s="277"/>
      <c r="G195" s="277"/>
      <c r="H195" s="277"/>
      <c r="I195" s="277"/>
      <c r="J195" s="277"/>
    </row>
    <row r="196" spans="2:256" s="277" customFormat="1" hidden="1" x14ac:dyDescent="0.25">
      <c r="B196" s="277" t="s">
        <v>280</v>
      </c>
      <c r="HZ196" s="114"/>
      <c r="IA196" s="114"/>
      <c r="IB196" s="114"/>
      <c r="IC196" s="114"/>
      <c r="ID196" s="114"/>
      <c r="IE196" s="114"/>
      <c r="IF196" s="114"/>
      <c r="IG196" s="114"/>
      <c r="IH196" s="114"/>
      <c r="II196" s="114"/>
      <c r="IJ196" s="114"/>
      <c r="IK196" s="114"/>
      <c r="IL196" s="114"/>
      <c r="IM196" s="114"/>
      <c r="IN196" s="114"/>
      <c r="IO196" s="114"/>
      <c r="IP196" s="114"/>
      <c r="IQ196" s="114"/>
      <c r="IR196" s="114"/>
      <c r="IS196" s="114"/>
      <c r="IT196" s="114"/>
      <c r="IU196" s="114"/>
      <c r="IV196" s="114"/>
    </row>
    <row r="197" spans="2:256" s="277" customFormat="1" hidden="1" x14ac:dyDescent="0.25">
      <c r="B197" s="277" t="s">
        <v>357</v>
      </c>
      <c r="HZ197" s="114"/>
      <c r="IA197" s="114"/>
      <c r="IB197" s="114"/>
      <c r="IC197" s="114"/>
      <c r="ID197" s="114"/>
      <c r="IE197" s="114"/>
      <c r="IF197" s="114"/>
      <c r="IG197" s="114"/>
      <c r="IH197" s="114"/>
      <c r="II197" s="114"/>
      <c r="IJ197" s="114"/>
      <c r="IK197" s="114"/>
      <c r="IL197" s="114"/>
      <c r="IM197" s="114"/>
      <c r="IN197" s="114"/>
      <c r="IO197" s="114"/>
      <c r="IP197" s="114"/>
      <c r="IQ197" s="114"/>
      <c r="IR197" s="114"/>
      <c r="IS197" s="114"/>
      <c r="IT197" s="114"/>
      <c r="IU197" s="114"/>
      <c r="IV197" s="114"/>
    </row>
    <row r="198" spans="2:256" s="277" customFormat="1" ht="13" thickTop="1" x14ac:dyDescent="0.25">
      <c r="C198" s="1018"/>
      <c r="D198" s="1018"/>
      <c r="E198" s="1003"/>
    </row>
    <row r="199" spans="2:256" s="277" customFormat="1" x14ac:dyDescent="0.25">
      <c r="D199" s="1019"/>
      <c r="E199" s="1003"/>
    </row>
    <row r="200" spans="2:256" s="277" customFormat="1" x14ac:dyDescent="0.25">
      <c r="D200" s="1019"/>
      <c r="E200" s="1003"/>
    </row>
    <row r="201" spans="2:256" s="277" customFormat="1" x14ac:dyDescent="0.25">
      <c r="D201" s="441"/>
      <c r="E201" s="1003"/>
    </row>
    <row r="202" spans="2:256" s="277" customFormat="1" x14ac:dyDescent="0.25">
      <c r="D202" s="441"/>
    </row>
    <row r="203" spans="2:256" s="277" customFormat="1" x14ac:dyDescent="0.25">
      <c r="D203" s="441"/>
    </row>
    <row r="204" spans="2:256" s="277" customFormat="1" x14ac:dyDescent="0.25">
      <c r="D204" s="441"/>
    </row>
    <row r="205" spans="2:256" s="277" customFormat="1" x14ac:dyDescent="0.25">
      <c r="D205" s="441"/>
    </row>
    <row r="206" spans="2:256" s="277" customFormat="1" x14ac:dyDescent="0.25">
      <c r="D206" s="441"/>
    </row>
    <row r="207" spans="2:256" s="277" customFormat="1" x14ac:dyDescent="0.25">
      <c r="D207" s="441"/>
    </row>
    <row r="208" spans="2:256" s="277" customFormat="1" x14ac:dyDescent="0.25"/>
    <row r="209" s="277" customFormat="1" x14ac:dyDescent="0.25"/>
    <row r="210" s="277" customFormat="1" x14ac:dyDescent="0.25"/>
    <row r="211" s="277" customFormat="1" x14ac:dyDescent="0.25"/>
    <row r="212" s="277" customFormat="1" x14ac:dyDescent="0.25"/>
    <row r="213" s="277" customFormat="1" x14ac:dyDescent="0.25"/>
    <row r="214" s="277" customFormat="1" x14ac:dyDescent="0.25"/>
    <row r="215" s="277" customFormat="1" x14ac:dyDescent="0.25"/>
    <row r="216" s="277" customFormat="1" x14ac:dyDescent="0.25"/>
    <row r="217" s="277" customFormat="1" x14ac:dyDescent="0.25"/>
    <row r="218" s="277" customFormat="1" x14ac:dyDescent="0.25"/>
    <row r="219" s="277" customFormat="1" x14ac:dyDescent="0.25"/>
    <row r="220" s="277" customFormat="1" x14ac:dyDescent="0.25"/>
    <row r="221" s="277" customFormat="1" x14ac:dyDescent="0.25"/>
    <row r="222" s="277" customFormat="1" x14ac:dyDescent="0.25"/>
    <row r="223" s="277" customFormat="1" x14ac:dyDescent="0.25"/>
    <row r="224" s="277" customFormat="1" x14ac:dyDescent="0.25"/>
    <row r="225" s="277" customFormat="1" x14ac:dyDescent="0.25"/>
    <row r="226" s="277" customFormat="1" x14ac:dyDescent="0.25"/>
    <row r="227" s="277" customFormat="1" x14ac:dyDescent="0.25"/>
    <row r="228" s="277" customFormat="1" x14ac:dyDescent="0.25"/>
    <row r="229" s="277" customFormat="1" x14ac:dyDescent="0.25"/>
    <row r="230" s="277" customFormat="1" x14ac:dyDescent="0.25"/>
    <row r="231" s="277" customFormat="1" x14ac:dyDescent="0.25"/>
    <row r="232" s="277" customFormat="1" x14ac:dyDescent="0.25"/>
    <row r="233" s="277" customFormat="1" x14ac:dyDescent="0.25"/>
    <row r="234" s="277" customFormat="1" x14ac:dyDescent="0.25"/>
    <row r="235" s="277" customFormat="1" x14ac:dyDescent="0.25"/>
    <row r="236" s="277" customFormat="1" x14ac:dyDescent="0.25"/>
    <row r="237" s="277" customFormat="1" x14ac:dyDescent="0.25"/>
    <row r="238" s="277" customFormat="1" x14ac:dyDescent="0.25"/>
    <row r="239" s="277" customFormat="1" x14ac:dyDescent="0.25"/>
    <row r="240" s="277" customFormat="1" x14ac:dyDescent="0.25"/>
    <row r="241" spans="2:256" s="277" customFormat="1" x14ac:dyDescent="0.25"/>
    <row r="242" spans="2:256" s="277" customFormat="1" x14ac:dyDescent="0.25"/>
    <row r="243" spans="2:256" s="277" customFormat="1" x14ac:dyDescent="0.25"/>
    <row r="244" spans="2:256" x14ac:dyDescent="0.25">
      <c r="B244" s="277"/>
      <c r="C244" s="277"/>
      <c r="D244" s="277"/>
      <c r="E244" s="277"/>
      <c r="F244" s="277"/>
      <c r="G244" s="277"/>
      <c r="H244" s="277"/>
      <c r="I244" s="277"/>
      <c r="J244" s="277"/>
      <c r="HZ244" s="277"/>
      <c r="IA244" s="277"/>
      <c r="IB244" s="277"/>
      <c r="IC244" s="277"/>
      <c r="ID244" s="277"/>
      <c r="IE244" s="277"/>
      <c r="IF244" s="277"/>
      <c r="IG244" s="277"/>
      <c r="IH244" s="277"/>
      <c r="II244" s="277"/>
      <c r="IJ244" s="277"/>
      <c r="IK244" s="277"/>
      <c r="IL244" s="277"/>
      <c r="IM244" s="277"/>
      <c r="IN244" s="277"/>
      <c r="IO244" s="277"/>
      <c r="IP244" s="277"/>
      <c r="IQ244" s="277"/>
      <c r="IR244" s="277"/>
      <c r="IS244" s="277"/>
      <c r="IT244" s="277"/>
      <c r="IU244" s="277"/>
      <c r="IV244" s="277"/>
    </row>
    <row r="245" spans="2:256" x14ac:dyDescent="0.25">
      <c r="B245" s="277"/>
      <c r="C245" s="277"/>
      <c r="D245" s="277"/>
      <c r="E245" s="277"/>
      <c r="F245" s="277"/>
      <c r="G245" s="277"/>
      <c r="H245" s="277"/>
      <c r="I245" s="277"/>
      <c r="J245" s="277"/>
      <c r="HZ245" s="277"/>
      <c r="IA245" s="277"/>
      <c r="IB245" s="277"/>
      <c r="IC245" s="277"/>
      <c r="ID245" s="277"/>
      <c r="IE245" s="277"/>
      <c r="IF245" s="277"/>
      <c r="IG245" s="277"/>
      <c r="IH245" s="277"/>
      <c r="II245" s="277"/>
      <c r="IJ245" s="277"/>
      <c r="IK245" s="277"/>
      <c r="IL245" s="277"/>
      <c r="IM245" s="277"/>
      <c r="IN245" s="277"/>
      <c r="IO245" s="277"/>
      <c r="IP245" s="277"/>
      <c r="IQ245" s="277"/>
      <c r="IR245" s="277"/>
      <c r="IS245" s="277"/>
      <c r="IT245" s="277"/>
      <c r="IU245" s="277"/>
      <c r="IV245" s="277"/>
    </row>
    <row r="246" spans="2:256" x14ac:dyDescent="0.25">
      <c r="B246" s="277"/>
      <c r="C246" s="277"/>
      <c r="D246" s="277"/>
      <c r="E246" s="277"/>
      <c r="F246" s="277"/>
      <c r="G246" s="277"/>
      <c r="H246" s="277"/>
      <c r="I246" s="277"/>
      <c r="J246" s="277"/>
    </row>
    <row r="247" spans="2:256" x14ac:dyDescent="0.25">
      <c r="B247" s="277"/>
      <c r="C247" s="277"/>
      <c r="D247" s="277"/>
      <c r="E247" s="277"/>
      <c r="F247" s="277"/>
      <c r="G247" s="277"/>
      <c r="H247" s="277"/>
      <c r="I247" s="277"/>
      <c r="J247" s="277"/>
    </row>
    <row r="248" spans="2:256" x14ac:dyDescent="0.25">
      <c r="B248" s="277"/>
      <c r="C248" s="277"/>
      <c r="D248" s="277"/>
      <c r="E248" s="277"/>
      <c r="F248" s="277"/>
      <c r="G248" s="277"/>
      <c r="H248" s="277"/>
      <c r="I248" s="277"/>
      <c r="J248" s="277"/>
    </row>
    <row r="249" spans="2:256" x14ac:dyDescent="0.25">
      <c r="B249" s="277"/>
      <c r="C249" s="277"/>
      <c r="D249" s="277"/>
      <c r="E249" s="277"/>
      <c r="F249" s="277"/>
      <c r="G249" s="277"/>
      <c r="H249" s="277"/>
      <c r="I249" s="277"/>
      <c r="J249" s="277"/>
    </row>
    <row r="250" spans="2:256" x14ac:dyDescent="0.25">
      <c r="B250" s="277"/>
      <c r="C250" s="277"/>
      <c r="D250" s="277"/>
      <c r="E250" s="277"/>
      <c r="F250" s="277"/>
      <c r="G250" s="277"/>
      <c r="H250" s="277"/>
      <c r="I250" s="277"/>
      <c r="J250" s="277"/>
    </row>
    <row r="251" spans="2:256" x14ac:dyDescent="0.25">
      <c r="B251" s="277"/>
      <c r="C251" s="277"/>
      <c r="D251" s="277"/>
      <c r="E251" s="277"/>
      <c r="F251" s="277"/>
      <c r="G251" s="277"/>
      <c r="H251" s="277"/>
      <c r="I251" s="277"/>
      <c r="J251" s="277"/>
    </row>
    <row r="252" spans="2:256" x14ac:dyDescent="0.25">
      <c r="B252" s="277"/>
      <c r="C252" s="277"/>
      <c r="D252" s="277"/>
      <c r="E252" s="277"/>
      <c r="F252" s="277"/>
      <c r="G252" s="277"/>
      <c r="H252" s="277"/>
      <c r="I252" s="277"/>
      <c r="J252" s="277"/>
    </row>
    <row r="253" spans="2:256" x14ac:dyDescent="0.25">
      <c r="B253" s="277"/>
      <c r="C253" s="277"/>
      <c r="D253" s="277"/>
      <c r="E253" s="277"/>
      <c r="F253" s="277"/>
      <c r="G253" s="277"/>
      <c r="H253" s="277"/>
      <c r="I253" s="277"/>
      <c r="J253" s="277"/>
    </row>
  </sheetData>
  <mergeCells count="13">
    <mergeCell ref="C69:C71"/>
    <mergeCell ref="F116:I117"/>
    <mergeCell ref="J116:L117"/>
    <mergeCell ref="B189:G189"/>
    <mergeCell ref="B186:F186"/>
    <mergeCell ref="F143:L145"/>
    <mergeCell ref="F103:G103"/>
    <mergeCell ref="H103:I103"/>
    <mergeCell ref="B115:L115"/>
    <mergeCell ref="B116:B118"/>
    <mergeCell ref="C116:C118"/>
    <mergeCell ref="D116:D118"/>
    <mergeCell ref="E116:E118"/>
  </mergeCells>
  <phoneticPr fontId="0" type="noConversion"/>
  <conditionalFormatting sqref="C145:E145">
    <cfRule type="cellIs" dxfId="14" priority="1" stopIfTrue="1" operator="equal">
      <formula>"Enter Value"</formula>
    </cfRule>
  </conditionalFormatting>
  <dataValidations xWindow="956" yWindow="405" count="13">
    <dataValidation type="list" allowBlank="1" showInputMessage="1" showErrorMessage="1" sqref="C108:E108">
      <formula1>$B$112:$B$113</formula1>
    </dataValidation>
    <dataValidation allowBlank="1" showInputMessage="1" showErrorMessage="1" prompt="Regulations Prohibit Landfill Disposal:  0.5_x000a_No Prohibitions   1.0" sqref="C165"/>
    <dataValidation allowBlank="1" showInputMessage="1" showErrorMessage="1" prompt="Specific ordinance, with enforcement and education included      0.9_x000a_Ordinance specifies activities, but no enforcement or education  0.6_x000a_Ordinance has no restriction on activities within the buffer   0.4" sqref="C157"/>
    <dataValidation allowBlank="1" showInputMessage="1" showErrorMessage="1" prompt="Fraction of watershed area treated by the buffer_x000a_" sqref="C156"/>
    <dataValidation allowBlank="1" showInputMessage="1" showErrorMessage="1" prompt="Regular  Maintenance Specified and Enforced       0.9_x000a_Maintenance Specified but Poorly Enforced           0.6_x000a_No guidance for Maintenance                                 0.5" sqref="E145"/>
    <dataValidation allowBlank="1" showInputMessage="1" showErrorMessage="1" prompt="Specific, Legally Binding Standards           1.2_x000a_Specific Standards, not Legally Binding     1.0_x000a_Less specific Standards,legally binding      1.0_x000a_No Standards                                             0.8" sqref="D145"/>
    <dataValidation allowBlank="1" showInputMessage="1" showErrorMessage="1" prompt="Capture Discount:_x000a_Fraction of Annual Rainfall Captured by the Structure.  Based on the &quot;Rainfall Frequency Spectrum&quot; (See Chapter 8 for more details)." sqref="C145"/>
    <dataValidation allowBlank="1" showInputMessage="1" showErrorMessage="1" prompt="Treatability:_x000a_Fraction of runoff-producing area captured by stormwater treatment practices." sqref="B145"/>
    <dataValidation allowBlank="1" showInputMessage="1" showErrorMessage="1" prompt="No parking restrictions or operator training:   0.5_x000a_Parking restrictions, no operator training:  0.75_x000a_Paring restricitons; operator training: 1.0" sqref="C110:C113"/>
    <dataValidation allowBlank="1" showInputMessage="1" showErrorMessage="1" promptTitle="Accounts for ESC Program " prompt="Few inspectors, no pre-construction meetingl     0.3_x000a_Inspectors visit monthly; pre-construction for larger sites  0.6_x000a_Inspectors visit weekly, contractor education, pre-construction meeting for most sites  0.9_x000a__x000a_" sqref="C100"/>
    <dataValidation allowBlank="1" showInputMessage="1" showErrorMessage="1" prompt="Fraction who Remember the Message:_x000a_Calculated based on Media Type_x000a_Televsion = 40%_x000a_Radio = 25%_x000a_Newspaper = 30%_x000a_Billboard = 13%_x000a_Brochure = 8%_x000a_Workshop = 7%" sqref="C90"/>
    <dataValidation type="list" allowBlank="1" showInputMessage="1" showErrorMessage="1" sqref="D46:D48">
      <formula1>$B$64:$B$66</formula1>
    </dataValidation>
    <dataValidation type="list" allowBlank="1" showInputMessage="1" showErrorMessage="1" sqref="C82">
      <formula1>$B$196:$B$197</formula1>
    </dataValidation>
  </dataValidations>
  <pageMargins left="0.75" right="0.75" top="1" bottom="1" header="0.5" footer="0.5"/>
  <pageSetup orientation="portrait" horizontalDpi="1200" verticalDpi="1200" r:id="rId1"/>
  <headerFooter alignWithMargins="0"/>
  <ignoredErrors>
    <ignoredError sqref="C47:C48 C109 C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46"/>
  </sheetPr>
  <dimension ref="B3:AM88"/>
  <sheetViews>
    <sheetView topLeftCell="A19" workbookViewId="0">
      <selection activeCell="F47" sqref="F47"/>
    </sheetView>
  </sheetViews>
  <sheetFormatPr defaultColWidth="31.26953125" defaultRowHeight="14" x14ac:dyDescent="0.3"/>
  <cols>
    <col min="1" max="1" width="6.453125" style="670" customWidth="1"/>
    <col min="2" max="2" width="29.7265625" style="670" customWidth="1"/>
    <col min="3" max="3" width="17" style="670" customWidth="1"/>
    <col min="4" max="5" width="17.453125" style="670" customWidth="1"/>
    <col min="6" max="6" width="17.81640625" style="670" customWidth="1"/>
    <col min="7" max="7" width="33" style="670" customWidth="1"/>
    <col min="8" max="8" width="31.7265625" style="672" customWidth="1"/>
    <col min="9" max="9" width="21.1796875" style="670" customWidth="1"/>
    <col min="10" max="10" width="23.26953125" style="670" customWidth="1"/>
    <col min="11" max="11" width="25.7265625" style="670" customWidth="1"/>
    <col min="12" max="16384" width="31.26953125" style="670"/>
  </cols>
  <sheetData>
    <row r="3" spans="2:11" ht="14.5" thickBot="1" x14ac:dyDescent="0.35">
      <c r="E3" s="671"/>
    </row>
    <row r="4" spans="2:11" ht="20.5" thickTop="1" x14ac:dyDescent="0.4">
      <c r="B4" s="1871" t="s">
        <v>528</v>
      </c>
      <c r="C4" s="1872"/>
      <c r="D4" s="1872"/>
      <c r="E4" s="1872"/>
      <c r="F4" s="1872"/>
      <c r="G4" s="1873"/>
    </row>
    <row r="5" spans="2:11" x14ac:dyDescent="0.3">
      <c r="B5" s="673"/>
      <c r="C5" s="674" t="s">
        <v>10</v>
      </c>
      <c r="D5" s="674" t="s">
        <v>11</v>
      </c>
      <c r="E5" s="674" t="s">
        <v>12</v>
      </c>
      <c r="F5" s="674" t="s">
        <v>495</v>
      </c>
      <c r="G5" s="675" t="s">
        <v>496</v>
      </c>
    </row>
    <row r="6" spans="2:11" ht="14.5" thickBot="1" x14ac:dyDescent="0.35">
      <c r="B6" s="676"/>
      <c r="C6" s="677" t="s">
        <v>497</v>
      </c>
      <c r="D6" s="677" t="s">
        <v>497</v>
      </c>
      <c r="E6" s="677" t="s">
        <v>497</v>
      </c>
      <c r="F6" s="677" t="s">
        <v>498</v>
      </c>
      <c r="G6" s="678"/>
    </row>
    <row r="7" spans="2:11" x14ac:dyDescent="0.3">
      <c r="B7" s="679" t="s">
        <v>499</v>
      </c>
      <c r="C7" s="680">
        <f t="shared" ref="C7:C22" si="0">SUMIF($B$29:$B$51,$B7,C$29:C$51)</f>
        <v>172818.63440500293</v>
      </c>
      <c r="D7" s="767">
        <f t="shared" ref="D7:G22" si="1">SUMIF($B$29:$B$51,$B7,D$29:D$51)</f>
        <v>43328.388269424751</v>
      </c>
      <c r="E7" s="713">
        <f t="shared" si="1"/>
        <v>2942724.1966378926</v>
      </c>
      <c r="F7" s="713">
        <f t="shared" si="1"/>
        <v>2161509.1361113726</v>
      </c>
      <c r="G7" s="682">
        <f t="shared" si="1"/>
        <v>25329.162975219813</v>
      </c>
      <c r="H7" s="1038"/>
      <c r="I7" s="1040"/>
      <c r="J7" s="1040"/>
      <c r="K7" s="1040"/>
    </row>
    <row r="8" spans="2:11" x14ac:dyDescent="0.3">
      <c r="B8" s="684" t="s">
        <v>40</v>
      </c>
      <c r="C8" s="715">
        <f t="shared" si="0"/>
        <v>421.54827726953704</v>
      </c>
      <c r="D8" s="685">
        <f t="shared" si="1"/>
        <v>84.309655453907425</v>
      </c>
      <c r="E8" s="685">
        <f t="shared" si="1"/>
        <v>286652.82854328526</v>
      </c>
      <c r="F8" s="685">
        <f t="shared" si="1"/>
        <v>0</v>
      </c>
      <c r="G8" s="688">
        <f t="shared" si="1"/>
        <v>267.99681954375001</v>
      </c>
    </row>
    <row r="9" spans="2:11" x14ac:dyDescent="0.3">
      <c r="B9" s="684" t="s">
        <v>148</v>
      </c>
      <c r="C9" s="715">
        <f t="shared" si="0"/>
        <v>1951.7236832775334</v>
      </c>
      <c r="D9" s="685">
        <f t="shared" si="1"/>
        <v>325.2872805462556</v>
      </c>
      <c r="E9" s="685">
        <f t="shared" si="1"/>
        <v>13011.491221850221</v>
      </c>
      <c r="F9" s="685">
        <f t="shared" si="1"/>
        <v>1476804.2536800003</v>
      </c>
      <c r="G9" s="688">
        <f t="shared" si="1"/>
        <v>0</v>
      </c>
    </row>
    <row r="10" spans="2:11" x14ac:dyDescent="0.3">
      <c r="B10" s="684" t="s">
        <v>153</v>
      </c>
      <c r="C10" s="715">
        <f t="shared" si="0"/>
        <v>0</v>
      </c>
      <c r="D10" s="685">
        <f t="shared" si="1"/>
        <v>0</v>
      </c>
      <c r="E10" s="685">
        <f t="shared" si="1"/>
        <v>0</v>
      </c>
      <c r="F10" s="685">
        <f t="shared" si="1"/>
        <v>0</v>
      </c>
      <c r="G10" s="688">
        <f t="shared" si="1"/>
        <v>0</v>
      </c>
    </row>
    <row r="11" spans="2:11" x14ac:dyDescent="0.3">
      <c r="B11" s="684" t="s">
        <v>232</v>
      </c>
      <c r="C11" s="715">
        <f t="shared" si="0"/>
        <v>0</v>
      </c>
      <c r="D11" s="685">
        <f t="shared" si="1"/>
        <v>0</v>
      </c>
      <c r="E11" s="685">
        <f t="shared" si="1"/>
        <v>3922983.5369412447</v>
      </c>
      <c r="F11" s="685">
        <f t="shared" si="1"/>
        <v>0</v>
      </c>
      <c r="G11" s="688">
        <f t="shared" si="1"/>
        <v>0</v>
      </c>
    </row>
    <row r="12" spans="2:11" x14ac:dyDescent="0.3">
      <c r="B12" s="684" t="s">
        <v>202</v>
      </c>
      <c r="C12" s="715">
        <f t="shared" si="0"/>
        <v>0</v>
      </c>
      <c r="D12" s="685">
        <f t="shared" si="1"/>
        <v>0</v>
      </c>
      <c r="E12" s="685">
        <f t="shared" si="1"/>
        <v>0</v>
      </c>
      <c r="F12" s="685">
        <f t="shared" si="1"/>
        <v>0</v>
      </c>
      <c r="G12" s="688">
        <f t="shared" si="1"/>
        <v>0</v>
      </c>
    </row>
    <row r="13" spans="2:11" x14ac:dyDescent="0.3">
      <c r="B13" s="684" t="s">
        <v>37</v>
      </c>
      <c r="C13" s="715">
        <f t="shared" si="0"/>
        <v>0</v>
      </c>
      <c r="D13" s="685">
        <f t="shared" si="1"/>
        <v>0</v>
      </c>
      <c r="E13" s="685">
        <f t="shared" si="1"/>
        <v>0</v>
      </c>
      <c r="F13" s="685">
        <f t="shared" si="1"/>
        <v>0</v>
      </c>
      <c r="G13" s="688">
        <f t="shared" si="1"/>
        <v>0</v>
      </c>
    </row>
    <row r="14" spans="2:11" x14ac:dyDescent="0.3">
      <c r="B14" s="684" t="s">
        <v>500</v>
      </c>
      <c r="C14" s="715">
        <f t="shared" si="0"/>
        <v>0</v>
      </c>
      <c r="D14" s="685">
        <f t="shared" si="1"/>
        <v>0</v>
      </c>
      <c r="E14" s="685">
        <f t="shared" si="1"/>
        <v>0</v>
      </c>
      <c r="F14" s="685">
        <f t="shared" si="1"/>
        <v>0</v>
      </c>
      <c r="G14" s="688">
        <f t="shared" si="1"/>
        <v>0</v>
      </c>
    </row>
    <row r="15" spans="2:11" x14ac:dyDescent="0.3">
      <c r="B15" s="684" t="s">
        <v>181</v>
      </c>
      <c r="C15" s="715">
        <f t="shared" si="0"/>
        <v>0</v>
      </c>
      <c r="D15" s="685">
        <f t="shared" si="1"/>
        <v>0</v>
      </c>
      <c r="E15" s="685">
        <f t="shared" si="1"/>
        <v>0</v>
      </c>
      <c r="F15" s="685">
        <f t="shared" si="1"/>
        <v>0</v>
      </c>
      <c r="G15" s="688">
        <f t="shared" si="1"/>
        <v>0</v>
      </c>
    </row>
    <row r="16" spans="2:11" x14ac:dyDescent="0.3">
      <c r="B16" s="684" t="s">
        <v>160</v>
      </c>
      <c r="C16" s="715">
        <f t="shared" si="0"/>
        <v>1106.7933342687224</v>
      </c>
      <c r="D16" s="685">
        <f t="shared" si="1"/>
        <v>293.52719392731279</v>
      </c>
      <c r="E16" s="685">
        <f t="shared" si="1"/>
        <v>8087.5228768612342</v>
      </c>
      <c r="F16" s="685">
        <f t="shared" si="1"/>
        <v>672096.91720499983</v>
      </c>
      <c r="G16" s="688">
        <f t="shared" si="1"/>
        <v>0</v>
      </c>
    </row>
    <row r="17" spans="2:9" x14ac:dyDescent="0.3">
      <c r="B17" s="684" t="s">
        <v>196</v>
      </c>
      <c r="C17" s="715">
        <f t="shared" si="0"/>
        <v>0</v>
      </c>
      <c r="D17" s="685">
        <f t="shared" si="1"/>
        <v>0</v>
      </c>
      <c r="E17" s="685">
        <f t="shared" si="1"/>
        <v>0</v>
      </c>
      <c r="F17" s="685">
        <f t="shared" si="1"/>
        <v>0</v>
      </c>
      <c r="G17" s="688">
        <f t="shared" si="1"/>
        <v>0</v>
      </c>
    </row>
    <row r="18" spans="2:9" x14ac:dyDescent="0.3">
      <c r="B18" s="684" t="s">
        <v>592</v>
      </c>
      <c r="C18" s="715">
        <f t="shared" si="0"/>
        <v>0</v>
      </c>
      <c r="D18" s="685">
        <f t="shared" si="1"/>
        <v>0</v>
      </c>
      <c r="E18" s="685">
        <f t="shared" si="1"/>
        <v>0</v>
      </c>
      <c r="F18" s="685">
        <f t="shared" si="1"/>
        <v>0</v>
      </c>
      <c r="G18" s="688">
        <f t="shared" si="1"/>
        <v>0</v>
      </c>
    </row>
    <row r="19" spans="2:9" x14ac:dyDescent="0.3">
      <c r="B19" s="684" t="s">
        <v>629</v>
      </c>
      <c r="C19" s="715">
        <f t="shared" si="0"/>
        <v>20198.082240000003</v>
      </c>
      <c r="D19" s="685">
        <f t="shared" si="1"/>
        <v>3366.3470400000006</v>
      </c>
      <c r="E19" s="685">
        <f t="shared" si="1"/>
        <v>134653.88160000002</v>
      </c>
      <c r="F19" s="685">
        <f t="shared" si="1"/>
        <v>210841.67160000006</v>
      </c>
      <c r="G19" s="688">
        <f t="shared" si="1"/>
        <v>0</v>
      </c>
    </row>
    <row r="20" spans="2:9" ht="14.5" thickBot="1" x14ac:dyDescent="0.35">
      <c r="B20" s="689" t="s">
        <v>39</v>
      </c>
      <c r="C20" s="768">
        <f t="shared" si="0"/>
        <v>0</v>
      </c>
      <c r="D20" s="700">
        <f t="shared" si="1"/>
        <v>0</v>
      </c>
      <c r="E20" s="700">
        <f t="shared" si="1"/>
        <v>0</v>
      </c>
      <c r="F20" s="700">
        <f t="shared" si="1"/>
        <v>0</v>
      </c>
      <c r="G20" s="701">
        <f t="shared" si="1"/>
        <v>0</v>
      </c>
    </row>
    <row r="21" spans="2:9" ht="14.5" thickBot="1" x14ac:dyDescent="0.35">
      <c r="B21" s="769" t="s">
        <v>529</v>
      </c>
      <c r="C21" s="770">
        <f t="shared" si="0"/>
        <v>174216.04452391123</v>
      </c>
      <c r="D21" s="771">
        <f t="shared" si="1"/>
        <v>43575.341565151786</v>
      </c>
      <c r="E21" s="771">
        <f t="shared" si="1"/>
        <v>7158866.3077333476</v>
      </c>
      <c r="F21" s="771">
        <f t="shared" si="1"/>
        <v>2899911.2629513727</v>
      </c>
      <c r="G21" s="772">
        <f t="shared" si="1"/>
        <v>25597.159794763564</v>
      </c>
    </row>
    <row r="22" spans="2:9" ht="14.5" thickBot="1" x14ac:dyDescent="0.35">
      <c r="B22" s="769" t="s">
        <v>530</v>
      </c>
      <c r="C22" s="770">
        <f t="shared" si="0"/>
        <v>22280.737415907493</v>
      </c>
      <c r="D22" s="771">
        <f t="shared" si="1"/>
        <v>3822.5178742004409</v>
      </c>
      <c r="E22" s="771">
        <f t="shared" si="1"/>
        <v>149247.15008778637</v>
      </c>
      <c r="F22" s="771">
        <f t="shared" si="1"/>
        <v>1621340.7156449999</v>
      </c>
      <c r="G22" s="772">
        <f t="shared" si="1"/>
        <v>0</v>
      </c>
    </row>
    <row r="23" spans="2:9" ht="14.5" thickBot="1" x14ac:dyDescent="0.35">
      <c r="B23" s="690" t="s">
        <v>518</v>
      </c>
      <c r="C23" s="773">
        <f>C22+C21</f>
        <v>196496.78193981873</v>
      </c>
      <c r="D23" s="691">
        <f>D22+D21</f>
        <v>47397.859439352229</v>
      </c>
      <c r="E23" s="691">
        <f>E22+E21</f>
        <v>7308113.4578211345</v>
      </c>
      <c r="F23" s="691">
        <f>F22+F21</f>
        <v>4521251.9785963725</v>
      </c>
      <c r="G23" s="692">
        <f>G22+G21</f>
        <v>25597.159794763564</v>
      </c>
    </row>
    <row r="24" spans="2:9" ht="14.25" customHeight="1" thickTop="1" x14ac:dyDescent="0.3">
      <c r="E24" s="710"/>
    </row>
    <row r="25" spans="2:9" ht="14.5" thickBot="1" x14ac:dyDescent="0.35">
      <c r="E25" s="671"/>
    </row>
    <row r="26" spans="2:9" ht="30" customHeight="1" thickTop="1" x14ac:dyDescent="0.4">
      <c r="B26" s="1871" t="s">
        <v>494</v>
      </c>
      <c r="C26" s="1872"/>
      <c r="D26" s="1872"/>
      <c r="E26" s="1872"/>
      <c r="F26" s="1872"/>
      <c r="G26" s="1873"/>
      <c r="H26" s="670"/>
    </row>
    <row r="27" spans="2:9" x14ac:dyDescent="0.3">
      <c r="B27" s="673"/>
      <c r="C27" s="674" t="s">
        <v>10</v>
      </c>
      <c r="D27" s="674" t="s">
        <v>11</v>
      </c>
      <c r="E27" s="674" t="s">
        <v>12</v>
      </c>
      <c r="F27" s="674" t="s">
        <v>495</v>
      </c>
      <c r="G27" s="675" t="s">
        <v>496</v>
      </c>
      <c r="H27" s="670"/>
    </row>
    <row r="28" spans="2:9" ht="14.5" thickBot="1" x14ac:dyDescent="0.35">
      <c r="B28" s="676"/>
      <c r="C28" s="677" t="s">
        <v>497</v>
      </c>
      <c r="D28" s="677" t="s">
        <v>497</v>
      </c>
      <c r="E28" s="677" t="s">
        <v>497</v>
      </c>
      <c r="F28" s="677" t="s">
        <v>498</v>
      </c>
      <c r="G28" s="678"/>
      <c r="H28" s="670"/>
    </row>
    <row r="29" spans="2:9" x14ac:dyDescent="0.3">
      <c r="B29" s="679" t="s">
        <v>499</v>
      </c>
      <c r="C29" s="680">
        <f>SUM('Primary Sources'!P11:P35)-'Existing Management Practices'!C187+'Existing Management Practices'!C178+'Existing Management Practices'!C180</f>
        <v>172818.63440500293</v>
      </c>
      <c r="D29" s="739">
        <f>SUM('Primary Sources'!Q11:Q35)-'Existing Management Practices'!D187+'Existing Management Practices'!D178+'Existing Management Practices'!D180</f>
        <v>43328.388269424751</v>
      </c>
      <c r="E29" s="681">
        <f>SUM('Primary Sources'!R11:R35)-'Existing Management Practices'!E187+'Existing Management Practices'!E178+'Existing Management Practices'!E180</f>
        <v>2942724.1966378926</v>
      </c>
      <c r="F29" s="681">
        <f>SUM('Primary Sources'!S11:S35)-'Existing Management Practices'!F187+'Existing Management Practices'!F178+'Existing Management Practices'!F180</f>
        <v>2161509.1361113726</v>
      </c>
      <c r="G29" s="682">
        <f>SUM('Primary Sources'!U11:U35)-'Existing Management Practices'!G187+'Existing Management Practices'!G178+'Existing Management Practices'!G180</f>
        <v>25329.162975219813</v>
      </c>
      <c r="H29" s="1043"/>
      <c r="I29" s="683"/>
    </row>
    <row r="30" spans="2:9" x14ac:dyDescent="0.3">
      <c r="B30" s="684" t="s">
        <v>40</v>
      </c>
      <c r="C30" s="685">
        <f>'Primary Sources'!P52-'Existing Management Practices'!C178</f>
        <v>421.54827726953704</v>
      </c>
      <c r="D30" s="685">
        <f>'Primary Sources'!Q52-'Existing Management Practices'!D178</f>
        <v>84.309655453907425</v>
      </c>
      <c r="E30" s="685">
        <f>'Primary Sources'!R52-'Existing Management Practices'!E178</f>
        <v>286652.82854328526</v>
      </c>
      <c r="F30" s="685">
        <f>'Primary Sources'!S52-'Existing Management Practices'!F178</f>
        <v>0</v>
      </c>
      <c r="G30" s="1053">
        <f>'Primary Sources'!U52-'Existing Management Practices'!G178</f>
        <v>267.99681954375001</v>
      </c>
      <c r="H30" s="670"/>
    </row>
    <row r="31" spans="2:9" x14ac:dyDescent="0.3">
      <c r="B31" s="684" t="s">
        <v>148</v>
      </c>
      <c r="C31" s="687">
        <f>'Secondary Sources'!C134*'Secondary Sources'!$C$60</f>
        <v>975.86184163876669</v>
      </c>
      <c r="D31" s="685">
        <f>'Secondary Sources'!D134*'Secondary Sources'!$C$60</f>
        <v>162.6436402731278</v>
      </c>
      <c r="E31" s="685">
        <f>'Secondary Sources'!E134*'Secondary Sources'!$C$60</f>
        <v>6505.7456109251107</v>
      </c>
      <c r="F31" s="685">
        <f>'Secondary Sources'!F134*'Secondary Sources'!$C$60</f>
        <v>738402.12684000016</v>
      </c>
      <c r="G31" s="686"/>
      <c r="H31" s="670"/>
    </row>
    <row r="32" spans="2:9" x14ac:dyDescent="0.3">
      <c r="B32" s="684" t="s">
        <v>153</v>
      </c>
      <c r="C32" s="687">
        <f>'Secondary Sources'!C135</f>
        <v>0</v>
      </c>
      <c r="D32" s="685">
        <f>'Secondary Sources'!D135</f>
        <v>0</v>
      </c>
      <c r="E32" s="685">
        <f>'Secondary Sources'!E135</f>
        <v>0</v>
      </c>
      <c r="F32" s="685">
        <f>'Secondary Sources'!F135</f>
        <v>0</v>
      </c>
      <c r="G32" s="686">
        <f>'Secondary Sources'!G135</f>
        <v>0</v>
      </c>
      <c r="H32" s="670"/>
    </row>
    <row r="33" spans="2:9" x14ac:dyDescent="0.3">
      <c r="B33" s="684" t="s">
        <v>232</v>
      </c>
      <c r="C33" s="687">
        <f>'Secondary Sources'!C137</f>
        <v>0</v>
      </c>
      <c r="D33" s="685">
        <f>'Secondary Sources'!D137</f>
        <v>0</v>
      </c>
      <c r="E33" s="685">
        <f>'Secondary Sources'!E137</f>
        <v>3922983.5369412447</v>
      </c>
      <c r="F33" s="685">
        <f>'Secondary Sources'!F137</f>
        <v>0</v>
      </c>
      <c r="G33" s="686"/>
      <c r="H33" s="670"/>
    </row>
    <row r="34" spans="2:9" x14ac:dyDescent="0.3">
      <c r="B34" s="684" t="s">
        <v>202</v>
      </c>
      <c r="C34" s="685">
        <f>'Secondary Sources'!C140-'Existing Management Practices'!C180</f>
        <v>0</v>
      </c>
      <c r="D34" s="685">
        <f>'Secondary Sources'!D140-'Existing Management Practices'!D180</f>
        <v>0</v>
      </c>
      <c r="E34" s="685">
        <f>'Secondary Sources'!E140-'Existing Management Practices'!E180</f>
        <v>0</v>
      </c>
      <c r="F34" s="685">
        <f>'Secondary Sources'!F140-'Existing Management Practices'!F180</f>
        <v>0</v>
      </c>
      <c r="G34" s="686">
        <f>'Secondary Sources'!G140-'Existing Management Practices'!G180</f>
        <v>0</v>
      </c>
      <c r="H34" s="670"/>
      <c r="I34" s="683"/>
    </row>
    <row r="35" spans="2:9" x14ac:dyDescent="0.3">
      <c r="B35" s="684" t="s">
        <v>37</v>
      </c>
      <c r="C35" s="685">
        <f>SUM('Primary Sources'!P36:P40)*'Primary Sources'!C59</f>
        <v>0</v>
      </c>
      <c r="D35" s="685">
        <f>SUM('Primary Sources'!Q36:Q40)*'Primary Sources'!D59</f>
        <v>0</v>
      </c>
      <c r="E35" s="685">
        <f>SUM('Primary Sources'!R36:R40)*'Primary Sources'!E59</f>
        <v>0</v>
      </c>
      <c r="F35" s="685">
        <f>SUM('Primary Sources'!S36:S40)*'Primary Sources'!F59</f>
        <v>0</v>
      </c>
      <c r="G35" s="1054">
        <f>SUM('Primary Sources'!U36:U40)</f>
        <v>0</v>
      </c>
      <c r="H35" s="670"/>
    </row>
    <row r="36" spans="2:9" x14ac:dyDescent="0.3">
      <c r="B36" s="684" t="s">
        <v>500</v>
      </c>
      <c r="C36" s="685">
        <f>SUM('Primary Sources'!P41:P50)*'Primary Sources'!C59</f>
        <v>0</v>
      </c>
      <c r="D36" s="685">
        <f>SUM('Primary Sources'!Q41:Q50)*'Primary Sources'!D59</f>
        <v>0</v>
      </c>
      <c r="E36" s="685">
        <f>SUM('Primary Sources'!R41:R50)*'Primary Sources'!E59</f>
        <v>0</v>
      </c>
      <c r="F36" s="685">
        <f>SUM('Primary Sources'!S41:S50)*'Primary Sources'!F59</f>
        <v>0</v>
      </c>
      <c r="G36" s="1054">
        <f>SUM('Primary Sources'!U41:U50)</f>
        <v>0</v>
      </c>
      <c r="H36" s="670"/>
    </row>
    <row r="37" spans="2:9" x14ac:dyDescent="0.3">
      <c r="B37" s="684" t="s">
        <v>181</v>
      </c>
      <c r="C37" s="685">
        <f>'Secondary Sources'!C138</f>
        <v>0</v>
      </c>
      <c r="D37" s="685">
        <f>'Secondary Sources'!D138</f>
        <v>0</v>
      </c>
      <c r="E37" s="685">
        <f>'Secondary Sources'!E138</f>
        <v>0</v>
      </c>
      <c r="F37" s="685">
        <f>'Secondary Sources'!F138</f>
        <v>0</v>
      </c>
      <c r="G37" s="688">
        <f>'Secondary Sources'!G138</f>
        <v>0</v>
      </c>
      <c r="H37" s="670"/>
    </row>
    <row r="38" spans="2:9" ht="14.5" thickBot="1" x14ac:dyDescent="0.35">
      <c r="B38" s="689" t="s">
        <v>39</v>
      </c>
      <c r="C38" s="685">
        <f>'Primary Sources'!P51</f>
        <v>0</v>
      </c>
      <c r="D38" s="685">
        <f>'Primary Sources'!Q51</f>
        <v>0</v>
      </c>
      <c r="E38" s="685">
        <f>'Primary Sources'!R51</f>
        <v>0</v>
      </c>
      <c r="F38" s="685">
        <f>'Primary Sources'!S51</f>
        <v>0</v>
      </c>
      <c r="G38" s="688"/>
      <c r="H38" s="670"/>
    </row>
    <row r="39" spans="2:9" ht="14.5" thickBot="1" x14ac:dyDescent="0.35">
      <c r="B39" s="690" t="s">
        <v>529</v>
      </c>
      <c r="C39" s="691">
        <f>SUM(C29:C38)</f>
        <v>174216.04452391123</v>
      </c>
      <c r="D39" s="691">
        <f>SUM(D29:D38)</f>
        <v>43575.341565151786</v>
      </c>
      <c r="E39" s="691">
        <f>SUM(E29:E38)</f>
        <v>7158866.3077333476</v>
      </c>
      <c r="F39" s="691">
        <f>SUM(F29:F38)</f>
        <v>2899911.2629513727</v>
      </c>
      <c r="G39" s="692">
        <f>SUM(G29:G38)</f>
        <v>25597.159794763564</v>
      </c>
      <c r="H39" s="670"/>
    </row>
    <row r="40" spans="2:9" ht="22.5" customHeight="1" thickTop="1" thickBot="1" x14ac:dyDescent="0.35">
      <c r="C40" s="693"/>
      <c r="D40" s="693"/>
      <c r="E40" s="693"/>
      <c r="F40" s="694"/>
      <c r="G40" s="694"/>
    </row>
    <row r="41" spans="2:9" ht="27" customHeight="1" thickTop="1" x14ac:dyDescent="0.4">
      <c r="B41" s="1871" t="s">
        <v>501</v>
      </c>
      <c r="C41" s="1872"/>
      <c r="D41" s="1872"/>
      <c r="E41" s="1872"/>
      <c r="F41" s="1873"/>
    </row>
    <row r="42" spans="2:9" x14ac:dyDescent="0.3">
      <c r="B42" s="695"/>
      <c r="C42" s="674" t="s">
        <v>10</v>
      </c>
      <c r="D42" s="674" t="s">
        <v>11</v>
      </c>
      <c r="E42" s="674" t="s">
        <v>12</v>
      </c>
      <c r="F42" s="696" t="s">
        <v>495</v>
      </c>
    </row>
    <row r="43" spans="2:9" x14ac:dyDescent="0.3">
      <c r="B43" s="697"/>
      <c r="C43" s="674" t="s">
        <v>497</v>
      </c>
      <c r="D43" s="674" t="s">
        <v>497</v>
      </c>
      <c r="E43" s="674" t="s">
        <v>497</v>
      </c>
      <c r="F43" s="696" t="s">
        <v>498</v>
      </c>
    </row>
    <row r="44" spans="2:9" x14ac:dyDescent="0.3">
      <c r="B44" s="766" t="s">
        <v>37</v>
      </c>
      <c r="C44" s="685">
        <f>SUM('Primary Sources'!P36:P40)*(1-'Primary Sources'!C59)</f>
        <v>0</v>
      </c>
      <c r="D44" s="685">
        <f>SUM('Primary Sources'!Q36:Q40)*(1-'Primary Sources'!D59)</f>
        <v>0</v>
      </c>
      <c r="E44" s="685">
        <f>SUM('Primary Sources'!R36:R40)*(1-'Primary Sources'!E59)</f>
        <v>0</v>
      </c>
      <c r="F44" s="889">
        <f>SUM('Primary Sources'!S36:S40)*(1-'Primary Sources'!F59)</f>
        <v>0</v>
      </c>
    </row>
    <row r="45" spans="2:9" x14ac:dyDescent="0.3">
      <c r="B45" s="766" t="s">
        <v>500</v>
      </c>
      <c r="C45" s="685">
        <f>SUM('Primary Sources'!P41:P50)*(1-'Primary Sources'!C59)</f>
        <v>0</v>
      </c>
      <c r="D45" s="685">
        <f>SUM('Primary Sources'!Q41:Q50)*(1-'Primary Sources'!D59)</f>
        <v>0</v>
      </c>
      <c r="E45" s="685">
        <f>SUM('Primary Sources'!R41:R50)*(1-'Primary Sources'!E59)</f>
        <v>0</v>
      </c>
      <c r="F45" s="889">
        <f>SUM('Primary Sources'!S41:S50)*(1-'Primary Sources'!F59)</f>
        <v>0</v>
      </c>
    </row>
    <row r="46" spans="2:9" x14ac:dyDescent="0.3">
      <c r="B46" s="698" t="s">
        <v>148</v>
      </c>
      <c r="C46" s="685">
        <f>'Secondary Sources'!C134*(1-'Secondary Sources'!$C$60)</f>
        <v>975.86184163876669</v>
      </c>
      <c r="D46" s="685">
        <f>'Secondary Sources'!D134*(1-'Secondary Sources'!$C$60)</f>
        <v>162.6436402731278</v>
      </c>
      <c r="E46" s="685">
        <f>'Secondary Sources'!E134*(1-'Secondary Sources'!$C$60)</f>
        <v>6505.7456109251107</v>
      </c>
      <c r="F46" s="688">
        <f>'Secondary Sources'!F134*(1-'Secondary Sources'!$C$60)</f>
        <v>738402.12684000016</v>
      </c>
    </row>
    <row r="47" spans="2:9" x14ac:dyDescent="0.3">
      <c r="B47" s="698" t="s">
        <v>160</v>
      </c>
      <c r="C47" s="687">
        <f>'Secondary Sources'!C136</f>
        <v>1106.7933342687224</v>
      </c>
      <c r="D47" s="685">
        <f>'Secondary Sources'!D136</f>
        <v>293.52719392731279</v>
      </c>
      <c r="E47" s="685">
        <f>'Secondary Sources'!E136</f>
        <v>8087.5228768612342</v>
      </c>
      <c r="F47" s="688">
        <f>'Secondary Sources'!F136</f>
        <v>672096.91720499983</v>
      </c>
    </row>
    <row r="48" spans="2:9" x14ac:dyDescent="0.3">
      <c r="B48" s="698" t="s">
        <v>196</v>
      </c>
      <c r="C48" s="699">
        <f>'Secondary Sources'!C139-'Existing Management Practices'!C184</f>
        <v>0</v>
      </c>
      <c r="D48" s="700">
        <f>'Secondary Sources'!D139-'Existing Management Practices'!D184</f>
        <v>0</v>
      </c>
      <c r="E48" s="700">
        <f>'Secondary Sources'!E139-'Existing Management Practices'!E184</f>
        <v>0</v>
      </c>
      <c r="F48" s="701">
        <f>'Secondary Sources'!F139-'Existing Management Practices'!F184</f>
        <v>0</v>
      </c>
    </row>
    <row r="49" spans="2:39" x14ac:dyDescent="0.3">
      <c r="B49" s="698" t="s">
        <v>592</v>
      </c>
      <c r="C49" s="700">
        <f>'Secondary Sources'!C141</f>
        <v>0</v>
      </c>
      <c r="D49" s="700">
        <f>'Secondary Sources'!D141</f>
        <v>0</v>
      </c>
      <c r="E49" s="700">
        <f>'Secondary Sources'!E141</f>
        <v>0</v>
      </c>
      <c r="F49" s="701">
        <f>'Secondary Sources'!F141</f>
        <v>0</v>
      </c>
    </row>
    <row r="50" spans="2:39" ht="14.5" thickBot="1" x14ac:dyDescent="0.35">
      <c r="B50" s="705" t="s">
        <v>629</v>
      </c>
      <c r="C50" s="703">
        <f>'Secondary Sources'!C133</f>
        <v>20198.082240000003</v>
      </c>
      <c r="D50" s="703">
        <f>'Secondary Sources'!D133</f>
        <v>3366.3470400000006</v>
      </c>
      <c r="E50" s="703">
        <f>'Secondary Sources'!E133</f>
        <v>134653.88160000002</v>
      </c>
      <c r="F50" s="704">
        <f>'Secondary Sources'!F133</f>
        <v>210841.67160000006</v>
      </c>
      <c r="L50" s="707"/>
    </row>
    <row r="51" spans="2:39" ht="15" thickTop="1" thickBot="1" x14ac:dyDescent="0.35">
      <c r="B51" s="706" t="s">
        <v>530</v>
      </c>
      <c r="C51" s="691">
        <f>SUM(C41:C50)</f>
        <v>22280.737415907493</v>
      </c>
      <c r="D51" s="691">
        <f>SUM(D41:D50)</f>
        <v>3822.5178742004409</v>
      </c>
      <c r="E51" s="691">
        <f>SUM(E41:E50)</f>
        <v>149247.15008778637</v>
      </c>
      <c r="F51" s="708">
        <f>SUM(F41:F50)</f>
        <v>1621340.7156449999</v>
      </c>
      <c r="H51" s="670"/>
    </row>
    <row r="52" spans="2:39" ht="15" thickTop="1" thickBot="1" x14ac:dyDescent="0.35">
      <c r="D52" s="694"/>
      <c r="E52" s="694"/>
      <c r="F52" s="694"/>
      <c r="G52" s="694"/>
      <c r="H52" s="694"/>
      <c r="I52" s="672"/>
      <c r="AK52" s="694"/>
      <c r="AL52" s="694"/>
      <c r="AM52" s="694"/>
    </row>
    <row r="53" spans="2:39" ht="66" customHeight="1" thickTop="1" x14ac:dyDescent="0.4">
      <c r="B53" s="1874" t="s">
        <v>533</v>
      </c>
      <c r="C53" s="1875"/>
      <c r="D53" s="1875"/>
      <c r="E53" s="1876"/>
      <c r="H53" s="670"/>
      <c r="AH53" s="694"/>
      <c r="AI53" s="694"/>
      <c r="AJ53" s="694"/>
    </row>
    <row r="54" spans="2:39" x14ac:dyDescent="0.3">
      <c r="B54" s="673"/>
      <c r="C54" s="674" t="s">
        <v>10</v>
      </c>
      <c r="D54" s="674" t="s">
        <v>11</v>
      </c>
      <c r="E54" s="696" t="s">
        <v>495</v>
      </c>
      <c r="F54" s="709"/>
      <c r="G54" s="710"/>
      <c r="H54" s="670"/>
      <c r="I54" s="709"/>
      <c r="J54" s="709"/>
      <c r="K54" s="709"/>
      <c r="L54" s="709"/>
      <c r="AH54" s="694"/>
      <c r="AI54" s="694"/>
      <c r="AJ54" s="694"/>
    </row>
    <row r="55" spans="2:39" x14ac:dyDescent="0.3">
      <c r="B55" s="673"/>
      <c r="C55" s="674" t="s">
        <v>497</v>
      </c>
      <c r="D55" s="674" t="s">
        <v>497</v>
      </c>
      <c r="E55" s="696" t="s">
        <v>498</v>
      </c>
      <c r="F55" s="710"/>
      <c r="G55" s="710"/>
      <c r="H55" s="670"/>
      <c r="AH55" s="694"/>
      <c r="AI55" s="694"/>
      <c r="AJ55" s="694"/>
    </row>
    <row r="56" spans="2:39" x14ac:dyDescent="0.3">
      <c r="B56" s="684" t="s">
        <v>499</v>
      </c>
      <c r="C56" s="1172">
        <f>-'Existing Management Practices'!C193</f>
        <v>1014483.4694382465</v>
      </c>
      <c r="D56" s="1172">
        <f>-'Existing Management Practices'!D193</f>
        <v>71677.198280321798</v>
      </c>
      <c r="E56" s="1176">
        <f>-'Existing Management Practices'!F193</f>
        <v>4968.5412981350783</v>
      </c>
      <c r="F56" s="709"/>
      <c r="G56" s="710"/>
      <c r="H56" s="683"/>
    </row>
    <row r="57" spans="2:39" ht="14.5" thickBot="1" x14ac:dyDescent="0.35">
      <c r="B57" s="702" t="s">
        <v>629</v>
      </c>
      <c r="C57" s="1181">
        <f>'Secondary Sources'!C147</f>
        <v>199763.31497472004</v>
      </c>
      <c r="D57" s="1181">
        <f>'Secondary Sources'!D147</f>
        <v>0</v>
      </c>
      <c r="E57" s="1182">
        <f>'Secondary Sources'!F147</f>
        <v>0</v>
      </c>
      <c r="F57" s="710"/>
      <c r="G57" s="1030"/>
      <c r="H57" s="670"/>
      <c r="AH57" s="694"/>
      <c r="AI57" s="694"/>
      <c r="AJ57" s="694"/>
    </row>
    <row r="58" spans="2:39" ht="15" thickTop="1" thickBot="1" x14ac:dyDescent="0.35">
      <c r="B58" s="706" t="s">
        <v>41</v>
      </c>
      <c r="C58" s="1177">
        <f>C57+C56</f>
        <v>1214246.7844129666</v>
      </c>
      <c r="D58" s="1177">
        <f>D57+D56</f>
        <v>71677.198280321798</v>
      </c>
      <c r="E58" s="1178">
        <f>E57+E56</f>
        <v>4968.5412981350783</v>
      </c>
      <c r="F58" s="774"/>
      <c r="G58" s="711"/>
      <c r="H58" s="670"/>
      <c r="AI58" s="694"/>
      <c r="AJ58" s="694"/>
      <c r="AK58" s="694"/>
    </row>
    <row r="59" spans="2:39" ht="14.5" thickTop="1" x14ac:dyDescent="0.3">
      <c r="C59" s="694"/>
      <c r="D59" s="694"/>
      <c r="E59" s="694"/>
      <c r="F59" s="711"/>
      <c r="G59" s="711"/>
      <c r="AJ59" s="694"/>
      <c r="AK59" s="694"/>
      <c r="AL59" s="694"/>
    </row>
    <row r="60" spans="2:39" x14ac:dyDescent="0.3">
      <c r="C60" s="694"/>
      <c r="D60" s="694"/>
      <c r="E60" s="694"/>
      <c r="F60" s="711"/>
      <c r="G60" s="711"/>
      <c r="AJ60" s="694"/>
      <c r="AK60" s="694"/>
      <c r="AL60" s="694"/>
    </row>
    <row r="61" spans="2:39" x14ac:dyDescent="0.3">
      <c r="C61" s="1036"/>
      <c r="D61" s="1036"/>
      <c r="E61" s="1036"/>
      <c r="F61" s="1036"/>
      <c r="G61" s="1036"/>
      <c r="AJ61" s="694"/>
      <c r="AK61" s="694"/>
      <c r="AL61" s="694"/>
    </row>
    <row r="62" spans="2:39" x14ac:dyDescent="0.3">
      <c r="C62" s="1036"/>
      <c r="D62" s="1036"/>
      <c r="E62" s="1036"/>
      <c r="F62" s="1036"/>
      <c r="G62" s="1036"/>
      <c r="AJ62" s="694"/>
      <c r="AK62" s="694"/>
      <c r="AL62" s="694"/>
    </row>
    <row r="63" spans="2:39" x14ac:dyDescent="0.3">
      <c r="C63" s="694"/>
      <c r="D63" s="694"/>
      <c r="E63" s="694"/>
      <c r="F63" s="711"/>
      <c r="G63" s="711"/>
      <c r="AJ63" s="694"/>
      <c r="AK63" s="694"/>
      <c r="AL63" s="694"/>
    </row>
    <row r="64" spans="2:39" x14ac:dyDescent="0.3">
      <c r="C64" s="694"/>
      <c r="D64" s="694"/>
      <c r="E64" s="694"/>
      <c r="F64" s="711"/>
      <c r="G64" s="711"/>
      <c r="AJ64" s="694"/>
      <c r="AK64" s="694"/>
      <c r="AL64" s="694"/>
    </row>
    <row r="65" spans="3:38" x14ac:dyDescent="0.3">
      <c r="C65" s="694"/>
      <c r="D65" s="694"/>
      <c r="E65" s="694"/>
      <c r="F65" s="711"/>
      <c r="G65" s="711"/>
      <c r="AJ65" s="694"/>
      <c r="AK65" s="694"/>
      <c r="AL65" s="694"/>
    </row>
    <row r="66" spans="3:38" x14ac:dyDescent="0.3">
      <c r="C66" s="694"/>
      <c r="D66" s="694"/>
      <c r="E66" s="694"/>
      <c r="F66" s="711"/>
      <c r="G66" s="711"/>
      <c r="AJ66" s="694"/>
      <c r="AK66" s="694"/>
      <c r="AL66" s="694"/>
    </row>
    <row r="67" spans="3:38" x14ac:dyDescent="0.3">
      <c r="C67" s="693"/>
      <c r="F67" s="710"/>
      <c r="G67" s="710"/>
      <c r="AJ67" s="694"/>
      <c r="AK67" s="694"/>
      <c r="AL67" s="694"/>
    </row>
    <row r="68" spans="3:38" x14ac:dyDescent="0.3">
      <c r="C68" s="693"/>
      <c r="F68" s="710"/>
      <c r="G68" s="710"/>
    </row>
    <row r="69" spans="3:38" x14ac:dyDescent="0.3">
      <c r="C69" s="693"/>
      <c r="F69" s="710"/>
      <c r="G69" s="710"/>
    </row>
    <row r="70" spans="3:38" x14ac:dyDescent="0.3">
      <c r="C70" s="693"/>
      <c r="F70" s="710"/>
      <c r="G70" s="710"/>
    </row>
    <row r="71" spans="3:38" x14ac:dyDescent="0.3">
      <c r="C71" s="693"/>
      <c r="F71" s="710"/>
      <c r="G71" s="710"/>
    </row>
    <row r="72" spans="3:38" x14ac:dyDescent="0.3">
      <c r="F72" s="710"/>
      <c r="G72" s="710"/>
    </row>
    <row r="73" spans="3:38" x14ac:dyDescent="0.3">
      <c r="F73" s="710"/>
      <c r="G73" s="710"/>
    </row>
    <row r="74" spans="3:38" x14ac:dyDescent="0.3">
      <c r="F74" s="710"/>
      <c r="G74" s="710"/>
    </row>
    <row r="75" spans="3:38" x14ac:dyDescent="0.3">
      <c r="F75" s="710"/>
      <c r="G75" s="710"/>
    </row>
    <row r="76" spans="3:38" x14ac:dyDescent="0.3">
      <c r="F76" s="710"/>
      <c r="G76" s="710"/>
    </row>
    <row r="77" spans="3:38" x14ac:dyDescent="0.3">
      <c r="F77" s="710"/>
      <c r="G77" s="710"/>
    </row>
    <row r="78" spans="3:38" x14ac:dyDescent="0.3">
      <c r="F78" s="710"/>
      <c r="G78" s="710"/>
    </row>
    <row r="79" spans="3:38" x14ac:dyDescent="0.3">
      <c r="F79" s="710"/>
      <c r="G79" s="710"/>
    </row>
    <row r="80" spans="3:38" x14ac:dyDescent="0.3">
      <c r="F80" s="710"/>
      <c r="G80" s="710"/>
    </row>
    <row r="81" spans="6:7" x14ac:dyDescent="0.3">
      <c r="F81" s="710"/>
      <c r="G81" s="710"/>
    </row>
    <row r="82" spans="6:7" x14ac:dyDescent="0.3">
      <c r="F82" s="710"/>
      <c r="G82" s="710"/>
    </row>
    <row r="83" spans="6:7" x14ac:dyDescent="0.3">
      <c r="F83" s="710"/>
      <c r="G83" s="710"/>
    </row>
    <row r="84" spans="6:7" x14ac:dyDescent="0.3">
      <c r="F84" s="710"/>
      <c r="G84" s="710"/>
    </row>
    <row r="85" spans="6:7" x14ac:dyDescent="0.3">
      <c r="F85" s="710"/>
      <c r="G85" s="710"/>
    </row>
    <row r="86" spans="6:7" x14ac:dyDescent="0.3">
      <c r="F86" s="710"/>
      <c r="G86" s="710"/>
    </row>
    <row r="87" spans="6:7" x14ac:dyDescent="0.3">
      <c r="F87" s="710"/>
      <c r="G87" s="710"/>
    </row>
    <row r="88" spans="6:7" x14ac:dyDescent="0.3">
      <c r="F88" s="710"/>
      <c r="G88" s="710"/>
    </row>
  </sheetData>
  <mergeCells count="4">
    <mergeCell ref="B26:G26"/>
    <mergeCell ref="B41:F41"/>
    <mergeCell ref="B4:G4"/>
    <mergeCell ref="B53:E53"/>
  </mergeCells>
  <phoneticPr fontId="15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11"/>
  </sheetPr>
  <dimension ref="C1:K45"/>
  <sheetViews>
    <sheetView topLeftCell="B1" workbookViewId="0">
      <selection activeCell="M10" sqref="M10"/>
    </sheetView>
  </sheetViews>
  <sheetFormatPr defaultRowHeight="12.5" x14ac:dyDescent="0.25"/>
  <cols>
    <col min="3" max="3" width="14.26953125" customWidth="1"/>
    <col min="4" max="4" width="19.81640625" customWidth="1"/>
    <col min="5" max="5" width="15.26953125" customWidth="1"/>
    <col min="6" max="6" width="11" customWidth="1"/>
    <col min="7" max="7" width="9.81640625" customWidth="1"/>
    <col min="8" max="8" width="13.26953125" customWidth="1"/>
    <col min="9" max="9" width="13.81640625" customWidth="1"/>
    <col min="10" max="10" width="18" customWidth="1"/>
  </cols>
  <sheetData>
    <row r="1" spans="3:11" ht="13" thickBot="1" x14ac:dyDescent="0.3"/>
    <row r="2" spans="3:11" ht="16" thickTop="1" x14ac:dyDescent="0.35">
      <c r="C2" s="947"/>
      <c r="D2" s="812"/>
      <c r="E2" s="1877" t="s">
        <v>617</v>
      </c>
      <c r="F2" s="1878"/>
      <c r="G2" s="1879"/>
      <c r="H2" s="1880" t="s">
        <v>618</v>
      </c>
      <c r="I2" s="1880"/>
      <c r="J2" s="1881"/>
    </row>
    <row r="3" spans="3:11" ht="13" thickBot="1" x14ac:dyDescent="0.3">
      <c r="C3" s="948" t="s">
        <v>619</v>
      </c>
      <c r="D3" s="949" t="s">
        <v>620</v>
      </c>
      <c r="E3" s="950" t="s">
        <v>10</v>
      </c>
      <c r="F3" s="951" t="s">
        <v>11</v>
      </c>
      <c r="G3" s="952" t="s">
        <v>12</v>
      </c>
      <c r="H3" s="950" t="s">
        <v>10</v>
      </c>
      <c r="I3" s="951" t="s">
        <v>11</v>
      </c>
      <c r="J3" s="953" t="s">
        <v>12</v>
      </c>
      <c r="K3" s="269"/>
    </row>
    <row r="4" spans="3:11" x14ac:dyDescent="0.25">
      <c r="C4" s="1243"/>
      <c r="D4" s="1699">
        <f>'Retrofit Worksheet'!AZ68</f>
        <v>2481</v>
      </c>
      <c r="E4" s="1690">
        <v>7.4999999999999997E-2</v>
      </c>
      <c r="F4" s="1691">
        <v>6.8000000000000005E-2</v>
      </c>
      <c r="G4" s="1692">
        <f>15/45</f>
        <v>0.33333333333333331</v>
      </c>
      <c r="H4" s="954">
        <f>$D4*E4</f>
        <v>186.07499999999999</v>
      </c>
      <c r="I4" s="955">
        <f>$D4*F4</f>
        <v>168.708</v>
      </c>
      <c r="J4" s="956">
        <f>$D4*G4</f>
        <v>827</v>
      </c>
      <c r="K4" s="269"/>
    </row>
    <row r="5" spans="3:11" x14ac:dyDescent="0.25">
      <c r="C5" s="1244"/>
      <c r="D5" s="1700">
        <f>'Retrofit Worksheet'!AZ69</f>
        <v>0</v>
      </c>
      <c r="E5" s="1693">
        <v>7.4999999999999997E-2</v>
      </c>
      <c r="F5" s="1694">
        <v>6.8000000000000005E-2</v>
      </c>
      <c r="G5" s="1695">
        <f t="shared" ref="G5:G10" si="0">15/45</f>
        <v>0.33333333333333331</v>
      </c>
      <c r="H5" s="957">
        <f t="shared" ref="H5:J43" si="1">$D5*E5</f>
        <v>0</v>
      </c>
      <c r="I5" s="958">
        <f t="shared" si="1"/>
        <v>0</v>
      </c>
      <c r="J5" s="959">
        <f t="shared" si="1"/>
        <v>0</v>
      </c>
    </row>
    <row r="6" spans="3:11" x14ac:dyDescent="0.25">
      <c r="C6" s="1244"/>
      <c r="D6" s="1700">
        <f>'Retrofit Worksheet'!AZ70</f>
        <v>0</v>
      </c>
      <c r="E6" s="1693">
        <v>7.4999999999999997E-2</v>
      </c>
      <c r="F6" s="1694">
        <v>6.8000000000000005E-2</v>
      </c>
      <c r="G6" s="1695">
        <f t="shared" si="0"/>
        <v>0.33333333333333331</v>
      </c>
      <c r="H6" s="957">
        <f t="shared" si="1"/>
        <v>0</v>
      </c>
      <c r="I6" s="958">
        <f t="shared" si="1"/>
        <v>0</v>
      </c>
      <c r="J6" s="959">
        <f t="shared" si="1"/>
        <v>0</v>
      </c>
    </row>
    <row r="7" spans="3:11" x14ac:dyDescent="0.25">
      <c r="C7" s="1244"/>
      <c r="D7" s="1700">
        <f>'Retrofit Worksheet'!AZ71</f>
        <v>0</v>
      </c>
      <c r="E7" s="1693">
        <v>7.4999999999999997E-2</v>
      </c>
      <c r="F7" s="1694">
        <v>6.8000000000000005E-2</v>
      </c>
      <c r="G7" s="1695">
        <f t="shared" si="0"/>
        <v>0.33333333333333331</v>
      </c>
      <c r="H7" s="957">
        <f t="shared" si="1"/>
        <v>0</v>
      </c>
      <c r="I7" s="958">
        <f t="shared" si="1"/>
        <v>0</v>
      </c>
      <c r="J7" s="959">
        <f t="shared" si="1"/>
        <v>0</v>
      </c>
    </row>
    <row r="8" spans="3:11" x14ac:dyDescent="0.25">
      <c r="C8" s="1244"/>
      <c r="D8" s="1700">
        <f>'Retrofit Worksheet'!AZ72</f>
        <v>0</v>
      </c>
      <c r="E8" s="1693">
        <v>7.4999999999999997E-2</v>
      </c>
      <c r="F8" s="1694">
        <v>6.8000000000000005E-2</v>
      </c>
      <c r="G8" s="1695">
        <f t="shared" si="0"/>
        <v>0.33333333333333331</v>
      </c>
      <c r="H8" s="957">
        <f t="shared" si="1"/>
        <v>0</v>
      </c>
      <c r="I8" s="958">
        <f t="shared" si="1"/>
        <v>0</v>
      </c>
      <c r="J8" s="959">
        <f t="shared" si="1"/>
        <v>0</v>
      </c>
    </row>
    <row r="9" spans="3:11" x14ac:dyDescent="0.25">
      <c r="C9" s="1244"/>
      <c r="D9" s="1700">
        <f>'Retrofit Worksheet'!AZ72</f>
        <v>0</v>
      </c>
      <c r="E9" s="1693">
        <v>7.4999999999999997E-2</v>
      </c>
      <c r="F9" s="1694">
        <v>6.8000000000000005E-2</v>
      </c>
      <c r="G9" s="1695">
        <f t="shared" si="0"/>
        <v>0.33333333333333331</v>
      </c>
      <c r="H9" s="957">
        <f t="shared" si="1"/>
        <v>0</v>
      </c>
      <c r="I9" s="958">
        <f t="shared" si="1"/>
        <v>0</v>
      </c>
      <c r="J9" s="959">
        <f t="shared" si="1"/>
        <v>0</v>
      </c>
    </row>
    <row r="10" spans="3:11" x14ac:dyDescent="0.25">
      <c r="C10" s="1244"/>
      <c r="D10" s="1700">
        <f>'Retrofit Worksheet'!AZ73</f>
        <v>0</v>
      </c>
      <c r="E10" s="1693">
        <v>7.4999999999999997E-2</v>
      </c>
      <c r="F10" s="1694">
        <v>6.8000000000000005E-2</v>
      </c>
      <c r="G10" s="1695">
        <f t="shared" si="0"/>
        <v>0.33333333333333331</v>
      </c>
      <c r="H10" s="957">
        <f t="shared" si="1"/>
        <v>0</v>
      </c>
      <c r="I10" s="958">
        <f t="shared" si="1"/>
        <v>0</v>
      </c>
      <c r="J10" s="959">
        <f t="shared" si="1"/>
        <v>0</v>
      </c>
    </row>
    <row r="11" spans="3:11" x14ac:dyDescent="0.25">
      <c r="C11" s="1244"/>
      <c r="D11" s="1700"/>
      <c r="E11" s="1693"/>
      <c r="F11" s="1694"/>
      <c r="G11" s="1695"/>
      <c r="H11" s="957">
        <f t="shared" si="1"/>
        <v>0</v>
      </c>
      <c r="I11" s="958">
        <f t="shared" si="1"/>
        <v>0</v>
      </c>
      <c r="J11" s="959">
        <f t="shared" si="1"/>
        <v>0</v>
      </c>
    </row>
    <row r="12" spans="3:11" x14ac:dyDescent="0.25">
      <c r="C12" s="1244"/>
      <c r="D12" s="1700"/>
      <c r="E12" s="1693"/>
      <c r="F12" s="1694"/>
      <c r="G12" s="1695"/>
      <c r="H12" s="957">
        <f t="shared" si="1"/>
        <v>0</v>
      </c>
      <c r="I12" s="958">
        <f t="shared" si="1"/>
        <v>0</v>
      </c>
      <c r="J12" s="959">
        <f t="shared" si="1"/>
        <v>0</v>
      </c>
    </row>
    <row r="13" spans="3:11" x14ac:dyDescent="0.25">
      <c r="C13" s="1244"/>
      <c r="D13" s="1700"/>
      <c r="E13" s="1693"/>
      <c r="F13" s="1694"/>
      <c r="G13" s="1695"/>
      <c r="H13" s="957">
        <f t="shared" si="1"/>
        <v>0</v>
      </c>
      <c r="I13" s="958">
        <f t="shared" si="1"/>
        <v>0</v>
      </c>
      <c r="J13" s="959">
        <f t="shared" si="1"/>
        <v>0</v>
      </c>
    </row>
    <row r="14" spans="3:11" x14ac:dyDescent="0.25">
      <c r="C14" s="1244"/>
      <c r="D14" s="1245"/>
      <c r="E14" s="1455"/>
      <c r="F14" s="1456"/>
      <c r="G14" s="1457"/>
      <c r="H14" s="957">
        <f t="shared" si="1"/>
        <v>0</v>
      </c>
      <c r="I14" s="958">
        <f t="shared" si="1"/>
        <v>0</v>
      </c>
      <c r="J14" s="959">
        <f t="shared" si="1"/>
        <v>0</v>
      </c>
    </row>
    <row r="15" spans="3:11" x14ac:dyDescent="0.25">
      <c r="C15" s="1244"/>
      <c r="D15" s="1245"/>
      <c r="E15" s="1455"/>
      <c r="F15" s="1456"/>
      <c r="G15" s="1457"/>
      <c r="H15" s="957">
        <f t="shared" si="1"/>
        <v>0</v>
      </c>
      <c r="I15" s="958">
        <f t="shared" si="1"/>
        <v>0</v>
      </c>
      <c r="J15" s="959">
        <f t="shared" si="1"/>
        <v>0</v>
      </c>
    </row>
    <row r="16" spans="3:11" x14ac:dyDescent="0.25">
      <c r="C16" s="1244"/>
      <c r="D16" s="1245"/>
      <c r="E16" s="1455"/>
      <c r="F16" s="1456"/>
      <c r="G16" s="1457"/>
      <c r="H16" s="957">
        <f t="shared" si="1"/>
        <v>0</v>
      </c>
      <c r="I16" s="958">
        <f t="shared" si="1"/>
        <v>0</v>
      </c>
      <c r="J16" s="959">
        <f t="shared" si="1"/>
        <v>0</v>
      </c>
    </row>
    <row r="17" spans="3:10" x14ac:dyDescent="0.25">
      <c r="C17" s="1244"/>
      <c r="D17" s="1245"/>
      <c r="E17" s="1455"/>
      <c r="F17" s="1456"/>
      <c r="G17" s="1457"/>
      <c r="H17" s="957">
        <f t="shared" si="1"/>
        <v>0</v>
      </c>
      <c r="I17" s="958">
        <f t="shared" si="1"/>
        <v>0</v>
      </c>
      <c r="J17" s="959">
        <f t="shared" si="1"/>
        <v>0</v>
      </c>
    </row>
    <row r="18" spans="3:10" x14ac:dyDescent="0.25">
      <c r="C18" s="1244"/>
      <c r="D18" s="1245"/>
      <c r="E18" s="1455"/>
      <c r="F18" s="1456"/>
      <c r="G18" s="1457"/>
      <c r="H18" s="957">
        <f t="shared" si="1"/>
        <v>0</v>
      </c>
      <c r="I18" s="958">
        <f t="shared" si="1"/>
        <v>0</v>
      </c>
      <c r="J18" s="959">
        <f t="shared" si="1"/>
        <v>0</v>
      </c>
    </row>
    <row r="19" spans="3:10" x14ac:dyDescent="0.25">
      <c r="C19" s="1244"/>
      <c r="D19" s="1245"/>
      <c r="E19" s="1455"/>
      <c r="F19" s="1456"/>
      <c r="G19" s="1457"/>
      <c r="H19" s="957">
        <f t="shared" si="1"/>
        <v>0</v>
      </c>
      <c r="I19" s="958">
        <f t="shared" si="1"/>
        <v>0</v>
      </c>
      <c r="J19" s="959">
        <f t="shared" si="1"/>
        <v>0</v>
      </c>
    </row>
    <row r="20" spans="3:10" x14ac:dyDescent="0.25">
      <c r="C20" s="1244"/>
      <c r="D20" s="1245"/>
      <c r="E20" s="1455"/>
      <c r="F20" s="1456"/>
      <c r="G20" s="1457"/>
      <c r="H20" s="957">
        <f t="shared" si="1"/>
        <v>0</v>
      </c>
      <c r="I20" s="958">
        <f t="shared" si="1"/>
        <v>0</v>
      </c>
      <c r="J20" s="959">
        <f t="shared" si="1"/>
        <v>0</v>
      </c>
    </row>
    <row r="21" spans="3:10" x14ac:dyDescent="0.25">
      <c r="C21" s="1244"/>
      <c r="D21" s="1245"/>
      <c r="E21" s="1455"/>
      <c r="F21" s="1456"/>
      <c r="G21" s="1457"/>
      <c r="H21" s="957">
        <f t="shared" si="1"/>
        <v>0</v>
      </c>
      <c r="I21" s="958">
        <f t="shared" si="1"/>
        <v>0</v>
      </c>
      <c r="J21" s="959">
        <f t="shared" si="1"/>
        <v>0</v>
      </c>
    </row>
    <row r="22" spans="3:10" x14ac:dyDescent="0.25">
      <c r="C22" s="1244"/>
      <c r="D22" s="1245"/>
      <c r="E22" s="1455"/>
      <c r="F22" s="1456"/>
      <c r="G22" s="1457"/>
      <c r="H22" s="957">
        <f t="shared" si="1"/>
        <v>0</v>
      </c>
      <c r="I22" s="958">
        <f t="shared" si="1"/>
        <v>0</v>
      </c>
      <c r="J22" s="959">
        <f t="shared" si="1"/>
        <v>0</v>
      </c>
    </row>
    <row r="23" spans="3:10" x14ac:dyDescent="0.25">
      <c r="C23" s="1244"/>
      <c r="D23" s="1245"/>
      <c r="E23" s="1455"/>
      <c r="F23" s="1456"/>
      <c r="G23" s="1457"/>
      <c r="H23" s="957">
        <f t="shared" si="1"/>
        <v>0</v>
      </c>
      <c r="I23" s="958">
        <f t="shared" si="1"/>
        <v>0</v>
      </c>
      <c r="J23" s="959">
        <f t="shared" si="1"/>
        <v>0</v>
      </c>
    </row>
    <row r="24" spans="3:10" x14ac:dyDescent="0.25">
      <c r="C24" s="1244"/>
      <c r="D24" s="1245"/>
      <c r="E24" s="1455"/>
      <c r="F24" s="1456"/>
      <c r="G24" s="1457"/>
      <c r="H24" s="957">
        <f t="shared" si="1"/>
        <v>0</v>
      </c>
      <c r="I24" s="958">
        <f t="shared" si="1"/>
        <v>0</v>
      </c>
      <c r="J24" s="959">
        <f t="shared" si="1"/>
        <v>0</v>
      </c>
    </row>
    <row r="25" spans="3:10" x14ac:dyDescent="0.25">
      <c r="C25" s="1244"/>
      <c r="D25" s="1245"/>
      <c r="E25" s="1455"/>
      <c r="F25" s="1456"/>
      <c r="G25" s="1457"/>
      <c r="H25" s="957">
        <f t="shared" si="1"/>
        <v>0</v>
      </c>
      <c r="I25" s="958">
        <f t="shared" si="1"/>
        <v>0</v>
      </c>
      <c r="J25" s="959">
        <f t="shared" si="1"/>
        <v>0</v>
      </c>
    </row>
    <row r="26" spans="3:10" x14ac:dyDescent="0.25">
      <c r="C26" s="1244"/>
      <c r="D26" s="1245"/>
      <c r="E26" s="1455"/>
      <c r="F26" s="1456"/>
      <c r="G26" s="1457"/>
      <c r="H26" s="957">
        <f t="shared" si="1"/>
        <v>0</v>
      </c>
      <c r="I26" s="958">
        <f t="shared" si="1"/>
        <v>0</v>
      </c>
      <c r="J26" s="959">
        <f t="shared" si="1"/>
        <v>0</v>
      </c>
    </row>
    <row r="27" spans="3:10" x14ac:dyDescent="0.25">
      <c r="C27" s="1244"/>
      <c r="D27" s="1245"/>
      <c r="E27" s="1455"/>
      <c r="F27" s="1456"/>
      <c r="G27" s="1457"/>
      <c r="H27" s="957">
        <f t="shared" si="1"/>
        <v>0</v>
      </c>
      <c r="I27" s="958">
        <f t="shared" si="1"/>
        <v>0</v>
      </c>
      <c r="J27" s="959">
        <f t="shared" si="1"/>
        <v>0</v>
      </c>
    </row>
    <row r="28" spans="3:10" x14ac:dyDescent="0.25">
      <c r="C28" s="1244"/>
      <c r="D28" s="1245"/>
      <c r="E28" s="1455"/>
      <c r="F28" s="1456"/>
      <c r="G28" s="1457"/>
      <c r="H28" s="957">
        <f t="shared" si="1"/>
        <v>0</v>
      </c>
      <c r="I28" s="958">
        <f t="shared" si="1"/>
        <v>0</v>
      </c>
      <c r="J28" s="959">
        <f t="shared" si="1"/>
        <v>0</v>
      </c>
    </row>
    <row r="29" spans="3:10" x14ac:dyDescent="0.25">
      <c r="C29" s="1244"/>
      <c r="D29" s="1245"/>
      <c r="E29" s="1455"/>
      <c r="F29" s="1456"/>
      <c r="G29" s="1457"/>
      <c r="H29" s="957">
        <f t="shared" si="1"/>
        <v>0</v>
      </c>
      <c r="I29" s="958">
        <f t="shared" si="1"/>
        <v>0</v>
      </c>
      <c r="J29" s="959">
        <f t="shared" si="1"/>
        <v>0</v>
      </c>
    </row>
    <row r="30" spans="3:10" x14ac:dyDescent="0.25">
      <c r="C30" s="1244"/>
      <c r="D30" s="1245"/>
      <c r="E30" s="1455"/>
      <c r="F30" s="1456"/>
      <c r="G30" s="1457"/>
      <c r="H30" s="957">
        <f t="shared" si="1"/>
        <v>0</v>
      </c>
      <c r="I30" s="958">
        <f t="shared" si="1"/>
        <v>0</v>
      </c>
      <c r="J30" s="959">
        <f t="shared" si="1"/>
        <v>0</v>
      </c>
    </row>
    <row r="31" spans="3:10" x14ac:dyDescent="0.25">
      <c r="C31" s="1244"/>
      <c r="D31" s="1245"/>
      <c r="E31" s="1455"/>
      <c r="F31" s="1456"/>
      <c r="G31" s="1457"/>
      <c r="H31" s="957">
        <f t="shared" si="1"/>
        <v>0</v>
      </c>
      <c r="I31" s="958">
        <f t="shared" si="1"/>
        <v>0</v>
      </c>
      <c r="J31" s="959">
        <f t="shared" si="1"/>
        <v>0</v>
      </c>
    </row>
    <row r="32" spans="3:10" x14ac:dyDescent="0.25">
      <c r="C32" s="1244"/>
      <c r="D32" s="1245"/>
      <c r="E32" s="1455"/>
      <c r="F32" s="1456"/>
      <c r="G32" s="1457"/>
      <c r="H32" s="957">
        <f t="shared" si="1"/>
        <v>0</v>
      </c>
      <c r="I32" s="958">
        <f t="shared" si="1"/>
        <v>0</v>
      </c>
      <c r="J32" s="959">
        <f t="shared" si="1"/>
        <v>0</v>
      </c>
    </row>
    <row r="33" spans="3:10" x14ac:dyDescent="0.25">
      <c r="C33" s="1244"/>
      <c r="D33" s="1245"/>
      <c r="E33" s="1455"/>
      <c r="F33" s="1456"/>
      <c r="G33" s="1457"/>
      <c r="H33" s="957">
        <f t="shared" si="1"/>
        <v>0</v>
      </c>
      <c r="I33" s="958">
        <f t="shared" si="1"/>
        <v>0</v>
      </c>
      <c r="J33" s="959">
        <f t="shared" si="1"/>
        <v>0</v>
      </c>
    </row>
    <row r="34" spans="3:10" x14ac:dyDescent="0.25">
      <c r="C34" s="1244"/>
      <c r="D34" s="1245"/>
      <c r="E34" s="1455"/>
      <c r="F34" s="1456"/>
      <c r="G34" s="1457"/>
      <c r="H34" s="957">
        <f t="shared" si="1"/>
        <v>0</v>
      </c>
      <c r="I34" s="958">
        <f t="shared" si="1"/>
        <v>0</v>
      </c>
      <c r="J34" s="959">
        <f t="shared" si="1"/>
        <v>0</v>
      </c>
    </row>
    <row r="35" spans="3:10" x14ac:dyDescent="0.25">
      <c r="C35" s="1244"/>
      <c r="D35" s="1245"/>
      <c r="E35" s="1455"/>
      <c r="F35" s="1456"/>
      <c r="G35" s="1457"/>
      <c r="H35" s="957">
        <f t="shared" si="1"/>
        <v>0</v>
      </c>
      <c r="I35" s="958">
        <f t="shared" si="1"/>
        <v>0</v>
      </c>
      <c r="J35" s="959">
        <f t="shared" si="1"/>
        <v>0</v>
      </c>
    </row>
    <row r="36" spans="3:10" x14ac:dyDescent="0.25">
      <c r="C36" s="1244"/>
      <c r="D36" s="1245"/>
      <c r="E36" s="1455"/>
      <c r="F36" s="1456"/>
      <c r="G36" s="1457"/>
      <c r="H36" s="957">
        <f t="shared" si="1"/>
        <v>0</v>
      </c>
      <c r="I36" s="958">
        <f t="shared" si="1"/>
        <v>0</v>
      </c>
      <c r="J36" s="959">
        <f t="shared" si="1"/>
        <v>0</v>
      </c>
    </row>
    <row r="37" spans="3:10" x14ac:dyDescent="0.25">
      <c r="C37" s="1244"/>
      <c r="D37" s="1245"/>
      <c r="E37" s="1455"/>
      <c r="F37" s="1456"/>
      <c r="G37" s="1457"/>
      <c r="H37" s="957">
        <f t="shared" si="1"/>
        <v>0</v>
      </c>
      <c r="I37" s="958">
        <f t="shared" si="1"/>
        <v>0</v>
      </c>
      <c r="J37" s="959">
        <f t="shared" si="1"/>
        <v>0</v>
      </c>
    </row>
    <row r="38" spans="3:10" x14ac:dyDescent="0.25">
      <c r="C38" s="1244"/>
      <c r="D38" s="1245"/>
      <c r="E38" s="1455"/>
      <c r="F38" s="1456"/>
      <c r="G38" s="1457"/>
      <c r="H38" s="957">
        <f t="shared" si="1"/>
        <v>0</v>
      </c>
      <c r="I38" s="958">
        <f t="shared" si="1"/>
        <v>0</v>
      </c>
      <c r="J38" s="959">
        <f t="shared" si="1"/>
        <v>0</v>
      </c>
    </row>
    <row r="39" spans="3:10" x14ac:dyDescent="0.25">
      <c r="C39" s="1244"/>
      <c r="D39" s="1245"/>
      <c r="E39" s="1455"/>
      <c r="F39" s="1456"/>
      <c r="G39" s="1457"/>
      <c r="H39" s="957">
        <f t="shared" si="1"/>
        <v>0</v>
      </c>
      <c r="I39" s="958">
        <f t="shared" si="1"/>
        <v>0</v>
      </c>
      <c r="J39" s="959">
        <f t="shared" si="1"/>
        <v>0</v>
      </c>
    </row>
    <row r="40" spans="3:10" x14ac:dyDescent="0.25">
      <c r="C40" s="1244"/>
      <c r="D40" s="1245"/>
      <c r="E40" s="1455"/>
      <c r="F40" s="1456"/>
      <c r="G40" s="1457"/>
      <c r="H40" s="957">
        <f t="shared" si="1"/>
        <v>0</v>
      </c>
      <c r="I40" s="958">
        <f t="shared" si="1"/>
        <v>0</v>
      </c>
      <c r="J40" s="959">
        <f t="shared" si="1"/>
        <v>0</v>
      </c>
    </row>
    <row r="41" spans="3:10" x14ac:dyDescent="0.25">
      <c r="C41" s="1244"/>
      <c r="D41" s="1245"/>
      <c r="E41" s="1455"/>
      <c r="F41" s="1456"/>
      <c r="G41" s="1457"/>
      <c r="H41" s="957">
        <f t="shared" si="1"/>
        <v>0</v>
      </c>
      <c r="I41" s="958">
        <f t="shared" si="1"/>
        <v>0</v>
      </c>
      <c r="J41" s="959">
        <f t="shared" si="1"/>
        <v>0</v>
      </c>
    </row>
    <row r="42" spans="3:10" x14ac:dyDescent="0.25">
      <c r="C42" s="1244"/>
      <c r="D42" s="1245"/>
      <c r="E42" s="1455"/>
      <c r="F42" s="1456"/>
      <c r="G42" s="1457"/>
      <c r="H42" s="957">
        <f t="shared" si="1"/>
        <v>0</v>
      </c>
      <c r="I42" s="958">
        <f t="shared" si="1"/>
        <v>0</v>
      </c>
      <c r="J42" s="959">
        <f t="shared" si="1"/>
        <v>0</v>
      </c>
    </row>
    <row r="43" spans="3:10" ht="13" thickBot="1" x14ac:dyDescent="0.3">
      <c r="C43" s="1246"/>
      <c r="D43" s="1247"/>
      <c r="E43" s="1458"/>
      <c r="F43" s="1459"/>
      <c r="G43" s="1460"/>
      <c r="H43" s="960">
        <f t="shared" si="1"/>
        <v>0</v>
      </c>
      <c r="I43" s="961">
        <f t="shared" si="1"/>
        <v>0</v>
      </c>
      <c r="J43" s="962">
        <f t="shared" si="1"/>
        <v>0</v>
      </c>
    </row>
    <row r="44" spans="3:10" ht="16.5" thickTop="1" thickBot="1" x14ac:dyDescent="0.4">
      <c r="C44" s="1882" t="s">
        <v>41</v>
      </c>
      <c r="D44" s="1883"/>
      <c r="E44" s="1883"/>
      <c r="F44" s="1883"/>
      <c r="G44" s="1884"/>
      <c r="H44" s="963">
        <f>SUM(H4:H43)</f>
        <v>186.07499999999999</v>
      </c>
      <c r="I44" s="964">
        <f>SUM(I4:I43)</f>
        <v>168.708</v>
      </c>
      <c r="J44" s="965">
        <f>SUM(J4:J43)</f>
        <v>827</v>
      </c>
    </row>
    <row r="45" spans="3:10" ht="13" thickTop="1" x14ac:dyDescent="0.25"/>
  </sheetData>
  <mergeCells count="3">
    <mergeCell ref="E2:G2"/>
    <mergeCell ref="H2:J2"/>
    <mergeCell ref="C44:G44"/>
  </mergeCells>
  <phoneticPr fontId="15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11"/>
  </sheetPr>
  <dimension ref="B2:IV98"/>
  <sheetViews>
    <sheetView topLeftCell="A30" zoomScale="90" zoomScaleNormal="90" workbookViewId="0">
      <pane xSplit="2" topLeftCell="BI1" activePane="topRight" state="frozen"/>
      <selection activeCell="A21" sqref="A21"/>
      <selection pane="topRight" activeCell="AX78" sqref="AX78"/>
    </sheetView>
  </sheetViews>
  <sheetFormatPr defaultColWidth="9.1796875" defaultRowHeight="10" x14ac:dyDescent="0.2"/>
  <cols>
    <col min="1" max="1" width="19" style="599" customWidth="1"/>
    <col min="2" max="2" width="34.26953125" style="601" customWidth="1"/>
    <col min="3" max="3" width="12.54296875" style="601" customWidth="1"/>
    <col min="4" max="4" width="12.453125" style="601" customWidth="1"/>
    <col min="5" max="5" width="11.26953125" style="601" customWidth="1"/>
    <col min="6" max="6" width="22.7265625" style="601" customWidth="1"/>
    <col min="7" max="7" width="15.453125" style="601" customWidth="1"/>
    <col min="8" max="8" width="15.7265625" style="601" customWidth="1"/>
    <col min="9" max="9" width="11" style="601" customWidth="1"/>
    <col min="10" max="10" width="10" style="601" customWidth="1"/>
    <col min="11" max="11" width="9.1796875" style="601"/>
    <col min="12" max="12" width="11.1796875" style="601" customWidth="1"/>
    <col min="13" max="13" width="14.81640625" style="601" customWidth="1"/>
    <col min="14" max="14" width="11" style="601" customWidth="1"/>
    <col min="15" max="15" width="9.453125" style="601" customWidth="1"/>
    <col min="16" max="16" width="16.26953125" style="601" customWidth="1"/>
    <col min="17" max="17" width="16.453125" style="603" customWidth="1"/>
    <col min="18" max="18" width="11.453125" style="601" customWidth="1"/>
    <col min="19" max="19" width="8.7265625" style="601" customWidth="1"/>
    <col min="20" max="20" width="11.1796875" style="601" customWidth="1"/>
    <col min="21" max="22" width="17.7265625" style="601" customWidth="1"/>
    <col min="23" max="23" width="10.81640625" style="601" customWidth="1"/>
    <col min="24" max="24" width="10.54296875" style="599" customWidth="1"/>
    <col min="25" max="26" width="9.1796875" style="599"/>
    <col min="27" max="27" width="10.1796875" style="604" customWidth="1"/>
    <col min="28" max="28" width="10.81640625" style="599" customWidth="1"/>
    <col min="29" max="29" width="10.7265625" style="599" customWidth="1"/>
    <col min="30" max="31" width="9.1796875" style="599"/>
    <col min="32" max="32" width="11.1796875" style="599" customWidth="1"/>
    <col min="33" max="35" width="9.1796875" style="599"/>
    <col min="36" max="36" width="11.1796875" style="599" customWidth="1"/>
    <col min="37" max="37" width="16.453125" style="599" customWidth="1"/>
    <col min="38" max="38" width="9.1796875" style="599"/>
    <col min="39" max="39" width="10.81640625" style="599" bestFit="1" customWidth="1"/>
    <col min="40" max="40" width="9.1796875" style="599"/>
    <col min="41" max="41" width="31.81640625" style="599" customWidth="1"/>
    <col min="42" max="42" width="10" style="599" bestFit="1" customWidth="1"/>
    <col min="43" max="43" width="6.1796875" style="599" bestFit="1" customWidth="1"/>
    <col min="44" max="44" width="10" style="599" bestFit="1" customWidth="1"/>
    <col min="45" max="45" width="7.26953125" style="599" bestFit="1" customWidth="1"/>
    <col min="46" max="46" width="12.7265625" style="599" bestFit="1" customWidth="1"/>
    <col min="47" max="47" width="8.453125" style="599" bestFit="1" customWidth="1"/>
    <col min="48" max="48" width="13.26953125" style="599" bestFit="1" customWidth="1"/>
    <col min="49" max="49" width="8.81640625" style="599" customWidth="1"/>
    <col min="50" max="50" width="13.26953125" style="599" bestFit="1" customWidth="1"/>
    <col min="51" max="51" width="5.26953125" style="599" bestFit="1" customWidth="1"/>
    <col min="52" max="52" width="8.26953125" style="599" bestFit="1" customWidth="1"/>
    <col min="53" max="53" width="7.7265625" style="599" bestFit="1" customWidth="1"/>
    <col min="54" max="54" width="13.7265625" style="599" customWidth="1"/>
    <col min="55" max="55" width="12.1796875" style="599" customWidth="1"/>
    <col min="56" max="56" width="6.81640625" style="599" bestFit="1" customWidth="1"/>
    <col min="57" max="57" width="4.81640625" style="599" bestFit="1" customWidth="1"/>
    <col min="58" max="58" width="9.1796875" style="599"/>
    <col min="59" max="59" width="6" style="599" bestFit="1" customWidth="1"/>
    <col min="60" max="60" width="9.1796875" style="599"/>
    <col min="61" max="61" width="7.1796875" style="599" bestFit="1" customWidth="1"/>
    <col min="62" max="62" width="9.1796875" style="599"/>
    <col min="63" max="63" width="6" style="599" bestFit="1" customWidth="1"/>
    <col min="64" max="16384" width="9.1796875" style="599"/>
  </cols>
  <sheetData>
    <row r="2" spans="2:28" ht="10.5" thickBot="1" x14ac:dyDescent="0.25"/>
    <row r="3" spans="2:28" ht="16.5" thickTop="1" thickBot="1" x14ac:dyDescent="0.4">
      <c r="B3" s="726" t="s">
        <v>452</v>
      </c>
      <c r="C3" s="1248">
        <v>1</v>
      </c>
      <c r="P3" s="602"/>
    </row>
    <row r="4" spans="2:28" ht="11.5" thickTop="1" thickBot="1" x14ac:dyDescent="0.3">
      <c r="B4" s="600"/>
      <c r="P4" s="602"/>
    </row>
    <row r="5" spans="2:28" ht="44.25" customHeight="1" thickTop="1" thickBot="1" x14ac:dyDescent="0.25">
      <c r="B5" s="725" t="s">
        <v>504</v>
      </c>
      <c r="C5" s="1887" t="s">
        <v>505</v>
      </c>
      <c r="D5" s="1888"/>
      <c r="E5" s="1488">
        <f>VLOOKUP(C5,C6:D8,2,FALSE)</f>
        <v>1</v>
      </c>
      <c r="O5" s="602"/>
      <c r="P5" s="603"/>
      <c r="Q5" s="601"/>
      <c r="W5" s="599"/>
      <c r="Z5" s="604"/>
      <c r="AA5" s="599"/>
    </row>
    <row r="6" spans="2:28" ht="20.25" hidden="1" customHeight="1" thickTop="1" x14ac:dyDescent="0.25">
      <c r="B6" s="600"/>
      <c r="C6" s="719" t="s">
        <v>505</v>
      </c>
      <c r="D6" s="719">
        <v>1</v>
      </c>
      <c r="P6" s="602"/>
    </row>
    <row r="7" spans="2:28" ht="35.25" hidden="1" customHeight="1" x14ac:dyDescent="0.25">
      <c r="B7" s="600"/>
      <c r="C7" s="719" t="s">
        <v>506</v>
      </c>
      <c r="D7" s="719" t="s">
        <v>493</v>
      </c>
      <c r="P7" s="602"/>
    </row>
    <row r="8" spans="2:28" ht="17.25" hidden="1" customHeight="1" x14ac:dyDescent="0.25">
      <c r="B8" s="600"/>
      <c r="C8" s="720" t="s">
        <v>536</v>
      </c>
      <c r="D8" s="720" t="s">
        <v>396</v>
      </c>
      <c r="P8" s="602"/>
    </row>
    <row r="9" spans="2:28" ht="11.5" thickTop="1" thickBot="1" x14ac:dyDescent="0.3">
      <c r="B9" s="600"/>
      <c r="C9" s="600"/>
      <c r="D9" s="600"/>
      <c r="P9" s="602"/>
    </row>
    <row r="10" spans="2:28" ht="20.25" customHeight="1" thickTop="1" thickBot="1" x14ac:dyDescent="0.4">
      <c r="B10" s="718" t="s">
        <v>507</v>
      </c>
      <c r="C10" s="721"/>
      <c r="D10" s="721"/>
      <c r="E10" s="730"/>
      <c r="F10" s="731"/>
      <c r="G10" s="722"/>
      <c r="O10" s="602"/>
      <c r="P10" s="603"/>
      <c r="Q10" s="601"/>
      <c r="W10" s="599"/>
      <c r="Z10" s="604"/>
      <c r="AA10" s="599"/>
    </row>
    <row r="11" spans="2:28" ht="21" customHeight="1" thickBot="1" x14ac:dyDescent="0.35">
      <c r="B11" s="732" t="s">
        <v>469</v>
      </c>
      <c r="C11" s="1885" t="s">
        <v>508</v>
      </c>
      <c r="D11" s="1885"/>
      <c r="E11" s="747" t="s">
        <v>517</v>
      </c>
      <c r="F11" s="1899"/>
      <c r="G11" s="1900"/>
      <c r="P11" s="602"/>
    </row>
    <row r="12" spans="2:28" ht="12" hidden="1" customHeight="1" x14ac:dyDescent="0.3">
      <c r="B12" s="86"/>
      <c r="C12" s="727" t="s">
        <v>508</v>
      </c>
      <c r="D12" s="727" t="s">
        <v>493</v>
      </c>
      <c r="E12" s="748"/>
      <c r="F12" s="633"/>
      <c r="G12" s="635"/>
      <c r="O12" s="602"/>
      <c r="P12" s="603"/>
      <c r="Q12" s="601"/>
      <c r="W12" s="599"/>
      <c r="Z12" s="604"/>
      <c r="AA12" s="599"/>
    </row>
    <row r="13" spans="2:28" ht="12" hidden="1" customHeight="1" x14ac:dyDescent="0.3">
      <c r="B13" s="86"/>
      <c r="C13" s="727" t="s">
        <v>509</v>
      </c>
      <c r="D13" s="727" t="s">
        <v>396</v>
      </c>
      <c r="E13" s="748"/>
      <c r="F13" s="633"/>
      <c r="G13" s="635"/>
      <c r="O13" s="602"/>
      <c r="P13" s="603"/>
      <c r="Q13" s="601"/>
      <c r="W13" s="599"/>
      <c r="Z13" s="604"/>
      <c r="AA13" s="599"/>
    </row>
    <row r="14" spans="2:28" ht="12" customHeight="1" thickBot="1" x14ac:dyDescent="0.35">
      <c r="B14" s="86"/>
      <c r="C14" s="723"/>
      <c r="D14" s="723"/>
      <c r="E14" s="749"/>
      <c r="F14" s="729"/>
      <c r="G14" s="635"/>
      <c r="O14" s="602"/>
      <c r="P14" s="603"/>
      <c r="Q14" s="601"/>
      <c r="W14" s="599"/>
      <c r="Z14" s="604"/>
      <c r="AA14" s="599"/>
    </row>
    <row r="15" spans="2:28" ht="16.5" customHeight="1" thickBot="1" x14ac:dyDescent="0.35">
      <c r="B15" s="733" t="s">
        <v>335</v>
      </c>
      <c r="C15" s="1886" t="s">
        <v>508</v>
      </c>
      <c r="D15" s="1886"/>
      <c r="E15" s="750" t="s">
        <v>517</v>
      </c>
      <c r="F15" s="1901"/>
      <c r="G15" s="1902"/>
      <c r="Q15" s="602"/>
      <c r="R15" s="603"/>
      <c r="X15" s="601"/>
      <c r="AA15" s="599"/>
      <c r="AB15" s="604"/>
    </row>
    <row r="16" spans="2:28" ht="12" hidden="1" customHeight="1" thickTop="1" x14ac:dyDescent="0.25">
      <c r="B16" s="600"/>
      <c r="C16" s="727" t="s">
        <v>508</v>
      </c>
      <c r="D16" s="727" t="s">
        <v>493</v>
      </c>
      <c r="P16" s="602"/>
    </row>
    <row r="17" spans="2:256" ht="12" hidden="1" customHeight="1" x14ac:dyDescent="0.25">
      <c r="B17" s="600"/>
      <c r="C17" s="727" t="s">
        <v>512</v>
      </c>
      <c r="D17" s="727" t="s">
        <v>396</v>
      </c>
      <c r="P17" s="602"/>
    </row>
    <row r="18" spans="2:256" ht="15" customHeight="1" thickTop="1" thickBot="1" x14ac:dyDescent="0.3">
      <c r="B18" s="600"/>
      <c r="P18" s="602"/>
    </row>
    <row r="19" spans="2:256" ht="16.5" customHeight="1" thickTop="1" x14ac:dyDescent="0.35">
      <c r="B19" s="605"/>
      <c r="C19" s="1889" t="s">
        <v>453</v>
      </c>
      <c r="D19" s="1880"/>
      <c r="E19" s="1880"/>
      <c r="F19" s="1880"/>
      <c r="G19" s="1880"/>
      <c r="H19" s="1881"/>
      <c r="I19" s="1889" t="s">
        <v>454</v>
      </c>
      <c r="J19" s="1880"/>
      <c r="K19" s="1880"/>
      <c r="L19" s="1880"/>
      <c r="M19" s="1880"/>
      <c r="N19" s="1880"/>
      <c r="O19" s="1881"/>
      <c r="P19" s="1893" t="s">
        <v>608</v>
      </c>
      <c r="Q19" s="1894"/>
      <c r="R19" s="1895"/>
      <c r="S19" s="1890" t="s">
        <v>455</v>
      </c>
      <c r="T19" s="1891"/>
      <c r="U19" s="1891"/>
      <c r="V19" s="1891"/>
      <c r="W19" s="1891"/>
      <c r="X19" s="1892"/>
      <c r="Y19" s="1889" t="s">
        <v>609</v>
      </c>
      <c r="Z19" s="1880"/>
      <c r="AA19" s="1880"/>
      <c r="AB19" s="1880"/>
      <c r="AC19" s="1880"/>
      <c r="AD19" s="1880"/>
      <c r="AE19" s="1880"/>
      <c r="AF19" s="1881"/>
      <c r="AG19" s="1889" t="s">
        <v>456</v>
      </c>
      <c r="AH19" s="1880"/>
      <c r="AI19" s="1880"/>
      <c r="AJ19" s="1880"/>
      <c r="AK19" s="1880"/>
      <c r="AL19" s="1880"/>
      <c r="AM19" s="1880"/>
      <c r="AN19" s="1881"/>
      <c r="AP19" s="1903" t="s">
        <v>773</v>
      </c>
      <c r="AQ19" s="1903"/>
      <c r="AR19" s="1903"/>
      <c r="AS19" s="1903"/>
      <c r="AT19" s="1903"/>
      <c r="AU19" s="1903"/>
      <c r="AV19" s="1903"/>
      <c r="AW19" s="1903"/>
      <c r="AX19" s="1658"/>
      <c r="AY19" s="1658"/>
      <c r="AZ19" s="1657"/>
      <c r="BA19" s="1657"/>
      <c r="BB19" s="1657"/>
      <c r="BC19" s="1657"/>
      <c r="BD19" s="1657"/>
      <c r="BF19" s="1659"/>
      <c r="BG19" s="1660"/>
      <c r="BH19" s="1659" t="s">
        <v>774</v>
      </c>
      <c r="BI19" s="1659"/>
      <c r="BJ19" s="1659"/>
      <c r="BK19" s="1657"/>
      <c r="BL19" s="1657"/>
      <c r="BM19" s="1658"/>
    </row>
    <row r="20" spans="2:256" ht="15.75" customHeight="1" x14ac:dyDescent="0.35">
      <c r="B20" s="607"/>
      <c r="C20" s="1890"/>
      <c r="D20" s="1891"/>
      <c r="E20" s="1891"/>
      <c r="F20" s="1891"/>
      <c r="G20" s="1891"/>
      <c r="H20" s="1892"/>
      <c r="I20" s="1904" t="s">
        <v>457</v>
      </c>
      <c r="J20" s="1905"/>
      <c r="K20" s="1905" t="s">
        <v>458</v>
      </c>
      <c r="L20" s="1905"/>
      <c r="M20" s="1905"/>
      <c r="N20" s="1905"/>
      <c r="O20" s="1906"/>
      <c r="P20" s="1896"/>
      <c r="Q20" s="1897"/>
      <c r="R20" s="1898"/>
      <c r="S20" s="608"/>
      <c r="T20" s="606"/>
      <c r="U20" s="606"/>
      <c r="V20" s="606"/>
      <c r="W20" s="606"/>
      <c r="X20" s="608"/>
      <c r="Y20" s="1904" t="s">
        <v>459</v>
      </c>
      <c r="Z20" s="1905"/>
      <c r="AA20" s="1905"/>
      <c r="AB20" s="1907"/>
      <c r="AC20" s="1908" t="s">
        <v>460</v>
      </c>
      <c r="AD20" s="1909" t="s">
        <v>461</v>
      </c>
      <c r="AE20" s="1905"/>
      <c r="AF20" s="1906"/>
      <c r="AG20" s="1904" t="s">
        <v>459</v>
      </c>
      <c r="AH20" s="1905"/>
      <c r="AI20" s="1905"/>
      <c r="AJ20" s="1907"/>
      <c r="AK20" s="1908" t="s">
        <v>460</v>
      </c>
      <c r="AL20" s="1909" t="s">
        <v>461</v>
      </c>
      <c r="AM20" s="1905"/>
      <c r="AN20" s="1906"/>
      <c r="AP20" s="1661" t="s">
        <v>775</v>
      </c>
      <c r="AQ20" s="1662"/>
      <c r="AR20" s="1661" t="s">
        <v>776</v>
      </c>
      <c r="AS20" s="1662"/>
      <c r="AT20" s="1661" t="s">
        <v>777</v>
      </c>
      <c r="AU20" s="1662"/>
      <c r="AV20" s="1663" t="s">
        <v>790</v>
      </c>
      <c r="AW20" s="1663"/>
      <c r="AX20" s="1661"/>
      <c r="AY20" s="1662"/>
      <c r="AZ20" s="1661" t="s">
        <v>41</v>
      </c>
      <c r="BA20" s="1664"/>
      <c r="BB20" s="1665"/>
      <c r="BC20" s="1657"/>
      <c r="BD20" s="1661" t="s">
        <v>775</v>
      </c>
      <c r="BE20" s="1662"/>
      <c r="BF20" s="1661" t="s">
        <v>776</v>
      </c>
      <c r="BG20" s="1662"/>
      <c r="BH20" s="1661" t="s">
        <v>777</v>
      </c>
      <c r="BI20" s="1662"/>
      <c r="BJ20" s="1663" t="s">
        <v>790</v>
      </c>
      <c r="BK20" s="1663"/>
      <c r="BL20" s="1661"/>
      <c r="BM20" s="1662"/>
      <c r="BN20" s="1661"/>
      <c r="BO20" s="1664"/>
    </row>
    <row r="21" spans="2:256" ht="63" customHeight="1" x14ac:dyDescent="0.25">
      <c r="B21" s="609"/>
      <c r="C21" s="610" t="s">
        <v>462</v>
      </c>
      <c r="D21" s="611" t="s">
        <v>463</v>
      </c>
      <c r="E21" s="611" t="s">
        <v>464</v>
      </c>
      <c r="F21" s="611" t="s">
        <v>465</v>
      </c>
      <c r="G21" s="611" t="s">
        <v>610</v>
      </c>
      <c r="H21" s="612" t="s">
        <v>466</v>
      </c>
      <c r="I21" s="610" t="s">
        <v>467</v>
      </c>
      <c r="J21" s="611" t="s">
        <v>468</v>
      </c>
      <c r="K21" s="611" t="s">
        <v>10</v>
      </c>
      <c r="L21" s="611" t="s">
        <v>11</v>
      </c>
      <c r="M21" s="611" t="s">
        <v>12</v>
      </c>
      <c r="N21" s="611" t="s">
        <v>68</v>
      </c>
      <c r="O21" s="612" t="s">
        <v>334</v>
      </c>
      <c r="P21" s="610" t="s">
        <v>469</v>
      </c>
      <c r="Q21" s="613" t="s">
        <v>758</v>
      </c>
      <c r="R21" s="612" t="s">
        <v>335</v>
      </c>
      <c r="S21" s="614" t="s">
        <v>470</v>
      </c>
      <c r="T21" s="614" t="s">
        <v>471</v>
      </c>
      <c r="U21" s="614" t="s">
        <v>472</v>
      </c>
      <c r="V21" s="614" t="s">
        <v>473</v>
      </c>
      <c r="W21" s="614" t="s">
        <v>474</v>
      </c>
      <c r="X21" s="614" t="s">
        <v>475</v>
      </c>
      <c r="Y21" s="615" t="s">
        <v>476</v>
      </c>
      <c r="Z21" s="616" t="s">
        <v>477</v>
      </c>
      <c r="AA21" s="616" t="s">
        <v>478</v>
      </c>
      <c r="AB21" s="616" t="s">
        <v>445</v>
      </c>
      <c r="AC21" s="1908"/>
      <c r="AD21" s="616" t="s">
        <v>479</v>
      </c>
      <c r="AE21" s="616" t="s">
        <v>480</v>
      </c>
      <c r="AF21" s="617" t="s">
        <v>445</v>
      </c>
      <c r="AG21" s="615" t="s">
        <v>476</v>
      </c>
      <c r="AH21" s="616" t="s">
        <v>477</v>
      </c>
      <c r="AI21" s="616" t="s">
        <v>478</v>
      </c>
      <c r="AJ21" s="616" t="s">
        <v>445</v>
      </c>
      <c r="AK21" s="1908"/>
      <c r="AL21" s="616" t="s">
        <v>481</v>
      </c>
      <c r="AM21" s="616" t="s">
        <v>482</v>
      </c>
      <c r="AN21" s="617" t="s">
        <v>483</v>
      </c>
      <c r="AO21" s="604"/>
      <c r="AP21" s="1666" t="s">
        <v>778</v>
      </c>
      <c r="AQ21" s="1667" t="s">
        <v>690</v>
      </c>
      <c r="AR21" s="1666" t="s">
        <v>778</v>
      </c>
      <c r="AS21" s="1667" t="s">
        <v>690</v>
      </c>
      <c r="AT21" s="1666" t="s">
        <v>778</v>
      </c>
      <c r="AU21" s="1667" t="s">
        <v>690</v>
      </c>
      <c r="AV21" s="1666" t="s">
        <v>778</v>
      </c>
      <c r="AW21" s="1667" t="s">
        <v>690</v>
      </c>
      <c r="AX21" s="1666" t="s">
        <v>778</v>
      </c>
      <c r="AY21" s="1667" t="s">
        <v>690</v>
      </c>
      <c r="AZ21" s="1666" t="s">
        <v>778</v>
      </c>
      <c r="BA21" s="1667" t="s">
        <v>779</v>
      </c>
      <c r="BB21" s="1657"/>
      <c r="BC21" s="1657"/>
      <c r="BD21" s="1666" t="s">
        <v>778</v>
      </c>
      <c r="BE21" s="1667" t="s">
        <v>690</v>
      </c>
      <c r="BF21" s="1666" t="s">
        <v>778</v>
      </c>
      <c r="BG21" s="1667" t="s">
        <v>690</v>
      </c>
      <c r="BH21" s="1666" t="s">
        <v>778</v>
      </c>
      <c r="BI21" s="1667" t="s">
        <v>690</v>
      </c>
      <c r="BJ21" s="1666" t="s">
        <v>778</v>
      </c>
      <c r="BK21" s="1667" t="s">
        <v>690</v>
      </c>
      <c r="BL21" s="1666" t="s">
        <v>778</v>
      </c>
      <c r="BM21" s="1667" t="s">
        <v>690</v>
      </c>
      <c r="BN21" s="1666"/>
      <c r="BO21" s="1667"/>
    </row>
    <row r="22" spans="2:256" ht="12.5" x14ac:dyDescent="0.25">
      <c r="B22" s="618" t="s">
        <v>484</v>
      </c>
      <c r="C22" s="610"/>
      <c r="D22" s="611"/>
      <c r="E22" s="611"/>
      <c r="F22" s="611"/>
      <c r="G22" s="611"/>
      <c r="H22" s="612"/>
      <c r="I22" s="610"/>
      <c r="J22" s="611"/>
      <c r="K22" s="611"/>
      <c r="L22" s="611"/>
      <c r="M22" s="611"/>
      <c r="N22" s="611"/>
      <c r="O22" s="612"/>
      <c r="P22" s="610"/>
      <c r="Q22" s="613"/>
      <c r="R22" s="612"/>
      <c r="S22" s="614"/>
      <c r="T22" s="614"/>
      <c r="U22" s="614"/>
      <c r="V22" s="614"/>
      <c r="W22" s="614"/>
      <c r="X22" s="614"/>
      <c r="Y22" s="619"/>
      <c r="Z22" s="620"/>
      <c r="AA22" s="620"/>
      <c r="AB22" s="620"/>
      <c r="AC22" s="620"/>
      <c r="AD22" s="620"/>
      <c r="AE22" s="620"/>
      <c r="AF22" s="621"/>
      <c r="AG22" s="615"/>
      <c r="AH22" s="616"/>
      <c r="AI22" s="616"/>
      <c r="AJ22" s="616"/>
      <c r="AK22" s="616"/>
      <c r="AL22" s="622"/>
      <c r="AM22" s="622"/>
      <c r="AN22" s="623"/>
      <c r="AO22" s="604"/>
      <c r="AP22" s="1668">
        <f t="shared" ref="AP22:AY22" si="0">SUM(AP23:AP39)</f>
        <v>9.9</v>
      </c>
      <c r="AQ22" s="1669">
        <f t="shared" si="0"/>
        <v>4</v>
      </c>
      <c r="AR22" s="1668">
        <f t="shared" si="0"/>
        <v>0</v>
      </c>
      <c r="AS22" s="1669">
        <f t="shared" si="0"/>
        <v>0</v>
      </c>
      <c r="AT22" s="1668">
        <f t="shared" si="0"/>
        <v>0</v>
      </c>
      <c r="AU22" s="1669">
        <f t="shared" si="0"/>
        <v>0</v>
      </c>
      <c r="AV22" s="1668">
        <f t="shared" si="0"/>
        <v>0</v>
      </c>
      <c r="AW22" s="1669">
        <f t="shared" si="0"/>
        <v>0</v>
      </c>
      <c r="AX22" s="1668">
        <f t="shared" si="0"/>
        <v>0</v>
      </c>
      <c r="AY22" s="1669">
        <f t="shared" si="0"/>
        <v>0</v>
      </c>
      <c r="AZ22" s="1670"/>
      <c r="BA22" s="1671"/>
      <c r="BB22" s="1657"/>
      <c r="BC22" s="1657"/>
      <c r="BD22" s="1668">
        <f t="shared" ref="BD22:BI22" si="1">SUM(BD23:BD56)</f>
        <v>9.9</v>
      </c>
      <c r="BE22" s="1669">
        <f t="shared" si="1"/>
        <v>4</v>
      </c>
      <c r="BF22" s="1668">
        <f t="shared" si="1"/>
        <v>0</v>
      </c>
      <c r="BG22" s="1669">
        <f t="shared" si="1"/>
        <v>0</v>
      </c>
      <c r="BH22" s="1668">
        <f t="shared" si="1"/>
        <v>0</v>
      </c>
      <c r="BI22" s="1669">
        <f t="shared" si="1"/>
        <v>0</v>
      </c>
      <c r="BJ22" s="1668">
        <f>SUM(BJ23:BJ28)</f>
        <v>0</v>
      </c>
      <c r="BK22" s="1669">
        <f>SUM(BK23:BK28)</f>
        <v>0</v>
      </c>
      <c r="BL22" s="1668">
        <f t="shared" ref="BL22:BM22" si="2">SUM(BL23:BL39)</f>
        <v>0</v>
      </c>
      <c r="BM22" s="1669">
        <f t="shared" si="2"/>
        <v>0</v>
      </c>
      <c r="BN22" s="1670"/>
      <c r="BO22" s="1671"/>
    </row>
    <row r="23" spans="2:256" ht="12.5" x14ac:dyDescent="0.25">
      <c r="B23" s="624" t="s">
        <v>745</v>
      </c>
      <c r="C23" s="630">
        <v>0</v>
      </c>
      <c r="D23" s="625">
        <v>0</v>
      </c>
      <c r="E23" s="625" t="s">
        <v>485</v>
      </c>
      <c r="F23" s="626" t="str">
        <f>IF(E23=$B$58,$B$61,$B$60)</f>
        <v>N/A</v>
      </c>
      <c r="G23" s="1249" t="s">
        <v>59</v>
      </c>
      <c r="H23" s="1250" t="s">
        <v>66</v>
      </c>
      <c r="I23" s="1461">
        <f>C23*C$3*(D23*0.95+'Existing Management Practices'!$C$32/SUMPRODUCT('Primary Sources'!$C$70:$C$73,'Primary Sources'!$E$70:$E$73)*(1-D23)*VLOOKUP(G23,'Primary Sources'!B$70:E$73,4,FALSE))*3630</f>
        <v>0</v>
      </c>
      <c r="J23" s="1456">
        <f>I23</f>
        <v>0</v>
      </c>
      <c r="K23" s="1462">
        <f>VLOOKUP($B23,$B$65:$F$87,2,FALSE)</f>
        <v>0</v>
      </c>
      <c r="L23" s="1462">
        <f>VLOOKUP($B23,$B$65:$F$87,3,FALSE)</f>
        <v>0</v>
      </c>
      <c r="M23" s="1462">
        <f>VLOOKUP($B23,$B$65:$F$87,4,FALSE)</f>
        <v>0</v>
      </c>
      <c r="N23" s="1462">
        <f>VLOOKUP($B23,$B$65:$F$87,5,FALSE)</f>
        <v>0</v>
      </c>
      <c r="O23" s="1463">
        <f>VLOOKUP($B23,B$65:J$87,HLOOKUP(G23,$U$65:$X$66,2,FALSE),FALSE)</f>
        <v>0.5</v>
      </c>
      <c r="P23" s="1464">
        <v>1</v>
      </c>
      <c r="Q23" s="1465">
        <f>J23/(('Primary Sources'!$E$53*0.95+'Existing Management Practices'!$C$32*'Primary Sources'!$F$53)*$C$3)/3630</f>
        <v>0</v>
      </c>
      <c r="R23" s="1463">
        <v>0.9</v>
      </c>
      <c r="S23" s="1466">
        <f>IF(E23=$B$58,C23*(0.95*D23+(1-D23)*VLOOKUP(G23,'Primary Sources'!$B$70:$E$73,4,FALSE)*'Primary Sources'!$E$74/SUMPRODUCT('Primary Sources'!$C$70:$C$73,'Primary Sources'!$E$70:$E$73))/(0.95*'Primary Sources'!$E$53+'Primary Sources'!$E$74*'Primary Sources'!$F$53),0)*'Existing Management Practices'!$C$145*'Existing Management Practices'!$D$145*'Existing Management Practices'!$E$145</f>
        <v>0</v>
      </c>
      <c r="T23" s="1467">
        <f>IF($S23&gt;0,VLOOKUP($F23,$B$66:$J$87,HLOOKUP($G23,$U$65:$X$66,2,FALSE),FALSE),0)</f>
        <v>0</v>
      </c>
      <c r="U23" s="1468">
        <f>IF($S23&gt;0,VLOOKUP($F23,$B$66:$F$87,2,FALSE),0)</f>
        <v>0</v>
      </c>
      <c r="V23" s="1468">
        <f>IF($S23&gt;0,VLOOKUP($F23,$B$66:$F$87,3,FALSE),0)</f>
        <v>0</v>
      </c>
      <c r="W23" s="1468">
        <f>IF($S23&gt;0,VLOOKUP($F23,$B$66:$F$87,4,FALSE),0)</f>
        <v>0</v>
      </c>
      <c r="X23" s="1469">
        <f>IF($S23&gt;0,VLOOKUP($F23,$B$66:$F$87,5,FALSE),0)</f>
        <v>0</v>
      </c>
      <c r="Y23" s="1063">
        <v>0</v>
      </c>
      <c r="Z23" s="1063">
        <v>0</v>
      </c>
      <c r="AA23" s="1063">
        <v>0</v>
      </c>
      <c r="AB23" s="1063">
        <v>0</v>
      </c>
      <c r="AC23" s="1063">
        <v>0</v>
      </c>
      <c r="AD23" s="1063">
        <v>0</v>
      </c>
      <c r="AE23" s="1063">
        <v>0</v>
      </c>
      <c r="AF23" s="1064">
        <v>0</v>
      </c>
      <c r="AG23" s="627">
        <f>$Q23*(SUM('Primary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Worksheet'!$D23))*$R23*$P23*($O23+(1-$O23)*K23)-Y23</f>
        <v>0</v>
      </c>
      <c r="AH23" s="628">
        <f>$Q23*(SUM('Primary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Worksheet'!$D23))*$R23*$P23*($O23+(1-$O23)*L23)-Z23</f>
        <v>0</v>
      </c>
      <c r="AI23" s="628">
        <f>$Q23*SUM('Primary Sources'!R$10:R$35)*$R23*$P23*($O23+(1-$O23)*M23)-AA23</f>
        <v>0</v>
      </c>
      <c r="AJ23" s="628">
        <f>$Q23*SUM('Primary Sources'!S$10:S$35)*$R23*$P23*($O23+(1-$O23)*N23)-AB23</f>
        <v>0</v>
      </c>
      <c r="AK23" s="628">
        <f>$Q23*(SUM('Primary Sources'!U$10:U$35)-('Existing Management Practices'!G$176)*SUM('Primary Sources'!$D$10:$D$35)/MAX(('Primary Sources'!$F$53+'Future Management Practices'!$C$20-'Existing Management Practices'!$C$6),0.01)*(1-'Retrofit Worksheet'!$D23))*$R23*$P23*$O23-AC23</f>
        <v>0</v>
      </c>
      <c r="AL23" s="628">
        <f>$AK23*(SUM('Primary Sources'!P$11:P$35)-'Existing Management Practices'!C$176-'Future Management Practices'!C$388)/MAX(SUM('Primary Sources'!$U$11:$U$35)-'Existing Management Practices'!$G$176,0.001)*(1-K23)*(1-VLOOKUP($H23,$B$91:$E$93,2,FALSE)*(1-IF($G23="A Soils",0.5,0)))*(1-VLOOKUP($B23,$B$64:$K$88,10,FALSE))-AD23</f>
        <v>0</v>
      </c>
      <c r="AM23" s="628">
        <f>$AK23*(SUM('Primary Sources'!Q$11:Q$35)-'Existing Management Practices'!D$176-'Future Management Practices'!D$388)/MAX(SUM('Primary Sources'!$U$11:$U$35)-'Existing Management Practices'!$G$176,0.001)*(1-L23)*(1-VLOOKUP($H23,$B$91:$E$93,3,FALSE)*(1-IF($G23="A Soils",0.5,0)))*(1-VLOOKUP($B23,$B$64:$K$88,10,FALSE))-AE23</f>
        <v>0</v>
      </c>
      <c r="AN23" s="629">
        <f>$AK23*(SUM('Primary Sources'!S$11:S$35))/MAX(SUM('Primary Sources'!$U$11:$U$35)-'Existing Management Practices'!$G$176,0.001)*(1-N23)*(1-VLOOKUP($H23,$B$91:$E$93,4,FALSE)*(1-IF($G23="A Soils",0.5,0)))*(1-VLOOKUP($B23,$B$64:$K$88,10,FALSE))-AF23</f>
        <v>0</v>
      </c>
      <c r="AO23" s="998"/>
      <c r="AP23" s="1672">
        <f>+BD23</f>
        <v>0</v>
      </c>
      <c r="AQ23" s="1672">
        <f t="shared" ref="AQ23:AY38" si="3">+BE23</f>
        <v>0</v>
      </c>
      <c r="AR23" s="1672">
        <f t="shared" si="3"/>
        <v>0</v>
      </c>
      <c r="AS23" s="1672">
        <f t="shared" si="3"/>
        <v>0</v>
      </c>
      <c r="AT23" s="1672">
        <f t="shared" si="3"/>
        <v>0</v>
      </c>
      <c r="AU23" s="1672">
        <f t="shared" si="3"/>
        <v>0</v>
      </c>
      <c r="AV23" s="1672">
        <f t="shared" si="3"/>
        <v>0</v>
      </c>
      <c r="AW23" s="1672">
        <f t="shared" si="3"/>
        <v>0</v>
      </c>
      <c r="AX23" s="1672">
        <f t="shared" si="3"/>
        <v>0</v>
      </c>
      <c r="AY23" s="1672">
        <f t="shared" si="3"/>
        <v>0</v>
      </c>
      <c r="AZ23" s="1670"/>
      <c r="BA23" s="1671"/>
      <c r="BB23" s="1657"/>
      <c r="BC23" s="1657"/>
      <c r="BD23" s="1673"/>
      <c r="BE23" s="1674"/>
      <c r="BF23" s="1675"/>
      <c r="BG23" s="1676"/>
      <c r="BH23" s="1677"/>
      <c r="BI23" s="1678"/>
      <c r="BJ23" s="1677"/>
      <c r="BK23" s="1676"/>
      <c r="BL23" s="1678"/>
      <c r="BM23" s="1678"/>
      <c r="BN23" s="1670"/>
      <c r="BO23" s="1671"/>
    </row>
    <row r="24" spans="2:256" ht="12.5" x14ac:dyDescent="0.25">
      <c r="B24" s="607" t="str">
        <f>+B84</f>
        <v>Soil Amendments</v>
      </c>
      <c r="C24" s="630">
        <v>0</v>
      </c>
      <c r="D24" s="625">
        <v>0</v>
      </c>
      <c r="E24" s="625" t="s">
        <v>485</v>
      </c>
      <c r="F24" s="626" t="str">
        <f>IF(E24=$B$58,$B$61,$B$60)</f>
        <v>N/A</v>
      </c>
      <c r="G24" s="631" t="s">
        <v>61</v>
      </c>
      <c r="H24" s="632" t="s">
        <v>66</v>
      </c>
      <c r="I24" s="1461">
        <f>C24*C$3*(D24*0.95+'Existing Management Practices'!$C$32/SUMPRODUCT('Primary Sources'!$C$70:$C$73,'Primary Sources'!$E$70:$E$73)*(1-D24)*VLOOKUP(G24,'Primary Sources'!B$70:E$73,4,FALSE))*3630</f>
        <v>0</v>
      </c>
      <c r="J24" s="1456">
        <f>I24</f>
        <v>0</v>
      </c>
      <c r="K24" s="1462">
        <f>VLOOKUP($B24,$B$65:$F$87,2,FALSE)</f>
        <v>0</v>
      </c>
      <c r="L24" s="1462">
        <f>VLOOKUP($B24,$B$65:$F$87,3,FALSE)</f>
        <v>0</v>
      </c>
      <c r="M24" s="1462">
        <f>VLOOKUP($B24,$B$65:$F$87,4,FALSE)</f>
        <v>0</v>
      </c>
      <c r="N24" s="1462">
        <f>VLOOKUP($B24,$B$65:$F$87,5,FALSE)</f>
        <v>0</v>
      </c>
      <c r="O24" s="1463">
        <f>VLOOKUP($B24,B$65:J$87,HLOOKUP(G24,$U$65:$X$66,2,FALSE),FALSE)</f>
        <v>0.75</v>
      </c>
      <c r="P24" s="1464">
        <v>1</v>
      </c>
      <c r="Q24" s="1465">
        <f>J24/(('Primary Sources'!$E$53*0.95+'Existing Management Practices'!$C$32*'Primary Sources'!$F$53)*$C$3)/3630</f>
        <v>0</v>
      </c>
      <c r="R24" s="1463">
        <v>0.9</v>
      </c>
      <c r="S24" s="1466">
        <f>IF(E24=$B$58,C24*(0.95*D24+(1-D24)*VLOOKUP(G24,'Primary Sources'!$B$70:$E$73,4,FALSE)*'Primary Sources'!$E$74/SUMPRODUCT('Primary Sources'!$C$70:$C$73,'Primary Sources'!$E$70:$E$73))/(0.95*'Primary Sources'!$E$53+'Primary Sources'!$E$74*'Primary Sources'!$F$53),0)*'Existing Management Practices'!$C$145*'Existing Management Practices'!$D$145*'Existing Management Practices'!$E$145</f>
        <v>0</v>
      </c>
      <c r="T24" s="1467">
        <f>IF($S24&gt;0,VLOOKUP($F24,$B$66:$J$87,HLOOKUP($G24,$U$65:$X$66,2,FALSE),FALSE),0)</f>
        <v>0</v>
      </c>
      <c r="U24" s="1468">
        <f>IF($S24&gt;0,VLOOKUP($F24,$B$66:$F$87,2,FALSE),0)</f>
        <v>0</v>
      </c>
      <c r="V24" s="1468">
        <f>IF($S24&gt;0,VLOOKUP($F24,$B$66:$F$87,3,FALSE),0)</f>
        <v>0</v>
      </c>
      <c r="W24" s="1468">
        <f>IF($S24&gt;0,VLOOKUP($F24,$B$66:$F$87,4,FALSE),0)</f>
        <v>0</v>
      </c>
      <c r="X24" s="1469">
        <f>IF($S24&gt;0,VLOOKUP($F24,$B$66:$F$87,5,FALSE),0)</f>
        <v>0</v>
      </c>
      <c r="Y24" s="1063">
        <v>0</v>
      </c>
      <c r="Z24" s="1063">
        <v>0</v>
      </c>
      <c r="AA24" s="1063">
        <v>0</v>
      </c>
      <c r="AB24" s="1063">
        <v>0</v>
      </c>
      <c r="AC24" s="1063">
        <v>0</v>
      </c>
      <c r="AD24" s="1063">
        <v>0</v>
      </c>
      <c r="AE24" s="1063">
        <v>0</v>
      </c>
      <c r="AF24" s="1064">
        <v>0</v>
      </c>
      <c r="AG24" s="627">
        <f>$Q24*(SUM('Primary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Worksheet'!$D24))*$R24*$P24*($O24+(1-$O24)*K24)-Y24</f>
        <v>0</v>
      </c>
      <c r="AH24" s="628">
        <f>$Q24*(SUM('Primary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Worksheet'!$D24))*$R24*$P24*($O24+(1-$O24)*L24)-Z24</f>
        <v>0</v>
      </c>
      <c r="AI24" s="628">
        <f>$Q24*SUM('Primary Sources'!R$10:R$35)*$R24*$P24*($O24+(1-$O24)*M24)-AA24</f>
        <v>0</v>
      </c>
      <c r="AJ24" s="628">
        <f>$Q24*SUM('Primary Sources'!S$10:S$35)*$R24*$P24*($O24+(1-$O24)*N24)-AB24</f>
        <v>0</v>
      </c>
      <c r="AK24" s="628">
        <f>$Q24*(SUM('Primary Sources'!U$10:U$35)-('Existing Management Practices'!G$176)*SUM('Primary Sources'!$D$10:$D$35)/MAX(('Primary Sources'!$F$53+'Future Management Practices'!$C$20-'Existing Management Practices'!$C$6),0.01)*(1-'Retrofit Worksheet'!$D24))*$R24*$P24*$O24-AC24</f>
        <v>0</v>
      </c>
      <c r="AL24" s="628">
        <f>$AK24*(SUM('Primary Sources'!P$11:P$35)-'Existing Management Practices'!C$176-'Future Management Practices'!C$388)/MAX(SUM('Primary Sources'!$U$11:$U$35)-'Existing Management Practices'!$G$176,0.001)*(1-K24)*(1-VLOOKUP($H24,$B$91:$E$93,2,FALSE)*(1-IF($G24="A Soils",0.5,0)))*(1-VLOOKUP($B24,$B$64:$K$88,10,FALSE))-AD24</f>
        <v>0</v>
      </c>
      <c r="AM24" s="628">
        <f>$AK24*(SUM('Primary Sources'!Q$11:Q$35)-'Existing Management Practices'!D$176-'Future Management Practices'!D$388)/MAX(SUM('Primary Sources'!$U$11:$U$35)-'Existing Management Practices'!$G$176,0.001)*(1-L24)*(1-VLOOKUP($H24,$B$91:$E$93,3,FALSE)*(1-IF($G24="A Soils",0.5,0)))*(1-VLOOKUP($B24,$B$64:$K$88,10,FALSE))-AE24</f>
        <v>0</v>
      </c>
      <c r="AN24" s="629">
        <f>$AK24*(SUM('Primary Sources'!S$11:S$35)-'Existing Management Practices'!F$176-'Future Management Practices'!F$388)/MAX(SUM('Primary Sources'!$U$11:$U$35)-'Existing Management Practices'!$G$176,0.001)*(1-N24)*(1-VLOOKUP($H24,$B$91:$E$93,4,FALSE)*(1-IF($G24="A Soils",0.5,0)))*(1-VLOOKUP($B24,$B$64:$K$88,10,FALSE))-AF24</f>
        <v>0</v>
      </c>
      <c r="AO24" s="998"/>
      <c r="AP24" s="1672">
        <f t="shared" ref="AP24:AQ53" si="4">+BD24</f>
        <v>0</v>
      </c>
      <c r="AQ24" s="1672">
        <f t="shared" si="3"/>
        <v>0</v>
      </c>
      <c r="AR24" s="1672">
        <f t="shared" si="3"/>
        <v>0</v>
      </c>
      <c r="AS24" s="1672">
        <f t="shared" si="3"/>
        <v>0</v>
      </c>
      <c r="AT24" s="1672">
        <f t="shared" si="3"/>
        <v>0</v>
      </c>
      <c r="AU24" s="1672">
        <f t="shared" si="3"/>
        <v>0</v>
      </c>
      <c r="AV24" s="1672">
        <f t="shared" si="3"/>
        <v>0</v>
      </c>
      <c r="AW24" s="1672">
        <f t="shared" si="3"/>
        <v>0</v>
      </c>
      <c r="AX24" s="1672">
        <f t="shared" si="3"/>
        <v>0</v>
      </c>
      <c r="AY24" s="1672">
        <f t="shared" si="3"/>
        <v>0</v>
      </c>
      <c r="AZ24" s="1670"/>
      <c r="BA24" s="1671"/>
      <c r="BB24" s="1657"/>
      <c r="BC24" s="1657"/>
      <c r="BD24" s="1673"/>
      <c r="BE24" s="1674"/>
      <c r="BF24" s="1675"/>
      <c r="BG24" s="1676"/>
      <c r="BH24" s="1675"/>
      <c r="BI24" s="1678"/>
      <c r="BJ24" s="1677"/>
      <c r="BK24" s="1676"/>
      <c r="BL24" s="1678"/>
      <c r="BM24" s="1678"/>
      <c r="BN24" s="1670"/>
      <c r="BO24" s="1671"/>
    </row>
    <row r="25" spans="2:256" ht="12.5" x14ac:dyDescent="0.25">
      <c r="B25" s="607"/>
      <c r="C25" s="633"/>
      <c r="D25" s="634"/>
      <c r="E25" s="634"/>
      <c r="F25" s="634"/>
      <c r="G25" s="634"/>
      <c r="H25" s="635"/>
      <c r="I25" s="636"/>
      <c r="J25" s="637"/>
      <c r="K25" s="634"/>
      <c r="L25" s="634"/>
      <c r="M25" s="634"/>
      <c r="N25" s="634"/>
      <c r="O25" s="635"/>
      <c r="P25" s="738"/>
      <c r="Q25" s="634"/>
      <c r="R25" s="635"/>
      <c r="S25" s="638"/>
      <c r="T25" s="1060"/>
      <c r="U25" s="1061"/>
      <c r="V25" s="1061"/>
      <c r="W25" s="1061"/>
      <c r="X25" s="1062"/>
      <c r="Y25" s="1065"/>
      <c r="Z25" s="1066"/>
      <c r="AA25" s="1066"/>
      <c r="AB25" s="1066"/>
      <c r="AC25" s="1066"/>
      <c r="AD25" s="1066"/>
      <c r="AE25" s="1066"/>
      <c r="AF25" s="1067"/>
      <c r="AG25" s="1069"/>
      <c r="AH25" s="639"/>
      <c r="AI25" s="639"/>
      <c r="AJ25" s="639"/>
      <c r="AK25" s="639"/>
      <c r="AL25" s="639"/>
      <c r="AM25" s="639"/>
      <c r="AN25" s="640"/>
      <c r="AO25" s="604"/>
      <c r="AP25" s="1672">
        <f t="shared" si="4"/>
        <v>0</v>
      </c>
      <c r="AQ25" s="1672">
        <f t="shared" si="3"/>
        <v>0</v>
      </c>
      <c r="AR25" s="1672">
        <f t="shared" si="3"/>
        <v>0</v>
      </c>
      <c r="AS25" s="1672">
        <f t="shared" si="3"/>
        <v>0</v>
      </c>
      <c r="AT25" s="1672">
        <f t="shared" si="3"/>
        <v>0</v>
      </c>
      <c r="AU25" s="1672">
        <f t="shared" si="3"/>
        <v>0</v>
      </c>
      <c r="AV25" s="1672">
        <f t="shared" si="3"/>
        <v>0</v>
      </c>
      <c r="AW25" s="1672">
        <f t="shared" si="3"/>
        <v>0</v>
      </c>
      <c r="AX25" s="1672">
        <f t="shared" si="3"/>
        <v>0</v>
      </c>
      <c r="AY25" s="1672">
        <f t="shared" si="3"/>
        <v>0</v>
      </c>
      <c r="AZ25" s="1670"/>
      <c r="BA25" s="1671"/>
      <c r="BB25" s="1657"/>
      <c r="BC25" s="1657"/>
      <c r="BD25" s="1670"/>
      <c r="BE25" s="1671"/>
      <c r="BF25" s="1677"/>
      <c r="BG25" s="1676"/>
      <c r="BH25" s="1677"/>
      <c r="BI25" s="1678"/>
      <c r="BJ25" s="1677"/>
      <c r="BK25" s="1676"/>
      <c r="BL25" s="1678"/>
      <c r="BM25" s="1678"/>
      <c r="BN25" s="1670"/>
      <c r="BO25" s="1671"/>
    </row>
    <row r="26" spans="2:256" ht="12.5" x14ac:dyDescent="0.25">
      <c r="B26" s="618" t="s">
        <v>486</v>
      </c>
      <c r="C26" s="633"/>
      <c r="D26" s="634"/>
      <c r="E26" s="634"/>
      <c r="F26" s="634"/>
      <c r="G26" s="634"/>
      <c r="H26" s="635"/>
      <c r="I26" s="636"/>
      <c r="J26" s="637"/>
      <c r="K26" s="634"/>
      <c r="L26" s="634"/>
      <c r="M26" s="634"/>
      <c r="N26" s="634"/>
      <c r="O26" s="635"/>
      <c r="P26" s="738"/>
      <c r="Q26" s="641"/>
      <c r="R26" s="635"/>
      <c r="S26" s="642"/>
      <c r="T26" s="1060"/>
      <c r="U26" s="1061"/>
      <c r="V26" s="1061"/>
      <c r="W26" s="1061"/>
      <c r="X26" s="1062"/>
      <c r="Y26" s="1065"/>
      <c r="Z26" s="1066"/>
      <c r="AA26" s="1066"/>
      <c r="AB26" s="1066"/>
      <c r="AC26" s="1066"/>
      <c r="AD26" s="1066"/>
      <c r="AE26" s="1066"/>
      <c r="AF26" s="1067"/>
      <c r="AG26" s="1070"/>
      <c r="AH26" s="643"/>
      <c r="AI26" s="643"/>
      <c r="AJ26" s="643"/>
      <c r="AK26" s="643"/>
      <c r="AL26" s="643"/>
      <c r="AM26" s="643"/>
      <c r="AN26" s="644"/>
      <c r="AO26" s="604"/>
      <c r="AP26" s="1672">
        <f t="shared" si="4"/>
        <v>0</v>
      </c>
      <c r="AQ26" s="1672">
        <f t="shared" si="3"/>
        <v>0</v>
      </c>
      <c r="AR26" s="1672">
        <f t="shared" si="3"/>
        <v>0</v>
      </c>
      <c r="AS26" s="1672">
        <f t="shared" si="3"/>
        <v>0</v>
      </c>
      <c r="AT26" s="1672">
        <f t="shared" si="3"/>
        <v>0</v>
      </c>
      <c r="AU26" s="1672">
        <f t="shared" si="3"/>
        <v>0</v>
      </c>
      <c r="AV26" s="1672">
        <f t="shared" si="3"/>
        <v>0</v>
      </c>
      <c r="AW26" s="1672">
        <f t="shared" si="3"/>
        <v>0</v>
      </c>
      <c r="AX26" s="1672">
        <f t="shared" si="3"/>
        <v>0</v>
      </c>
      <c r="AY26" s="1672">
        <f t="shared" si="3"/>
        <v>0</v>
      </c>
      <c r="AZ26" s="1670"/>
      <c r="BA26" s="1679"/>
      <c r="BB26" s="1657"/>
      <c r="BC26" s="1657"/>
      <c r="BD26" s="1670"/>
      <c r="BE26" s="1671"/>
      <c r="BF26" s="1677"/>
      <c r="BG26" s="1676"/>
      <c r="BH26" s="1677"/>
      <c r="BI26" s="1678"/>
      <c r="BJ26" s="1677"/>
      <c r="BK26" s="1676"/>
      <c r="BL26" s="1678"/>
      <c r="BM26" s="1678"/>
      <c r="BN26" s="1670"/>
      <c r="BO26" s="1679"/>
    </row>
    <row r="27" spans="2:256" ht="12.5" x14ac:dyDescent="0.25">
      <c r="B27" s="1251" t="s">
        <v>751</v>
      </c>
      <c r="C27" s="1252">
        <f>+AZ27</f>
        <v>6.4</v>
      </c>
      <c r="D27" s="1253">
        <f>+BA27</f>
        <v>0.265625</v>
      </c>
      <c r="E27" s="1253" t="s">
        <v>485</v>
      </c>
      <c r="F27" s="626" t="str">
        <f>IF(E27=$B$58,$B$61,$B$60)</f>
        <v>N/A</v>
      </c>
      <c r="G27" s="1249" t="s">
        <v>61</v>
      </c>
      <c r="H27" s="1250" t="s">
        <v>65</v>
      </c>
      <c r="I27" s="1461">
        <f>C27*C$3*(D27*0.95+'Existing Management Practices'!$C$32/SUMPRODUCT('Primary Sources'!$C$70:$C$73,'Primary Sources'!$E$70:$E$73)*(1-D27)*VLOOKUP(G27,'Primary Sources'!B$70:E$73,4,FALSE))*3630</f>
        <v>9615.8700000000008</v>
      </c>
      <c r="J27" s="1470">
        <f t="shared" ref="J27:J55" si="5">IF($C$5=$C$8,IF(I27&gt;0,$D$7,0),IF($C$5=$C$6,I27,$E$5*I27))</f>
        <v>9615.8700000000008</v>
      </c>
      <c r="K27" s="1462">
        <f t="shared" ref="K27:K55" si="6">VLOOKUP($B27,$B$65:$F$87,2,FALSE)</f>
        <v>0.6</v>
      </c>
      <c r="L27" s="1462">
        <f t="shared" ref="L27:L55" si="7">VLOOKUP($B27,$B$65:$F$87,3,FALSE)</f>
        <v>0.5</v>
      </c>
      <c r="M27" s="1462">
        <f t="shared" ref="M27:M55" si="8">VLOOKUP($B27,$B$65:$F$87,4,FALSE)</f>
        <v>0.5</v>
      </c>
      <c r="N27" s="1462">
        <f t="shared" ref="N27:N55" si="9">VLOOKUP($B27,$B$65:$F$87,5,FALSE)</f>
        <v>0.5</v>
      </c>
      <c r="O27" s="1463">
        <f t="shared" ref="O27:O55" si="10">VLOOKUP($B27,B$65:J$87,HLOOKUP(G27,$U$65:$X$66,2,FALSE),FALSE)</f>
        <v>0.4</v>
      </c>
      <c r="P27" s="1464">
        <v>1.2</v>
      </c>
      <c r="Q27" s="1465">
        <f>J27/(('Primary Sources'!$E$53*0.95+'Existing Management Practices'!$C$32*'Primary Sources'!$F$53)*$C$3)/3630</f>
        <v>3.1738550824289829E-4</v>
      </c>
      <c r="R27" s="1462">
        <v>0.9</v>
      </c>
      <c r="S27" s="1466">
        <f>IF(E27=$B$58,C27*(0.95*D27+(1-D27)*VLOOKUP(G27,'Primary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27" s="1467">
        <f t="shared" ref="T27:T55" si="11">IF($S27&gt;0,VLOOKUP($F27,$B$66:$J$87,HLOOKUP($G27,$U$65:$X$66,2,FALSE),FALSE),0)</f>
        <v>0</v>
      </c>
      <c r="U27" s="1468">
        <f t="shared" ref="U27:U55" si="12">IF($S27&gt;0,VLOOKUP($F27,$B$66:$F$87,2,FALSE),0)</f>
        <v>0</v>
      </c>
      <c r="V27" s="1468">
        <f t="shared" ref="V27:V55" si="13">IF($S27&gt;0,VLOOKUP($F27,$B$66:$F$87,3,FALSE),0)</f>
        <v>0</v>
      </c>
      <c r="W27" s="1468">
        <f t="shared" ref="W27:W55" si="14">IF($S27&gt;0,VLOOKUP($F27,$B$66:$F$87,4,FALSE),0)</f>
        <v>0</v>
      </c>
      <c r="X27" s="1469">
        <f t="shared" ref="X27:X55" si="15">IF($S27&gt;0,VLOOKUP($F27,$B$66:$F$87,5,FALSE),0)</f>
        <v>0</v>
      </c>
      <c r="Y27" s="1068">
        <f>IF($F27=$B$86,"Enter Value",$S27*(SUM('Primary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Worksheet'!$D27))*($T27+(1-$T27)*U27))</f>
        <v>0</v>
      </c>
      <c r="Z27" s="1063">
        <f>IF($F27=$B$86,"Enter Value",$S27*(SUM('Primary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Worksheet'!$D27))*($T27+(1-$T27)*V27))</f>
        <v>0</v>
      </c>
      <c r="AA27" s="1063">
        <f>IF($F27=$B$86,"Enter Value",$S27*SUM('Primary Sources'!R$11:R$35)*($T27+(1-$T27)*W27))</f>
        <v>0</v>
      </c>
      <c r="AB27" s="1063">
        <f>IF($F27=$B$86,"Enter Value",$S27*SUM('Primary Sources'!S$11:S$35)*($T27+(1-$T27)*X27))</f>
        <v>0</v>
      </c>
      <c r="AC27" s="1063">
        <f>IF($F27=$B$86,"Enter Value",$S27*(SUM('Primary Sources'!U$11:U$35)-'Existing Management Practices'!G$176)*$T27)</f>
        <v>0</v>
      </c>
      <c r="AD27" s="1063">
        <f>$AC27*SUM('Primary Sources'!P$11:P$35)/MAX(SUM('Primary Sources'!$U$11:$U$35),0.001)*(1-U27)*(1-VLOOKUP($H27,$B$91:$E$93,2,FALSE)*(1-IF($G27="A Soils",0.5,0)))*(1-VLOOKUP($F27,$B$64:$K$88,10,FALSE))</f>
        <v>0</v>
      </c>
      <c r="AE27" s="1063">
        <f>$AC27*SUM('Primary Sources'!Q$11:Q$35)/MAX(SUM('Primary Sources'!$U$11:$U$35),0.001)*(1-V27)*(1-VLOOKUP($H27,$B$91:$E$93,3,FALSE)*(1-IF($G27="A Soils",0.5,0)))*(1-VLOOKUP($F27,$B$64:$K$88,10,FALSE))</f>
        <v>0</v>
      </c>
      <c r="AF27" s="1064">
        <f>$AC27*SUM('Primary Sources'!S$11:S$35)/MAX(SUM('Primary Sources'!$U$11:$U$35),0.001)*(1-X27)*(1-VLOOKUP($H27,$B$91:$E$93,4,FALSE)*(1-IF($G27="A Soils",0.5,0)))*(1-VLOOKUP($F27,$B$64:$K$88,10,FALSE))</f>
        <v>0</v>
      </c>
      <c r="AG27" s="627">
        <f>$Q27*(SUM('Primary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Worksheet'!$D27))*$R27*$P27*($O27+(1-$O27)*K27)-Y27</f>
        <v>49.281826505734095</v>
      </c>
      <c r="AH27" s="628">
        <f>$Q27*(SUM('Primary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Worksheet'!$D27))*$R27*$P27*($O27+(1-$O27)*L27)-Z27</f>
        <v>12.136521464216468</v>
      </c>
      <c r="AI27" s="628">
        <f>$Q27*SUM('Primary Sources'!R$10:R$35)*$R27*$P27*($O27+(1-$O27)*M27)-AA27</f>
        <v>822.7071694841942</v>
      </c>
      <c r="AJ27" s="628">
        <f>$Q27*SUM('Primary Sources'!S$10:S$35)*$R27*$P27*($O27+(1-$O27)*N27)-AB27</f>
        <v>565.01630660344472</v>
      </c>
      <c r="AK27" s="628">
        <f>$Q27*(SUM('Primary Sources'!U$10:U$35)-('Existing Management Practices'!G$176)*SUM('Primary Sources'!$D$10:$D$35)/MAX(('Primary Sources'!$F$53+'Future Management Practices'!$C$20-'Existing Management Practices'!$C$6),0.01)*(1-'Retrofit Worksheet'!$D27))*$R27*$P27*$O27-AC27</f>
        <v>3.5431989318616086</v>
      </c>
      <c r="AL27" s="628">
        <f>$AK27*(SUM('Primary Sources'!P$11:P$35)-'Existing Management Practices'!C$176-'Future Management Practices'!C$388)/MAX(SUM('Primary Sources'!$U$11:$U$35)-'Existing Management Practices'!$G$176,0.001)*(1-K27)*(1-VLOOKUP($H27,$B$91:$E$93,2,FALSE)*(1-IF($G27="A Soils",0.5,0)))*(1-VLOOKUP($B27,$B$64:$K$88,10,FALSE))-AD27</f>
        <v>9.1193357748842594</v>
      </c>
      <c r="AM27" s="628">
        <f>$AK27*(SUM('Primary Sources'!Q$11:Q$35)-'Existing Management Practices'!D$176-'Future Management Practices'!D$388)/MAX(SUM('Primary Sources'!$U$11:$U$35)-'Existing Management Practices'!$G$176,0.001)*(1-L27)*(1-VLOOKUP($H27,$B$91:$E$93,3,FALSE)*(1-IF($G27="A Soils",0.5,0)))*(1-VLOOKUP($B27,$B$64:$K$88,10,FALSE))-AE27</f>
        <v>0.65488140944375017</v>
      </c>
      <c r="AN27" s="629">
        <f>$AK27*(SUM('Primary Sources'!S$11:S$35)-'Existing Management Practices'!F$176-'Future Management Practices'!F$388)/MAX(SUM('Primary Sources'!$U$11:$U$35)-'Existing Management Practices'!$G$176,0.001)*(1-N27)*(1-VLOOKUP($H27,$B$91:$E$93,4,FALSE)*(1-IF($G27="A Soils",0.5,0)))*(1-VLOOKUP($B27,$B$64:$K$88,10,FALSE))-AF27</f>
        <v>0</v>
      </c>
      <c r="AO27" s="998"/>
      <c r="AP27" s="1672">
        <f t="shared" si="4"/>
        <v>6.4</v>
      </c>
      <c r="AQ27" s="1672">
        <f t="shared" si="3"/>
        <v>1.7</v>
      </c>
      <c r="AR27" s="1672">
        <f t="shared" ref="AR27:AR54" si="16">+BF27</f>
        <v>0</v>
      </c>
      <c r="AS27" s="1672">
        <f t="shared" ref="AS27:AS54" si="17">+BG27</f>
        <v>0</v>
      </c>
      <c r="AT27" s="1672">
        <f t="shared" ref="AT27:AT54" si="18">+BH27</f>
        <v>0</v>
      </c>
      <c r="AU27" s="1672">
        <f t="shared" ref="AU27:AU54" si="19">+BI27</f>
        <v>0</v>
      </c>
      <c r="AV27" s="1672">
        <f t="shared" ref="AV27:AV54" si="20">+BJ27</f>
        <v>0</v>
      </c>
      <c r="AW27" s="1672">
        <f t="shared" ref="AW27:AW54" si="21">+BK27</f>
        <v>0</v>
      </c>
      <c r="AX27" s="1672">
        <f t="shared" ref="AX27:AX54" si="22">+BL27</f>
        <v>0</v>
      </c>
      <c r="AY27" s="1672">
        <f t="shared" ref="AY27:AY54" si="23">+BM27</f>
        <v>0</v>
      </c>
      <c r="AZ27" s="1670">
        <f t="shared" ref="AZ27:AZ36" si="24">+AP27+AR27+AT27+AV27+AX27</f>
        <v>6.4</v>
      </c>
      <c r="BA27" s="1679">
        <f t="shared" ref="BA27:BA36" si="25">IFERROR((AQ27+AS27+AU27+AW27+AY27)/AZ27,0)</f>
        <v>0.265625</v>
      </c>
      <c r="BB27" s="1680"/>
      <c r="BC27" s="1657"/>
      <c r="BD27" s="1670">
        <v>6.4</v>
      </c>
      <c r="BE27" s="1671">
        <v>1.7</v>
      </c>
      <c r="BF27" s="1677"/>
      <c r="BG27" s="1676"/>
      <c r="BH27" s="1677"/>
      <c r="BI27" s="1678"/>
      <c r="BJ27" s="1677"/>
      <c r="BK27" s="1676"/>
      <c r="BL27" s="1678"/>
      <c r="BM27" s="1678"/>
      <c r="BN27" s="1670"/>
      <c r="BO27" s="1679"/>
    </row>
    <row r="28" spans="2:256" ht="12.5" x14ac:dyDescent="0.25">
      <c r="B28" s="1251" t="s">
        <v>751</v>
      </c>
      <c r="C28" s="1252">
        <f t="shared" ref="C28:C39" si="26">+AZ28</f>
        <v>3.5</v>
      </c>
      <c r="D28" s="1253">
        <f t="shared" ref="D28:D39" si="27">+BA28</f>
        <v>0.65714285714285714</v>
      </c>
      <c r="E28" s="1253" t="s">
        <v>485</v>
      </c>
      <c r="F28" s="626" t="s">
        <v>396</v>
      </c>
      <c r="G28" s="1249" t="s">
        <v>61</v>
      </c>
      <c r="H28" s="1250" t="s">
        <v>65</v>
      </c>
      <c r="I28" s="1461">
        <f>C28*C$3*(D28*0.95+'Existing Management Practices'!$C$32/SUMPRODUCT('Primary Sources'!$C$70:$C$73,'Primary Sources'!$E$70:$E$73)*(1-D28)*VLOOKUP(G28,'Primary Sources'!B$70:E$73,4,FALSE))*3630</f>
        <v>8889.869999999999</v>
      </c>
      <c r="J28" s="1470">
        <f t="shared" si="5"/>
        <v>8889.869999999999</v>
      </c>
      <c r="K28" s="1462">
        <f t="shared" si="6"/>
        <v>0.6</v>
      </c>
      <c r="L28" s="1462">
        <f t="shared" si="7"/>
        <v>0.5</v>
      </c>
      <c r="M28" s="1462">
        <f t="shared" si="8"/>
        <v>0.5</v>
      </c>
      <c r="N28" s="1462">
        <f t="shared" si="9"/>
        <v>0.5</v>
      </c>
      <c r="O28" s="1463">
        <f t="shared" si="10"/>
        <v>0.4</v>
      </c>
      <c r="P28" s="1464">
        <v>1.2</v>
      </c>
      <c r="Q28" s="1465">
        <f>J28/MAX(('Primary Sources'!$E$53*0.95+'Existing Management Practices'!$C$32*'Primary Sources'!$F$53)*$C$3,0.001)/3630</f>
        <v>2.9342284246389492E-4</v>
      </c>
      <c r="R28" s="1462">
        <v>0.9</v>
      </c>
      <c r="S28" s="1466">
        <f>IF(E28=$B$58,C28*(0.95*D28+(1-D28)*VLOOKUP(G28,'Primary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28" s="1467">
        <f t="shared" si="11"/>
        <v>0</v>
      </c>
      <c r="U28" s="1468">
        <f t="shared" si="12"/>
        <v>0</v>
      </c>
      <c r="V28" s="1468">
        <f t="shared" si="13"/>
        <v>0</v>
      </c>
      <c r="W28" s="1468">
        <f t="shared" si="14"/>
        <v>0</v>
      </c>
      <c r="X28" s="1469">
        <f t="shared" si="15"/>
        <v>0</v>
      </c>
      <c r="Y28" s="1068">
        <f>IF($F28=$B$86,"Enter Value",$S28*(SUM('Primary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Worksheet'!$D28))*($T28+(1-$T28)*U28))</f>
        <v>0</v>
      </c>
      <c r="Z28" s="1063">
        <f>IF($F28=$B$86,"Enter Value",$S28*(SUM('Primary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Worksheet'!$D28))*($T28+(1-$T28)*V28))</f>
        <v>0</v>
      </c>
      <c r="AA28" s="1063">
        <f>IF($F28=$B$86,"Enter Value",$S28*SUM('Primary Sources'!R$11:R$35)*($T28+(1-$T28)*W28))</f>
        <v>0</v>
      </c>
      <c r="AB28" s="1063">
        <f>IF($F28=$B$86,"Enter Value",$S28*SUM('Primary Sources'!S$11:S$35)*($T28+(1-$T28)*X28))</f>
        <v>0</v>
      </c>
      <c r="AC28" s="1063">
        <f>IF($F28=$B$86,"Enter Value",$S28*(SUM('Primary Sources'!U$11:U$35)-'Existing Management Practices'!G$176)*$T28)</f>
        <v>0</v>
      </c>
      <c r="AD28" s="1063">
        <f>$AC28*SUM('Primary Sources'!P$11:P$35)/MAX(SUM('Primary Sources'!$U$11:$U$35),0.001)*(1-U28)*(1-VLOOKUP($H28,$B$91:$E$93,2,FALSE)*(1-IF($G28="A Soils",0.5,0)))*(1-VLOOKUP($F28,$B$64:$K$88,10,FALSE))</f>
        <v>0</v>
      </c>
      <c r="AE28" s="1063">
        <f>$AC28*SUM('Primary Sources'!Q$11:Q$35)/MAX(SUM('Primary Sources'!$U$11:$U$35),0.001)*(1-V28)*(1-VLOOKUP($H28,$B$91:$E$93,3,FALSE)*(1-IF($G28="A Soils",0.5,0)))*(1-VLOOKUP($F28,$B$64:$K$88,10,FALSE))</f>
        <v>0</v>
      </c>
      <c r="AF28" s="1064">
        <f>$AC28*SUM('Primary Sources'!S$11:S$35)/MAX(SUM('Primary Sources'!$U$11:$U$35),0.001)*(1-X28)*(1-VLOOKUP($H28,$B$91:$E$93,4,FALSE)*(1-IF($G28="A Soils",0.5,0)))*(1-VLOOKUP($F28,$B$64:$K$88,10,FALSE))</f>
        <v>0</v>
      </c>
      <c r="AG28" s="627">
        <f>$Q28*(SUM('Primary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Worksheet'!$D28))*$R28*$P28*($O28+(1-$O28)*K28)-Y28</f>
        <v>39.39461014342649</v>
      </c>
      <c r="AH28" s="628">
        <f>$Q28*(SUM('Primary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Worksheet'!$D28))*$R28*$P28*($O28+(1-$O28)*L28)-Z28</f>
        <v>7.6011950143982681</v>
      </c>
      <c r="AI28" s="628">
        <f>$Q28*SUM('Primary Sources'!R$10:R$35)*$R28*$P28*($O28+(1-$O28)*M28)-AA28</f>
        <v>760.59262290177082</v>
      </c>
      <c r="AJ28" s="628">
        <f>$Q28*SUM('Primary Sources'!S$10:S$35)*$R28*$P28*($O28+(1-$O28)*N28)-AB28</f>
        <v>522.35746880778993</v>
      </c>
      <c r="AK28" s="628">
        <f>$Q28*(SUM('Primary Sources'!U$10:U$35)-('Existing Management Practices'!G$176)*SUM('Primary Sources'!$D$10:$D$35)/MAX(('Primary Sources'!$F$53+'Future Management Practices'!$C$20-'Existing Management Practices'!$C$6),0.01)*(1-'Retrofit Worksheet'!$D28))*$R28*$P28*$O28-AC28</f>
        <v>3.2756867437255859</v>
      </c>
      <c r="AL28" s="628">
        <f>$AK28*(SUM('Primary Sources'!P$11:P$35)-'Existing Management Practices'!C$176-'Future Management Practices'!C$388)/MAX(SUM('Primary Sources'!$U$11:$U$35)-'Existing Management Practices'!$G$176,0.001)*(1-K28)*(1-VLOOKUP($H28,$B$91:$E$93,2,FALSE)*(1-IF($G28="A Soils",0.5,0)))*(1-VLOOKUP($B28,$B$64:$K$88,10,FALSE))-AD28</f>
        <v>8.4308242026015652</v>
      </c>
      <c r="AM28" s="628">
        <f>$AK28*(SUM('Primary Sources'!Q$11:Q$35)-'Existing Management Practices'!D$176-'Future Management Practices'!D$388)/MAX(SUM('Primary Sources'!$U$11:$U$35)-'Existing Management Practices'!$G$176,0.001)*(1-L28)*(1-VLOOKUP($H28,$B$91:$E$93,3,FALSE)*(1-IF($G28="A Soils",0.5,0)))*(1-VLOOKUP($B28,$B$64:$K$88,10,FALSE))-AE28</f>
        <v>0.60543773942157175</v>
      </c>
      <c r="AN28" s="629">
        <f>$AK28*(SUM('Primary Sources'!S$11:S$35)-'Existing Management Practices'!F$176-'Future Management Practices'!F$388)/MAX(SUM('Primary Sources'!$U$11:$U$35)-'Existing Management Practices'!$G$176,0.001)*(1-N28)*(1-VLOOKUP($H28,$B$91:$E$93,4,FALSE)*(1-IF($G28="A Soils",0.5,0)))*(1-VLOOKUP($B28,$B$64:$K$88,10,FALSE))-AF28</f>
        <v>0</v>
      </c>
      <c r="AO28" s="998"/>
      <c r="AP28" s="1672">
        <f t="shared" si="4"/>
        <v>3.5</v>
      </c>
      <c r="AQ28" s="1672">
        <f t="shared" si="3"/>
        <v>2.2999999999999998</v>
      </c>
      <c r="AR28" s="1672">
        <f t="shared" si="16"/>
        <v>0</v>
      </c>
      <c r="AS28" s="1672">
        <f t="shared" si="17"/>
        <v>0</v>
      </c>
      <c r="AT28" s="1672">
        <f t="shared" si="18"/>
        <v>0</v>
      </c>
      <c r="AU28" s="1672">
        <f t="shared" si="19"/>
        <v>0</v>
      </c>
      <c r="AV28" s="1672">
        <f t="shared" si="20"/>
        <v>0</v>
      </c>
      <c r="AW28" s="1672">
        <f t="shared" si="21"/>
        <v>0</v>
      </c>
      <c r="AX28" s="1672">
        <f t="shared" si="22"/>
        <v>0</v>
      </c>
      <c r="AY28" s="1672">
        <f t="shared" si="23"/>
        <v>0</v>
      </c>
      <c r="AZ28" s="1670">
        <f t="shared" si="24"/>
        <v>3.5</v>
      </c>
      <c r="BA28" s="1679">
        <f t="shared" si="25"/>
        <v>0.65714285714285714</v>
      </c>
      <c r="BB28" s="1680"/>
      <c r="BC28" s="1681"/>
      <c r="BD28" s="1670">
        <v>3.5</v>
      </c>
      <c r="BE28" s="1671">
        <v>2.2999999999999998</v>
      </c>
      <c r="BF28" s="1677"/>
      <c r="BG28" s="1676"/>
      <c r="BH28" s="1677"/>
      <c r="BI28" s="1678"/>
      <c r="BJ28" s="1677"/>
      <c r="BK28" s="1676"/>
      <c r="BL28" s="1678"/>
      <c r="BM28" s="1678"/>
      <c r="BN28" s="1670"/>
      <c r="BO28" s="1679"/>
      <c r="IV28" s="999"/>
    </row>
    <row r="29" spans="2:256" ht="12.5" x14ac:dyDescent="0.25">
      <c r="B29" s="1251" t="s">
        <v>751</v>
      </c>
      <c r="C29" s="1252">
        <f t="shared" si="26"/>
        <v>0</v>
      </c>
      <c r="D29" s="1253">
        <f t="shared" si="27"/>
        <v>0</v>
      </c>
      <c r="E29" s="1253" t="s">
        <v>485</v>
      </c>
      <c r="F29" s="626" t="str">
        <f t="shared" ref="F29:F55" si="28">IF(E29=$B$58,$B$61,$B$60)</f>
        <v>N/A</v>
      </c>
      <c r="G29" s="1249" t="s">
        <v>61</v>
      </c>
      <c r="H29" s="1250" t="s">
        <v>66</v>
      </c>
      <c r="I29" s="1461">
        <f>C29*C$3*(D29*0.95+'Existing Management Practices'!$C$32/SUMPRODUCT('Primary Sources'!$C$70:$C$73,'Primary Sources'!$E$70:$E$73)*(1-D29)*VLOOKUP(G29,'Primary Sources'!B$70:E$73,4,FALSE))*3630</f>
        <v>0</v>
      </c>
      <c r="J29" s="1470">
        <f t="shared" si="5"/>
        <v>0</v>
      </c>
      <c r="K29" s="1462">
        <f t="shared" si="6"/>
        <v>0.6</v>
      </c>
      <c r="L29" s="1462">
        <f t="shared" si="7"/>
        <v>0.5</v>
      </c>
      <c r="M29" s="1462">
        <f t="shared" si="8"/>
        <v>0.5</v>
      </c>
      <c r="N29" s="1462">
        <f t="shared" si="9"/>
        <v>0.5</v>
      </c>
      <c r="O29" s="1463">
        <f t="shared" si="10"/>
        <v>0.4</v>
      </c>
      <c r="P29" s="1464">
        <v>1.2</v>
      </c>
      <c r="Q29" s="1465">
        <f>J29/MAX(('Primary Sources'!$E$53*0.95+'Existing Management Practices'!$C$32*'Primary Sources'!$F$53)*$C$3,0.001)/3630</f>
        <v>0</v>
      </c>
      <c r="R29" s="1462">
        <v>0.9</v>
      </c>
      <c r="S29" s="1466">
        <f>IF(E29=$B$58,C29*(0.95*D29+(1-D29)*VLOOKUP(G29,'Primary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29" s="1467">
        <f t="shared" si="11"/>
        <v>0</v>
      </c>
      <c r="U29" s="1468">
        <f t="shared" si="12"/>
        <v>0</v>
      </c>
      <c r="V29" s="1468">
        <f t="shared" si="13"/>
        <v>0</v>
      </c>
      <c r="W29" s="1468">
        <f t="shared" si="14"/>
        <v>0</v>
      </c>
      <c r="X29" s="1469">
        <f t="shared" si="15"/>
        <v>0</v>
      </c>
      <c r="Y29" s="1068">
        <f>IF($F29=$B$86,"Enter Value",$S29*(SUM('Primary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Worksheet'!$D29))*($T29+(1-$T29)*U29))</f>
        <v>0</v>
      </c>
      <c r="Z29" s="1063">
        <f>IF($F29=$B$86,"Enter Value",$S29*(SUM('Primary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Worksheet'!$D29))*($T29+(1-$T29)*V29))</f>
        <v>0</v>
      </c>
      <c r="AA29" s="1063">
        <f>IF($F29=$B$86,"Enter Value",$S29*SUM('Primary Sources'!R$11:R$35)*($T29+(1-$T29)*W29))</f>
        <v>0</v>
      </c>
      <c r="AB29" s="1063">
        <f>IF($F29=$B$86,"Enter Value",$S29*SUM('Primary Sources'!S$11:S$35)*($T29+(1-$T29)*X29))</f>
        <v>0</v>
      </c>
      <c r="AC29" s="1063">
        <f>IF($F29=$B$86,"Enter Value",$S29*(SUM('Primary Sources'!U$11:U$35)-'Existing Management Practices'!G$176)*$T29)</f>
        <v>0</v>
      </c>
      <c r="AD29" s="1063">
        <f>$AC29*SUM('Primary Sources'!P$11:P$35)/MAX(SUM('Primary Sources'!$U$11:$U$35),0.001)*(1-U29)*(1-VLOOKUP($H29,$B$91:$E$93,2,FALSE)*(1-IF($G29="A Soils",0.5,0)))*(1-VLOOKUP($F29,$B$64:$K$88,10,FALSE))</f>
        <v>0</v>
      </c>
      <c r="AE29" s="1063">
        <f>$AC29*SUM('Primary Sources'!Q$11:Q$35)/MAX(SUM('Primary Sources'!$U$11:$U$35),0.001)*(1-V29)*(1-VLOOKUP($H29,$B$91:$E$93,3,FALSE)*(1-IF($G29="A Soils",0.5,0)))*(1-VLOOKUP($F29,$B$64:$K$88,10,FALSE))</f>
        <v>0</v>
      </c>
      <c r="AF29" s="1064">
        <f>$AC29*SUM('Primary Sources'!S$11:S$35)/MAX(SUM('Primary Sources'!$U$11:$U$35),0.001)*(1-X29)*(1-VLOOKUP($H29,$B$91:$E$93,4,FALSE)*(1-IF($G29="A Soils",0.5,0)))*(1-VLOOKUP($F29,$B$64:$K$88,10,FALSE))</f>
        <v>0</v>
      </c>
      <c r="AG29" s="627">
        <f>$Q29*(SUM('Primary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Worksheet'!$D29))*$R29*$P29*($O29+(1-$O29)*K29)-Y29</f>
        <v>0</v>
      </c>
      <c r="AH29" s="628">
        <f>$Q29*(SUM('Primary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Worksheet'!$D29))*$R29*$P29*($O29+(1-$O29)*L29)-Z29</f>
        <v>0</v>
      </c>
      <c r="AI29" s="628">
        <f>$Q29*SUM('Primary Sources'!R$10:R$35)*$R29*$P29*($O29+(1-$O29)*M29)-AA29</f>
        <v>0</v>
      </c>
      <c r="AJ29" s="628">
        <f>$Q29*SUM('Primary Sources'!S$10:S$35)*$R29*$P29*($O29+(1-$O29)*N29)-AB29</f>
        <v>0</v>
      </c>
      <c r="AK29" s="628">
        <f>$Q29*(SUM('Primary Sources'!U$10:U$35)-('Existing Management Practices'!G$176)*SUM('Primary Sources'!$D$10:$D$35)/MAX(('Primary Sources'!$F$53+'Future Management Practices'!$C$20-'Existing Management Practices'!$C$6),0.01)*(1-'Retrofit Worksheet'!$D29))*$R29*$P29*$O29-AC29</f>
        <v>0</v>
      </c>
      <c r="AL29" s="628">
        <f>$AK29*(SUM('Primary Sources'!P$11:P$35)-'Existing Management Practices'!C$176-'Future Management Practices'!C$388)/MAX(SUM('Primary Sources'!$U$11:$U$35)-'Existing Management Practices'!$G$176,0.001)*(1-K29)*(1-VLOOKUP($H29,$B$91:$E$93,2,FALSE)*(1-IF($G29="A Soils",0.5,0)))*(1-VLOOKUP($B29,$B$64:$K$88,10,FALSE))-AD29</f>
        <v>0</v>
      </c>
      <c r="AM29" s="628">
        <f>$AK29*(SUM('Primary Sources'!Q$11:Q$35)-'Existing Management Practices'!D$176-'Future Management Practices'!D$388)/MAX(SUM('Primary Sources'!$U$11:$U$35)-'Existing Management Practices'!$G$176,0.001)*(1-L29)*(1-VLOOKUP($H29,$B$91:$E$93,3,FALSE)*(1-IF($G29="A Soils",0.5,0)))*(1-VLOOKUP($B29,$B$64:$K$88,10,FALSE))-AE29</f>
        <v>0</v>
      </c>
      <c r="AN29" s="629">
        <f>$AK29*(SUM('Primary Sources'!S$11:S$35)-'Existing Management Practices'!F$176-'Future Management Practices'!F$388)/MAX(SUM('Primary Sources'!$U$11:$U$35)-'Existing Management Practices'!$G$176,0.001)*(1-N29)*(1-VLOOKUP($H29,$B$91:$E$93,4,FALSE)*(1-IF($G29="A Soils",0.5,0)))*(1-VLOOKUP($B29,$B$64:$K$88,10,FALSE))-AF29</f>
        <v>0</v>
      </c>
      <c r="AO29" s="998"/>
      <c r="AP29" s="1672">
        <f t="shared" si="4"/>
        <v>0</v>
      </c>
      <c r="AQ29" s="1672">
        <f t="shared" si="3"/>
        <v>0</v>
      </c>
      <c r="AR29" s="1672">
        <f t="shared" si="16"/>
        <v>0</v>
      </c>
      <c r="AS29" s="1672">
        <f t="shared" si="17"/>
        <v>0</v>
      </c>
      <c r="AT29" s="1672">
        <f t="shared" si="18"/>
        <v>0</v>
      </c>
      <c r="AU29" s="1672">
        <f t="shared" si="19"/>
        <v>0</v>
      </c>
      <c r="AV29" s="1672">
        <f t="shared" si="20"/>
        <v>0</v>
      </c>
      <c r="AW29" s="1672">
        <f t="shared" si="21"/>
        <v>0</v>
      </c>
      <c r="AX29" s="1672">
        <f t="shared" si="22"/>
        <v>0</v>
      </c>
      <c r="AY29" s="1672">
        <f t="shared" si="23"/>
        <v>0</v>
      </c>
      <c r="AZ29" s="1670">
        <f t="shared" si="24"/>
        <v>0</v>
      </c>
      <c r="BA29" s="1679">
        <f t="shared" si="25"/>
        <v>0</v>
      </c>
      <c r="BB29" s="1680"/>
      <c r="BC29" s="1657"/>
      <c r="BD29" s="1670"/>
      <c r="BE29" s="1671"/>
      <c r="BF29" s="1677"/>
      <c r="BG29" s="1676"/>
      <c r="BH29" s="1677"/>
      <c r="BI29" s="1678"/>
      <c r="BJ29" s="1677"/>
      <c r="BK29" s="1676"/>
      <c r="BL29" s="1678"/>
      <c r="BM29" s="1678"/>
      <c r="BN29" s="1670"/>
      <c r="BO29" s="1679"/>
    </row>
    <row r="30" spans="2:256" ht="12.5" x14ac:dyDescent="0.25">
      <c r="B30" s="1251" t="s">
        <v>748</v>
      </c>
      <c r="C30" s="1252">
        <f t="shared" si="26"/>
        <v>0</v>
      </c>
      <c r="D30" s="1253">
        <f t="shared" si="27"/>
        <v>0</v>
      </c>
      <c r="E30" s="1253" t="s">
        <v>485</v>
      </c>
      <c r="F30" s="626" t="str">
        <f t="shared" si="28"/>
        <v>N/A</v>
      </c>
      <c r="G30" s="1249" t="s">
        <v>61</v>
      </c>
      <c r="H30" s="1250" t="s">
        <v>66</v>
      </c>
      <c r="I30" s="1461">
        <f>C30*C$3*(D30*0.95+'Existing Management Practices'!$C$32/SUMPRODUCT('Primary Sources'!$C$70:$C$73,'Primary Sources'!$E$70:$E$73)*(1-D30)*VLOOKUP(G30,'Primary Sources'!B$70:E$73,4,FALSE))*3630</f>
        <v>0</v>
      </c>
      <c r="J30" s="1470">
        <f t="shared" si="5"/>
        <v>0</v>
      </c>
      <c r="K30" s="1462">
        <f t="shared" si="6"/>
        <v>0.4</v>
      </c>
      <c r="L30" s="1462">
        <f t="shared" si="7"/>
        <v>0.75</v>
      </c>
      <c r="M30" s="1462">
        <f t="shared" si="8"/>
        <v>0.85</v>
      </c>
      <c r="N30" s="1462">
        <f t="shared" si="9"/>
        <v>0.7</v>
      </c>
      <c r="O30" s="1463">
        <f t="shared" si="10"/>
        <v>0</v>
      </c>
      <c r="P30" s="1464">
        <v>1.2</v>
      </c>
      <c r="Q30" s="1465">
        <f>J30/MAX(('Primary Sources'!$E$53*0.95+'Existing Management Practices'!$C$32*'Primary Sources'!$F$53)*$C$3,0.001)/3630</f>
        <v>0</v>
      </c>
      <c r="R30" s="1462">
        <v>0.9</v>
      </c>
      <c r="S30" s="1466">
        <f>IF(E30=$B$58,C30*(0.95*D30+(1-D30)*VLOOKUP(G30,'Primary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30" s="1467">
        <f t="shared" si="11"/>
        <v>0</v>
      </c>
      <c r="U30" s="1468">
        <f t="shared" si="12"/>
        <v>0</v>
      </c>
      <c r="V30" s="1468">
        <f t="shared" si="13"/>
        <v>0</v>
      </c>
      <c r="W30" s="1468">
        <f t="shared" si="14"/>
        <v>0</v>
      </c>
      <c r="X30" s="1469">
        <f t="shared" si="15"/>
        <v>0</v>
      </c>
      <c r="Y30" s="1068">
        <f>IF($F30=$B$86,"Enter Value",$S30*(SUM('Primary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Worksheet'!$D30))*($T30+(1-$T30)*U30))</f>
        <v>0</v>
      </c>
      <c r="Z30" s="1063">
        <f>IF($F30=$B$86,"Enter Value",$S30*(SUM('Primary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Worksheet'!$D30))*($T30+(1-$T30)*V30))</f>
        <v>0</v>
      </c>
      <c r="AA30" s="1063">
        <f>IF($F30=$B$86,"Enter Value",$S30*SUM('Primary Sources'!R$11:R$35)*($T30+(1-$T30)*W30))</f>
        <v>0</v>
      </c>
      <c r="AB30" s="1063">
        <f>IF($F30=$B$86,"Enter Value",$S30*SUM('Primary Sources'!S$11:S$35)*($T30+(1-$T30)*X30))</f>
        <v>0</v>
      </c>
      <c r="AC30" s="1063">
        <f>IF($F30=$B$86,"Enter Value",$S30*(SUM('Primary Sources'!U$11:U$35)-'Existing Management Practices'!G$176)*$T30)</f>
        <v>0</v>
      </c>
      <c r="AD30" s="1063">
        <f>$AC30*SUM('Primary Sources'!P$11:P$35)/MAX(SUM('Primary Sources'!$U$11:$U$35),0.001)*(1-U30)*(1-VLOOKUP($H30,$B$91:$E$93,2,FALSE)*(1-IF($G30="A Soils",0.5,0)))*(1-VLOOKUP($F30,$B$64:$K$88,10,FALSE))</f>
        <v>0</v>
      </c>
      <c r="AE30" s="1063">
        <f>$AC30*SUM('Primary Sources'!Q$11:Q$35)/MAX(SUM('Primary Sources'!$U$11:$U$35),0.001)*(1-V30)*(1-VLOOKUP($H30,$B$91:$E$93,3,FALSE)*(1-IF($G30="A Soils",0.5,0)))*(1-VLOOKUP($F30,$B$64:$K$88,10,FALSE))</f>
        <v>0</v>
      </c>
      <c r="AF30" s="1064">
        <f>$AC30*SUM('Primary Sources'!S$11:S$35)/MAX(SUM('Primary Sources'!$U$11:$U$35),0.001)*(1-X30)*(1-VLOOKUP($H30,$B$91:$E$93,4,FALSE)*(1-IF($G30="A Soils",0.5,0)))*(1-VLOOKUP($F30,$B$64:$K$88,10,FALSE))</f>
        <v>0</v>
      </c>
      <c r="AG30" s="627">
        <f>$Q30*(SUM('Primary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Worksheet'!$D30))*$R30*$P30*($O30+(1-$O30)*K30)-Y30</f>
        <v>0</v>
      </c>
      <c r="AH30" s="628">
        <f>$Q30*(SUM('Primary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Worksheet'!$D30))*$R30*$P30*($O30+(1-$O30)*L30)-Z30</f>
        <v>0</v>
      </c>
      <c r="AI30" s="628">
        <f>$Q30*SUM('Primary Sources'!R$10:R$35)*$R30*$P30*($O30+(1-$O30)*M30)-AA30</f>
        <v>0</v>
      </c>
      <c r="AJ30" s="628">
        <f>$Q30*SUM('Primary Sources'!S$10:S$35)*$R30*$P30*($O30+(1-$O30)*N30)-AB30</f>
        <v>0</v>
      </c>
      <c r="AK30" s="628">
        <f>$Q30*(SUM('Primary Sources'!U$10:U$35)-('Existing Management Practices'!G$176)*SUM('Primary Sources'!$D$10:$D$35)/MAX(('Primary Sources'!$F$53+'Future Management Practices'!$C$20-'Existing Management Practices'!$C$6),0.01)*(1-'Retrofit Worksheet'!$D30))*$R30*$P30*$O30-AC30</f>
        <v>0</v>
      </c>
      <c r="AL30" s="628">
        <f>$AK30*(SUM('Primary Sources'!P$11:P$35)-'Existing Management Practices'!C$176-'Future Management Practices'!C$388)/MAX(SUM('Primary Sources'!$U$11:$U$35)-'Existing Management Practices'!$G$176,0.001)*(1-K30)*(1-VLOOKUP($H30,$B$91:$E$93,2,FALSE)*(1-IF($G30="A Soils",0.5,0)))*(1-VLOOKUP($B30,$B$64:$K$88,10,FALSE))-AD30</f>
        <v>0</v>
      </c>
      <c r="AM30" s="628">
        <f>$AK30*(SUM('Primary Sources'!Q$11:Q$35)-'Existing Management Practices'!D$176-'Future Management Practices'!D$388)/MAX(SUM('Primary Sources'!$U$11:$U$35)-'Existing Management Practices'!$G$176,0.001)*(1-L30)*(1-VLOOKUP($H30,$B$91:$E$93,3,FALSE)*(1-IF($G30="A Soils",0.5,0)))*(1-VLOOKUP($B30,$B$64:$K$88,10,FALSE))-AE30</f>
        <v>0</v>
      </c>
      <c r="AN30" s="629">
        <f>$AK30*(SUM('Primary Sources'!S$11:S$35)-'Existing Management Practices'!F$176-'Future Management Practices'!F$388)/MAX(SUM('Primary Sources'!$U$11:$U$35)-'Existing Management Practices'!$G$176,0.001)*(1-N30)*(1-VLOOKUP($H30,$B$91:$E$93,4,FALSE)*(1-IF($G30="A Soils",0.5,0)))*(1-VLOOKUP($B30,$B$64:$K$88,10,FALSE))-AF30</f>
        <v>0</v>
      </c>
      <c r="AO30" s="998"/>
      <c r="AP30" s="1672">
        <f t="shared" si="4"/>
        <v>0</v>
      </c>
      <c r="AQ30" s="1672">
        <f t="shared" si="3"/>
        <v>0</v>
      </c>
      <c r="AR30" s="1672">
        <f t="shared" si="16"/>
        <v>0</v>
      </c>
      <c r="AS30" s="1672">
        <f t="shared" si="17"/>
        <v>0</v>
      </c>
      <c r="AT30" s="1672">
        <f t="shared" si="18"/>
        <v>0</v>
      </c>
      <c r="AU30" s="1672">
        <f t="shared" si="19"/>
        <v>0</v>
      </c>
      <c r="AV30" s="1672">
        <f t="shared" si="20"/>
        <v>0</v>
      </c>
      <c r="AW30" s="1672">
        <f t="shared" si="21"/>
        <v>0</v>
      </c>
      <c r="AX30" s="1672">
        <f t="shared" si="22"/>
        <v>0</v>
      </c>
      <c r="AY30" s="1672">
        <f t="shared" si="23"/>
        <v>0</v>
      </c>
      <c r="AZ30" s="1670">
        <f t="shared" si="24"/>
        <v>0</v>
      </c>
      <c r="BA30" s="1679">
        <f t="shared" si="25"/>
        <v>0</v>
      </c>
      <c r="BB30" s="1680"/>
      <c r="BC30" s="1659"/>
      <c r="BD30" s="1670"/>
      <c r="BE30" s="1671"/>
      <c r="BF30" s="1677"/>
      <c r="BG30" s="1676"/>
      <c r="BH30" s="1677"/>
      <c r="BI30" s="1678"/>
      <c r="BJ30" s="1677"/>
      <c r="BK30" s="1676"/>
      <c r="BL30" s="1678"/>
      <c r="BM30" s="1678"/>
      <c r="BN30" s="1670"/>
      <c r="BO30" s="1679"/>
    </row>
    <row r="31" spans="2:256" ht="12.5" x14ac:dyDescent="0.25">
      <c r="B31" s="1251" t="s">
        <v>751</v>
      </c>
      <c r="C31" s="1252">
        <f t="shared" si="26"/>
        <v>0</v>
      </c>
      <c r="D31" s="1253">
        <f t="shared" si="27"/>
        <v>0</v>
      </c>
      <c r="E31" s="1253" t="s">
        <v>485</v>
      </c>
      <c r="F31" s="626" t="str">
        <f t="shared" si="28"/>
        <v>N/A</v>
      </c>
      <c r="G31" s="1249" t="s">
        <v>61</v>
      </c>
      <c r="H31" s="1250" t="s">
        <v>66</v>
      </c>
      <c r="I31" s="1461">
        <f>C31*C$3*(D31*0.95+'Existing Management Practices'!$C$32/SUMPRODUCT('Primary Sources'!$C$70:$C$73,'Primary Sources'!$E$70:$E$73)*(1-D31)*VLOOKUP(G31,'Primary Sources'!B$70:E$73,4,FALSE))*3630</f>
        <v>0</v>
      </c>
      <c r="J31" s="1470">
        <f t="shared" si="5"/>
        <v>0</v>
      </c>
      <c r="K31" s="1462">
        <f t="shared" si="6"/>
        <v>0.6</v>
      </c>
      <c r="L31" s="1462">
        <f t="shared" si="7"/>
        <v>0.5</v>
      </c>
      <c r="M31" s="1462">
        <f t="shared" si="8"/>
        <v>0.5</v>
      </c>
      <c r="N31" s="1462">
        <f t="shared" si="9"/>
        <v>0.5</v>
      </c>
      <c r="O31" s="1463">
        <f t="shared" si="10"/>
        <v>0.4</v>
      </c>
      <c r="P31" s="1464">
        <v>1.2</v>
      </c>
      <c r="Q31" s="1465">
        <f>J31/MAX(('Primary Sources'!$E$53*0.95+'Existing Management Practices'!$C$32*'Primary Sources'!$F$53)*$C$3,0.001)/3630</f>
        <v>0</v>
      </c>
      <c r="R31" s="1462">
        <v>0.9</v>
      </c>
      <c r="S31" s="1466">
        <f>IF(E31=$B$58,C31*(0.95*D31+(1-D31)*VLOOKUP(G31,'Primary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31" s="1467">
        <f t="shared" si="11"/>
        <v>0</v>
      </c>
      <c r="U31" s="1468">
        <f t="shared" si="12"/>
        <v>0</v>
      </c>
      <c r="V31" s="1468">
        <f t="shared" si="13"/>
        <v>0</v>
      </c>
      <c r="W31" s="1468">
        <f t="shared" si="14"/>
        <v>0</v>
      </c>
      <c r="X31" s="1469">
        <f t="shared" si="15"/>
        <v>0</v>
      </c>
      <c r="Y31" s="1068">
        <f>IF($F31=$B$86,"Enter Value",$S31*(SUM('Primary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Worksheet'!$D31))*($T31+(1-$T31)*U31))</f>
        <v>0</v>
      </c>
      <c r="Z31" s="1063">
        <f>IF($F31=$B$86,"Enter Value",$S31*(SUM('Primary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Worksheet'!$D31))*($T31+(1-$T31)*V31))</f>
        <v>0</v>
      </c>
      <c r="AA31" s="1063">
        <f>IF($F31=$B$86,"Enter Value",$S31*SUM('Primary Sources'!R$11:R$35)*($T31+(1-$T31)*W31))</f>
        <v>0</v>
      </c>
      <c r="AB31" s="1063">
        <f>IF($F31=$B$86,"Enter Value",$S31*SUM('Primary Sources'!S$11:S$35)*($T31+(1-$T31)*X31))</f>
        <v>0</v>
      </c>
      <c r="AC31" s="1063">
        <f>IF($F31=$B$86,"Enter Value",$S31*(SUM('Primary Sources'!U$11:U$35)-'Existing Management Practices'!G$176)*$T31)</f>
        <v>0</v>
      </c>
      <c r="AD31" s="1063">
        <f>$AC31*SUM('Primary Sources'!P$11:P$35)/MAX(SUM('Primary Sources'!$U$11:$U$35),0.001)*(1-U31)*(1-VLOOKUP($H31,$B$91:$E$93,2,FALSE)*(1-IF($G31="A Soils",0.5,0)))*(1-VLOOKUP($F31,$B$64:$K$88,10,FALSE))</f>
        <v>0</v>
      </c>
      <c r="AE31" s="1063">
        <f>$AC31*SUM('Primary Sources'!Q$11:Q$35)/MAX(SUM('Primary Sources'!$U$11:$U$35),0.001)*(1-V31)*(1-VLOOKUP($H31,$B$91:$E$93,3,FALSE)*(1-IF($G31="A Soils",0.5,0)))*(1-VLOOKUP($F31,$B$64:$K$88,10,FALSE))</f>
        <v>0</v>
      </c>
      <c r="AF31" s="1064">
        <f>$AC31*SUM('Primary Sources'!S$11:S$35)/MAX(SUM('Primary Sources'!$U$11:$U$35),0.001)*(1-X31)*(1-VLOOKUP($H31,$B$91:$E$93,4,FALSE)*(1-IF($G31="A Soils",0.5,0)))*(1-VLOOKUP($F31,$B$64:$K$88,10,FALSE))</f>
        <v>0</v>
      </c>
      <c r="AG31" s="627">
        <f>$Q31*(SUM('Primary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Worksheet'!$D31))*$R31*$P31*($O31+(1-$O31)*K31)-Y31</f>
        <v>0</v>
      </c>
      <c r="AH31" s="628">
        <f>$Q31*(SUM('Primary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Worksheet'!$D31))*$R31*$P31*($O31+(1-$O31)*L31)-Z31</f>
        <v>0</v>
      </c>
      <c r="AI31" s="628">
        <f>$Q31*SUM('Primary Sources'!R$10:R$35)*$R31*$P31*($O31+(1-$O31)*M31)-AA31</f>
        <v>0</v>
      </c>
      <c r="AJ31" s="628">
        <f>$Q31*SUM('Primary Sources'!S$10:S$35)*$R31*$P31*($O31+(1-$O31)*N31)-AB31</f>
        <v>0</v>
      </c>
      <c r="AK31" s="628">
        <f>$Q31*(SUM('Primary Sources'!U$10:U$35)-('Existing Management Practices'!G$176)*SUM('Primary Sources'!$D$10:$D$35)/MAX(('Primary Sources'!$F$53+'Future Management Practices'!$C$20-'Existing Management Practices'!$C$6),0.01)*(1-'Retrofit Worksheet'!$D31))*$R31*$P31*$O31-AC31</f>
        <v>0</v>
      </c>
      <c r="AL31" s="628">
        <f>$AK31*(SUM('Primary Sources'!P$11:P$35)-'Existing Management Practices'!C$176-'Future Management Practices'!C$388)/MAX(SUM('Primary Sources'!$U$11:$U$35)-'Existing Management Practices'!$G$176,0.001)*(1-K31)*(1-VLOOKUP($H31,$B$91:$E$93,2,FALSE)*(1-IF($G31="A Soils",0.5,0)))*(1-VLOOKUP($B31,$B$64:$K$88,10,FALSE))-AD31</f>
        <v>0</v>
      </c>
      <c r="AM31" s="628">
        <f>$AK31*(SUM('Primary Sources'!Q$11:Q$35)-'Existing Management Practices'!D$176-'Future Management Practices'!D$388)/MAX(SUM('Primary Sources'!$U$11:$U$35)-'Existing Management Practices'!$G$176,0.001)*(1-L31)*(1-VLOOKUP($H31,$B$91:$E$93,3,FALSE)*(1-IF($G31="A Soils",0.5,0)))*(1-VLOOKUP($B31,$B$64:$K$88,10,FALSE))-AE31</f>
        <v>0</v>
      </c>
      <c r="AN31" s="629">
        <f>$AK31*(SUM('Primary Sources'!S$11:S$35)-'Existing Management Practices'!F$176-'Future Management Practices'!F$388)/MAX(SUM('Primary Sources'!$U$11:$U$35)-'Existing Management Practices'!$G$176,0.001)*(1-N31)*(1-VLOOKUP($H31,$B$91:$E$93,4,FALSE)*(1-IF($G31="A Soils",0.5,0)))*(1-VLOOKUP($B31,$B$64:$K$88,10,FALSE))-AF31</f>
        <v>0</v>
      </c>
      <c r="AO31" s="998"/>
      <c r="AP31" s="1672">
        <f t="shared" si="4"/>
        <v>0</v>
      </c>
      <c r="AQ31" s="1672">
        <f t="shared" si="3"/>
        <v>0</v>
      </c>
      <c r="AR31" s="1672">
        <f t="shared" si="16"/>
        <v>0</v>
      </c>
      <c r="AS31" s="1672">
        <f t="shared" si="17"/>
        <v>0</v>
      </c>
      <c r="AT31" s="1672">
        <f t="shared" si="18"/>
        <v>0</v>
      </c>
      <c r="AU31" s="1672">
        <f t="shared" si="19"/>
        <v>0</v>
      </c>
      <c r="AV31" s="1672">
        <f t="shared" si="20"/>
        <v>0</v>
      </c>
      <c r="AW31" s="1672">
        <f t="shared" si="21"/>
        <v>0</v>
      </c>
      <c r="AX31" s="1672">
        <f t="shared" si="22"/>
        <v>0</v>
      </c>
      <c r="AY31" s="1672">
        <f t="shared" si="23"/>
        <v>0</v>
      </c>
      <c r="AZ31" s="1670">
        <f t="shared" si="24"/>
        <v>0</v>
      </c>
      <c r="BA31" s="1679">
        <f t="shared" si="25"/>
        <v>0</v>
      </c>
      <c r="BB31" s="1680"/>
      <c r="BC31" s="1659"/>
      <c r="BD31" s="1670"/>
      <c r="BE31" s="1671"/>
      <c r="BF31" s="1677"/>
      <c r="BG31" s="1676"/>
      <c r="BH31" s="1677"/>
      <c r="BI31" s="1678"/>
      <c r="BJ31" s="1677"/>
      <c r="BK31" s="1676"/>
      <c r="BL31" s="1678"/>
      <c r="BM31" s="1682"/>
      <c r="BN31" s="1670"/>
      <c r="BO31" s="1679"/>
    </row>
    <row r="32" spans="2:256" ht="12.5" x14ac:dyDescent="0.25">
      <c r="B32" s="1251" t="s">
        <v>753</v>
      </c>
      <c r="C32" s="1252">
        <f t="shared" si="26"/>
        <v>0</v>
      </c>
      <c r="D32" s="1253">
        <f t="shared" si="27"/>
        <v>0</v>
      </c>
      <c r="E32" s="1253" t="s">
        <v>485</v>
      </c>
      <c r="F32" s="626" t="str">
        <f t="shared" si="28"/>
        <v>N/A</v>
      </c>
      <c r="G32" s="1249" t="s">
        <v>61</v>
      </c>
      <c r="H32" s="1250" t="s">
        <v>66</v>
      </c>
      <c r="I32" s="1461">
        <f>C32*C$3*(D32*0.95+'Existing Management Practices'!$C$32/SUMPRODUCT('Primary Sources'!$C$70:$C$73,'Primary Sources'!$E$70:$E$73)*(1-D32)*VLOOKUP(G32,'Primary Sources'!B$70:E$73,4,FALSE))*3630</f>
        <v>0</v>
      </c>
      <c r="J32" s="1470">
        <f t="shared" si="5"/>
        <v>0</v>
      </c>
      <c r="K32" s="1462">
        <f t="shared" si="6"/>
        <v>0.35</v>
      </c>
      <c r="L32" s="1462">
        <f t="shared" si="7"/>
        <v>0.4</v>
      </c>
      <c r="M32" s="1462">
        <f t="shared" si="8"/>
        <v>0.4</v>
      </c>
      <c r="N32" s="1462">
        <f t="shared" si="9"/>
        <v>0</v>
      </c>
      <c r="O32" s="1463">
        <f t="shared" si="10"/>
        <v>0.4</v>
      </c>
      <c r="P32" s="1464">
        <v>1.2</v>
      </c>
      <c r="Q32" s="1465">
        <f>J32/MAX(('Primary Sources'!$E$53*0.95+'Existing Management Practices'!$C$32*'Primary Sources'!$F$53)*$C$3,0.001)/3630</f>
        <v>0</v>
      </c>
      <c r="R32" s="1462">
        <v>0.9</v>
      </c>
      <c r="S32" s="1466">
        <f>IF(E32=$B$58,C32*(0.95*D32+(1-D32)*VLOOKUP(G32,'Primary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32" s="1467">
        <f t="shared" si="11"/>
        <v>0</v>
      </c>
      <c r="U32" s="1468">
        <f t="shared" si="12"/>
        <v>0</v>
      </c>
      <c r="V32" s="1468">
        <f t="shared" si="13"/>
        <v>0</v>
      </c>
      <c r="W32" s="1468">
        <f t="shared" si="14"/>
        <v>0</v>
      </c>
      <c r="X32" s="1469">
        <f t="shared" si="15"/>
        <v>0</v>
      </c>
      <c r="Y32" s="1068">
        <f>IF($F32=$B$86,"Enter Value",$S32*(SUM('Primary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Worksheet'!$D32))*($T32+(1-$T32)*U32))</f>
        <v>0</v>
      </c>
      <c r="Z32" s="1063">
        <f>IF($F32=$B$86,"Enter Value",$S32*(SUM('Primary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Worksheet'!$D32))*($T32+(1-$T32)*V32))</f>
        <v>0</v>
      </c>
      <c r="AA32" s="1063">
        <f>IF($F32=$B$86,"Enter Value",$S32*SUM('Primary Sources'!R$11:R$35)*($T32+(1-$T32)*W32))</f>
        <v>0</v>
      </c>
      <c r="AB32" s="1063">
        <f>IF($F32=$B$86,"Enter Value",$S32*SUM('Primary Sources'!S$11:S$35)*($T32+(1-$T32)*X32))</f>
        <v>0</v>
      </c>
      <c r="AC32" s="1063">
        <f>IF($F32=$B$86,"Enter Value",$S32*(SUM('Primary Sources'!U$11:U$35)-'Existing Management Practices'!G$176)*$T32)</f>
        <v>0</v>
      </c>
      <c r="AD32" s="1063">
        <f>$AC32*SUM('Primary Sources'!P$11:P$35)/MAX(SUM('Primary Sources'!$U$11:$U$35),0.001)*(1-U32)*(1-VLOOKUP($H32,$B$91:$E$93,2,FALSE)*(1-IF($G32="A Soils",0.5,0)))*(1-VLOOKUP($F32,$B$64:$K$88,10,FALSE))</f>
        <v>0</v>
      </c>
      <c r="AE32" s="1063">
        <f>$AC32*SUM('Primary Sources'!Q$11:Q$35)/MAX(SUM('Primary Sources'!$U$11:$U$35),0.001)*(1-V32)*(1-VLOOKUP($H32,$B$91:$E$93,3,FALSE)*(1-IF($G32="A Soils",0.5,0)))*(1-VLOOKUP($F32,$B$64:$K$88,10,FALSE))</f>
        <v>0</v>
      </c>
      <c r="AF32" s="1064">
        <f>$AC32*SUM('Primary Sources'!S$11:S$35)/MAX(SUM('Primary Sources'!$U$11:$U$35),0.001)*(1-X32)*(1-VLOOKUP($H32,$B$91:$E$93,4,FALSE)*(1-IF($G32="A Soils",0.5,0)))*(1-VLOOKUP($F32,$B$64:$K$88,10,FALSE))</f>
        <v>0</v>
      </c>
      <c r="AG32" s="627">
        <f>$Q32*(SUM('Primary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Worksheet'!$D32))*$R32*$P32*($O32+(1-$O32)*K32)-Y32</f>
        <v>0</v>
      </c>
      <c r="AH32" s="628">
        <f>$Q32*(SUM('Primary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Worksheet'!$D32))*$R32*$P32*($O32+(1-$O32)*L32)-Z32</f>
        <v>0</v>
      </c>
      <c r="AI32" s="628">
        <f>$Q32*SUM('Primary Sources'!R$10:R$35)*$R32*$P32*($O32+(1-$O32)*M32)-AA32</f>
        <v>0</v>
      </c>
      <c r="AJ32" s="628">
        <f>$Q32*SUM('Primary Sources'!S$10:S$35)*$R32*$P32*($O32+(1-$O32)*N32)-AB32</f>
        <v>0</v>
      </c>
      <c r="AK32" s="628">
        <f>$Q32*(SUM('Primary Sources'!U$10:U$35)-('Existing Management Practices'!G$176)*SUM('Primary Sources'!$D$10:$D$35)/MAX(('Primary Sources'!$F$53+'Future Management Practices'!$C$20-'Existing Management Practices'!$C$6),0.01)*(1-'Retrofit Worksheet'!$D32))*$R32*$P32*$O32-AC32</f>
        <v>0</v>
      </c>
      <c r="AL32" s="628">
        <f>$AK32*(SUM('Primary Sources'!P$11:P$35)-'Existing Management Practices'!C$176-'Future Management Practices'!C$388)/MAX(SUM('Primary Sources'!$U$11:$U$35)-'Existing Management Practices'!$G$176,0.001)*(1-K32)*(1-VLOOKUP($H32,$B$91:$E$93,2,FALSE)*(1-IF($G32="A Soils",0.5,0)))*(1-VLOOKUP($B32,$B$64:$K$88,10,FALSE))-AD32</f>
        <v>0</v>
      </c>
      <c r="AM32" s="628">
        <f>$AK32*(SUM('Primary Sources'!Q$11:Q$35)-'Existing Management Practices'!D$176-'Future Management Practices'!D$388)/MAX(SUM('Primary Sources'!$U$11:$U$35)-'Existing Management Practices'!$G$176,0.001)*(1-L32)*(1-VLOOKUP($H32,$B$91:$E$93,3,FALSE)*(1-IF($G32="A Soils",0.5,0)))*(1-VLOOKUP($B32,$B$64:$K$88,10,FALSE))-AE32</f>
        <v>0</v>
      </c>
      <c r="AN32" s="629">
        <f>$AK32*(SUM('Primary Sources'!S$11:S$35)-'Existing Management Practices'!F$176-'Future Management Practices'!F$388)/MAX(SUM('Primary Sources'!$U$11:$U$35)-'Existing Management Practices'!$G$176,0.001)*(1-N32)*(1-VLOOKUP($H32,$B$91:$E$93,4,FALSE)*(1-IF($G32="A Soils",0.5,0)))*(1-VLOOKUP($B32,$B$64:$K$88,10,FALSE))-AF32</f>
        <v>0</v>
      </c>
      <c r="AO32" s="998"/>
      <c r="AP32" s="1672">
        <f t="shared" si="4"/>
        <v>0</v>
      </c>
      <c r="AQ32" s="1672">
        <f t="shared" si="3"/>
        <v>0</v>
      </c>
      <c r="AR32" s="1672">
        <f t="shared" si="16"/>
        <v>0</v>
      </c>
      <c r="AS32" s="1672">
        <f t="shared" si="17"/>
        <v>0</v>
      </c>
      <c r="AT32" s="1672">
        <f t="shared" si="18"/>
        <v>0</v>
      </c>
      <c r="AU32" s="1672">
        <f t="shared" si="19"/>
        <v>0</v>
      </c>
      <c r="AV32" s="1672">
        <f t="shared" si="20"/>
        <v>0</v>
      </c>
      <c r="AW32" s="1672">
        <f t="shared" si="21"/>
        <v>0</v>
      </c>
      <c r="AX32" s="1672">
        <f t="shared" si="22"/>
        <v>0</v>
      </c>
      <c r="AY32" s="1672">
        <f t="shared" si="23"/>
        <v>0</v>
      </c>
      <c r="AZ32" s="1670">
        <f t="shared" si="24"/>
        <v>0</v>
      </c>
      <c r="BA32" s="1679">
        <f t="shared" si="25"/>
        <v>0</v>
      </c>
      <c r="BB32" s="1680"/>
      <c r="BC32" s="1659"/>
      <c r="BD32" s="1670"/>
      <c r="BE32" s="1671"/>
      <c r="BF32" s="1677"/>
      <c r="BG32" s="1676"/>
      <c r="BH32" s="1677"/>
      <c r="BI32" s="1678"/>
      <c r="BJ32" s="1677"/>
      <c r="BK32" s="1676"/>
      <c r="BL32" s="1678"/>
      <c r="BM32" s="1682"/>
      <c r="BN32" s="1670"/>
      <c r="BO32" s="1679"/>
    </row>
    <row r="33" spans="2:67" ht="12.5" x14ac:dyDescent="0.25">
      <c r="B33" s="1251" t="s">
        <v>756</v>
      </c>
      <c r="C33" s="1252">
        <f t="shared" si="26"/>
        <v>0</v>
      </c>
      <c r="D33" s="1253">
        <f t="shared" si="27"/>
        <v>0</v>
      </c>
      <c r="E33" s="1253" t="s">
        <v>485</v>
      </c>
      <c r="F33" s="626" t="str">
        <f t="shared" si="28"/>
        <v>N/A</v>
      </c>
      <c r="G33" s="1249" t="s">
        <v>61</v>
      </c>
      <c r="H33" s="1250" t="s">
        <v>66</v>
      </c>
      <c r="I33" s="1461">
        <f>C33*C$3*(D33*0.95+'Existing Management Practices'!$C$32/SUMPRODUCT('Primary Sources'!$C$70:$C$73,'Primary Sources'!$E$70:$E$73)*(1-D33)*VLOOKUP(G33,'Primary Sources'!B$70:E$73,4,FALSE))*3630</f>
        <v>0</v>
      </c>
      <c r="J33" s="1470">
        <f t="shared" si="5"/>
        <v>0</v>
      </c>
      <c r="K33" s="1462">
        <f t="shared" si="6"/>
        <v>0.1</v>
      </c>
      <c r="L33" s="1462">
        <f t="shared" si="7"/>
        <v>0.15</v>
      </c>
      <c r="M33" s="1462">
        <f t="shared" si="8"/>
        <v>0.7</v>
      </c>
      <c r="N33" s="1462">
        <f t="shared" si="9"/>
        <v>0</v>
      </c>
      <c r="O33" s="1463">
        <f t="shared" si="10"/>
        <v>0</v>
      </c>
      <c r="P33" s="1464">
        <v>1.2</v>
      </c>
      <c r="Q33" s="1465">
        <f>J33/MAX(('Primary Sources'!$E$53*0.95+'Existing Management Practices'!$C$32*'Primary Sources'!$F$53)*$C$3,0.001)/3630</f>
        <v>0</v>
      </c>
      <c r="R33" s="1462">
        <v>0.9</v>
      </c>
      <c r="S33" s="1466">
        <f>IF(E33=$B$58,C33*(0.95*D33+(1-D33)*VLOOKUP(G33,'Primary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33" s="1467">
        <f t="shared" si="11"/>
        <v>0</v>
      </c>
      <c r="U33" s="1468">
        <f t="shared" si="12"/>
        <v>0</v>
      </c>
      <c r="V33" s="1468">
        <f t="shared" si="13"/>
        <v>0</v>
      </c>
      <c r="W33" s="1468">
        <f t="shared" si="14"/>
        <v>0</v>
      </c>
      <c r="X33" s="1469">
        <f t="shared" si="15"/>
        <v>0</v>
      </c>
      <c r="Y33" s="1068">
        <f>IF($F33=$B$86,"Enter Value",$S33*(SUM('Primary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Worksheet'!$D33))*($T33+(1-$T33)*U33))</f>
        <v>0</v>
      </c>
      <c r="Z33" s="1063">
        <f>IF($F33=$B$86,"Enter Value",$S33*(SUM('Primary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Worksheet'!$D33))*($T33+(1-$T33)*V33))</f>
        <v>0</v>
      </c>
      <c r="AA33" s="1063">
        <f>IF($F33=$B$86,"Enter Value",$S33*SUM('Primary Sources'!R$11:R$35)*($T33+(1-$T33)*W33))</f>
        <v>0</v>
      </c>
      <c r="AB33" s="1063">
        <f>IF($F33=$B$86,"Enter Value",$S33*SUM('Primary Sources'!S$11:S$35)*($T33+(1-$T33)*X33))</f>
        <v>0</v>
      </c>
      <c r="AC33" s="1063">
        <f>IF($F33=$B$86,"Enter Value",$S33*(SUM('Primary Sources'!U$11:U$35)-'Existing Management Practices'!G$176)*$T33)</f>
        <v>0</v>
      </c>
      <c r="AD33" s="1063">
        <f>$AC33*SUM('Primary Sources'!P$11:P$35)/MAX(SUM('Primary Sources'!$U$11:$U$35),0.001)*(1-U33)*(1-VLOOKUP($H33,$B$91:$E$93,2,FALSE)*(1-IF($G33="A Soils",0.5,0)))*(1-VLOOKUP($F33,$B$64:$K$88,10,FALSE))</f>
        <v>0</v>
      </c>
      <c r="AE33" s="1063">
        <f>$AC33*SUM('Primary Sources'!Q$11:Q$35)/MAX(SUM('Primary Sources'!$U$11:$U$35),0.001)*(1-V33)*(1-VLOOKUP($H33,$B$91:$E$93,3,FALSE)*(1-IF($G33="A Soils",0.5,0)))*(1-VLOOKUP($F33,$B$64:$K$88,10,FALSE))</f>
        <v>0</v>
      </c>
      <c r="AF33" s="1064">
        <f>$AC33*SUM('Primary Sources'!S$11:S$35)/MAX(SUM('Primary Sources'!$U$11:$U$35),0.001)*(1-X33)*(1-VLOOKUP($H33,$B$91:$E$93,4,FALSE)*(1-IF($G33="A Soils",0.5,0)))*(1-VLOOKUP($F33,$B$64:$K$88,10,FALSE))</f>
        <v>0</v>
      </c>
      <c r="AG33" s="627">
        <f>$Q33*(SUM('Primary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Worksheet'!$D33))*$R33*$P33*($O33+(1-$O33)*K33)-Y33</f>
        <v>0</v>
      </c>
      <c r="AH33" s="628">
        <f>$Q33*(SUM('Primary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Worksheet'!$D33))*$R33*$P33*($O33+(1-$O33)*L33)-Z33</f>
        <v>0</v>
      </c>
      <c r="AI33" s="628">
        <f>$Q33*SUM('Primary Sources'!R$10:R$35)*$R33*$P33*($O33+(1-$O33)*M33)-AA33</f>
        <v>0</v>
      </c>
      <c r="AJ33" s="628">
        <f>$Q33*SUM('Primary Sources'!S$10:S$35)*$R33*$P33*($O33+(1-$O33)*N33)-AB33</f>
        <v>0</v>
      </c>
      <c r="AK33" s="628">
        <f>$Q33*(SUM('Primary Sources'!U$10:U$35)-('Existing Management Practices'!G$176)*SUM('Primary Sources'!$D$10:$D$35)/MAX(('Primary Sources'!$F$53+'Future Management Practices'!$C$20-'Existing Management Practices'!$C$6),0.01)*(1-'Retrofit Worksheet'!$D33))*$R33*$P33*$O33-AC33</f>
        <v>0</v>
      </c>
      <c r="AL33" s="628">
        <f>$AK33*(SUM('Primary Sources'!P$11:P$35)-'Existing Management Practices'!C$176-'Future Management Practices'!C$388)/MAX(SUM('Primary Sources'!$U$11:$U$35)-'Existing Management Practices'!$G$176,0.001)*(1-K33)*(1-VLOOKUP($H33,$B$91:$E$93,2,FALSE)*(1-IF($G33="A Soils",0.5,0)))*(1-VLOOKUP($B33,$B$64:$K$88,10,FALSE))-AD33</f>
        <v>0</v>
      </c>
      <c r="AM33" s="628">
        <f>$AK33*(SUM('Primary Sources'!Q$11:Q$35)-'Existing Management Practices'!D$176-'Future Management Practices'!D$388)/MAX(SUM('Primary Sources'!$U$11:$U$35)-'Existing Management Practices'!$G$176,0.001)*(1-L33)*(1-VLOOKUP($H33,$B$91:$E$93,3,FALSE)*(1-IF($G33="A Soils",0.5,0)))*(1-VLOOKUP($B33,$B$64:$K$88,10,FALSE))-AE33</f>
        <v>0</v>
      </c>
      <c r="AN33" s="629">
        <f>$AK33*(SUM('Primary Sources'!S$11:S$35)-'Existing Management Practices'!F$176-'Future Management Practices'!F$388)/MAX(SUM('Primary Sources'!$U$11:$U$35)-'Existing Management Practices'!$G$176,0.001)*(1-N33)*(1-VLOOKUP($H33,$B$91:$E$93,4,FALSE)*(1-IF($G33="A Soils",0.5,0)))*(1-VLOOKUP($B33,$B$64:$K$88,10,FALSE))-AF33</f>
        <v>0</v>
      </c>
      <c r="AO33" s="998"/>
      <c r="AP33" s="1672">
        <f t="shared" si="4"/>
        <v>0</v>
      </c>
      <c r="AQ33" s="1672">
        <f t="shared" si="3"/>
        <v>0</v>
      </c>
      <c r="AR33" s="1672">
        <f t="shared" si="16"/>
        <v>0</v>
      </c>
      <c r="AS33" s="1672">
        <f t="shared" si="17"/>
        <v>0</v>
      </c>
      <c r="AT33" s="1672">
        <f t="shared" si="18"/>
        <v>0</v>
      </c>
      <c r="AU33" s="1672">
        <f t="shared" si="19"/>
        <v>0</v>
      </c>
      <c r="AV33" s="1672">
        <f t="shared" si="20"/>
        <v>0</v>
      </c>
      <c r="AW33" s="1672">
        <f t="shared" si="21"/>
        <v>0</v>
      </c>
      <c r="AX33" s="1672">
        <f t="shared" si="22"/>
        <v>0</v>
      </c>
      <c r="AY33" s="1672">
        <f t="shared" si="23"/>
        <v>0</v>
      </c>
      <c r="AZ33" s="1670">
        <f t="shared" si="24"/>
        <v>0</v>
      </c>
      <c r="BA33" s="1679">
        <f t="shared" si="25"/>
        <v>0</v>
      </c>
      <c r="BB33" s="1680"/>
      <c r="BC33" s="1659" t="s">
        <v>805</v>
      </c>
      <c r="BD33" s="1670"/>
      <c r="BE33" s="1671"/>
      <c r="BF33" s="1677"/>
      <c r="BG33" s="1676"/>
      <c r="BH33" s="1677"/>
      <c r="BI33" s="1678"/>
      <c r="BJ33" s="1677"/>
      <c r="BK33" s="1676"/>
      <c r="BL33" s="1678"/>
      <c r="BM33" s="1682"/>
      <c r="BN33" s="1670"/>
      <c r="BO33" s="1679"/>
    </row>
    <row r="34" spans="2:67" ht="12.5" x14ac:dyDescent="0.25">
      <c r="B34" s="1251" t="s">
        <v>751</v>
      </c>
      <c r="C34" s="1252">
        <f t="shared" si="26"/>
        <v>0</v>
      </c>
      <c r="D34" s="1253">
        <f t="shared" si="27"/>
        <v>0</v>
      </c>
      <c r="E34" s="1253" t="s">
        <v>485</v>
      </c>
      <c r="F34" s="626" t="str">
        <f t="shared" si="28"/>
        <v>N/A</v>
      </c>
      <c r="G34" s="1249" t="s">
        <v>61</v>
      </c>
      <c r="H34" s="1250" t="s">
        <v>66</v>
      </c>
      <c r="I34" s="1461">
        <f>C34*C$3*(D34*0.95+'Existing Management Practices'!$C$32/SUMPRODUCT('Primary Sources'!$C$70:$C$73,'Primary Sources'!$E$70:$E$73)*(1-D34)*VLOOKUP(G34,'Primary Sources'!B$70:E$73,4,FALSE))*3630</f>
        <v>0</v>
      </c>
      <c r="J34" s="1470">
        <f t="shared" si="5"/>
        <v>0</v>
      </c>
      <c r="K34" s="1462">
        <f t="shared" si="6"/>
        <v>0.6</v>
      </c>
      <c r="L34" s="1462">
        <f t="shared" si="7"/>
        <v>0.5</v>
      </c>
      <c r="M34" s="1462">
        <f t="shared" si="8"/>
        <v>0.5</v>
      </c>
      <c r="N34" s="1462">
        <f t="shared" si="9"/>
        <v>0.5</v>
      </c>
      <c r="O34" s="1463">
        <f t="shared" si="10"/>
        <v>0.4</v>
      </c>
      <c r="P34" s="1464">
        <v>1.2</v>
      </c>
      <c r="Q34" s="1465">
        <f>J34/MAX(('Primary Sources'!$E$53*0.95+'Existing Management Practices'!$C$32*'Primary Sources'!$F$53)*$C$3,0.001)/3630</f>
        <v>0</v>
      </c>
      <c r="R34" s="1462">
        <v>0.9</v>
      </c>
      <c r="S34" s="1466">
        <f>IF(E34=$B$58,C34*(0.95*D34+(1-D34)*VLOOKUP(G34,'Primary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34" s="1467">
        <f t="shared" si="11"/>
        <v>0</v>
      </c>
      <c r="U34" s="1468">
        <f t="shared" si="12"/>
        <v>0</v>
      </c>
      <c r="V34" s="1468">
        <f t="shared" si="13"/>
        <v>0</v>
      </c>
      <c r="W34" s="1468">
        <f t="shared" si="14"/>
        <v>0</v>
      </c>
      <c r="X34" s="1469">
        <f t="shared" si="15"/>
        <v>0</v>
      </c>
      <c r="Y34" s="1068">
        <f>IF($F34=$B$86,"Enter Value",$S34*(SUM('Primary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Worksheet'!$D34))*($T34+(1-$T34)*U34))</f>
        <v>0</v>
      </c>
      <c r="Z34" s="1063">
        <f>IF($F34=$B$86,"Enter Value",$S34*(SUM('Primary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Worksheet'!$D34))*($T34+(1-$T34)*V34))</f>
        <v>0</v>
      </c>
      <c r="AA34" s="1063">
        <f>IF($F34=$B$86,"Enter Value",$S34*SUM('Primary Sources'!R$11:R$35)*($T34+(1-$T34)*W34))</f>
        <v>0</v>
      </c>
      <c r="AB34" s="1063">
        <f>IF($F34=$B$86,"Enter Value",$S34*SUM('Primary Sources'!S$11:S$35)*($T34+(1-$T34)*X34))</f>
        <v>0</v>
      </c>
      <c r="AC34" s="1063">
        <f>IF($F34=$B$86,"Enter Value",$S34*(SUM('Primary Sources'!U$11:U$35)-'Existing Management Practices'!G$176)*$T34)</f>
        <v>0</v>
      </c>
      <c r="AD34" s="1063">
        <f>$AC34*SUM('Primary Sources'!P$11:P$35)/MAX(SUM('Primary Sources'!$U$11:$U$35),0.001)*(1-U34)*(1-VLOOKUP($H34,$B$91:$E$93,2,FALSE)*(1-IF($G34="A Soils",0.5,0)))*(1-VLOOKUP($F34,$B$64:$K$88,10,FALSE))</f>
        <v>0</v>
      </c>
      <c r="AE34" s="1063">
        <f>$AC34*SUM('Primary Sources'!Q$11:Q$35)/MAX(SUM('Primary Sources'!$U$11:$U$35),0.001)*(1-V34)*(1-VLOOKUP($H34,$B$91:$E$93,3,FALSE)*(1-IF($G34="A Soils",0.5,0)))*(1-VLOOKUP($F34,$B$64:$K$88,10,FALSE))</f>
        <v>0</v>
      </c>
      <c r="AF34" s="1064">
        <f>$AC34*SUM('Primary Sources'!S$11:S$35)/MAX(SUM('Primary Sources'!$U$11:$U$35),0.001)*(1-X34)*(1-VLOOKUP($H34,$B$91:$E$93,4,FALSE)*(1-IF($G34="A Soils",0.5,0)))*(1-VLOOKUP($F34,$B$64:$K$88,10,FALSE))</f>
        <v>0</v>
      </c>
      <c r="AG34" s="627">
        <f>$Q34*(SUM('Primary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Worksheet'!$D34))*$R34*$P34*($O34+(1-$O34)*K34)-Y34</f>
        <v>0</v>
      </c>
      <c r="AH34" s="628">
        <f>$Q34*(SUM('Primary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Worksheet'!$D34))*$R34*$P34*($O34+(1-$O34)*L34)-Z34</f>
        <v>0</v>
      </c>
      <c r="AI34" s="628">
        <f>$Q34*SUM('Primary Sources'!R$10:R$35)*$R34*$P34*($O34+(1-$O34)*M34)-AA34</f>
        <v>0</v>
      </c>
      <c r="AJ34" s="628">
        <f>$Q34*SUM('Primary Sources'!S$10:S$35)*$R34*$P34*($O34+(1-$O34)*N34)-AB34</f>
        <v>0</v>
      </c>
      <c r="AK34" s="628">
        <f>$Q34*(SUM('Primary Sources'!U$10:U$35)-('Existing Management Practices'!G$176)*SUM('Primary Sources'!$D$10:$D$35)/MAX(('Primary Sources'!$F$53+'Future Management Practices'!$C$20-'Existing Management Practices'!$C$6),0.01)*(1-'Retrofit Worksheet'!$D34))*$R34*$P34*$O34-AC34</f>
        <v>0</v>
      </c>
      <c r="AL34" s="628">
        <f>$AK34*(SUM('Primary Sources'!P$11:P$35)-'Existing Management Practices'!C$176-'Future Management Practices'!C$388)/MAX(SUM('Primary Sources'!$U$11:$U$35)-'Existing Management Practices'!$G$176,0.001)*(1-K34)*(1-VLOOKUP($H34,$B$91:$E$93,2,FALSE)*(1-IF($G34="A Soils",0.5,0)))*(1-VLOOKUP($B34,$B$64:$K$88,10,FALSE))-AD34</f>
        <v>0</v>
      </c>
      <c r="AM34" s="628">
        <f>$AK34*(SUM('Primary Sources'!Q$11:Q$35)-'Existing Management Practices'!D$176-'Future Management Practices'!D$388)/MAX(SUM('Primary Sources'!$U$11:$U$35)-'Existing Management Practices'!$G$176,0.001)*(1-L34)*(1-VLOOKUP($H34,$B$91:$E$93,3,FALSE)*(1-IF($G34="A Soils",0.5,0)))*(1-VLOOKUP($B34,$B$64:$K$88,10,FALSE))-AE34</f>
        <v>0</v>
      </c>
      <c r="AN34" s="629">
        <f>$AK34*(SUM('Primary Sources'!S$11:S$35)-'Existing Management Practices'!F$176-'Future Management Practices'!F$388)/MAX(SUM('Primary Sources'!$U$11:$U$35)-'Existing Management Practices'!$G$176,0.001)*(1-N34)*(1-VLOOKUP($H34,$B$91:$E$93,4,FALSE)*(1-IF($G34="A Soils",0.5,0)))*(1-VLOOKUP($B34,$B$64:$K$88,10,FALSE))-AF34</f>
        <v>0</v>
      </c>
      <c r="AO34" s="998"/>
      <c r="AP34" s="1672">
        <f t="shared" si="4"/>
        <v>0</v>
      </c>
      <c r="AQ34" s="1672">
        <f t="shared" si="3"/>
        <v>0</v>
      </c>
      <c r="AR34" s="1672">
        <f t="shared" si="16"/>
        <v>0</v>
      </c>
      <c r="AS34" s="1672">
        <f t="shared" si="17"/>
        <v>0</v>
      </c>
      <c r="AT34" s="1672">
        <f t="shared" si="18"/>
        <v>0</v>
      </c>
      <c r="AU34" s="1672">
        <f t="shared" si="19"/>
        <v>0</v>
      </c>
      <c r="AV34" s="1672">
        <f t="shared" si="20"/>
        <v>0</v>
      </c>
      <c r="AW34" s="1672">
        <f t="shared" si="21"/>
        <v>0</v>
      </c>
      <c r="AX34" s="1672">
        <f t="shared" si="22"/>
        <v>0</v>
      </c>
      <c r="AY34" s="1672">
        <f t="shared" si="23"/>
        <v>0</v>
      </c>
      <c r="AZ34" s="1670">
        <f t="shared" si="24"/>
        <v>0</v>
      </c>
      <c r="BA34" s="1679">
        <f t="shared" si="25"/>
        <v>0</v>
      </c>
      <c r="BB34" s="1680"/>
      <c r="BC34" s="1657"/>
      <c r="BD34" s="1670"/>
      <c r="BE34" s="1671"/>
      <c r="BF34" s="1670"/>
      <c r="BG34" s="1671"/>
      <c r="BH34" s="1670"/>
      <c r="BI34" s="1684"/>
      <c r="BJ34" s="1670"/>
      <c r="BK34" s="1671"/>
      <c r="BL34" s="1678"/>
      <c r="BM34" s="1682"/>
      <c r="BN34" s="1670"/>
      <c r="BO34" s="1679"/>
    </row>
    <row r="35" spans="2:67" ht="12.5" x14ac:dyDescent="0.25">
      <c r="B35" s="1251" t="s">
        <v>747</v>
      </c>
      <c r="C35" s="1252">
        <f t="shared" si="26"/>
        <v>0</v>
      </c>
      <c r="D35" s="1253">
        <f t="shared" si="27"/>
        <v>0</v>
      </c>
      <c r="E35" s="1253" t="s">
        <v>485</v>
      </c>
      <c r="F35" s="626" t="str">
        <f t="shared" si="28"/>
        <v>N/A</v>
      </c>
      <c r="G35" s="1249" t="s">
        <v>61</v>
      </c>
      <c r="H35" s="1250" t="s">
        <v>66</v>
      </c>
      <c r="I35" s="1461">
        <f>C35*C$3*(D35*0.95+'Existing Management Practices'!$C$32/SUMPRODUCT('Primary Sources'!$C$70:$C$73,'Primary Sources'!$E$70:$E$73)*(1-D35)*VLOOKUP(G35,'Primary Sources'!B$70:E$73,4,FALSE))*3630</f>
        <v>0</v>
      </c>
      <c r="J35" s="1470">
        <f t="shared" si="5"/>
        <v>0</v>
      </c>
      <c r="K35" s="1462">
        <f t="shared" si="6"/>
        <v>0</v>
      </c>
      <c r="L35" s="1462">
        <f t="shared" si="7"/>
        <v>0</v>
      </c>
      <c r="M35" s="1462">
        <f t="shared" si="8"/>
        <v>0</v>
      </c>
      <c r="N35" s="1462">
        <f t="shared" si="9"/>
        <v>0</v>
      </c>
      <c r="O35" s="1463">
        <f t="shared" si="10"/>
        <v>0.4</v>
      </c>
      <c r="P35" s="1464">
        <v>1.2</v>
      </c>
      <c r="Q35" s="1465">
        <f>J35/MAX(('Primary Sources'!$E$53*0.95+'Existing Management Practices'!$C$32*'Primary Sources'!$F$53)*$C$3,0.001)/3630</f>
        <v>0</v>
      </c>
      <c r="R35" s="1462">
        <v>0.9</v>
      </c>
      <c r="S35" s="1466">
        <f>IF(E35=$B$58,C35*(0.95*D35+(1-D35)*VLOOKUP(G35,'Primary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35" s="1467">
        <f t="shared" si="11"/>
        <v>0</v>
      </c>
      <c r="U35" s="1468">
        <f t="shared" si="12"/>
        <v>0</v>
      </c>
      <c r="V35" s="1468">
        <f t="shared" si="13"/>
        <v>0</v>
      </c>
      <c r="W35" s="1468">
        <f t="shared" si="14"/>
        <v>0</v>
      </c>
      <c r="X35" s="1469">
        <f t="shared" si="15"/>
        <v>0</v>
      </c>
      <c r="Y35" s="1068">
        <f>IF($F35=$B$86,"Enter Value",$S35*(SUM('Primary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Worksheet'!$D35))*($T35+(1-$T35)*U35))</f>
        <v>0</v>
      </c>
      <c r="Z35" s="1063">
        <f>IF($F35=$B$86,"Enter Value",$S35*(SUM('Primary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Worksheet'!$D35))*($T35+(1-$T35)*V35))</f>
        <v>0</v>
      </c>
      <c r="AA35" s="1063">
        <f>IF($F35=$B$86,"Enter Value",$S35*SUM('Primary Sources'!R$11:R$35)*($T35+(1-$T35)*W35))</f>
        <v>0</v>
      </c>
      <c r="AB35" s="1063">
        <f>IF($F35=$B$86,"Enter Value",$S35*SUM('Primary Sources'!S$11:S$35)*($T35+(1-$T35)*X35))</f>
        <v>0</v>
      </c>
      <c r="AC35" s="1063">
        <f>IF($F35=$B$86,"Enter Value",$S35*(SUM('Primary Sources'!U$11:U$35)-'Existing Management Practices'!G$176)*$T35)</f>
        <v>0</v>
      </c>
      <c r="AD35" s="1063">
        <f>$AC35*SUM('Primary Sources'!P$11:P$35)/MAX(SUM('Primary Sources'!$U$11:$U$35),0.001)*(1-U35)*(1-VLOOKUP($H35,$B$91:$E$93,2,FALSE)*(1-IF($G35="A Soils",0.5,0)))*(1-VLOOKUP($F35,$B$64:$K$88,10,FALSE))</f>
        <v>0</v>
      </c>
      <c r="AE35" s="1063">
        <f>$AC35*SUM('Primary Sources'!Q$11:Q$35)/MAX(SUM('Primary Sources'!$U$11:$U$35),0.001)*(1-V35)*(1-VLOOKUP($H35,$B$91:$E$93,3,FALSE)*(1-IF($G35="A Soils",0.5,0)))*(1-VLOOKUP($F35,$B$64:$K$88,10,FALSE))</f>
        <v>0</v>
      </c>
      <c r="AF35" s="1064">
        <f>$AC35*SUM('Primary Sources'!S$11:S$35)/MAX(SUM('Primary Sources'!$U$11:$U$35),0.001)*(1-X35)*(1-VLOOKUP($H35,$B$91:$E$93,4,FALSE)*(1-IF($G35="A Soils",0.5,0)))*(1-VLOOKUP($F35,$B$64:$K$88,10,FALSE))</f>
        <v>0</v>
      </c>
      <c r="AG35" s="627">
        <f>$Q35*(SUM('Primary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Worksheet'!$D35))*$R35*$P35*($O35+(1-$O35)*K35)-Y35</f>
        <v>0</v>
      </c>
      <c r="AH35" s="628">
        <f>$Q35*(SUM('Primary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Worksheet'!$D35))*$R35*$P35*($O35+(1-$O35)*L35)-Z35</f>
        <v>0</v>
      </c>
      <c r="AI35" s="628">
        <f>$Q35*SUM('Primary Sources'!R$10:R$35)*$R35*$P35*($O35+(1-$O35)*M35)-AA35</f>
        <v>0</v>
      </c>
      <c r="AJ35" s="628">
        <f>$Q35*SUM('Primary Sources'!S$10:S$35)*$R35*$P35*($O35+(1-$O35)*N35)-AB35</f>
        <v>0</v>
      </c>
      <c r="AK35" s="628">
        <f>$Q35*(SUM('Primary Sources'!U$10:U$35)-('Existing Management Practices'!G$176)*SUM('Primary Sources'!$D$10:$D$35)/MAX(('Primary Sources'!$F$53+'Future Management Practices'!$C$20-'Existing Management Practices'!$C$6),0.01)*(1-'Retrofit Worksheet'!$D35))*$R35*$P35*$O35-AC35</f>
        <v>0</v>
      </c>
      <c r="AL35" s="628">
        <f>$AK35*(SUM('Primary Sources'!P$11:P$35)-'Existing Management Practices'!C$176-'Future Management Practices'!C$388)/MAX(SUM('Primary Sources'!$U$11:$U$35)-'Existing Management Practices'!$G$176,0.001)*(1-K35)*(1-VLOOKUP($H35,$B$91:$E$93,2,FALSE)*(1-IF($G35="A Soils",0.5,0)))*(1-VLOOKUP($B35,$B$64:$K$88,10,FALSE))-AD35</f>
        <v>0</v>
      </c>
      <c r="AM35" s="628">
        <f>$AK35*(SUM('Primary Sources'!Q$11:Q$35)-'Existing Management Practices'!D$176-'Future Management Practices'!D$388)/MAX(SUM('Primary Sources'!$U$11:$U$35)-'Existing Management Practices'!$G$176,0.001)*(1-L35)*(1-VLOOKUP($H35,$B$91:$E$93,3,FALSE)*(1-IF($G35="A Soils",0.5,0)))*(1-VLOOKUP($B35,$B$64:$K$88,10,FALSE))-AE35</f>
        <v>0</v>
      </c>
      <c r="AN35" s="629">
        <f>$AK35*(SUM('Primary Sources'!S$11:S$35)-'Existing Management Practices'!F$176-'Future Management Practices'!F$388)/MAX(SUM('Primary Sources'!$U$11:$U$35)-'Existing Management Practices'!$G$176,0.001)*(1-N35)*(1-VLOOKUP($H35,$B$91:$E$93,4,FALSE)*(1-IF($G35="A Soils",0.5,0)))*(1-VLOOKUP($B35,$B$64:$K$88,10,FALSE))-AF35</f>
        <v>0</v>
      </c>
      <c r="AO35" s="998"/>
      <c r="AP35" s="1672">
        <f t="shared" si="4"/>
        <v>0</v>
      </c>
      <c r="AQ35" s="1672">
        <f t="shared" si="3"/>
        <v>0</v>
      </c>
      <c r="AR35" s="1672">
        <f t="shared" si="16"/>
        <v>0</v>
      </c>
      <c r="AS35" s="1672">
        <f t="shared" si="17"/>
        <v>0</v>
      </c>
      <c r="AT35" s="1672">
        <f t="shared" si="18"/>
        <v>0</v>
      </c>
      <c r="AU35" s="1672">
        <f t="shared" si="19"/>
        <v>0</v>
      </c>
      <c r="AV35" s="1672">
        <f t="shared" si="20"/>
        <v>0</v>
      </c>
      <c r="AW35" s="1672">
        <f t="shared" si="21"/>
        <v>0</v>
      </c>
      <c r="AX35" s="1672">
        <f t="shared" si="22"/>
        <v>0</v>
      </c>
      <c r="AY35" s="1672">
        <f t="shared" si="23"/>
        <v>0</v>
      </c>
      <c r="AZ35" s="1670">
        <f t="shared" si="24"/>
        <v>0</v>
      </c>
      <c r="BA35" s="1679">
        <f t="shared" si="25"/>
        <v>0</v>
      </c>
      <c r="BB35" s="1657"/>
      <c r="BC35" s="1657"/>
      <c r="BD35" s="1670"/>
      <c r="BE35" s="1671"/>
      <c r="BF35" s="1670"/>
      <c r="BG35" s="1671"/>
      <c r="BH35" s="1670"/>
      <c r="BI35" s="1684"/>
      <c r="BJ35" s="1670"/>
      <c r="BK35" s="1671"/>
      <c r="BL35" s="1678"/>
      <c r="BM35" s="1682"/>
      <c r="BN35" s="1670"/>
      <c r="BO35" s="1679"/>
    </row>
    <row r="36" spans="2:67" ht="12.5" x14ac:dyDescent="0.25">
      <c r="B36" s="1251" t="s">
        <v>748</v>
      </c>
      <c r="C36" s="1252">
        <f t="shared" si="26"/>
        <v>0</v>
      </c>
      <c r="D36" s="1253">
        <f t="shared" si="27"/>
        <v>0</v>
      </c>
      <c r="E36" s="1253" t="s">
        <v>485</v>
      </c>
      <c r="F36" s="626" t="s">
        <v>396</v>
      </c>
      <c r="G36" s="1249" t="s">
        <v>61</v>
      </c>
      <c r="H36" s="1250" t="s">
        <v>66</v>
      </c>
      <c r="I36" s="1461">
        <f>C36*C$3*(D36*0.95+'Existing Management Practices'!$C$32/SUMPRODUCT('Primary Sources'!$C$70:$C$73,'Primary Sources'!$E$70:$E$73)*(1-D36)*VLOOKUP(G36,'Primary Sources'!B$70:E$73,4,FALSE))*3630</f>
        <v>0</v>
      </c>
      <c r="J36" s="1470">
        <f t="shared" si="5"/>
        <v>0</v>
      </c>
      <c r="K36" s="1462">
        <f t="shared" si="6"/>
        <v>0.4</v>
      </c>
      <c r="L36" s="1462">
        <f t="shared" si="7"/>
        <v>0.75</v>
      </c>
      <c r="M36" s="1462">
        <f t="shared" si="8"/>
        <v>0.85</v>
      </c>
      <c r="N36" s="1462">
        <f t="shared" si="9"/>
        <v>0.7</v>
      </c>
      <c r="O36" s="1463">
        <f t="shared" si="10"/>
        <v>0</v>
      </c>
      <c r="P36" s="1464">
        <v>1.2</v>
      </c>
      <c r="Q36" s="1465">
        <f>J36/MAX(('Primary Sources'!$E$53*0.95+'Existing Management Practices'!$C$32*'Primary Sources'!$F$53)*$C$3,0.001)/3630</f>
        <v>0</v>
      </c>
      <c r="R36" s="1462">
        <v>0.9</v>
      </c>
      <c r="S36" s="1466">
        <f>IF(E36=$B$58,C36*(0.95*D36+(1-D36)*VLOOKUP(G36,'Primary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36" s="1467">
        <f t="shared" si="11"/>
        <v>0</v>
      </c>
      <c r="U36" s="1468">
        <f t="shared" si="12"/>
        <v>0</v>
      </c>
      <c r="V36" s="1468">
        <f t="shared" si="13"/>
        <v>0</v>
      </c>
      <c r="W36" s="1468">
        <f t="shared" si="14"/>
        <v>0</v>
      </c>
      <c r="X36" s="1469">
        <f t="shared" si="15"/>
        <v>0</v>
      </c>
      <c r="Y36" s="1068">
        <f>IF($F36=$B$86,"Enter Value",$S36*(SUM('Primary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Worksheet'!$D36))*($T36+(1-$T36)*U36))</f>
        <v>0</v>
      </c>
      <c r="Z36" s="1063">
        <f>IF($F36=$B$86,"Enter Value",$S36*(SUM('Primary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Worksheet'!$D36))*($T36+(1-$T36)*V36))</f>
        <v>0</v>
      </c>
      <c r="AA36" s="1063">
        <f>IF($F36=$B$86,"Enter Value",$S36*SUM('Primary Sources'!R$11:R$35)*($T36+(1-$T36)*W36))</f>
        <v>0</v>
      </c>
      <c r="AB36" s="1063">
        <f>IF($F36=$B$86,"Enter Value",$S36*SUM('Primary Sources'!S$11:S$35)*($T36+(1-$T36)*X36))</f>
        <v>0</v>
      </c>
      <c r="AC36" s="1063">
        <f>IF($F36=$B$86,"Enter Value",$S36*(SUM('Primary Sources'!U$11:U$35)-'Existing Management Practices'!G$176)*$T36)</f>
        <v>0</v>
      </c>
      <c r="AD36" s="1063">
        <f>$AC36*SUM('Primary Sources'!P$11:P$35)/MAX(SUM('Primary Sources'!$U$11:$U$35),0.001)*(1-U36)*(1-VLOOKUP($H36,$B$91:$E$93,2,FALSE)*(1-IF($G36="A Soils",0.5,0)))*(1-VLOOKUP($F36,$B$64:$K$88,10,FALSE))</f>
        <v>0</v>
      </c>
      <c r="AE36" s="1063">
        <f>$AC36*SUM('Primary Sources'!Q$11:Q$35)/MAX(SUM('Primary Sources'!$U$11:$U$35),0.001)*(1-V36)*(1-VLOOKUP($H36,$B$91:$E$93,3,FALSE)*(1-IF($G36="A Soils",0.5,0)))*(1-VLOOKUP($F36,$B$64:$K$88,10,FALSE))</f>
        <v>0</v>
      </c>
      <c r="AF36" s="1064">
        <f>$AC36*SUM('Primary Sources'!S$11:S$35)/MAX(SUM('Primary Sources'!$U$11:$U$35),0.001)*(1-X36)*(1-VLOOKUP($H36,$B$91:$E$93,4,FALSE)*(1-IF($G36="A Soils",0.5,0)))*(1-VLOOKUP($F36,$B$64:$K$88,10,FALSE))</f>
        <v>0</v>
      </c>
      <c r="AG36" s="627">
        <f>$Q36*(SUM('Primary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Worksheet'!$D36))*$R36*$P36*($O36+(1-$O36)*K36)-Y36</f>
        <v>0</v>
      </c>
      <c r="AH36" s="628">
        <f>$Q36*(SUM('Primary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Worksheet'!$D36))*$R36*$P36*($O36+(1-$O36)*L36)-Z36</f>
        <v>0</v>
      </c>
      <c r="AI36" s="628">
        <f>$Q36*SUM('Primary Sources'!R$10:R$35)*$R36*$P36*($O36+(1-$O36)*M36)-AA36</f>
        <v>0</v>
      </c>
      <c r="AJ36" s="628">
        <f>$Q36*SUM('Primary Sources'!S$10:S$35)*$R36*$P36*($O36+(1-$O36)*N36)-AB36</f>
        <v>0</v>
      </c>
      <c r="AK36" s="628">
        <f>$Q36*(SUM('Primary Sources'!U$10:U$35)-('Existing Management Practices'!G$176)*SUM('Primary Sources'!$D$10:$D$35)/MAX(('Primary Sources'!$F$53+'Future Management Practices'!$C$20-'Existing Management Practices'!$C$6),0.01)*(1-'Retrofit Worksheet'!$D36))*$R36*$P36*$O36-AC36</f>
        <v>0</v>
      </c>
      <c r="AL36" s="628">
        <f>$AK36*(SUM('Primary Sources'!P$11:P$35)-'Existing Management Practices'!C$176-'Future Management Practices'!C$388)/MAX(SUM('Primary Sources'!$U$11:$U$35)-'Existing Management Practices'!$G$176,0.001)*(1-K36)*(1-VLOOKUP($H36,$B$91:$E$93,2,FALSE)*(1-IF($G36="A Soils",0.5,0)))*(1-VLOOKUP($B36,$B$64:$K$88,10,FALSE))-AD36</f>
        <v>0</v>
      </c>
      <c r="AM36" s="628">
        <f>$AK36*(SUM('Primary Sources'!Q$11:Q$35)-'Existing Management Practices'!D$176-'Future Management Practices'!D$388)/MAX(SUM('Primary Sources'!$U$11:$U$35)-'Existing Management Practices'!$G$176,0.001)*(1-L36)*(1-VLOOKUP($H36,$B$91:$E$93,3,FALSE)*(1-IF($G36="A Soils",0.5,0)))*(1-VLOOKUP($B36,$B$64:$K$88,10,FALSE))-AE36</f>
        <v>0</v>
      </c>
      <c r="AN36" s="629">
        <f>$AK36*(SUM('Primary Sources'!S$11:S$35)-'Existing Management Practices'!F$176-'Future Management Practices'!F$388)/MAX(SUM('Primary Sources'!$U$11:$U$35)-'Existing Management Practices'!$G$176,0.001)*(1-N36)*(1-VLOOKUP($H36,$B$91:$E$93,4,FALSE)*(1-IF($G36="A Soils",0.5,0)))*(1-VLOOKUP($B36,$B$64:$K$88,10,FALSE))-AF36</f>
        <v>0</v>
      </c>
      <c r="AO36" s="998"/>
      <c r="AP36" s="1672">
        <f t="shared" si="4"/>
        <v>0</v>
      </c>
      <c r="AQ36" s="1672">
        <f t="shared" si="3"/>
        <v>0</v>
      </c>
      <c r="AR36" s="1672">
        <f t="shared" si="16"/>
        <v>0</v>
      </c>
      <c r="AS36" s="1672">
        <f t="shared" si="17"/>
        <v>0</v>
      </c>
      <c r="AT36" s="1672">
        <f t="shared" si="18"/>
        <v>0</v>
      </c>
      <c r="AU36" s="1672">
        <f t="shared" si="19"/>
        <v>0</v>
      </c>
      <c r="AV36" s="1672">
        <f t="shared" si="20"/>
        <v>0</v>
      </c>
      <c r="AW36" s="1672">
        <f t="shared" si="21"/>
        <v>0</v>
      </c>
      <c r="AX36" s="1672">
        <f t="shared" si="22"/>
        <v>0</v>
      </c>
      <c r="AY36" s="1672">
        <f t="shared" si="23"/>
        <v>0</v>
      </c>
      <c r="AZ36" s="1670">
        <f t="shared" si="24"/>
        <v>0</v>
      </c>
      <c r="BA36" s="1679">
        <f t="shared" si="25"/>
        <v>0</v>
      </c>
      <c r="BB36" s="1683"/>
      <c r="BC36" s="1657"/>
      <c r="BD36" s="1670"/>
      <c r="BE36" s="1671"/>
      <c r="BF36" s="1670"/>
      <c r="BG36" s="1671"/>
      <c r="BH36" s="1670"/>
      <c r="BI36" s="1684"/>
      <c r="BJ36" s="1670"/>
      <c r="BK36" s="1671"/>
      <c r="BL36" s="1678"/>
      <c r="BM36" s="1682"/>
      <c r="BN36" s="1670"/>
      <c r="BO36" s="1679"/>
    </row>
    <row r="37" spans="2:67" ht="12.5" x14ac:dyDescent="0.25">
      <c r="B37" s="1251" t="s">
        <v>752</v>
      </c>
      <c r="C37" s="1252">
        <f t="shared" si="26"/>
        <v>0</v>
      </c>
      <c r="D37" s="1253">
        <f t="shared" si="27"/>
        <v>0</v>
      </c>
      <c r="E37" s="1253" t="s">
        <v>485</v>
      </c>
      <c r="F37" s="626" t="str">
        <f t="shared" si="28"/>
        <v>N/A</v>
      </c>
      <c r="G37" s="1249" t="s">
        <v>61</v>
      </c>
      <c r="H37" s="1250" t="s">
        <v>66</v>
      </c>
      <c r="I37" s="1461">
        <f>C37*C$3*(D37*0.95+'Existing Management Practices'!$C$32/SUMPRODUCT('Primary Sources'!$C$70:$C$73,'Primary Sources'!$E$70:$E$73)*(1-D37)*VLOOKUP(G37,'Primary Sources'!B$70:E$73,4,FALSE))*3630</f>
        <v>0</v>
      </c>
      <c r="J37" s="1470">
        <f t="shared" si="5"/>
        <v>0</v>
      </c>
      <c r="K37" s="1462">
        <f t="shared" si="6"/>
        <v>0.45</v>
      </c>
      <c r="L37" s="1462">
        <f t="shared" si="7"/>
        <v>0.65</v>
      </c>
      <c r="M37" s="1462">
        <f t="shared" si="8"/>
        <v>0.9</v>
      </c>
      <c r="N37" s="1462">
        <f t="shared" si="9"/>
        <v>0.8</v>
      </c>
      <c r="O37" s="1463">
        <f t="shared" si="10"/>
        <v>0</v>
      </c>
      <c r="P37" s="1464">
        <v>1.2</v>
      </c>
      <c r="Q37" s="1465">
        <f>J37/MAX(('Primary Sources'!$E$53*0.95+'Existing Management Practices'!$C$32*'Primary Sources'!$F$53)*$C$3,0.001)/3630</f>
        <v>0</v>
      </c>
      <c r="R37" s="1462">
        <v>0.9</v>
      </c>
      <c r="S37" s="1466">
        <f>IF(E37=$B$58,C37*(0.95*D37+(1-D37)*VLOOKUP(G37,'Primary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37" s="1467">
        <f t="shared" si="11"/>
        <v>0</v>
      </c>
      <c r="U37" s="1468">
        <f t="shared" si="12"/>
        <v>0</v>
      </c>
      <c r="V37" s="1468">
        <f t="shared" si="13"/>
        <v>0</v>
      </c>
      <c r="W37" s="1468">
        <f t="shared" si="14"/>
        <v>0</v>
      </c>
      <c r="X37" s="1469">
        <f t="shared" si="15"/>
        <v>0</v>
      </c>
      <c r="Y37" s="1068">
        <f>IF($F37=$B$86,"Enter Value",$S37*(SUM('Primary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Worksheet'!$D37))*($T37+(1-$T37)*U37))</f>
        <v>0</v>
      </c>
      <c r="Z37" s="1063">
        <f>IF($F37=$B$86,"Enter Value",$S37*(SUM('Primary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Worksheet'!$D37))*($T37+(1-$T37)*V37))</f>
        <v>0</v>
      </c>
      <c r="AA37" s="1063">
        <f>IF($F37=$B$86,"Enter Value",$S37*SUM('Primary Sources'!R$11:R$35)*($T37+(1-$T37)*W37))</f>
        <v>0</v>
      </c>
      <c r="AB37" s="1063">
        <f>IF($F37=$B$86,"Enter Value",$S37*SUM('Primary Sources'!S$11:S$35)*($T37+(1-$T37)*X37))</f>
        <v>0</v>
      </c>
      <c r="AC37" s="1063">
        <f>IF($F37=$B$86,"Enter Value",$S37*(SUM('Primary Sources'!U$11:U$35)-'Existing Management Practices'!G$176)*$T37)</f>
        <v>0</v>
      </c>
      <c r="AD37" s="1063">
        <f>$AC37*SUM('Primary Sources'!P$11:P$35)/MAX(SUM('Primary Sources'!$U$11:$U$35),0.001)*(1-U37)*(1-VLOOKUP($H37,$B$91:$E$93,2,FALSE)*(1-IF($G37="A Soils",0.5,0)))*(1-VLOOKUP($F37,$B$64:$K$88,10,FALSE))</f>
        <v>0</v>
      </c>
      <c r="AE37" s="1063">
        <f>$AC37*SUM('Primary Sources'!Q$11:Q$35)/MAX(SUM('Primary Sources'!$U$11:$U$35),0.001)*(1-V37)*(1-VLOOKUP($H37,$B$91:$E$93,3,FALSE)*(1-IF($G37="A Soils",0.5,0)))*(1-VLOOKUP($F37,$B$64:$K$88,10,FALSE))</f>
        <v>0</v>
      </c>
      <c r="AF37" s="1064">
        <f>$AC37*SUM('Primary Sources'!S$11:S$35)/MAX(SUM('Primary Sources'!$U$11:$U$35),0.001)*(1-X37)*(1-VLOOKUP($H37,$B$91:$E$93,4,FALSE)*(1-IF($G37="A Soils",0.5,0)))*(1-VLOOKUP($F37,$B$64:$K$88,10,FALSE))</f>
        <v>0</v>
      </c>
      <c r="AG37" s="627">
        <f>$Q37*(SUM('Primary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Worksheet'!$D37))*$R37*$P37*($O37+(1-$O37)*K37)-Y37</f>
        <v>0</v>
      </c>
      <c r="AH37" s="628">
        <f>$Q37*(SUM('Primary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Worksheet'!$D37))*$R37*$P37*($O37+(1-$O37)*L37)-Z37</f>
        <v>0</v>
      </c>
      <c r="AI37" s="628">
        <f>$Q37*SUM('Primary Sources'!R$10:R$35)*$R37*$P37*($O37+(1-$O37)*M37)-AA37</f>
        <v>0</v>
      </c>
      <c r="AJ37" s="628">
        <f>$Q37*SUM('Primary Sources'!S$10:S$35)*$R37*$P37*($O37+(1-$O37)*N37)-AB37</f>
        <v>0</v>
      </c>
      <c r="AK37" s="628">
        <f>$Q37*(SUM('Primary Sources'!U$10:U$35)-('Existing Management Practices'!G$176)*SUM('Primary Sources'!$D$10:$D$35)/MAX(('Primary Sources'!$F$53+'Future Management Practices'!$C$20-'Existing Management Practices'!$C$6),0.01)*(1-'Retrofit Worksheet'!$D37))*$R37*$P37*$O37-AC37</f>
        <v>0</v>
      </c>
      <c r="AL37" s="628">
        <f>$AK37*(SUM('Primary Sources'!P$11:P$35)-'Existing Management Practices'!C$176-'Future Management Practices'!C$388)/MAX(SUM('Primary Sources'!$U$11:$U$35)-'Existing Management Practices'!$G$176,0.001)*(1-K37)*(1-VLOOKUP($H37,$B$91:$E$93,2,FALSE)*(1-IF($G37="A Soils",0.5,0)))*(1-VLOOKUP($B37,$B$64:$K$88,10,FALSE))-AD37</f>
        <v>0</v>
      </c>
      <c r="AM37" s="628">
        <f>$AK37*(SUM('Primary Sources'!Q$11:Q$35)-'Existing Management Practices'!D$176-'Future Management Practices'!D$388)/MAX(SUM('Primary Sources'!$U$11:$U$35)-'Existing Management Practices'!$G$176,0.001)*(1-L37)*(1-VLOOKUP($H37,$B$91:$E$93,3,FALSE)*(1-IF($G37="A Soils",0.5,0)))*(1-VLOOKUP($B37,$B$64:$K$88,10,FALSE))-AE37</f>
        <v>0</v>
      </c>
      <c r="AN37" s="629">
        <f>$AK37*(SUM('Primary Sources'!S$11:S$35)-'Existing Management Practices'!F$176-'Future Management Practices'!F$388)/MAX(SUM('Primary Sources'!$U$11:$U$35)-'Existing Management Practices'!$G$176,0.001)*(1-N37)*(1-VLOOKUP($H37,$B$91:$E$93,4,FALSE)*(1-IF($G37="A Soils",0.5,0)))*(1-VLOOKUP($B37,$B$64:$K$88,10,FALSE))-AF37</f>
        <v>0</v>
      </c>
      <c r="AO37" s="998"/>
      <c r="AP37" s="1672">
        <f t="shared" si="4"/>
        <v>0</v>
      </c>
      <c r="AQ37" s="1672">
        <f t="shared" si="3"/>
        <v>0</v>
      </c>
      <c r="AR37" s="1672">
        <f t="shared" si="16"/>
        <v>0</v>
      </c>
      <c r="AS37" s="1672">
        <f t="shared" si="17"/>
        <v>0</v>
      </c>
      <c r="AT37" s="1672">
        <f t="shared" si="18"/>
        <v>0</v>
      </c>
      <c r="AU37" s="1672">
        <f t="shared" si="19"/>
        <v>0</v>
      </c>
      <c r="AV37" s="1672">
        <f t="shared" si="20"/>
        <v>0</v>
      </c>
      <c r="AW37" s="1672">
        <f t="shared" si="21"/>
        <v>0</v>
      </c>
      <c r="AX37" s="1672">
        <f t="shared" si="22"/>
        <v>0</v>
      </c>
      <c r="AY37" s="1672">
        <f t="shared" si="23"/>
        <v>0</v>
      </c>
      <c r="AZ37" s="1670">
        <f t="shared" ref="AZ37:AZ48" si="29">+AP37+AR37+AT37+AV37+AX37</f>
        <v>0</v>
      </c>
      <c r="BA37" s="1679">
        <f t="shared" ref="BA37:BA48" si="30">IFERROR((AQ37+AS37+AU37+AW37+AY37)/AZ37,0)</f>
        <v>0</v>
      </c>
      <c r="BB37" s="1657"/>
      <c r="BC37" s="1657"/>
      <c r="BD37" s="1670"/>
      <c r="BE37" s="1671"/>
      <c r="BF37" s="1670"/>
      <c r="BG37" s="1671"/>
      <c r="BH37" s="1670"/>
      <c r="BI37" s="1684"/>
      <c r="BJ37" s="1670"/>
      <c r="BK37" s="1671"/>
      <c r="BL37" s="1678"/>
      <c r="BM37" s="1678"/>
      <c r="BN37" s="1670"/>
      <c r="BO37" s="1671"/>
    </row>
    <row r="38" spans="2:67" ht="12.5" x14ac:dyDescent="0.25">
      <c r="B38" s="1251" t="s">
        <v>748</v>
      </c>
      <c r="C38" s="1252">
        <f t="shared" si="26"/>
        <v>0</v>
      </c>
      <c r="D38" s="1253">
        <f t="shared" si="27"/>
        <v>0</v>
      </c>
      <c r="E38" s="1253" t="s">
        <v>485</v>
      </c>
      <c r="F38" s="626" t="str">
        <f t="shared" si="28"/>
        <v>N/A</v>
      </c>
      <c r="G38" s="1249" t="s">
        <v>61</v>
      </c>
      <c r="H38" s="1250" t="s">
        <v>66</v>
      </c>
      <c r="I38" s="1461">
        <f>C38*C$3*(D38*0.95+'Existing Management Practices'!$C$32/SUMPRODUCT('Primary Sources'!$C$70:$C$73,'Primary Sources'!$E$70:$E$73)*(1-D38)*VLOOKUP(G38,'Primary Sources'!B$70:E$73,4,FALSE))*3630</f>
        <v>0</v>
      </c>
      <c r="J38" s="1470">
        <f t="shared" si="5"/>
        <v>0</v>
      </c>
      <c r="K38" s="1462">
        <f t="shared" si="6"/>
        <v>0.4</v>
      </c>
      <c r="L38" s="1462">
        <f t="shared" si="7"/>
        <v>0.75</v>
      </c>
      <c r="M38" s="1462">
        <f t="shared" si="8"/>
        <v>0.85</v>
      </c>
      <c r="N38" s="1462">
        <f t="shared" si="9"/>
        <v>0.7</v>
      </c>
      <c r="O38" s="1463">
        <f t="shared" si="10"/>
        <v>0</v>
      </c>
      <c r="P38" s="1464">
        <v>1.2</v>
      </c>
      <c r="Q38" s="1465">
        <f>J38/MAX(('Primary Sources'!$E$53*0.95+'Existing Management Practices'!$C$32*'Primary Sources'!$F$53)*$C$3,0.001)/3630</f>
        <v>0</v>
      </c>
      <c r="R38" s="1462">
        <v>0.9</v>
      </c>
      <c r="S38" s="1466">
        <f>IF(E38=$B$58,C38*(0.95*D38+(1-D38)*VLOOKUP(G38,'Primary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38" s="1467">
        <f t="shared" si="11"/>
        <v>0</v>
      </c>
      <c r="U38" s="1468">
        <f t="shared" si="12"/>
        <v>0</v>
      </c>
      <c r="V38" s="1468">
        <f t="shared" si="13"/>
        <v>0</v>
      </c>
      <c r="W38" s="1468">
        <f t="shared" si="14"/>
        <v>0</v>
      </c>
      <c r="X38" s="1469">
        <f t="shared" si="15"/>
        <v>0</v>
      </c>
      <c r="Y38" s="1068">
        <f>IF($F38=$B$86,"Enter Value",$S38*(SUM('Primary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Worksheet'!$D38))*($T38+(1-$T38)*U38))</f>
        <v>0</v>
      </c>
      <c r="Z38" s="1063">
        <f>IF($F38=$B$86,"Enter Value",$S38*(SUM('Primary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Worksheet'!$D38))*($T38+(1-$T38)*V38))</f>
        <v>0</v>
      </c>
      <c r="AA38" s="1063">
        <f>IF($F38=$B$86,"Enter Value",$S38*SUM('Primary Sources'!R$11:R$35)*($T38+(1-$T38)*W38))</f>
        <v>0</v>
      </c>
      <c r="AB38" s="1063">
        <f>IF($F38=$B$86,"Enter Value",$S38*SUM('Primary Sources'!S$11:S$35)*($T38+(1-$T38)*X38))</f>
        <v>0</v>
      </c>
      <c r="AC38" s="1063">
        <f>IF($F38=$B$86,"Enter Value",$S38*(SUM('Primary Sources'!U$11:U$35)-'Existing Management Practices'!G$176)*$T38)</f>
        <v>0</v>
      </c>
      <c r="AD38" s="1063">
        <f>$AC38*SUM('Primary Sources'!P$11:P$35)/MAX(SUM('Primary Sources'!$U$11:$U$35),0.001)*(1-U38)*(1-VLOOKUP($H38,$B$91:$E$93,2,FALSE)*(1-IF($G38="A Soils",0.5,0)))*(1-VLOOKUP($F38,$B$64:$K$88,10,FALSE))</f>
        <v>0</v>
      </c>
      <c r="AE38" s="1063">
        <f>$AC38*SUM('Primary Sources'!Q$11:Q$35)/MAX(SUM('Primary Sources'!$U$11:$U$35),0.001)*(1-V38)*(1-VLOOKUP($H38,$B$91:$E$93,3,FALSE)*(1-IF($G38="A Soils",0.5,0)))*(1-VLOOKUP($F38,$B$64:$K$88,10,FALSE))</f>
        <v>0</v>
      </c>
      <c r="AF38" s="1064">
        <f>$AC38*SUM('Primary Sources'!S$11:S$35)/MAX(SUM('Primary Sources'!$U$11:$U$35),0.001)*(1-X38)*(1-VLOOKUP($H38,$B$91:$E$93,4,FALSE)*(1-IF($G38="A Soils",0.5,0)))*(1-VLOOKUP($F38,$B$64:$K$88,10,FALSE))</f>
        <v>0</v>
      </c>
      <c r="AG38" s="627">
        <f>$Q38*(SUM('Primary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Worksheet'!$D38))*$R38*$P38*($O38+(1-$O38)*K38)-Y38</f>
        <v>0</v>
      </c>
      <c r="AH38" s="628">
        <f>$Q38*(SUM('Primary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Worksheet'!$D38))*$R38*$P38*($O38+(1-$O38)*L38)-Z38</f>
        <v>0</v>
      </c>
      <c r="AI38" s="628">
        <f>$Q38*SUM('Primary Sources'!R$10:R$35)*$R38*$P38*($O38+(1-$O38)*M38)-AA38</f>
        <v>0</v>
      </c>
      <c r="AJ38" s="628">
        <f>$Q38*SUM('Primary Sources'!S$10:S$35)*$R38*$P38*($O38+(1-$O38)*N38)-AB38</f>
        <v>0</v>
      </c>
      <c r="AK38" s="628">
        <f>$Q38*(SUM('Primary Sources'!U$10:U$35)-('Existing Management Practices'!G$176)*SUM('Primary Sources'!$D$10:$D$35)/MAX(('Primary Sources'!$F$53+'Future Management Practices'!$C$20-'Existing Management Practices'!$C$6),0.01)*(1-'Retrofit Worksheet'!$D38))*$R38*$P38*$O38-AC38</f>
        <v>0</v>
      </c>
      <c r="AL38" s="628">
        <f>$AK38*(SUM('Primary Sources'!P$11:P$35)-'Existing Management Practices'!C$176-'Future Management Practices'!C$388)/MAX(SUM('Primary Sources'!$U$11:$U$35)-'Existing Management Practices'!$G$176,0.001)*(1-K38)*(1-VLOOKUP($H38,$B$91:$E$93,2,FALSE)*(1-IF($G38="A Soils",0.5,0)))*(1-VLOOKUP($B38,$B$64:$K$88,10,FALSE))-AD38</f>
        <v>0</v>
      </c>
      <c r="AM38" s="628">
        <f>$AK38*(SUM('Primary Sources'!Q$11:Q$35)-'Existing Management Practices'!D$176-'Future Management Practices'!D$388)/MAX(SUM('Primary Sources'!$U$11:$U$35)-'Existing Management Practices'!$G$176,0.001)*(1-L38)*(1-VLOOKUP($H38,$B$91:$E$93,3,FALSE)*(1-IF($G38="A Soils",0.5,0)))*(1-VLOOKUP($B38,$B$64:$K$88,10,FALSE))-AE38</f>
        <v>0</v>
      </c>
      <c r="AN38" s="629">
        <f>$AK38*(SUM('Primary Sources'!S$11:S$35)-'Existing Management Practices'!F$176-'Future Management Practices'!F$388)/MAX(SUM('Primary Sources'!$U$11:$U$35)-'Existing Management Practices'!$G$176,0.001)*(1-N38)*(1-VLOOKUP($H38,$B$91:$E$93,4,FALSE)*(1-IF($G38="A Soils",0.5,0)))*(1-VLOOKUP($B38,$B$64:$K$88,10,FALSE))-AF38</f>
        <v>0</v>
      </c>
      <c r="AO38" s="604"/>
      <c r="AP38" s="1672">
        <f t="shared" si="4"/>
        <v>0</v>
      </c>
      <c r="AQ38" s="1672">
        <f t="shared" si="3"/>
        <v>0</v>
      </c>
      <c r="AR38" s="1672">
        <f t="shared" si="16"/>
        <v>0</v>
      </c>
      <c r="AS38" s="1672">
        <f t="shared" si="17"/>
        <v>0</v>
      </c>
      <c r="AT38" s="1672">
        <f t="shared" si="18"/>
        <v>0</v>
      </c>
      <c r="AU38" s="1672">
        <f t="shared" si="19"/>
        <v>0</v>
      </c>
      <c r="AV38" s="1672">
        <f t="shared" si="20"/>
        <v>0</v>
      </c>
      <c r="AW38" s="1672">
        <f t="shared" si="21"/>
        <v>0</v>
      </c>
      <c r="AX38" s="1672">
        <f t="shared" si="22"/>
        <v>0</v>
      </c>
      <c r="AY38" s="1672">
        <f t="shared" si="23"/>
        <v>0</v>
      </c>
      <c r="AZ38" s="1670">
        <f t="shared" si="29"/>
        <v>0</v>
      </c>
      <c r="BA38" s="1679">
        <f t="shared" si="30"/>
        <v>0</v>
      </c>
      <c r="BB38" s="1657"/>
      <c r="BC38" s="1657"/>
      <c r="BD38" s="1670"/>
      <c r="BE38" s="1671"/>
      <c r="BF38" s="1670"/>
      <c r="BG38" s="1671"/>
      <c r="BH38" s="1670"/>
      <c r="BI38" s="1684"/>
      <c r="BJ38" s="1670"/>
      <c r="BK38" s="1671"/>
      <c r="BL38" s="1678"/>
      <c r="BM38" s="1678"/>
      <c r="BN38" s="1670"/>
      <c r="BO38" s="1671"/>
    </row>
    <row r="39" spans="2:67" ht="12.5" x14ac:dyDescent="0.25">
      <c r="B39" s="1251" t="s">
        <v>748</v>
      </c>
      <c r="C39" s="1252">
        <f t="shared" si="26"/>
        <v>0</v>
      </c>
      <c r="D39" s="1253">
        <f t="shared" si="27"/>
        <v>0</v>
      </c>
      <c r="E39" s="1253" t="s">
        <v>485</v>
      </c>
      <c r="F39" s="626" t="str">
        <f t="shared" si="28"/>
        <v>N/A</v>
      </c>
      <c r="G39" s="1249" t="s">
        <v>61</v>
      </c>
      <c r="H39" s="1250" t="s">
        <v>66</v>
      </c>
      <c r="I39" s="1461">
        <f>C39*C$3*(D39*0.95+'Existing Management Practices'!$C$32/SUMPRODUCT('Primary Sources'!$C$70:$C$73,'Primary Sources'!$E$70:$E$73)*(1-D39)*VLOOKUP(G39,'Primary Sources'!B$70:E$73,4,FALSE))*3630</f>
        <v>0</v>
      </c>
      <c r="J39" s="1470">
        <f t="shared" si="5"/>
        <v>0</v>
      </c>
      <c r="K39" s="1462">
        <f t="shared" si="6"/>
        <v>0.4</v>
      </c>
      <c r="L39" s="1462">
        <f t="shared" si="7"/>
        <v>0.75</v>
      </c>
      <c r="M39" s="1462">
        <f t="shared" si="8"/>
        <v>0.85</v>
      </c>
      <c r="N39" s="1462">
        <f t="shared" si="9"/>
        <v>0.7</v>
      </c>
      <c r="O39" s="1463">
        <f t="shared" si="10"/>
        <v>0</v>
      </c>
      <c r="P39" s="1464">
        <v>1.2</v>
      </c>
      <c r="Q39" s="1465">
        <f>J39/MAX(('Primary Sources'!$E$53*0.95+'Existing Management Practices'!$C$32*'Primary Sources'!$F$53)*$C$3,0.001)/3630</f>
        <v>0</v>
      </c>
      <c r="R39" s="1462">
        <v>0.9</v>
      </c>
      <c r="S39" s="1466">
        <f>IF(E39=$B$58,C39*(0.95*D39+(1-D39)*VLOOKUP(G39,'Primary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39" s="1467">
        <f t="shared" si="11"/>
        <v>0</v>
      </c>
      <c r="U39" s="1468">
        <f t="shared" si="12"/>
        <v>0</v>
      </c>
      <c r="V39" s="1468">
        <f t="shared" si="13"/>
        <v>0</v>
      </c>
      <c r="W39" s="1468">
        <f t="shared" si="14"/>
        <v>0</v>
      </c>
      <c r="X39" s="1469">
        <f t="shared" si="15"/>
        <v>0</v>
      </c>
      <c r="Y39" s="1068">
        <f>IF($F39=$B$86,"Enter Value",$S39*(SUM('Primary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Worksheet'!$D39))*($T39+(1-$T39)*U39))</f>
        <v>0</v>
      </c>
      <c r="Z39" s="1063">
        <f>IF($F39=$B$86,"Enter Value",$S39*(SUM('Primary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Worksheet'!$D39))*($T39+(1-$T39)*V39))</f>
        <v>0</v>
      </c>
      <c r="AA39" s="1063">
        <f>IF($F39=$B$86,"Enter Value",$S39*SUM('Primary Sources'!R$11:R$35)*($T39+(1-$T39)*W39))</f>
        <v>0</v>
      </c>
      <c r="AB39" s="1063">
        <f>IF($F39=$B$86,"Enter Value",$S39*SUM('Primary Sources'!S$11:S$35)*($T39+(1-$T39)*X39))</f>
        <v>0</v>
      </c>
      <c r="AC39" s="1063">
        <f>IF($F39=$B$86,"Enter Value",$S39*(SUM('Primary Sources'!U$11:U$35)-'Existing Management Practices'!G$176)*$T39)</f>
        <v>0</v>
      </c>
      <c r="AD39" s="1063">
        <f>$AC39*SUM('Primary Sources'!P$11:P$35)/MAX(SUM('Primary Sources'!$U$11:$U$35),0.001)*(1-U39)*(1-VLOOKUP($H39,$B$91:$E$93,2,FALSE)*(1-IF($G39="A Soils",0.5,0)))*(1-VLOOKUP($F39,$B$64:$K$88,10,FALSE))</f>
        <v>0</v>
      </c>
      <c r="AE39" s="1063">
        <f>$AC39*SUM('Primary Sources'!Q$11:Q$35)/MAX(SUM('Primary Sources'!$U$11:$U$35),0.001)*(1-V39)*(1-VLOOKUP($H39,$B$91:$E$93,3,FALSE)*(1-IF($G39="A Soils",0.5,0)))*(1-VLOOKUP($F39,$B$64:$K$88,10,FALSE))</f>
        <v>0</v>
      </c>
      <c r="AF39" s="1064">
        <f>$AC39*SUM('Primary Sources'!S$11:S$35)/MAX(SUM('Primary Sources'!$U$11:$U$35),0.001)*(1-X39)*(1-VLOOKUP($H39,$B$91:$E$93,4,FALSE)*(1-IF($G39="A Soils",0.5,0)))*(1-VLOOKUP($F39,$B$64:$K$88,10,FALSE))</f>
        <v>0</v>
      </c>
      <c r="AG39" s="627">
        <f>$Q39*(SUM('Primary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Worksheet'!$D39))*$R39*$P39*($O39+(1-$O39)*K39)-Y39</f>
        <v>0</v>
      </c>
      <c r="AH39" s="628">
        <f>$Q39*(SUM('Primary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Worksheet'!$D39))*$R39*$P39*($O39+(1-$O39)*L39)-Z39</f>
        <v>0</v>
      </c>
      <c r="AI39" s="628">
        <f>$Q39*SUM('Primary Sources'!R$10:R$35)*$R39*$P39*($O39+(1-$O39)*M39)-AA39</f>
        <v>0</v>
      </c>
      <c r="AJ39" s="628">
        <f>$Q39*SUM('Primary Sources'!S$10:S$35)*$R39*$P39*($O39+(1-$O39)*N39)-AB39</f>
        <v>0</v>
      </c>
      <c r="AK39" s="628">
        <f>$Q39*(SUM('Primary Sources'!U$10:U$35)-('Existing Management Practices'!G$176)*SUM('Primary Sources'!$D$10:$D$35)/MAX(('Primary Sources'!$F$53+'Future Management Practices'!$C$20-'Existing Management Practices'!$C$6),0.01)*(1-'Retrofit Worksheet'!$D39))*$R39*$P39*$O39-AC39</f>
        <v>0</v>
      </c>
      <c r="AL39" s="628">
        <f>$AK39*(SUM('Primary Sources'!P$11:P$35)-'Existing Management Practices'!C$176-'Future Management Practices'!C$388)/MAX(SUM('Primary Sources'!$U$11:$U$35)-'Existing Management Practices'!$G$176,0.001)*(1-K39)*(1-VLOOKUP($H39,$B$91:$E$93,2,FALSE)*(1-IF($G39="A Soils",0.5,0)))*(1-VLOOKUP($B39,$B$64:$K$88,10,FALSE))-AD39</f>
        <v>0</v>
      </c>
      <c r="AM39" s="628">
        <f>$AK39*(SUM('Primary Sources'!Q$11:Q$35)-'Existing Management Practices'!D$176-'Future Management Practices'!D$388)/MAX(SUM('Primary Sources'!$U$11:$U$35)-'Existing Management Practices'!$G$176,0.001)*(1-L39)*(1-VLOOKUP($H39,$B$91:$E$93,3,FALSE)*(1-IF($G39="A Soils",0.5,0)))*(1-VLOOKUP($B39,$B$64:$K$88,10,FALSE))-AE39</f>
        <v>0</v>
      </c>
      <c r="AN39" s="629">
        <f>$AK39*(SUM('Primary Sources'!S$11:S$35)-'Existing Management Practices'!F$176-'Future Management Practices'!F$388)/MAX(SUM('Primary Sources'!$U$11:$U$35)-'Existing Management Practices'!$G$176,0.001)*(1-N39)*(1-VLOOKUP($H39,$B$91:$E$93,4,FALSE)*(1-IF($G39="A Soils",0.5,0)))*(1-VLOOKUP($B39,$B$64:$K$88,10,FALSE))-AF39</f>
        <v>0</v>
      </c>
      <c r="AO39" s="604"/>
      <c r="AP39" s="1672">
        <f t="shared" si="4"/>
        <v>0</v>
      </c>
      <c r="AQ39" s="1672">
        <f t="shared" si="4"/>
        <v>0</v>
      </c>
      <c r="AR39" s="1672">
        <f t="shared" si="16"/>
        <v>0</v>
      </c>
      <c r="AS39" s="1672">
        <f t="shared" si="17"/>
        <v>0</v>
      </c>
      <c r="AT39" s="1672">
        <f t="shared" si="18"/>
        <v>0</v>
      </c>
      <c r="AU39" s="1672">
        <f t="shared" si="19"/>
        <v>0</v>
      </c>
      <c r="AV39" s="1672">
        <f t="shared" si="20"/>
        <v>0</v>
      </c>
      <c r="AW39" s="1672">
        <f t="shared" si="21"/>
        <v>0</v>
      </c>
      <c r="AX39" s="1672">
        <f t="shared" si="22"/>
        <v>0</v>
      </c>
      <c r="AY39" s="1672">
        <f t="shared" si="23"/>
        <v>0</v>
      </c>
      <c r="AZ39" s="1670">
        <f t="shared" si="29"/>
        <v>0</v>
      </c>
      <c r="BA39" s="1679">
        <f t="shared" si="30"/>
        <v>0</v>
      </c>
      <c r="BB39" s="1657"/>
      <c r="BC39" s="1657" t="s">
        <v>806</v>
      </c>
      <c r="BD39" s="1670"/>
      <c r="BE39" s="1671"/>
      <c r="BF39" s="1670"/>
      <c r="BG39" s="1671"/>
      <c r="BH39" s="1668"/>
      <c r="BI39" s="1719"/>
      <c r="BJ39" s="1670"/>
      <c r="BK39" s="1671"/>
      <c r="BL39" s="1678"/>
      <c r="BM39" s="1678"/>
      <c r="BN39" s="1670"/>
      <c r="BO39" s="1671"/>
    </row>
    <row r="40" spans="2:67" ht="12.5" x14ac:dyDescent="0.25">
      <c r="B40" s="1251" t="s">
        <v>487</v>
      </c>
      <c r="C40" s="1252"/>
      <c r="D40" s="1253"/>
      <c r="E40" s="1253" t="s">
        <v>485</v>
      </c>
      <c r="F40" s="626" t="str">
        <f t="shared" si="28"/>
        <v>N/A</v>
      </c>
      <c r="G40" s="1249" t="s">
        <v>61</v>
      </c>
      <c r="H40" s="1250" t="s">
        <v>66</v>
      </c>
      <c r="I40" s="1461">
        <f>C40*C$3*(D40*0.95+'Existing Management Practices'!$C$32/SUMPRODUCT('Primary Sources'!$C$70:$C$73,'Primary Sources'!$E$70:$E$73)*(1-D40)*VLOOKUP(G40,'Primary Sources'!B$70:E$73,4,FALSE))*3630</f>
        <v>0</v>
      </c>
      <c r="J40" s="1470">
        <f t="shared" si="5"/>
        <v>0</v>
      </c>
      <c r="K40" s="1462">
        <f t="shared" si="6"/>
        <v>0</v>
      </c>
      <c r="L40" s="1462">
        <f t="shared" si="7"/>
        <v>0</v>
      </c>
      <c r="M40" s="1462">
        <f t="shared" si="8"/>
        <v>0</v>
      </c>
      <c r="N40" s="1462">
        <f t="shared" si="9"/>
        <v>0</v>
      </c>
      <c r="O40" s="1463">
        <f t="shared" si="10"/>
        <v>0</v>
      </c>
      <c r="P40" s="1464">
        <v>1.2</v>
      </c>
      <c r="Q40" s="1465">
        <f>J40/MAX(('Primary Sources'!$E$53*0.95+'Existing Management Practices'!$C$32*'Primary Sources'!$F$53)*$C$3,0.001)/3630</f>
        <v>0</v>
      </c>
      <c r="R40" s="1462">
        <v>0.9</v>
      </c>
      <c r="S40" s="1466">
        <f>IF(E40=$B$58,C40*(0.95*D40+(1-D40)*VLOOKUP(G40,'Primary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40" s="1467">
        <f t="shared" si="11"/>
        <v>0</v>
      </c>
      <c r="U40" s="1468">
        <f t="shared" si="12"/>
        <v>0</v>
      </c>
      <c r="V40" s="1468">
        <f t="shared" si="13"/>
        <v>0</v>
      </c>
      <c r="W40" s="1468">
        <f t="shared" si="14"/>
        <v>0</v>
      </c>
      <c r="X40" s="1469">
        <f t="shared" si="15"/>
        <v>0</v>
      </c>
      <c r="Y40" s="1068">
        <f>IF($F40=$B$86,"Enter Value",$S40*(SUM('Primary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Worksheet'!$D40))*($T40+(1-$T40)*U40))</f>
        <v>0</v>
      </c>
      <c r="Z40" s="1063">
        <f>IF($F40=$B$86,"Enter Value",$S40*(SUM('Primary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Worksheet'!$D40))*($T40+(1-$T40)*V40))</f>
        <v>0</v>
      </c>
      <c r="AA40" s="1063">
        <f>IF($F40=$B$86,"Enter Value",$S40*SUM('Primary Sources'!R$11:R$35)*($T40+(1-$T40)*W40))</f>
        <v>0</v>
      </c>
      <c r="AB40" s="1063">
        <f>IF($F40=$B$86,"Enter Value",$S40*SUM('Primary Sources'!S$11:S$35)*($T40+(1-$T40)*X40))</f>
        <v>0</v>
      </c>
      <c r="AC40" s="1063">
        <f>IF($F40=$B$86,"Enter Value",$S40*(SUM('Primary Sources'!U$11:U$35)-'Existing Management Practices'!G$176)*$T40)</f>
        <v>0</v>
      </c>
      <c r="AD40" s="1063">
        <f>$AC40*SUM('Primary Sources'!P$11:P$35)/MAX(SUM('Primary Sources'!$U$11:$U$35),0.001)*(1-U40)*(1-VLOOKUP($H40,$B$91:$E$93,2,FALSE)*(1-IF($G40="A Soils",0.5,0)))*(1-VLOOKUP($F40,$B$64:$K$88,10,FALSE))</f>
        <v>0</v>
      </c>
      <c r="AE40" s="1063">
        <f>$AC40*SUM('Primary Sources'!Q$11:Q$35)/MAX(SUM('Primary Sources'!$U$11:$U$35),0.001)*(1-V40)*(1-VLOOKUP($H40,$B$91:$E$93,3,FALSE)*(1-IF($G40="A Soils",0.5,0)))*(1-VLOOKUP($F40,$B$64:$K$88,10,FALSE))</f>
        <v>0</v>
      </c>
      <c r="AF40" s="1064">
        <f>$AC40*SUM('Primary Sources'!S$11:S$35)/MAX(SUM('Primary Sources'!$U$11:$U$35),0.001)*(1-X40)*(1-VLOOKUP($H40,$B$91:$E$93,4,FALSE)*(1-IF($G40="A Soils",0.5,0)))*(1-VLOOKUP($F40,$B$64:$K$88,10,FALSE))</f>
        <v>0</v>
      </c>
      <c r="AG40" s="627">
        <f>$Q40*(SUM('Primary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Worksheet'!$D40))*$R40*$P40*($O40+(1-$O40)*K40)-Y40</f>
        <v>0</v>
      </c>
      <c r="AH40" s="628">
        <f>$Q40*(SUM('Primary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Worksheet'!$D40))*$R40*$P40*($O40+(1-$O40)*L40)-Z40</f>
        <v>0</v>
      </c>
      <c r="AI40" s="628">
        <f>$Q40*SUM('Primary Sources'!R$10:R$35)*$R40*$P40*($O40+(1-$O40)*M40)-AA40</f>
        <v>0</v>
      </c>
      <c r="AJ40" s="628">
        <f>$Q40*SUM('Primary Sources'!S$10:S$35)*$R40*$P40*($O40+(1-$O40)*N40)-AB40</f>
        <v>0</v>
      </c>
      <c r="AK40" s="628">
        <f>$Q40*(SUM('Primary Sources'!U$10:U$35)-('Existing Management Practices'!G$176)*SUM('Primary Sources'!$D$10:$D$35)/MAX(('Primary Sources'!$F$53+'Future Management Practices'!$C$20-'Existing Management Practices'!$C$6),0.01)*(1-'Retrofit Worksheet'!$D40))*$R40*$P40*$O40-AC40</f>
        <v>0</v>
      </c>
      <c r="AL40" s="628">
        <f>$AK40*(SUM('Primary Sources'!P$11:P$35)-'Existing Management Practices'!C$176-'Future Management Practices'!C$388)/MAX(SUM('Primary Sources'!$U$11:$U$35)-'Existing Management Practices'!$G$176,0.001)*(1-K40)*(1-VLOOKUP($H40,$B$91:$E$93,2,FALSE)*(1-IF($G40="A Soils",0.5,0)))*(1-VLOOKUP($B40,$B$64:$K$88,10,FALSE))-AD40</f>
        <v>0</v>
      </c>
      <c r="AM40" s="628">
        <f>$AK40*(SUM('Primary Sources'!Q$11:Q$35)-'Existing Management Practices'!D$176-'Future Management Practices'!D$388)/MAX(SUM('Primary Sources'!$U$11:$U$35)-'Existing Management Practices'!$G$176,0.001)*(1-L40)*(1-VLOOKUP($H40,$B$91:$E$93,3,FALSE)*(1-IF($G40="A Soils",0.5,0)))*(1-VLOOKUP($B40,$B$64:$K$88,10,FALSE))-AE40</f>
        <v>0</v>
      </c>
      <c r="AN40" s="629">
        <f>$AK40*(SUM('Primary Sources'!S$11:S$35)-'Existing Management Practices'!F$176-'Future Management Practices'!F$388)/MAX(SUM('Primary Sources'!$U$11:$U$35)-'Existing Management Practices'!$G$176,0.001)*(1-N40)*(1-VLOOKUP($H40,$B$91:$E$93,4,FALSE)*(1-IF($G40="A Soils",0.5,0)))*(1-VLOOKUP($B40,$B$64:$K$88,10,FALSE))-AF40</f>
        <v>0</v>
      </c>
      <c r="AO40" s="604"/>
      <c r="AP40" s="1672">
        <f t="shared" si="4"/>
        <v>0</v>
      </c>
      <c r="AQ40" s="1672">
        <f t="shared" si="4"/>
        <v>0</v>
      </c>
      <c r="AR40" s="1672">
        <f t="shared" si="16"/>
        <v>0</v>
      </c>
      <c r="AS40" s="1672">
        <f t="shared" si="17"/>
        <v>0</v>
      </c>
      <c r="AT40" s="1672">
        <f t="shared" si="18"/>
        <v>0</v>
      </c>
      <c r="AU40" s="1672">
        <f t="shared" si="19"/>
        <v>0</v>
      </c>
      <c r="AV40" s="1672">
        <f t="shared" si="20"/>
        <v>0</v>
      </c>
      <c r="AW40" s="1672">
        <f t="shared" si="21"/>
        <v>0</v>
      </c>
      <c r="AX40" s="1672">
        <f t="shared" si="22"/>
        <v>0</v>
      </c>
      <c r="AY40" s="1672">
        <f t="shared" si="23"/>
        <v>0</v>
      </c>
      <c r="AZ40" s="1670">
        <f t="shared" si="29"/>
        <v>0</v>
      </c>
      <c r="BA40" s="1679">
        <f t="shared" si="30"/>
        <v>0</v>
      </c>
      <c r="BB40" s="1657"/>
      <c r="BC40" s="1657"/>
      <c r="BD40" s="1670"/>
      <c r="BE40" s="1671"/>
      <c r="BF40" s="1670"/>
      <c r="BG40" s="1671"/>
      <c r="BH40" s="1670"/>
      <c r="BI40" s="1684"/>
      <c r="BJ40" s="1670"/>
      <c r="BK40" s="1671"/>
      <c r="BL40" s="1678"/>
      <c r="BM40" s="1678"/>
      <c r="BN40" s="1670"/>
      <c r="BO40" s="1671"/>
    </row>
    <row r="41" spans="2:67" ht="12.5" x14ac:dyDescent="0.25">
      <c r="B41" s="1251" t="s">
        <v>487</v>
      </c>
      <c r="C41" s="1252"/>
      <c r="D41" s="1253"/>
      <c r="E41" s="1253" t="s">
        <v>485</v>
      </c>
      <c r="F41" s="626" t="str">
        <f t="shared" si="28"/>
        <v>N/A</v>
      </c>
      <c r="G41" s="1249" t="s">
        <v>61</v>
      </c>
      <c r="H41" s="1250" t="s">
        <v>66</v>
      </c>
      <c r="I41" s="1461">
        <f>C41*C$3*(D41*0.95+'Existing Management Practices'!$C$32/SUMPRODUCT('Primary Sources'!$C$70:$C$73,'Primary Sources'!$E$70:$E$73)*(1-D41)*VLOOKUP(G41,'Primary Sources'!B$70:E$73,4,FALSE))*3630</f>
        <v>0</v>
      </c>
      <c r="J41" s="1470">
        <f t="shared" si="5"/>
        <v>0</v>
      </c>
      <c r="K41" s="1462">
        <f t="shared" si="6"/>
        <v>0</v>
      </c>
      <c r="L41" s="1462">
        <f t="shared" si="7"/>
        <v>0</v>
      </c>
      <c r="M41" s="1462">
        <f t="shared" si="8"/>
        <v>0</v>
      </c>
      <c r="N41" s="1462">
        <f t="shared" si="9"/>
        <v>0</v>
      </c>
      <c r="O41" s="1463">
        <f t="shared" si="10"/>
        <v>0</v>
      </c>
      <c r="P41" s="1464">
        <v>1.2</v>
      </c>
      <c r="Q41" s="1465">
        <f>J41/MAX(('Primary Sources'!$E$53*0.95+'Existing Management Practices'!$C$32*'Primary Sources'!$F$53)*$C$3,0.001)/3630</f>
        <v>0</v>
      </c>
      <c r="R41" s="1462">
        <v>0.9</v>
      </c>
      <c r="S41" s="1466">
        <f>IF(E41=$B$58,C41*(0.95*D41+(1-D41)*VLOOKUP(G41,'Primary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41" s="1467">
        <f t="shared" si="11"/>
        <v>0</v>
      </c>
      <c r="U41" s="1468">
        <f t="shared" si="12"/>
        <v>0</v>
      </c>
      <c r="V41" s="1468">
        <f t="shared" si="13"/>
        <v>0</v>
      </c>
      <c r="W41" s="1468">
        <f t="shared" si="14"/>
        <v>0</v>
      </c>
      <c r="X41" s="1469">
        <f t="shared" si="15"/>
        <v>0</v>
      </c>
      <c r="Y41" s="1068">
        <f>IF($F41=$B$86,"Enter Value",$S41*(SUM('Primary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Worksheet'!$D41))*($T41+(1-$T41)*U41))</f>
        <v>0</v>
      </c>
      <c r="Z41" s="1063">
        <f>IF($F41=$B$86,"Enter Value",$S41*(SUM('Primary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Worksheet'!$D41))*($T41+(1-$T41)*V41))</f>
        <v>0</v>
      </c>
      <c r="AA41" s="1063">
        <f>IF($F41=$B$86,"Enter Value",$S41*SUM('Primary Sources'!R$11:R$35)*($T41+(1-$T41)*W41))</f>
        <v>0</v>
      </c>
      <c r="AB41" s="1063">
        <f>IF($F41=$B$86,"Enter Value",$S41*SUM('Primary Sources'!S$11:S$35)*($T41+(1-$T41)*X41))</f>
        <v>0</v>
      </c>
      <c r="AC41" s="1063">
        <f>IF($F41=$B$86,"Enter Value",$S41*(SUM('Primary Sources'!U$11:U$35)-'Existing Management Practices'!G$176)*$T41)</f>
        <v>0</v>
      </c>
      <c r="AD41" s="1063">
        <f>$AC41*SUM('Primary Sources'!P$11:P$35)/MAX(SUM('Primary Sources'!$U$11:$U$35),0.001)*(1-U41)*(1-VLOOKUP($H41,$B$91:$E$93,2,FALSE)*(1-IF($G41="A Soils",0.5,0)))*(1-VLOOKUP($F41,$B$64:$K$88,10,FALSE))</f>
        <v>0</v>
      </c>
      <c r="AE41" s="1063">
        <f>$AC41*SUM('Primary Sources'!Q$11:Q$35)/MAX(SUM('Primary Sources'!$U$11:$U$35),0.001)*(1-V41)*(1-VLOOKUP($H41,$B$91:$E$93,3,FALSE)*(1-IF($G41="A Soils",0.5,0)))*(1-VLOOKUP($F41,$B$64:$K$88,10,FALSE))</f>
        <v>0</v>
      </c>
      <c r="AF41" s="1064">
        <f>$AC41*SUM('Primary Sources'!S$11:S$35)/MAX(SUM('Primary Sources'!$U$11:$U$35),0.001)*(1-X41)*(1-VLOOKUP($H41,$B$91:$E$93,4,FALSE)*(1-IF($G41="A Soils",0.5,0)))*(1-VLOOKUP($F41,$B$64:$K$88,10,FALSE))</f>
        <v>0</v>
      </c>
      <c r="AG41" s="627">
        <f>$Q41*(SUM('Primary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Worksheet'!$D41))*$R41*$P41*($O41+(1-$O41)*K41)-Y41</f>
        <v>0</v>
      </c>
      <c r="AH41" s="628">
        <f>$Q41*(SUM('Primary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Worksheet'!$D41))*$R41*$P41*($O41+(1-$O41)*L41)-Z41</f>
        <v>0</v>
      </c>
      <c r="AI41" s="628">
        <f>$Q41*SUM('Primary Sources'!R$10:R$35)*$R41*$P41*($O41+(1-$O41)*M41)-AA41</f>
        <v>0</v>
      </c>
      <c r="AJ41" s="628">
        <f>$Q41*SUM('Primary Sources'!S$10:S$35)*$R41*$P41*($O41+(1-$O41)*N41)-AB41</f>
        <v>0</v>
      </c>
      <c r="AK41" s="628">
        <f>$Q41*(SUM('Primary Sources'!U$10:U$35)-('Existing Management Practices'!G$176)*SUM('Primary Sources'!$D$10:$D$35)/MAX(('Primary Sources'!$F$53+'Future Management Practices'!$C$20-'Existing Management Practices'!$C$6),0.01)*(1-'Retrofit Worksheet'!$D41))*$R41*$P41*$O41-AC41</f>
        <v>0</v>
      </c>
      <c r="AL41" s="628">
        <f>$AK41*(SUM('Primary Sources'!P$11:P$35)-'Existing Management Practices'!C$176-'Future Management Practices'!C$388)/MAX(SUM('Primary Sources'!$U$11:$U$35)-'Existing Management Practices'!$G$176,0.001)*(1-K41)*(1-VLOOKUP($H41,$B$91:$E$93,2,FALSE)*(1-IF($G41="A Soils",0.5,0)))*(1-VLOOKUP($B41,$B$64:$K$88,10,FALSE))-AD41</f>
        <v>0</v>
      </c>
      <c r="AM41" s="628">
        <f>$AK41*(SUM('Primary Sources'!Q$11:Q$35)-'Existing Management Practices'!D$176-'Future Management Practices'!D$388)/MAX(SUM('Primary Sources'!$U$11:$U$35)-'Existing Management Practices'!$G$176,0.001)*(1-L41)*(1-VLOOKUP($H41,$B$91:$E$93,3,FALSE)*(1-IF($G41="A Soils",0.5,0)))*(1-VLOOKUP($B41,$B$64:$K$88,10,FALSE))-AE41</f>
        <v>0</v>
      </c>
      <c r="AN41" s="629">
        <f>$AK41*(SUM('Primary Sources'!S$11:S$35)-'Existing Management Practices'!F$176-'Future Management Practices'!F$388)/MAX(SUM('Primary Sources'!$U$11:$U$35)-'Existing Management Practices'!$G$176,0.001)*(1-N41)*(1-VLOOKUP($H41,$B$91:$E$93,4,FALSE)*(1-IF($G41="A Soils",0.5,0)))*(1-VLOOKUP($B41,$B$64:$K$88,10,FALSE))-AF41</f>
        <v>0</v>
      </c>
      <c r="AO41" s="604"/>
      <c r="AP41" s="1672">
        <f t="shared" si="4"/>
        <v>0</v>
      </c>
      <c r="AQ41" s="1672">
        <f t="shared" si="4"/>
        <v>0</v>
      </c>
      <c r="AR41" s="1672">
        <f t="shared" si="16"/>
        <v>0</v>
      </c>
      <c r="AS41" s="1672">
        <f t="shared" si="17"/>
        <v>0</v>
      </c>
      <c r="AT41" s="1672">
        <f t="shared" si="18"/>
        <v>0</v>
      </c>
      <c r="AU41" s="1672">
        <f t="shared" si="19"/>
        <v>0</v>
      </c>
      <c r="AV41" s="1672">
        <f t="shared" si="20"/>
        <v>0</v>
      </c>
      <c r="AW41" s="1672">
        <f t="shared" si="21"/>
        <v>0</v>
      </c>
      <c r="AX41" s="1672">
        <f t="shared" si="22"/>
        <v>0</v>
      </c>
      <c r="AY41" s="1672">
        <f t="shared" si="23"/>
        <v>0</v>
      </c>
      <c r="AZ41" s="1670">
        <f t="shared" si="29"/>
        <v>0</v>
      </c>
      <c r="BA41" s="1679">
        <f t="shared" si="30"/>
        <v>0</v>
      </c>
      <c r="BB41" s="1657"/>
      <c r="BC41" s="1657"/>
      <c r="BD41" s="1670"/>
      <c r="BE41" s="1671"/>
      <c r="BF41" s="1670"/>
      <c r="BG41" s="1671"/>
      <c r="BH41" s="1670"/>
      <c r="BI41" s="1684"/>
      <c r="BJ41" s="1670"/>
      <c r="BK41" s="1671"/>
      <c r="BL41" s="1678"/>
      <c r="BM41" s="1678"/>
      <c r="BN41" s="1670"/>
      <c r="BO41" s="1671"/>
    </row>
    <row r="42" spans="2:67" ht="12.5" x14ac:dyDescent="0.25">
      <c r="B42" s="1251" t="s">
        <v>487</v>
      </c>
      <c r="C42" s="1252"/>
      <c r="D42" s="1253"/>
      <c r="E42" s="1253" t="s">
        <v>485</v>
      </c>
      <c r="F42" s="626" t="str">
        <f t="shared" si="28"/>
        <v>N/A</v>
      </c>
      <c r="G42" s="1249" t="s">
        <v>61</v>
      </c>
      <c r="H42" s="1250" t="s">
        <v>66</v>
      </c>
      <c r="I42" s="1461">
        <f>C42*C$3*(D42*0.95+'Existing Management Practices'!$C$32/SUMPRODUCT('Primary Sources'!$C$70:$C$73,'Primary Sources'!$E$70:$E$73)*(1-D42)*VLOOKUP(G42,'Primary Sources'!B$70:E$73,4,FALSE))*3630</f>
        <v>0</v>
      </c>
      <c r="J42" s="1470">
        <f t="shared" si="5"/>
        <v>0</v>
      </c>
      <c r="K42" s="1462">
        <f t="shared" si="6"/>
        <v>0</v>
      </c>
      <c r="L42" s="1462">
        <f t="shared" si="7"/>
        <v>0</v>
      </c>
      <c r="M42" s="1462">
        <f t="shared" si="8"/>
        <v>0</v>
      </c>
      <c r="N42" s="1462">
        <f t="shared" si="9"/>
        <v>0</v>
      </c>
      <c r="O42" s="1463">
        <f t="shared" si="10"/>
        <v>0</v>
      </c>
      <c r="P42" s="1464">
        <v>1.2</v>
      </c>
      <c r="Q42" s="1465">
        <f>J42/MAX(('Primary Sources'!$E$53*0.95+'Existing Management Practices'!$C$32*'Primary Sources'!$F$53)*$C$3,0.001)/3630</f>
        <v>0</v>
      </c>
      <c r="R42" s="1462">
        <v>0.9</v>
      </c>
      <c r="S42" s="1466">
        <f>IF(E42=$B$58,C42*(0.95*D42+(1-D42)*VLOOKUP(G42,'Primary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42" s="1467">
        <f t="shared" si="11"/>
        <v>0</v>
      </c>
      <c r="U42" s="1468">
        <f t="shared" si="12"/>
        <v>0</v>
      </c>
      <c r="V42" s="1468">
        <f t="shared" si="13"/>
        <v>0</v>
      </c>
      <c r="W42" s="1468">
        <f t="shared" si="14"/>
        <v>0</v>
      </c>
      <c r="X42" s="1469">
        <f t="shared" si="15"/>
        <v>0</v>
      </c>
      <c r="Y42" s="1068">
        <f>IF($F42=$B$86,"Enter Value",$S42*(SUM('Primary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Worksheet'!$D42))*($T42+(1-$T42)*U42))</f>
        <v>0</v>
      </c>
      <c r="Z42" s="1063">
        <f>IF($F42=$B$86,"Enter Value",$S42*(SUM('Primary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Worksheet'!$D42))*($T42+(1-$T42)*V42))</f>
        <v>0</v>
      </c>
      <c r="AA42" s="1063">
        <f>IF($F42=$B$86,"Enter Value",$S42*SUM('Primary Sources'!R$11:R$35)*($T42+(1-$T42)*W42))</f>
        <v>0</v>
      </c>
      <c r="AB42" s="1063">
        <f>IF($F42=$B$86,"Enter Value",$S42*SUM('Primary Sources'!S$11:S$35)*($T42+(1-$T42)*X42))</f>
        <v>0</v>
      </c>
      <c r="AC42" s="1063">
        <f>IF($F42=$B$86,"Enter Value",$S42*(SUM('Primary Sources'!U$11:U$35)-'Existing Management Practices'!G$176)*$T42)</f>
        <v>0</v>
      </c>
      <c r="AD42" s="1063">
        <f>$AC42*SUM('Primary Sources'!P$11:P$35)/MAX(SUM('Primary Sources'!$U$11:$U$35),0.001)*(1-U42)*(1-VLOOKUP($H42,$B$91:$E$93,2,FALSE)*(1-IF($G42="A Soils",0.5,0)))*(1-VLOOKUP($F42,$B$64:$K$88,10,FALSE))</f>
        <v>0</v>
      </c>
      <c r="AE42" s="1063">
        <f>$AC42*SUM('Primary Sources'!Q$11:Q$35)/MAX(SUM('Primary Sources'!$U$11:$U$35),0.001)*(1-V42)*(1-VLOOKUP($H42,$B$91:$E$93,3,FALSE)*(1-IF($G42="A Soils",0.5,0)))*(1-VLOOKUP($F42,$B$64:$K$88,10,FALSE))</f>
        <v>0</v>
      </c>
      <c r="AF42" s="1064">
        <f>$AC42*SUM('Primary Sources'!S$11:S$35)/MAX(SUM('Primary Sources'!$U$11:$U$35),0.001)*(1-X42)*(1-VLOOKUP($H42,$B$91:$E$93,4,FALSE)*(1-IF($G42="A Soils",0.5,0)))*(1-VLOOKUP($F42,$B$64:$K$88,10,FALSE))</f>
        <v>0</v>
      </c>
      <c r="AG42" s="627">
        <f>$Q42*(SUM('Primary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Worksheet'!$D42))*$R42*$P42*($O42+(1-$O42)*K42)-Y42</f>
        <v>0</v>
      </c>
      <c r="AH42" s="628">
        <f>$Q42*(SUM('Primary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Worksheet'!$D42))*$R42*$P42*($O42+(1-$O42)*L42)-Z42</f>
        <v>0</v>
      </c>
      <c r="AI42" s="628">
        <f>$Q42*SUM('Primary Sources'!R$10:R$35)*$R42*$P42*($O42+(1-$O42)*M42)-AA42</f>
        <v>0</v>
      </c>
      <c r="AJ42" s="628">
        <f>$Q42*SUM('Primary Sources'!S$10:S$35)*$R42*$P42*($O42+(1-$O42)*N42)-AB42</f>
        <v>0</v>
      </c>
      <c r="AK42" s="628">
        <f>$Q42*(SUM('Primary Sources'!U$10:U$35)-('Existing Management Practices'!G$176)*SUM('Primary Sources'!$D$10:$D$35)/MAX(('Primary Sources'!$F$53+'Future Management Practices'!$C$20-'Existing Management Practices'!$C$6),0.01)*(1-'Retrofit Worksheet'!$D42))*$R42*$P42*$O42-AC42</f>
        <v>0</v>
      </c>
      <c r="AL42" s="628">
        <f>$AK42*(SUM('Primary Sources'!P$11:P$35)-'Existing Management Practices'!C$176-'Future Management Practices'!C$388)/MAX(SUM('Primary Sources'!$U$11:$U$35)-'Existing Management Practices'!$G$176,0.001)*(1-K42)*(1-VLOOKUP($H42,$B$91:$E$93,2,FALSE)*(1-IF($G42="A Soils",0.5,0)))*(1-VLOOKUP($B42,$B$64:$K$88,10,FALSE))-AD42</f>
        <v>0</v>
      </c>
      <c r="AM42" s="628">
        <f>$AK42*(SUM('Primary Sources'!Q$11:Q$35)-'Existing Management Practices'!D$176-'Future Management Practices'!D$388)/MAX(SUM('Primary Sources'!$U$11:$U$35)-'Existing Management Practices'!$G$176,0.001)*(1-L42)*(1-VLOOKUP($H42,$B$91:$E$93,3,FALSE)*(1-IF($G42="A Soils",0.5,0)))*(1-VLOOKUP($B42,$B$64:$K$88,10,FALSE))-AE42</f>
        <v>0</v>
      </c>
      <c r="AN42" s="629">
        <f>$AK42*(SUM('Primary Sources'!S$11:S$35)-'Existing Management Practices'!F$176-'Future Management Practices'!F$388)/MAX(SUM('Primary Sources'!$U$11:$U$35)-'Existing Management Practices'!$G$176,0.001)*(1-N42)*(1-VLOOKUP($H42,$B$91:$E$93,4,FALSE)*(1-IF($G42="A Soils",0.5,0)))*(1-VLOOKUP($B42,$B$64:$K$88,10,FALSE))-AF42</f>
        <v>0</v>
      </c>
      <c r="AO42" s="604"/>
      <c r="AP42" s="1672">
        <f t="shared" si="4"/>
        <v>0</v>
      </c>
      <c r="AQ42" s="1672">
        <f t="shared" si="4"/>
        <v>0</v>
      </c>
      <c r="AR42" s="1672">
        <f t="shared" si="16"/>
        <v>0</v>
      </c>
      <c r="AS42" s="1672">
        <f t="shared" si="17"/>
        <v>0</v>
      </c>
      <c r="AT42" s="1672">
        <f t="shared" si="18"/>
        <v>0</v>
      </c>
      <c r="AU42" s="1672">
        <f t="shared" si="19"/>
        <v>0</v>
      </c>
      <c r="AV42" s="1672">
        <f t="shared" si="20"/>
        <v>0</v>
      </c>
      <c r="AW42" s="1672">
        <f t="shared" si="21"/>
        <v>0</v>
      </c>
      <c r="AX42" s="1672">
        <f t="shared" si="22"/>
        <v>0</v>
      </c>
      <c r="AY42" s="1672">
        <f t="shared" si="23"/>
        <v>0</v>
      </c>
      <c r="AZ42" s="1670">
        <f t="shared" si="29"/>
        <v>0</v>
      </c>
      <c r="BA42" s="1679">
        <f t="shared" si="30"/>
        <v>0</v>
      </c>
      <c r="BB42" s="1657"/>
      <c r="BC42" s="1657"/>
      <c r="BD42" s="1670"/>
      <c r="BE42" s="1671"/>
      <c r="BF42" s="1670"/>
      <c r="BG42" s="1671"/>
      <c r="BH42" s="1670"/>
      <c r="BI42" s="1684"/>
      <c r="BJ42" s="1670"/>
      <c r="BK42" s="1671"/>
      <c r="BL42" s="1678"/>
      <c r="BM42" s="1678"/>
      <c r="BN42" s="1670"/>
      <c r="BO42" s="1671"/>
    </row>
    <row r="43" spans="2:67" ht="12.5" x14ac:dyDescent="0.25">
      <c r="B43" s="1251" t="s">
        <v>487</v>
      </c>
      <c r="C43" s="1252"/>
      <c r="D43" s="1253"/>
      <c r="E43" s="1253" t="s">
        <v>485</v>
      </c>
      <c r="F43" s="626" t="str">
        <f t="shared" si="28"/>
        <v>N/A</v>
      </c>
      <c r="G43" s="1249" t="s">
        <v>61</v>
      </c>
      <c r="H43" s="1250" t="s">
        <v>66</v>
      </c>
      <c r="I43" s="1461">
        <f>C43*C$3*(D43*0.95+'Existing Management Practices'!$C$32/SUMPRODUCT('Primary Sources'!$C$70:$C$73,'Primary Sources'!$E$70:$E$73)*(1-D43)*VLOOKUP(G43,'Primary Sources'!B$70:E$73,4,FALSE))*3630</f>
        <v>0</v>
      </c>
      <c r="J43" s="1470">
        <f t="shared" si="5"/>
        <v>0</v>
      </c>
      <c r="K43" s="1462">
        <f t="shared" si="6"/>
        <v>0</v>
      </c>
      <c r="L43" s="1462">
        <f t="shared" si="7"/>
        <v>0</v>
      </c>
      <c r="M43" s="1462">
        <f t="shared" si="8"/>
        <v>0</v>
      </c>
      <c r="N43" s="1462">
        <f t="shared" si="9"/>
        <v>0</v>
      </c>
      <c r="O43" s="1463">
        <f t="shared" si="10"/>
        <v>0</v>
      </c>
      <c r="P43" s="1464">
        <v>1.2</v>
      </c>
      <c r="Q43" s="1465">
        <f>J43/MAX(('Primary Sources'!$E$53*0.95+'Existing Management Practices'!$C$32*'Primary Sources'!$F$53)*$C$3,0.001)/3630</f>
        <v>0</v>
      </c>
      <c r="R43" s="1462">
        <v>0.9</v>
      </c>
      <c r="S43" s="1466">
        <f>IF(E43=$B$58,C43*(0.95*D43+(1-D43)*VLOOKUP(G43,'Primary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43" s="1467">
        <f t="shared" si="11"/>
        <v>0</v>
      </c>
      <c r="U43" s="1468">
        <f t="shared" si="12"/>
        <v>0</v>
      </c>
      <c r="V43" s="1468">
        <f t="shared" si="13"/>
        <v>0</v>
      </c>
      <c r="W43" s="1468">
        <f t="shared" si="14"/>
        <v>0</v>
      </c>
      <c r="X43" s="1469">
        <f t="shared" si="15"/>
        <v>0</v>
      </c>
      <c r="Y43" s="1068">
        <f>IF($F43=$B$86,"Enter Value",$S43*(SUM('Primary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Worksheet'!$D43))*($T43+(1-$T43)*U43))</f>
        <v>0</v>
      </c>
      <c r="Z43" s="1063">
        <f>IF($F43=$B$86,"Enter Value",$S43*(SUM('Primary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Worksheet'!$D43))*($T43+(1-$T43)*V43))</f>
        <v>0</v>
      </c>
      <c r="AA43" s="1063">
        <f>IF($F43=$B$86,"Enter Value",$S43*SUM('Primary Sources'!R$11:R$35)*($T43+(1-$T43)*W43))</f>
        <v>0</v>
      </c>
      <c r="AB43" s="1063">
        <f>IF($F43=$B$86,"Enter Value",$S43*SUM('Primary Sources'!S$11:S$35)*($T43+(1-$T43)*X43))</f>
        <v>0</v>
      </c>
      <c r="AC43" s="1063">
        <f>IF($F43=$B$86,"Enter Value",$S43*(SUM('Primary Sources'!U$11:U$35)-'Existing Management Practices'!G$176)*$T43)</f>
        <v>0</v>
      </c>
      <c r="AD43" s="1063">
        <f>$AC43*SUM('Primary Sources'!P$11:P$35)/MAX(SUM('Primary Sources'!$U$11:$U$35),0.001)*(1-U43)*(1-VLOOKUP($H43,$B$91:$E$93,2,FALSE)*(1-IF($G43="A Soils",0.5,0)))*(1-VLOOKUP($F43,$B$64:$K$88,10,FALSE))</f>
        <v>0</v>
      </c>
      <c r="AE43" s="1063">
        <f>$AC43*SUM('Primary Sources'!Q$11:Q$35)/MAX(SUM('Primary Sources'!$U$11:$U$35),0.001)*(1-V43)*(1-VLOOKUP($H43,$B$91:$E$93,3,FALSE)*(1-IF($G43="A Soils",0.5,0)))*(1-VLOOKUP($F43,$B$64:$K$88,10,FALSE))</f>
        <v>0</v>
      </c>
      <c r="AF43" s="1064">
        <f>$AC43*SUM('Primary Sources'!S$11:S$35)/MAX(SUM('Primary Sources'!$U$11:$U$35),0.001)*(1-X43)*(1-VLOOKUP($H43,$B$91:$E$93,4,FALSE)*(1-IF($G43="A Soils",0.5,0)))*(1-VLOOKUP($F43,$B$64:$K$88,10,FALSE))</f>
        <v>0</v>
      </c>
      <c r="AG43" s="627">
        <f>$Q43*(SUM('Primary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Worksheet'!$D43))*$R43*$P43*($O43+(1-$O43)*K43)-Y43</f>
        <v>0</v>
      </c>
      <c r="AH43" s="628">
        <f>$Q43*(SUM('Primary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Worksheet'!$D43))*$R43*$P43*($O43+(1-$O43)*L43)-Z43</f>
        <v>0</v>
      </c>
      <c r="AI43" s="628">
        <f>$Q43*SUM('Primary Sources'!R$10:R$35)*$R43*$P43*($O43+(1-$O43)*M43)-AA43</f>
        <v>0</v>
      </c>
      <c r="AJ43" s="628">
        <f>$Q43*SUM('Primary Sources'!S$10:S$35)*$R43*$P43*($O43+(1-$O43)*N43)-AB43</f>
        <v>0</v>
      </c>
      <c r="AK43" s="628">
        <f>$Q43*(SUM('Primary Sources'!U$10:U$35)-('Existing Management Practices'!G$176)*SUM('Primary Sources'!$D$10:$D$35)/MAX(('Primary Sources'!$F$53+'Future Management Practices'!$C$20-'Existing Management Practices'!$C$6),0.01)*(1-'Retrofit Worksheet'!$D43))*$R43*$P43*$O43-AC43</f>
        <v>0</v>
      </c>
      <c r="AL43" s="628">
        <f>$AK43*(SUM('Primary Sources'!P$11:P$35)-'Existing Management Practices'!C$176-'Future Management Practices'!C$388)/MAX(SUM('Primary Sources'!$U$11:$U$35)-'Existing Management Practices'!$G$176,0.001)*(1-K43)*(1-VLOOKUP($H43,$B$91:$E$93,2,FALSE)*(1-IF($G43="A Soils",0.5,0)))*(1-VLOOKUP($B43,$B$64:$K$88,10,FALSE))-AD43</f>
        <v>0</v>
      </c>
      <c r="AM43" s="628">
        <f>$AK43*(SUM('Primary Sources'!Q$11:Q$35)-'Existing Management Practices'!D$176-'Future Management Practices'!D$388)/MAX(SUM('Primary Sources'!$U$11:$U$35)-'Existing Management Practices'!$G$176,0.001)*(1-L43)*(1-VLOOKUP($H43,$B$91:$E$93,3,FALSE)*(1-IF($G43="A Soils",0.5,0)))*(1-VLOOKUP($B43,$B$64:$K$88,10,FALSE))-AE43</f>
        <v>0</v>
      </c>
      <c r="AN43" s="629">
        <f>$AK43*(SUM('Primary Sources'!S$11:S$35)-'Existing Management Practices'!F$176-'Future Management Practices'!F$388)/MAX(SUM('Primary Sources'!$U$11:$U$35)-'Existing Management Practices'!$G$176,0.001)*(1-N43)*(1-VLOOKUP($H43,$B$91:$E$93,4,FALSE)*(1-IF($G43="A Soils",0.5,0)))*(1-VLOOKUP($B43,$B$64:$K$88,10,FALSE))-AF43</f>
        <v>0</v>
      </c>
      <c r="AO43" s="604"/>
      <c r="AP43" s="1672">
        <f t="shared" si="4"/>
        <v>0</v>
      </c>
      <c r="AQ43" s="1672">
        <f t="shared" si="4"/>
        <v>0</v>
      </c>
      <c r="AR43" s="1672">
        <f t="shared" si="16"/>
        <v>0</v>
      </c>
      <c r="AS43" s="1672">
        <f t="shared" si="17"/>
        <v>0</v>
      </c>
      <c r="AT43" s="1672">
        <f t="shared" si="18"/>
        <v>0</v>
      </c>
      <c r="AU43" s="1672">
        <f t="shared" si="19"/>
        <v>0</v>
      </c>
      <c r="AV43" s="1672">
        <f t="shared" si="20"/>
        <v>0</v>
      </c>
      <c r="AW43" s="1672">
        <f t="shared" si="21"/>
        <v>0</v>
      </c>
      <c r="AX43" s="1672">
        <f t="shared" si="22"/>
        <v>0</v>
      </c>
      <c r="AY43" s="1672">
        <f t="shared" si="23"/>
        <v>0</v>
      </c>
      <c r="AZ43" s="1670">
        <f t="shared" si="29"/>
        <v>0</v>
      </c>
      <c r="BA43" s="1679">
        <f t="shared" si="30"/>
        <v>0</v>
      </c>
      <c r="BB43" s="1657"/>
      <c r="BC43" s="1657"/>
      <c r="BD43" s="1670"/>
      <c r="BE43" s="1671"/>
      <c r="BF43" s="1670"/>
      <c r="BG43" s="1671"/>
      <c r="BH43" s="1670"/>
      <c r="BI43" s="1684"/>
      <c r="BJ43" s="1670"/>
      <c r="BK43" s="1671"/>
      <c r="BL43" s="1678"/>
      <c r="BM43" s="1678"/>
      <c r="BN43" s="1670"/>
      <c r="BO43" s="1671"/>
    </row>
    <row r="44" spans="2:67" ht="12.5" x14ac:dyDescent="0.25">
      <c r="B44" s="1251" t="s">
        <v>487</v>
      </c>
      <c r="C44" s="1252"/>
      <c r="D44" s="1253"/>
      <c r="E44" s="1253" t="s">
        <v>485</v>
      </c>
      <c r="F44" s="626" t="str">
        <f t="shared" si="28"/>
        <v>N/A</v>
      </c>
      <c r="G44" s="1249" t="s">
        <v>61</v>
      </c>
      <c r="H44" s="1250" t="s">
        <v>66</v>
      </c>
      <c r="I44" s="1461">
        <f>C44*C$3*(D44*0.95+'Existing Management Practices'!$C$32/SUMPRODUCT('Primary Sources'!$C$70:$C$73,'Primary Sources'!$E$70:$E$73)*(1-D44)*VLOOKUP(G44,'Primary Sources'!B$70:E$73,4,FALSE))*3630</f>
        <v>0</v>
      </c>
      <c r="J44" s="1470">
        <f t="shared" si="5"/>
        <v>0</v>
      </c>
      <c r="K44" s="1462">
        <f t="shared" si="6"/>
        <v>0</v>
      </c>
      <c r="L44" s="1462">
        <f t="shared" si="7"/>
        <v>0</v>
      </c>
      <c r="M44" s="1462">
        <f t="shared" si="8"/>
        <v>0</v>
      </c>
      <c r="N44" s="1462">
        <f t="shared" si="9"/>
        <v>0</v>
      </c>
      <c r="O44" s="1463">
        <f t="shared" si="10"/>
        <v>0</v>
      </c>
      <c r="P44" s="1464">
        <v>1.2</v>
      </c>
      <c r="Q44" s="1465">
        <f>J44/MAX(('Primary Sources'!$E$53*0.95+'Existing Management Practices'!$C$32*'Primary Sources'!$F$53)*$C$3,0.001)/3630</f>
        <v>0</v>
      </c>
      <c r="R44" s="1462">
        <v>0.9</v>
      </c>
      <c r="S44" s="1466">
        <f>IF(E44=$B$58,C44*(0.95*D44+(1-D44)*VLOOKUP(G44,'Primary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44" s="1467">
        <f t="shared" si="11"/>
        <v>0</v>
      </c>
      <c r="U44" s="1468">
        <f t="shared" si="12"/>
        <v>0</v>
      </c>
      <c r="V44" s="1468">
        <f t="shared" si="13"/>
        <v>0</v>
      </c>
      <c r="W44" s="1468">
        <f t="shared" si="14"/>
        <v>0</v>
      </c>
      <c r="X44" s="1469">
        <f t="shared" si="15"/>
        <v>0</v>
      </c>
      <c r="Y44" s="1068">
        <f>IF($F44=$B$86,"Enter Value",$S44*(SUM('Primary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Worksheet'!$D44))*($T44+(1-$T44)*U44))</f>
        <v>0</v>
      </c>
      <c r="Z44" s="1063">
        <f>IF($F44=$B$86,"Enter Value",$S44*(SUM('Primary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Worksheet'!$D44))*($T44+(1-$T44)*V44))</f>
        <v>0</v>
      </c>
      <c r="AA44" s="1063">
        <f>IF($F44=$B$86,"Enter Value",$S44*SUM('Primary Sources'!R$11:R$35)*($T44+(1-$T44)*W44))</f>
        <v>0</v>
      </c>
      <c r="AB44" s="1063">
        <f>IF($F44=$B$86,"Enter Value",$S44*SUM('Primary Sources'!S$11:S$35)*($T44+(1-$T44)*X44))</f>
        <v>0</v>
      </c>
      <c r="AC44" s="1063">
        <f>IF($F44=$B$86,"Enter Value",$S44*(SUM('Primary Sources'!U$11:U$35)-'Existing Management Practices'!G$176)*$T44)</f>
        <v>0</v>
      </c>
      <c r="AD44" s="1063">
        <f>$AC44*SUM('Primary Sources'!P$11:P$35)/MAX(SUM('Primary Sources'!$U$11:$U$35),0.001)*(1-U44)*(1-VLOOKUP($H44,$B$91:$E$93,2,FALSE)*(1-IF($G44="A Soils",0.5,0)))*(1-VLOOKUP($F44,$B$64:$K$88,10,FALSE))</f>
        <v>0</v>
      </c>
      <c r="AE44" s="1063">
        <f>$AC44*SUM('Primary Sources'!Q$11:Q$35)/MAX(SUM('Primary Sources'!$U$11:$U$35),0.001)*(1-V44)*(1-VLOOKUP($H44,$B$91:$E$93,3,FALSE)*(1-IF($G44="A Soils",0.5,0)))*(1-VLOOKUP($F44,$B$64:$K$88,10,FALSE))</f>
        <v>0</v>
      </c>
      <c r="AF44" s="1064">
        <f>$AC44*SUM('Primary Sources'!S$11:S$35)/MAX(SUM('Primary Sources'!$U$11:$U$35),0.001)*(1-X44)*(1-VLOOKUP($H44,$B$91:$E$93,4,FALSE)*(1-IF($G44="A Soils",0.5,0)))*(1-VLOOKUP($F44,$B$64:$K$88,10,FALSE))</f>
        <v>0</v>
      </c>
      <c r="AG44" s="627">
        <f>$Q44*(SUM('Primary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Worksheet'!$D44))*$R44*$P44*($O44+(1-$O44)*K44)-Y44</f>
        <v>0</v>
      </c>
      <c r="AH44" s="628">
        <f>$Q44*(SUM('Primary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Worksheet'!$D44))*$R44*$P44*($O44+(1-$O44)*L44)-Z44</f>
        <v>0</v>
      </c>
      <c r="AI44" s="628">
        <f>$Q44*SUM('Primary Sources'!R$10:R$35)*$R44*$P44*($O44+(1-$O44)*M44)-AA44</f>
        <v>0</v>
      </c>
      <c r="AJ44" s="628">
        <f>$Q44*SUM('Primary Sources'!S$10:S$35)*$R44*$P44*($O44+(1-$O44)*N44)-AB44</f>
        <v>0</v>
      </c>
      <c r="AK44" s="628">
        <f>$Q44*(SUM('Primary Sources'!U$10:U$35)-('Existing Management Practices'!G$176)*SUM('Primary Sources'!$D$10:$D$35)/MAX(('Primary Sources'!$F$53+'Future Management Practices'!$C$20-'Existing Management Practices'!$C$6),0.01)*(1-'Retrofit Worksheet'!$D44))*$R44*$P44*$O44-AC44</f>
        <v>0</v>
      </c>
      <c r="AL44" s="628">
        <f>$AK44*(SUM('Primary Sources'!P$11:P$35)-'Existing Management Practices'!C$176-'Future Management Practices'!C$388)/MAX(SUM('Primary Sources'!$U$11:$U$35)-'Existing Management Practices'!$G$176,0.001)*(1-K44)*(1-VLOOKUP($H44,$B$91:$E$93,2,FALSE)*(1-IF($G44="A Soils",0.5,0)))*(1-VLOOKUP($B44,$B$64:$K$88,10,FALSE))-AD44</f>
        <v>0</v>
      </c>
      <c r="AM44" s="628">
        <f>$AK44*(SUM('Primary Sources'!Q$11:Q$35)-'Existing Management Practices'!D$176-'Future Management Practices'!D$388)/MAX(SUM('Primary Sources'!$U$11:$U$35)-'Existing Management Practices'!$G$176,0.001)*(1-L44)*(1-VLOOKUP($H44,$B$91:$E$93,3,FALSE)*(1-IF($G44="A Soils",0.5,0)))*(1-VLOOKUP($B44,$B$64:$K$88,10,FALSE))-AE44</f>
        <v>0</v>
      </c>
      <c r="AN44" s="629">
        <f>$AK44*(SUM('Primary Sources'!S$11:S$35)-'Existing Management Practices'!F$176-'Future Management Practices'!F$388)/MAX(SUM('Primary Sources'!$U$11:$U$35)-'Existing Management Practices'!$G$176,0.001)*(1-N44)*(1-VLOOKUP($H44,$B$91:$E$93,4,FALSE)*(1-IF($G44="A Soils",0.5,0)))*(1-VLOOKUP($B44,$B$64:$K$88,10,FALSE))-AF44</f>
        <v>0</v>
      </c>
      <c r="AO44" s="604"/>
      <c r="AP44" s="1672">
        <f t="shared" si="4"/>
        <v>0</v>
      </c>
      <c r="AQ44" s="1672">
        <f t="shared" si="4"/>
        <v>0</v>
      </c>
      <c r="AR44" s="1672">
        <f t="shared" si="16"/>
        <v>0</v>
      </c>
      <c r="AS44" s="1672">
        <f t="shared" si="17"/>
        <v>0</v>
      </c>
      <c r="AT44" s="1672">
        <f t="shared" si="18"/>
        <v>0</v>
      </c>
      <c r="AU44" s="1672">
        <f t="shared" si="19"/>
        <v>0</v>
      </c>
      <c r="AV44" s="1672">
        <f t="shared" si="20"/>
        <v>0</v>
      </c>
      <c r="AW44" s="1672">
        <f t="shared" si="21"/>
        <v>0</v>
      </c>
      <c r="AX44" s="1672">
        <f t="shared" si="22"/>
        <v>0</v>
      </c>
      <c r="AY44" s="1672">
        <f t="shared" si="23"/>
        <v>0</v>
      </c>
      <c r="AZ44" s="1670">
        <f t="shared" si="29"/>
        <v>0</v>
      </c>
      <c r="BA44" s="1679">
        <f t="shared" si="30"/>
        <v>0</v>
      </c>
      <c r="BB44" s="1657"/>
      <c r="BC44" s="1657"/>
      <c r="BD44" s="1670"/>
      <c r="BE44" s="1671"/>
      <c r="BF44" s="1670"/>
      <c r="BG44" s="1671"/>
      <c r="BH44" s="1670"/>
      <c r="BI44" s="1684"/>
      <c r="BJ44" s="1670"/>
      <c r="BK44" s="1671"/>
      <c r="BL44" s="1678"/>
      <c r="BM44" s="1678"/>
      <c r="BN44" s="1670"/>
      <c r="BO44" s="1671"/>
    </row>
    <row r="45" spans="2:67" ht="12.5" x14ac:dyDescent="0.25">
      <c r="B45" s="1251" t="s">
        <v>487</v>
      </c>
      <c r="C45" s="1252"/>
      <c r="D45" s="1253"/>
      <c r="E45" s="1253" t="s">
        <v>485</v>
      </c>
      <c r="F45" s="626" t="str">
        <f t="shared" si="28"/>
        <v>N/A</v>
      </c>
      <c r="G45" s="1249" t="s">
        <v>61</v>
      </c>
      <c r="H45" s="1250" t="s">
        <v>66</v>
      </c>
      <c r="I45" s="1461">
        <f>C45*C$3*(D45*0.95+'Existing Management Practices'!$C$32/SUMPRODUCT('Primary Sources'!$C$70:$C$73,'Primary Sources'!$E$70:$E$73)*(1-D45)*VLOOKUP(G45,'Primary Sources'!B$70:E$73,4,FALSE))*3630</f>
        <v>0</v>
      </c>
      <c r="J45" s="1470">
        <f t="shared" si="5"/>
        <v>0</v>
      </c>
      <c r="K45" s="1462">
        <f t="shared" si="6"/>
        <v>0</v>
      </c>
      <c r="L45" s="1462">
        <f t="shared" si="7"/>
        <v>0</v>
      </c>
      <c r="M45" s="1462">
        <f t="shared" si="8"/>
        <v>0</v>
      </c>
      <c r="N45" s="1462">
        <f t="shared" si="9"/>
        <v>0</v>
      </c>
      <c r="O45" s="1463">
        <f t="shared" si="10"/>
        <v>0</v>
      </c>
      <c r="P45" s="1464">
        <v>1.2</v>
      </c>
      <c r="Q45" s="1465">
        <f>J45/MAX(('Primary Sources'!$E$53*0.95+'Existing Management Practices'!$C$32*'Primary Sources'!$F$53)*$C$3,0.001)/3630</f>
        <v>0</v>
      </c>
      <c r="R45" s="1462">
        <v>0.9</v>
      </c>
      <c r="S45" s="1466">
        <f>IF(E45=$B$58,C45*(0.95*D45+(1-D45)*VLOOKUP(G45,'Primary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45" s="1467">
        <f t="shared" si="11"/>
        <v>0</v>
      </c>
      <c r="U45" s="1468">
        <f t="shared" si="12"/>
        <v>0</v>
      </c>
      <c r="V45" s="1468">
        <f t="shared" si="13"/>
        <v>0</v>
      </c>
      <c r="W45" s="1468">
        <f t="shared" si="14"/>
        <v>0</v>
      </c>
      <c r="X45" s="1469">
        <f t="shared" si="15"/>
        <v>0</v>
      </c>
      <c r="Y45" s="1068">
        <f>IF($F45=$B$86,"Enter Value",$S45*(SUM('Primary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Worksheet'!$D45))*($T45+(1-$T45)*U45))</f>
        <v>0</v>
      </c>
      <c r="Z45" s="1063">
        <f>IF($F45=$B$86,"Enter Value",$S45*(SUM('Primary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Worksheet'!$D45))*($T45+(1-$T45)*V45))</f>
        <v>0</v>
      </c>
      <c r="AA45" s="1063">
        <f>IF($F45=$B$86,"Enter Value",$S45*SUM('Primary Sources'!R$11:R$35)*($T45+(1-$T45)*W45))</f>
        <v>0</v>
      </c>
      <c r="AB45" s="1063">
        <f>IF($F45=$B$86,"Enter Value",$S45*SUM('Primary Sources'!S$11:S$35)*($T45+(1-$T45)*X45))</f>
        <v>0</v>
      </c>
      <c r="AC45" s="1063">
        <f>IF($F45=$B$86,"Enter Value",$S45*(SUM('Primary Sources'!U$11:U$35)-'Existing Management Practices'!G$176)*$T45)</f>
        <v>0</v>
      </c>
      <c r="AD45" s="1063">
        <f>$AC45*SUM('Primary Sources'!P$11:P$35)/MAX(SUM('Primary Sources'!$U$11:$U$35),0.001)*(1-U45)*(1-VLOOKUP($H45,$B$91:$E$93,2,FALSE)*(1-IF($G45="A Soils",0.5,0)))*(1-VLOOKUP($F45,$B$64:$K$88,10,FALSE))</f>
        <v>0</v>
      </c>
      <c r="AE45" s="1063">
        <f>$AC45*SUM('Primary Sources'!Q$11:Q$35)/MAX(SUM('Primary Sources'!$U$11:$U$35),0.001)*(1-V45)*(1-VLOOKUP($H45,$B$91:$E$93,3,FALSE)*(1-IF($G45="A Soils",0.5,0)))*(1-VLOOKUP($F45,$B$64:$K$88,10,FALSE))</f>
        <v>0</v>
      </c>
      <c r="AF45" s="1064">
        <f>$AC45*SUM('Primary Sources'!S$11:S$35)/MAX(SUM('Primary Sources'!$U$11:$U$35),0.001)*(1-X45)*(1-VLOOKUP($H45,$B$91:$E$93,4,FALSE)*(1-IF($G45="A Soils",0.5,0)))*(1-VLOOKUP($F45,$B$64:$K$88,10,FALSE))</f>
        <v>0</v>
      </c>
      <c r="AG45" s="627">
        <f>$Q45*(SUM('Primary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Worksheet'!$D45))*$R45*$P45*($O45+(1-$O45)*K45)-Y45</f>
        <v>0</v>
      </c>
      <c r="AH45" s="628">
        <f>$Q45*(SUM('Primary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Worksheet'!$D45))*$R45*$P45*($O45+(1-$O45)*L45)-Z45</f>
        <v>0</v>
      </c>
      <c r="AI45" s="628">
        <f>$Q45*SUM('Primary Sources'!R$10:R$35)*$R45*$P45*($O45+(1-$O45)*M45)-AA45</f>
        <v>0</v>
      </c>
      <c r="AJ45" s="628">
        <f>$Q45*SUM('Primary Sources'!S$10:S$35)*$R45*$P45*($O45+(1-$O45)*N45)-AB45</f>
        <v>0</v>
      </c>
      <c r="AK45" s="628">
        <f>$Q45*(SUM('Primary Sources'!U$10:U$35)-('Existing Management Practices'!G$176)*SUM('Primary Sources'!$D$10:$D$35)/MAX(('Primary Sources'!$F$53+'Future Management Practices'!$C$20-'Existing Management Practices'!$C$6),0.01)*(1-'Retrofit Worksheet'!$D45))*$R45*$P45*$O45-AC45</f>
        <v>0</v>
      </c>
      <c r="AL45" s="628">
        <f>$AK45*(SUM('Primary Sources'!P$11:P$35)-'Existing Management Practices'!C$176-'Future Management Practices'!C$388)/MAX(SUM('Primary Sources'!$U$11:$U$35)-'Existing Management Practices'!$G$176,0.001)*(1-K45)*(1-VLOOKUP($H45,$B$91:$E$93,2,FALSE)*(1-IF($G45="A Soils",0.5,0)))*(1-VLOOKUP($B45,$B$64:$K$88,10,FALSE))-AD45</f>
        <v>0</v>
      </c>
      <c r="AM45" s="628">
        <f>$AK45*(SUM('Primary Sources'!Q$11:Q$35)-'Existing Management Practices'!D$176-'Future Management Practices'!D$388)/MAX(SUM('Primary Sources'!$U$11:$U$35)-'Existing Management Practices'!$G$176,0.001)*(1-L45)*(1-VLOOKUP($H45,$B$91:$E$93,3,FALSE)*(1-IF($G45="A Soils",0.5,0)))*(1-VLOOKUP($B45,$B$64:$K$88,10,FALSE))-AE45</f>
        <v>0</v>
      </c>
      <c r="AN45" s="629">
        <f>$AK45*(SUM('Primary Sources'!S$11:S$35)-'Existing Management Practices'!F$176-'Future Management Practices'!F$388)/MAX(SUM('Primary Sources'!$U$11:$U$35)-'Existing Management Practices'!$G$176,0.001)*(1-N45)*(1-VLOOKUP($H45,$B$91:$E$93,4,FALSE)*(1-IF($G45="A Soils",0.5,0)))*(1-VLOOKUP($B45,$B$64:$K$88,10,FALSE))-AF45</f>
        <v>0</v>
      </c>
      <c r="AO45" s="604"/>
      <c r="AP45" s="1672">
        <f t="shared" si="4"/>
        <v>0</v>
      </c>
      <c r="AQ45" s="1672">
        <f t="shared" si="4"/>
        <v>0</v>
      </c>
      <c r="AR45" s="1672">
        <f t="shared" si="16"/>
        <v>0</v>
      </c>
      <c r="AS45" s="1672">
        <f t="shared" si="17"/>
        <v>0</v>
      </c>
      <c r="AT45" s="1672">
        <f t="shared" si="18"/>
        <v>0</v>
      </c>
      <c r="AU45" s="1672">
        <f t="shared" si="19"/>
        <v>0</v>
      </c>
      <c r="AV45" s="1672">
        <f t="shared" si="20"/>
        <v>0</v>
      </c>
      <c r="AW45" s="1672">
        <f t="shared" si="21"/>
        <v>0</v>
      </c>
      <c r="AX45" s="1672">
        <f t="shared" si="22"/>
        <v>0</v>
      </c>
      <c r="AY45" s="1672">
        <f t="shared" si="23"/>
        <v>0</v>
      </c>
      <c r="AZ45" s="1670">
        <f t="shared" si="29"/>
        <v>0</v>
      </c>
      <c r="BA45" s="1679">
        <f t="shared" si="30"/>
        <v>0</v>
      </c>
      <c r="BB45" s="1657"/>
      <c r="BC45" s="1657"/>
      <c r="BD45" s="1670"/>
      <c r="BE45" s="1671"/>
      <c r="BF45" s="1670"/>
      <c r="BG45" s="1671"/>
      <c r="BH45" s="1670"/>
      <c r="BI45" s="1684"/>
      <c r="BJ45" s="1670"/>
      <c r="BK45" s="1671"/>
      <c r="BL45" s="1684"/>
      <c r="BM45" s="1684"/>
      <c r="BN45" s="1670"/>
      <c r="BO45" s="1671"/>
    </row>
    <row r="46" spans="2:67" ht="12.5" x14ac:dyDescent="0.25">
      <c r="B46" s="1251" t="s">
        <v>487</v>
      </c>
      <c r="C46" s="1252"/>
      <c r="D46" s="1253"/>
      <c r="E46" s="1253" t="s">
        <v>485</v>
      </c>
      <c r="F46" s="626" t="str">
        <f t="shared" si="28"/>
        <v>N/A</v>
      </c>
      <c r="G46" s="1249" t="s">
        <v>61</v>
      </c>
      <c r="H46" s="1250" t="s">
        <v>66</v>
      </c>
      <c r="I46" s="1461">
        <f>C46*C$3*(D46*0.95+'Existing Management Practices'!$C$32/SUMPRODUCT('Primary Sources'!$C$70:$C$73,'Primary Sources'!$E$70:$E$73)*(1-D46)*VLOOKUP(G46,'Primary Sources'!B$70:E$73,4,FALSE))*3630</f>
        <v>0</v>
      </c>
      <c r="J46" s="1470">
        <f t="shared" si="5"/>
        <v>0</v>
      </c>
      <c r="K46" s="1462">
        <f t="shared" si="6"/>
        <v>0</v>
      </c>
      <c r="L46" s="1462">
        <f t="shared" si="7"/>
        <v>0</v>
      </c>
      <c r="M46" s="1462">
        <f t="shared" si="8"/>
        <v>0</v>
      </c>
      <c r="N46" s="1462">
        <f t="shared" si="9"/>
        <v>0</v>
      </c>
      <c r="O46" s="1463">
        <f t="shared" si="10"/>
        <v>0</v>
      </c>
      <c r="P46" s="1464">
        <v>1.2</v>
      </c>
      <c r="Q46" s="1465">
        <f>J46/MAX(('Primary Sources'!$E$53*0.95+'Existing Management Practices'!$C$32*'Primary Sources'!$F$53)*$C$3,0.001)/3630</f>
        <v>0</v>
      </c>
      <c r="R46" s="1462">
        <v>0.9</v>
      </c>
      <c r="S46" s="1466">
        <f>IF(E46=$B$58,C46*(0.95*D46+(1-D46)*VLOOKUP(G46,'Primary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46" s="1467">
        <f t="shared" si="11"/>
        <v>0</v>
      </c>
      <c r="U46" s="1468">
        <f t="shared" si="12"/>
        <v>0</v>
      </c>
      <c r="V46" s="1468">
        <f t="shared" si="13"/>
        <v>0</v>
      </c>
      <c r="W46" s="1468">
        <f t="shared" si="14"/>
        <v>0</v>
      </c>
      <c r="X46" s="1469">
        <f t="shared" si="15"/>
        <v>0</v>
      </c>
      <c r="Y46" s="1068">
        <f>IF($F46=$B$86,"Enter Value",$S46*(SUM('Primary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Worksheet'!$D46))*($T46+(1-$T46)*U46))</f>
        <v>0</v>
      </c>
      <c r="Z46" s="1063">
        <f>IF($F46=$B$86,"Enter Value",$S46*(SUM('Primary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Worksheet'!$D46))*($T46+(1-$T46)*V46))</f>
        <v>0</v>
      </c>
      <c r="AA46" s="1063">
        <f>IF($F46=$B$86,"Enter Value",$S46*SUM('Primary Sources'!R$11:R$35)*($T46+(1-$T46)*W46))</f>
        <v>0</v>
      </c>
      <c r="AB46" s="1063">
        <f>IF($F46=$B$86,"Enter Value",$S46*SUM('Primary Sources'!S$11:S$35)*($T46+(1-$T46)*X46))</f>
        <v>0</v>
      </c>
      <c r="AC46" s="1063">
        <f>IF($F46=$B$86,"Enter Value",$S46*(SUM('Primary Sources'!U$11:U$35)-'Existing Management Practices'!G$176)*$T46)</f>
        <v>0</v>
      </c>
      <c r="AD46" s="1063">
        <f>$AC46*SUM('Primary Sources'!P$11:P$35)/MAX(SUM('Primary Sources'!$U$11:$U$35),0.001)*(1-U46)*(1-VLOOKUP($H46,$B$91:$E$93,2,FALSE)*(1-IF($G46="A Soils",0.5,0)))*(1-VLOOKUP($F46,$B$64:$K$88,10,FALSE))</f>
        <v>0</v>
      </c>
      <c r="AE46" s="1063">
        <f>$AC46*SUM('Primary Sources'!Q$11:Q$35)/MAX(SUM('Primary Sources'!$U$11:$U$35),0.001)*(1-V46)*(1-VLOOKUP($H46,$B$91:$E$93,3,FALSE)*(1-IF($G46="A Soils",0.5,0)))*(1-VLOOKUP($F46,$B$64:$K$88,10,FALSE))</f>
        <v>0</v>
      </c>
      <c r="AF46" s="1064">
        <f>$AC46*SUM('Primary Sources'!S$11:S$35)/MAX(SUM('Primary Sources'!$U$11:$U$35),0.001)*(1-X46)*(1-VLOOKUP($H46,$B$91:$E$93,4,FALSE)*(1-IF($G46="A Soils",0.5,0)))*(1-VLOOKUP($F46,$B$64:$K$88,10,FALSE))</f>
        <v>0</v>
      </c>
      <c r="AG46" s="627">
        <f>$Q46*(SUM('Primary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Worksheet'!$D46))*$R46*$P46*($O46+(1-$O46)*K46)-Y46</f>
        <v>0</v>
      </c>
      <c r="AH46" s="628">
        <f>$Q46*(SUM('Primary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Worksheet'!$D46))*$R46*$P46*($O46+(1-$O46)*L46)-Z46</f>
        <v>0</v>
      </c>
      <c r="AI46" s="628">
        <f>$Q46*SUM('Primary Sources'!R$10:R$35)*$R46*$P46*($O46+(1-$O46)*M46)-AA46</f>
        <v>0</v>
      </c>
      <c r="AJ46" s="628">
        <f>$Q46*SUM('Primary Sources'!S$10:S$35)*$R46*$P46*($O46+(1-$O46)*N46)-AB46</f>
        <v>0</v>
      </c>
      <c r="AK46" s="628">
        <f>$Q46*(SUM('Primary Sources'!U$10:U$35)-('Existing Management Practices'!G$176)*SUM('Primary Sources'!$D$10:$D$35)/MAX(('Primary Sources'!$F$53+'Future Management Practices'!$C$20-'Existing Management Practices'!$C$6),0.01)*(1-'Retrofit Worksheet'!$D46))*$R46*$P46*$O46-AC46</f>
        <v>0</v>
      </c>
      <c r="AL46" s="628">
        <f>$AK46*(SUM('Primary Sources'!P$11:P$35)-'Existing Management Practices'!C$176-'Future Management Practices'!C$388)/MAX(SUM('Primary Sources'!$U$11:$U$35)-'Existing Management Practices'!$G$176,0.001)*(1-K46)*(1-VLOOKUP($H46,$B$91:$E$93,2,FALSE)*(1-IF($G46="A Soils",0.5,0)))*(1-VLOOKUP($B46,$B$64:$K$88,10,FALSE))-AD46</f>
        <v>0</v>
      </c>
      <c r="AM46" s="628">
        <f>$AK46*(SUM('Primary Sources'!Q$11:Q$35)-'Existing Management Practices'!D$176-'Future Management Practices'!D$388)/MAX(SUM('Primary Sources'!$U$11:$U$35)-'Existing Management Practices'!$G$176,0.001)*(1-L46)*(1-VLOOKUP($H46,$B$91:$E$93,3,FALSE)*(1-IF($G46="A Soils",0.5,0)))*(1-VLOOKUP($B46,$B$64:$K$88,10,FALSE))-AE46</f>
        <v>0</v>
      </c>
      <c r="AN46" s="629">
        <f>$AK46*(SUM('Primary Sources'!S$11:S$35)-'Existing Management Practices'!F$176-'Future Management Practices'!F$388)/MAX(SUM('Primary Sources'!$U$11:$U$35)-'Existing Management Practices'!$G$176,0.001)*(1-N46)*(1-VLOOKUP($H46,$B$91:$E$93,4,FALSE)*(1-IF($G46="A Soils",0.5,0)))*(1-VLOOKUP($B46,$B$64:$K$88,10,FALSE))-AF46</f>
        <v>0</v>
      </c>
      <c r="AO46" s="604"/>
      <c r="AP46" s="1672">
        <f t="shared" si="4"/>
        <v>0</v>
      </c>
      <c r="AQ46" s="1672">
        <f t="shared" si="4"/>
        <v>0</v>
      </c>
      <c r="AR46" s="1672">
        <f t="shared" si="16"/>
        <v>0</v>
      </c>
      <c r="AS46" s="1672">
        <f t="shared" si="17"/>
        <v>0</v>
      </c>
      <c r="AT46" s="1672">
        <f t="shared" si="18"/>
        <v>0</v>
      </c>
      <c r="AU46" s="1672">
        <f t="shared" si="19"/>
        <v>0</v>
      </c>
      <c r="AV46" s="1672">
        <f t="shared" si="20"/>
        <v>0</v>
      </c>
      <c r="AW46" s="1672">
        <f t="shared" si="21"/>
        <v>0</v>
      </c>
      <c r="AX46" s="1672">
        <f t="shared" si="22"/>
        <v>0</v>
      </c>
      <c r="AY46" s="1672">
        <f t="shared" si="23"/>
        <v>0</v>
      </c>
      <c r="AZ46" s="1670">
        <f t="shared" si="29"/>
        <v>0</v>
      </c>
      <c r="BA46" s="1679">
        <f t="shared" si="30"/>
        <v>0</v>
      </c>
      <c r="BB46" s="1657"/>
      <c r="BC46" s="1657"/>
      <c r="BD46" s="1670"/>
      <c r="BE46" s="1671"/>
      <c r="BF46" s="1670"/>
      <c r="BG46" s="1671"/>
      <c r="BH46" s="1670"/>
      <c r="BI46" s="1684"/>
      <c r="BJ46" s="1670"/>
      <c r="BK46" s="1671"/>
      <c r="BL46" s="1684"/>
      <c r="BM46" s="1684"/>
      <c r="BN46" s="1670"/>
      <c r="BO46" s="1671"/>
    </row>
    <row r="47" spans="2:67" ht="12.5" x14ac:dyDescent="0.25">
      <c r="B47" s="1251" t="s">
        <v>487</v>
      </c>
      <c r="C47" s="1252"/>
      <c r="D47" s="1253"/>
      <c r="E47" s="1253" t="s">
        <v>485</v>
      </c>
      <c r="F47" s="626" t="str">
        <f t="shared" si="28"/>
        <v>N/A</v>
      </c>
      <c r="G47" s="1249" t="s">
        <v>61</v>
      </c>
      <c r="H47" s="1250" t="s">
        <v>66</v>
      </c>
      <c r="I47" s="1461">
        <f>C47*C$3*(D47*0.95+'Existing Management Practices'!$C$32/SUMPRODUCT('Primary Sources'!$C$70:$C$73,'Primary Sources'!$E$70:$E$73)*(1-D47)*VLOOKUP(G47,'Primary Sources'!B$70:E$73,4,FALSE))*3630</f>
        <v>0</v>
      </c>
      <c r="J47" s="1470">
        <f t="shared" si="5"/>
        <v>0</v>
      </c>
      <c r="K47" s="1462">
        <f t="shared" si="6"/>
        <v>0</v>
      </c>
      <c r="L47" s="1462">
        <f t="shared" si="7"/>
        <v>0</v>
      </c>
      <c r="M47" s="1462">
        <f t="shared" si="8"/>
        <v>0</v>
      </c>
      <c r="N47" s="1462">
        <f t="shared" si="9"/>
        <v>0</v>
      </c>
      <c r="O47" s="1463">
        <f t="shared" si="10"/>
        <v>0</v>
      </c>
      <c r="P47" s="1464">
        <v>1.2</v>
      </c>
      <c r="Q47" s="1465">
        <f>J47/MAX(('Primary Sources'!$E$53*0.95+'Existing Management Practices'!$C$32*'Primary Sources'!$F$53)*$C$3,0.001)/3630</f>
        <v>0</v>
      </c>
      <c r="R47" s="1462">
        <v>0.9</v>
      </c>
      <c r="S47" s="1466">
        <f>IF(E47=$B$58,C47*(0.95*D47+(1-D47)*VLOOKUP(G47,'Primary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47" s="1467">
        <f t="shared" si="11"/>
        <v>0</v>
      </c>
      <c r="U47" s="1468">
        <f t="shared" si="12"/>
        <v>0</v>
      </c>
      <c r="V47" s="1468">
        <f t="shared" si="13"/>
        <v>0</v>
      </c>
      <c r="W47" s="1468">
        <f t="shared" si="14"/>
        <v>0</v>
      </c>
      <c r="X47" s="1469">
        <f t="shared" si="15"/>
        <v>0</v>
      </c>
      <c r="Y47" s="1068">
        <f>IF($F47=$B$86,"Enter Value",$S47*(SUM('Primary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Worksheet'!$D47))*($T47+(1-$T47)*U47))</f>
        <v>0</v>
      </c>
      <c r="Z47" s="1063">
        <f>IF($F47=$B$86,"Enter Value",$S47*(SUM('Primary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Worksheet'!$D47))*($T47+(1-$T47)*V47))</f>
        <v>0</v>
      </c>
      <c r="AA47" s="1063">
        <f>IF($F47=$B$86,"Enter Value",$S47*SUM('Primary Sources'!R$11:R$35)*($T47+(1-$T47)*W47))</f>
        <v>0</v>
      </c>
      <c r="AB47" s="1063">
        <f>IF($F47=$B$86,"Enter Value",$S47*SUM('Primary Sources'!S$11:S$35)*($T47+(1-$T47)*X47))</f>
        <v>0</v>
      </c>
      <c r="AC47" s="1063">
        <f>IF($F47=$B$86,"Enter Value",$S47*(SUM('Primary Sources'!U$11:U$35)-'Existing Management Practices'!G$176)*$T47)</f>
        <v>0</v>
      </c>
      <c r="AD47" s="1063">
        <f>$AC47*SUM('Primary Sources'!P$11:P$35)/MAX(SUM('Primary Sources'!$U$11:$U$35),0.001)*(1-U47)*(1-VLOOKUP($H47,$B$91:$E$93,2,FALSE)*(1-IF($G47="A Soils",0.5,0)))*(1-VLOOKUP($F47,$B$64:$K$88,10,FALSE))</f>
        <v>0</v>
      </c>
      <c r="AE47" s="1063">
        <f>$AC47*SUM('Primary Sources'!Q$11:Q$35)/MAX(SUM('Primary Sources'!$U$11:$U$35),0.001)*(1-V47)*(1-VLOOKUP($H47,$B$91:$E$93,3,FALSE)*(1-IF($G47="A Soils",0.5,0)))*(1-VLOOKUP($F47,$B$64:$K$88,10,FALSE))</f>
        <v>0</v>
      </c>
      <c r="AF47" s="1064">
        <f>$AC47*SUM('Primary Sources'!S$11:S$35)/MAX(SUM('Primary Sources'!$U$11:$U$35),0.001)*(1-X47)*(1-VLOOKUP($H47,$B$91:$E$93,4,FALSE)*(1-IF($G47="A Soils",0.5,0)))*(1-VLOOKUP($F47,$B$64:$K$88,10,FALSE))</f>
        <v>0</v>
      </c>
      <c r="AG47" s="627">
        <f>$Q47*(SUM('Primary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Worksheet'!$D47))*$R47*$P47*($O47+(1-$O47)*K47)-Y47</f>
        <v>0</v>
      </c>
      <c r="AH47" s="628">
        <f>$Q47*(SUM('Primary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Worksheet'!$D47))*$R47*$P47*($O47+(1-$O47)*L47)-Z47</f>
        <v>0</v>
      </c>
      <c r="AI47" s="628">
        <f>$Q47*SUM('Primary Sources'!R$10:R$35)*$R47*$P47*($O47+(1-$O47)*M47)-AA47</f>
        <v>0</v>
      </c>
      <c r="AJ47" s="628">
        <f>$Q47*SUM('Primary Sources'!S$10:S$35)*$R47*$P47*($O47+(1-$O47)*N47)-AB47</f>
        <v>0</v>
      </c>
      <c r="AK47" s="628">
        <f>$Q47*(SUM('Primary Sources'!U$10:U$35)-('Existing Management Practices'!G$176)*SUM('Primary Sources'!$D$10:$D$35)/MAX(('Primary Sources'!$F$53+'Future Management Practices'!$C$20-'Existing Management Practices'!$C$6),0.01)*(1-'Retrofit Worksheet'!$D47))*$R47*$P47*$O47-AC47</f>
        <v>0</v>
      </c>
      <c r="AL47" s="628">
        <f>$AK47*(SUM('Primary Sources'!P$11:P$35)-'Existing Management Practices'!C$176-'Future Management Practices'!C$388)/MAX(SUM('Primary Sources'!$U$11:$U$35)-'Existing Management Practices'!$G$176,0.001)*(1-K47)*(1-VLOOKUP($H47,$B$91:$E$93,2,FALSE)*(1-IF($G47="A Soils",0.5,0)))*(1-VLOOKUP($B47,$B$64:$K$88,10,FALSE))-AD47</f>
        <v>0</v>
      </c>
      <c r="AM47" s="628">
        <f>$AK47*(SUM('Primary Sources'!Q$11:Q$35)-'Existing Management Practices'!D$176-'Future Management Practices'!D$388)/MAX(SUM('Primary Sources'!$U$11:$U$35)-'Existing Management Practices'!$G$176,0.001)*(1-L47)*(1-VLOOKUP($H47,$B$91:$E$93,3,FALSE)*(1-IF($G47="A Soils",0.5,0)))*(1-VLOOKUP($B47,$B$64:$K$88,10,FALSE))-AE47</f>
        <v>0</v>
      </c>
      <c r="AN47" s="629">
        <f>$AK47*(SUM('Primary Sources'!S$11:S$35)-'Existing Management Practices'!F$176-'Future Management Practices'!F$388)/MAX(SUM('Primary Sources'!$U$11:$U$35)-'Existing Management Practices'!$G$176,0.001)*(1-N47)*(1-VLOOKUP($H47,$B$91:$E$93,4,FALSE)*(1-IF($G47="A Soils",0.5,0)))*(1-VLOOKUP($B47,$B$64:$K$88,10,FALSE))-AF47</f>
        <v>0</v>
      </c>
      <c r="AO47" s="604"/>
      <c r="AP47" s="1672">
        <f t="shared" si="4"/>
        <v>0</v>
      </c>
      <c r="AQ47" s="1672">
        <f t="shared" si="4"/>
        <v>0</v>
      </c>
      <c r="AR47" s="1672">
        <f t="shared" si="16"/>
        <v>0</v>
      </c>
      <c r="AS47" s="1672">
        <f t="shared" si="17"/>
        <v>0</v>
      </c>
      <c r="AT47" s="1672">
        <f t="shared" si="18"/>
        <v>0</v>
      </c>
      <c r="AU47" s="1672">
        <f t="shared" si="19"/>
        <v>0</v>
      </c>
      <c r="AV47" s="1672">
        <f t="shared" si="20"/>
        <v>0</v>
      </c>
      <c r="AW47" s="1672">
        <f t="shared" si="21"/>
        <v>0</v>
      </c>
      <c r="AX47" s="1672">
        <f t="shared" si="22"/>
        <v>0</v>
      </c>
      <c r="AY47" s="1672">
        <f t="shared" si="23"/>
        <v>0</v>
      </c>
      <c r="AZ47" s="1670">
        <f t="shared" si="29"/>
        <v>0</v>
      </c>
      <c r="BA47" s="1679">
        <f t="shared" si="30"/>
        <v>0</v>
      </c>
      <c r="BB47" s="1657"/>
      <c r="BC47" s="1657"/>
      <c r="BD47" s="1670"/>
      <c r="BE47" s="1671"/>
      <c r="BF47" s="1670"/>
      <c r="BG47" s="1671"/>
      <c r="BH47" s="1670"/>
      <c r="BI47" s="1684"/>
      <c r="BJ47" s="1670"/>
      <c r="BK47" s="1671"/>
      <c r="BL47" s="1684"/>
      <c r="BM47" s="1684"/>
      <c r="BN47" s="1670"/>
      <c r="BO47" s="1671"/>
    </row>
    <row r="48" spans="2:67" ht="12.5" x14ac:dyDescent="0.25">
      <c r="B48" s="1251" t="s">
        <v>487</v>
      </c>
      <c r="C48" s="1252"/>
      <c r="D48" s="1253"/>
      <c r="E48" s="1253" t="s">
        <v>485</v>
      </c>
      <c r="F48" s="626" t="str">
        <f t="shared" si="28"/>
        <v>N/A</v>
      </c>
      <c r="G48" s="1249" t="s">
        <v>61</v>
      </c>
      <c r="H48" s="1250" t="s">
        <v>66</v>
      </c>
      <c r="I48" s="1461">
        <f>C48*C$3*(D48*0.95+'Existing Management Practices'!$C$32/SUMPRODUCT('Primary Sources'!$C$70:$C$73,'Primary Sources'!$E$70:$E$73)*(1-D48)*VLOOKUP(G48,'Primary Sources'!B$70:E$73,4,FALSE))*3630</f>
        <v>0</v>
      </c>
      <c r="J48" s="1470">
        <f t="shared" si="5"/>
        <v>0</v>
      </c>
      <c r="K48" s="1462">
        <f t="shared" si="6"/>
        <v>0</v>
      </c>
      <c r="L48" s="1462">
        <f t="shared" si="7"/>
        <v>0</v>
      </c>
      <c r="M48" s="1462">
        <f t="shared" si="8"/>
        <v>0</v>
      </c>
      <c r="N48" s="1462">
        <f t="shared" si="9"/>
        <v>0</v>
      </c>
      <c r="O48" s="1463">
        <f t="shared" si="10"/>
        <v>0</v>
      </c>
      <c r="P48" s="1464">
        <v>1.2</v>
      </c>
      <c r="Q48" s="1465">
        <f>J48/MAX(('Primary Sources'!$E$53*0.95+'Existing Management Practices'!$C$32*'Primary Sources'!$F$53)*$C$3,0.001)/3630</f>
        <v>0</v>
      </c>
      <c r="R48" s="1462">
        <v>0.9</v>
      </c>
      <c r="S48" s="1466">
        <f>IF(E48=$B$58,C48*(0.95*D48+(1-D48)*VLOOKUP(G48,'Primary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48" s="1467">
        <f t="shared" si="11"/>
        <v>0</v>
      </c>
      <c r="U48" s="1468">
        <f t="shared" si="12"/>
        <v>0</v>
      </c>
      <c r="V48" s="1468">
        <f t="shared" si="13"/>
        <v>0</v>
      </c>
      <c r="W48" s="1468">
        <f t="shared" si="14"/>
        <v>0</v>
      </c>
      <c r="X48" s="1469">
        <f t="shared" si="15"/>
        <v>0</v>
      </c>
      <c r="Y48" s="1068">
        <f>IF($F48=$B$86,"Enter Value",$S48*(SUM('Primary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Worksheet'!$D48))*($T48+(1-$T48)*U48))</f>
        <v>0</v>
      </c>
      <c r="Z48" s="1063">
        <f>IF($F48=$B$86,"Enter Value",$S48*(SUM('Primary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Worksheet'!$D48))*($T48+(1-$T48)*V48))</f>
        <v>0</v>
      </c>
      <c r="AA48" s="1063">
        <f>IF($F48=$B$86,"Enter Value",$S48*SUM('Primary Sources'!R$11:R$35)*($T48+(1-$T48)*W48))</f>
        <v>0</v>
      </c>
      <c r="AB48" s="1063">
        <f>IF($F48=$B$86,"Enter Value",$S48*SUM('Primary Sources'!S$11:S$35)*($T48+(1-$T48)*X48))</f>
        <v>0</v>
      </c>
      <c r="AC48" s="1063">
        <f>IF($F48=$B$86,"Enter Value",$S48*(SUM('Primary Sources'!U$11:U$35)-'Existing Management Practices'!G$176)*$T48)</f>
        <v>0</v>
      </c>
      <c r="AD48" s="1063">
        <f>$AC48*SUM('Primary Sources'!P$11:P$35)/MAX(SUM('Primary Sources'!$U$11:$U$35),0.001)*(1-U48)*(1-VLOOKUP($H48,$B$91:$E$93,2,FALSE)*(1-IF($G48="A Soils",0.5,0)))*(1-VLOOKUP($F48,$B$64:$K$88,10,FALSE))</f>
        <v>0</v>
      </c>
      <c r="AE48" s="1063">
        <f>$AC48*SUM('Primary Sources'!Q$11:Q$35)/MAX(SUM('Primary Sources'!$U$11:$U$35),0.001)*(1-V48)*(1-VLOOKUP($H48,$B$91:$E$93,3,FALSE)*(1-IF($G48="A Soils",0.5,0)))*(1-VLOOKUP($F48,$B$64:$K$88,10,FALSE))</f>
        <v>0</v>
      </c>
      <c r="AF48" s="1064">
        <f>$AC48*SUM('Primary Sources'!S$11:S$35)/MAX(SUM('Primary Sources'!$U$11:$U$35),0.001)*(1-X48)*(1-VLOOKUP($H48,$B$91:$E$93,4,FALSE)*(1-IF($G48="A Soils",0.5,0)))*(1-VLOOKUP($F48,$B$64:$K$88,10,FALSE))</f>
        <v>0</v>
      </c>
      <c r="AG48" s="627">
        <f>$Q48*(SUM('Primary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Worksheet'!$D48))*$R48*$P48*($O48+(1-$O48)*K48)-Y48</f>
        <v>0</v>
      </c>
      <c r="AH48" s="628">
        <f>$Q48*(SUM('Primary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Worksheet'!$D48))*$R48*$P48*($O48+(1-$O48)*L48)-Z48</f>
        <v>0</v>
      </c>
      <c r="AI48" s="628">
        <f>$Q48*SUM('Primary Sources'!R$10:R$35)*$R48*$P48*($O48+(1-$O48)*M48)-AA48</f>
        <v>0</v>
      </c>
      <c r="AJ48" s="628">
        <f>$Q48*SUM('Primary Sources'!S$10:S$35)*$R48*$P48*($O48+(1-$O48)*N48)-AB48</f>
        <v>0</v>
      </c>
      <c r="AK48" s="628">
        <f>$Q48*(SUM('Primary Sources'!U$10:U$35)-('Existing Management Practices'!G$176)*SUM('Primary Sources'!$D$10:$D$35)/MAX(('Primary Sources'!$F$53+'Future Management Practices'!$C$20-'Existing Management Practices'!$C$6),0.01)*(1-'Retrofit Worksheet'!$D48))*$R48*$P48*$O48-AC48</f>
        <v>0</v>
      </c>
      <c r="AL48" s="628">
        <f>$AK48*(SUM('Primary Sources'!P$11:P$35)-'Existing Management Practices'!C$176-'Future Management Practices'!C$388)/MAX(SUM('Primary Sources'!$U$11:$U$35)-'Existing Management Practices'!$G$176,0.001)*(1-K48)*(1-VLOOKUP($H48,$B$91:$E$93,2,FALSE)*(1-IF($G48="A Soils",0.5,0)))*(1-VLOOKUP($B48,$B$64:$K$88,10,FALSE))-AD48</f>
        <v>0</v>
      </c>
      <c r="AM48" s="628">
        <f>$AK48*(SUM('Primary Sources'!Q$11:Q$35)-'Existing Management Practices'!D$176-'Future Management Practices'!D$388)/MAX(SUM('Primary Sources'!$U$11:$U$35)-'Existing Management Practices'!$G$176,0.001)*(1-L48)*(1-VLOOKUP($H48,$B$91:$E$93,3,FALSE)*(1-IF($G48="A Soils",0.5,0)))*(1-VLOOKUP($B48,$B$64:$K$88,10,FALSE))-AE48</f>
        <v>0</v>
      </c>
      <c r="AN48" s="629">
        <f>$AK48*(SUM('Primary Sources'!S$11:S$35)-'Existing Management Practices'!F$176-'Future Management Practices'!F$388)/MAX(SUM('Primary Sources'!$U$11:$U$35)-'Existing Management Practices'!$G$176,0.001)*(1-N48)*(1-VLOOKUP($H48,$B$91:$E$93,4,FALSE)*(1-IF($G48="A Soils",0.5,0)))*(1-VLOOKUP($B48,$B$64:$K$88,10,FALSE))-AF48</f>
        <v>0</v>
      </c>
      <c r="AO48" s="604"/>
      <c r="AP48" s="1672">
        <f t="shared" si="4"/>
        <v>0</v>
      </c>
      <c r="AQ48" s="1672">
        <f t="shared" si="4"/>
        <v>0</v>
      </c>
      <c r="AR48" s="1672">
        <f t="shared" si="16"/>
        <v>0</v>
      </c>
      <c r="AS48" s="1672">
        <f t="shared" si="17"/>
        <v>0</v>
      </c>
      <c r="AT48" s="1672">
        <f t="shared" si="18"/>
        <v>0</v>
      </c>
      <c r="AU48" s="1672">
        <f t="shared" si="19"/>
        <v>0</v>
      </c>
      <c r="AV48" s="1672">
        <f t="shared" si="20"/>
        <v>0</v>
      </c>
      <c r="AW48" s="1672">
        <f t="shared" si="21"/>
        <v>0</v>
      </c>
      <c r="AX48" s="1672">
        <f t="shared" si="22"/>
        <v>0</v>
      </c>
      <c r="AY48" s="1672">
        <f t="shared" si="23"/>
        <v>0</v>
      </c>
      <c r="AZ48" s="1670">
        <f t="shared" si="29"/>
        <v>0</v>
      </c>
      <c r="BA48" s="1679">
        <f t="shared" si="30"/>
        <v>0</v>
      </c>
      <c r="BB48" s="1657"/>
      <c r="BC48" s="1657"/>
      <c r="BD48" s="1670"/>
      <c r="BE48" s="1671"/>
      <c r="BF48" s="1670"/>
      <c r="BG48" s="1671"/>
      <c r="BH48" s="1670"/>
      <c r="BI48" s="1684"/>
      <c r="BJ48" s="1670"/>
      <c r="BK48" s="1671"/>
      <c r="BL48" s="1684"/>
      <c r="BM48" s="1684"/>
      <c r="BN48" s="1670"/>
      <c r="BO48" s="1671"/>
    </row>
    <row r="49" spans="2:67" ht="12.5" x14ac:dyDescent="0.25">
      <c r="B49" s="1251" t="s">
        <v>487</v>
      </c>
      <c r="C49" s="1252"/>
      <c r="D49" s="1253"/>
      <c r="E49" s="1253" t="s">
        <v>485</v>
      </c>
      <c r="F49" s="626" t="str">
        <f t="shared" si="28"/>
        <v>N/A</v>
      </c>
      <c r="G49" s="1249" t="s">
        <v>61</v>
      </c>
      <c r="H49" s="1250" t="s">
        <v>66</v>
      </c>
      <c r="I49" s="1461">
        <f>C49*C$3*(D49*0.95+'Existing Management Practices'!$C$32/SUMPRODUCT('Primary Sources'!$C$70:$C$73,'Primary Sources'!$E$70:$E$73)*(1-D49)*VLOOKUP(G49,'Primary Sources'!B$70:E$73,4,FALSE))*3630</f>
        <v>0</v>
      </c>
      <c r="J49" s="1470">
        <f t="shared" si="5"/>
        <v>0</v>
      </c>
      <c r="K49" s="1462">
        <f t="shared" si="6"/>
        <v>0</v>
      </c>
      <c r="L49" s="1462">
        <f t="shared" si="7"/>
        <v>0</v>
      </c>
      <c r="M49" s="1462">
        <f t="shared" si="8"/>
        <v>0</v>
      </c>
      <c r="N49" s="1462">
        <f t="shared" si="9"/>
        <v>0</v>
      </c>
      <c r="O49" s="1463">
        <f t="shared" si="10"/>
        <v>0</v>
      </c>
      <c r="P49" s="1464">
        <v>1.2</v>
      </c>
      <c r="Q49" s="1465">
        <f>J49/MAX(('Primary Sources'!$E$53*0.95+'Existing Management Practices'!$C$32*'Primary Sources'!$F$53)*$C$3,0.001)/3630</f>
        <v>0</v>
      </c>
      <c r="R49" s="1462">
        <v>0.9</v>
      </c>
      <c r="S49" s="1466">
        <f>IF(E49=$B$58,C49*(0.95*D49+(1-D49)*VLOOKUP(G49,'Primary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49" s="1467">
        <f t="shared" si="11"/>
        <v>0</v>
      </c>
      <c r="U49" s="1468">
        <f t="shared" si="12"/>
        <v>0</v>
      </c>
      <c r="V49" s="1468">
        <f t="shared" si="13"/>
        <v>0</v>
      </c>
      <c r="W49" s="1468">
        <f t="shared" si="14"/>
        <v>0</v>
      </c>
      <c r="X49" s="1469">
        <f t="shared" si="15"/>
        <v>0</v>
      </c>
      <c r="Y49" s="1068">
        <f>IF($F49=$B$86,"Enter Value",$S49*(SUM('Primary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Worksheet'!$D49))*($T49+(1-$T49)*U49))</f>
        <v>0</v>
      </c>
      <c r="Z49" s="1063">
        <f>IF($F49=$B$86,"Enter Value",$S49*(SUM('Primary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Worksheet'!$D49))*($T49+(1-$T49)*V49))</f>
        <v>0</v>
      </c>
      <c r="AA49" s="1063">
        <f>IF($F49=$B$86,"Enter Value",$S49*SUM('Primary Sources'!R$11:R$35)*($T49+(1-$T49)*W49))</f>
        <v>0</v>
      </c>
      <c r="AB49" s="1063">
        <f>IF($F49=$B$86,"Enter Value",$S49*SUM('Primary Sources'!S$11:S$35)*($T49+(1-$T49)*X49))</f>
        <v>0</v>
      </c>
      <c r="AC49" s="1063">
        <f>IF($F49=$B$86,"Enter Value",$S49*(SUM('Primary Sources'!U$11:U$35)-'Existing Management Practices'!G$176)*$T49)</f>
        <v>0</v>
      </c>
      <c r="AD49" s="1063">
        <f>$AC49*SUM('Primary Sources'!P$11:P$35)/MAX(SUM('Primary Sources'!$U$11:$U$35),0.001)*(1-U49)*(1-VLOOKUP($H49,$B$91:$E$93,2,FALSE)*(1-IF($G49="A Soils",0.5,0)))*(1-VLOOKUP($F49,$B$64:$K$88,10,FALSE))</f>
        <v>0</v>
      </c>
      <c r="AE49" s="1063">
        <f>$AC49*SUM('Primary Sources'!Q$11:Q$35)/MAX(SUM('Primary Sources'!$U$11:$U$35),0.001)*(1-V49)*(1-VLOOKUP($H49,$B$91:$E$93,3,FALSE)*(1-IF($G49="A Soils",0.5,0)))*(1-VLOOKUP($F49,$B$64:$K$88,10,FALSE))</f>
        <v>0</v>
      </c>
      <c r="AF49" s="1064">
        <f>$AC49*SUM('Primary Sources'!S$11:S$35)/MAX(SUM('Primary Sources'!$U$11:$U$35),0.001)*(1-X49)*(1-VLOOKUP($H49,$B$91:$E$93,4,FALSE)*(1-IF($G49="A Soils",0.5,0)))*(1-VLOOKUP($F49,$B$64:$K$88,10,FALSE))</f>
        <v>0</v>
      </c>
      <c r="AG49" s="627">
        <f>$Q49*(SUM('Primary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Worksheet'!$D49))*$R49*$P49*($O49+(1-$O49)*K49)-Y49</f>
        <v>0</v>
      </c>
      <c r="AH49" s="628">
        <f>$Q49*(SUM('Primary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Worksheet'!$D49))*$R49*$P49*($O49+(1-$O49)*L49)-Z49</f>
        <v>0</v>
      </c>
      <c r="AI49" s="628">
        <f>$Q49*SUM('Primary Sources'!R$10:R$35)*$R49*$P49*($O49+(1-$O49)*M49)-AA49</f>
        <v>0</v>
      </c>
      <c r="AJ49" s="628">
        <f>$Q49*SUM('Primary Sources'!S$10:S$35)*$R49*$P49*($O49+(1-$O49)*N49)-AB49</f>
        <v>0</v>
      </c>
      <c r="AK49" s="628">
        <f>$Q49*(SUM('Primary Sources'!U$10:U$35)-('Existing Management Practices'!G$176)*SUM('Primary Sources'!$D$10:$D$35)/MAX(('Primary Sources'!$F$53+'Future Management Practices'!$C$20-'Existing Management Practices'!$C$6),0.01)*(1-'Retrofit Worksheet'!$D49))*$R49*$P49*$O49-AC49</f>
        <v>0</v>
      </c>
      <c r="AL49" s="628">
        <f>$AK49*(SUM('Primary Sources'!P$11:P$35)-'Existing Management Practices'!C$176-'Future Management Practices'!C$388)/MAX(SUM('Primary Sources'!$U$11:$U$35)-'Existing Management Practices'!$G$176,0.001)*(1-K49)*(1-VLOOKUP($H49,$B$91:$E$93,2,FALSE)*(1-IF($G49="A Soils",0.5,0)))*(1-VLOOKUP($B49,$B$64:$K$88,10,FALSE))-AD49</f>
        <v>0</v>
      </c>
      <c r="AM49" s="628">
        <f>$AK49*(SUM('Primary Sources'!Q$11:Q$35)-'Existing Management Practices'!D$176-'Future Management Practices'!D$388)/MAX(SUM('Primary Sources'!$U$11:$U$35)-'Existing Management Practices'!$G$176,0.001)*(1-L49)*(1-VLOOKUP($H49,$B$91:$E$93,3,FALSE)*(1-IF($G49="A Soils",0.5,0)))*(1-VLOOKUP($B49,$B$64:$K$88,10,FALSE))-AE49</f>
        <v>0</v>
      </c>
      <c r="AN49" s="629">
        <f>$AK49*(SUM('Primary Sources'!S$11:S$35)-'Existing Management Practices'!F$176-'Future Management Practices'!F$388)/MAX(SUM('Primary Sources'!$U$11:$U$35)-'Existing Management Practices'!$G$176,0.001)*(1-N49)*(1-VLOOKUP($H49,$B$91:$E$93,4,FALSE)*(1-IF($G49="A Soils",0.5,0)))*(1-VLOOKUP($B49,$B$64:$K$88,10,FALSE))-AF49</f>
        <v>0</v>
      </c>
      <c r="AO49" s="604"/>
      <c r="AP49" s="1672">
        <f t="shared" si="4"/>
        <v>0</v>
      </c>
      <c r="AQ49" s="1672">
        <f t="shared" si="4"/>
        <v>0</v>
      </c>
      <c r="AR49" s="1672">
        <f t="shared" si="16"/>
        <v>0</v>
      </c>
      <c r="AS49" s="1672">
        <f t="shared" si="17"/>
        <v>0</v>
      </c>
      <c r="AT49" s="1672">
        <f t="shared" si="18"/>
        <v>0</v>
      </c>
      <c r="AU49" s="1672">
        <f t="shared" si="19"/>
        <v>0</v>
      </c>
      <c r="AV49" s="1672">
        <f t="shared" si="20"/>
        <v>0</v>
      </c>
      <c r="AW49" s="1672">
        <f t="shared" si="21"/>
        <v>0</v>
      </c>
      <c r="AX49" s="1672">
        <f t="shared" si="22"/>
        <v>0</v>
      </c>
      <c r="AY49" s="1672">
        <f t="shared" si="23"/>
        <v>0</v>
      </c>
      <c r="AZ49" s="1670">
        <f t="shared" ref="AZ49:AZ56" si="31">+AP49+AR49+AT49+AV49+AX49</f>
        <v>0</v>
      </c>
      <c r="BA49" s="1679">
        <f t="shared" ref="BA49:BA56" si="32">IFERROR((AQ49+AS49+AU49+AW49+AY49)/AZ49,0)</f>
        <v>0</v>
      </c>
      <c r="BB49" s="1657"/>
      <c r="BC49" s="1657"/>
      <c r="BD49" s="1670"/>
      <c r="BE49" s="1671"/>
      <c r="BF49" s="1670"/>
      <c r="BG49" s="1671"/>
      <c r="BH49" s="1670"/>
      <c r="BI49" s="1684"/>
      <c r="BJ49" s="1670"/>
      <c r="BK49" s="1671"/>
      <c r="BL49" s="1684"/>
      <c r="BM49" s="1684"/>
      <c r="BN49" s="1670"/>
      <c r="BO49" s="1671"/>
    </row>
    <row r="50" spans="2:67" ht="12.5" x14ac:dyDescent="0.25">
      <c r="B50" s="1251" t="s">
        <v>487</v>
      </c>
      <c r="C50" s="1252"/>
      <c r="D50" s="1253"/>
      <c r="E50" s="1253" t="s">
        <v>485</v>
      </c>
      <c r="F50" s="626" t="str">
        <f t="shared" si="28"/>
        <v>N/A</v>
      </c>
      <c r="G50" s="1249" t="s">
        <v>61</v>
      </c>
      <c r="H50" s="1250" t="s">
        <v>66</v>
      </c>
      <c r="I50" s="1461">
        <f>C50*C$3*(D50*0.95+'Existing Management Practices'!$C$32/SUMPRODUCT('Primary Sources'!$C$70:$C$73,'Primary Sources'!$E$70:$E$73)*(1-D50)*VLOOKUP(G50,'Primary Sources'!B$70:E$73,4,FALSE))*3630</f>
        <v>0</v>
      </c>
      <c r="J50" s="1470">
        <f t="shared" si="5"/>
        <v>0</v>
      </c>
      <c r="K50" s="1462">
        <f t="shared" si="6"/>
        <v>0</v>
      </c>
      <c r="L50" s="1462">
        <f t="shared" si="7"/>
        <v>0</v>
      </c>
      <c r="M50" s="1462">
        <f t="shared" si="8"/>
        <v>0</v>
      </c>
      <c r="N50" s="1462">
        <f t="shared" si="9"/>
        <v>0</v>
      </c>
      <c r="O50" s="1463">
        <f t="shared" si="10"/>
        <v>0</v>
      </c>
      <c r="P50" s="1464">
        <v>1.2</v>
      </c>
      <c r="Q50" s="1465">
        <f>J50/MAX(('Primary Sources'!$E$53*0.95+'Existing Management Practices'!$C$32*'Primary Sources'!$F$53)*$C$3,0.001)/3630</f>
        <v>0</v>
      </c>
      <c r="R50" s="1462">
        <v>0.9</v>
      </c>
      <c r="S50" s="1466">
        <f>IF(E50=$B$58,C50*(0.95*D50+(1-D50)*VLOOKUP(G50,'Primary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50" s="1467">
        <f t="shared" si="11"/>
        <v>0</v>
      </c>
      <c r="U50" s="1468">
        <f t="shared" si="12"/>
        <v>0</v>
      </c>
      <c r="V50" s="1468">
        <f t="shared" si="13"/>
        <v>0</v>
      </c>
      <c r="W50" s="1468">
        <f t="shared" si="14"/>
        <v>0</v>
      </c>
      <c r="X50" s="1469">
        <f t="shared" si="15"/>
        <v>0</v>
      </c>
      <c r="Y50" s="1068">
        <f>IF($F50=$B$86,"Enter Value",$S50*(SUM('Primary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Worksheet'!$D50))*($T50+(1-$T50)*U50))</f>
        <v>0</v>
      </c>
      <c r="Z50" s="1063">
        <f>IF($F50=$B$86,"Enter Value",$S50*(SUM('Primary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Worksheet'!$D50))*($T50+(1-$T50)*V50))</f>
        <v>0</v>
      </c>
      <c r="AA50" s="1063">
        <f>IF($F50=$B$86,"Enter Value",$S50*SUM('Primary Sources'!R$11:R$35)*($T50+(1-$T50)*W50))</f>
        <v>0</v>
      </c>
      <c r="AB50" s="1063">
        <f>IF($F50=$B$86,"Enter Value",$S50*SUM('Primary Sources'!S$11:S$35)*($T50+(1-$T50)*X50))</f>
        <v>0</v>
      </c>
      <c r="AC50" s="1063">
        <f>IF($F50=$B$86,"Enter Value",$S50*(SUM('Primary Sources'!U$11:U$35)-'Existing Management Practices'!G$176)*$T50)</f>
        <v>0</v>
      </c>
      <c r="AD50" s="1063">
        <f>$AC50*SUM('Primary Sources'!P$11:P$35)/MAX(SUM('Primary Sources'!$U$11:$U$35),0.001)*(1-U50)*(1-VLOOKUP($H50,$B$91:$E$93,2,FALSE)*(1-IF($G50="A Soils",0.5,0)))*(1-VLOOKUP($F50,$B$64:$K$88,10,FALSE))</f>
        <v>0</v>
      </c>
      <c r="AE50" s="1063">
        <f>$AC50*SUM('Primary Sources'!Q$11:Q$35)/MAX(SUM('Primary Sources'!$U$11:$U$35),0.001)*(1-V50)*(1-VLOOKUP($H50,$B$91:$E$93,3,FALSE)*(1-IF($G50="A Soils",0.5,0)))*(1-VLOOKUP($F50,$B$64:$K$88,10,FALSE))</f>
        <v>0</v>
      </c>
      <c r="AF50" s="1064">
        <f>$AC50*SUM('Primary Sources'!S$11:S$35)/MAX(SUM('Primary Sources'!$U$11:$U$35),0.001)*(1-X50)*(1-VLOOKUP($H50,$B$91:$E$93,4,FALSE)*(1-IF($G50="A Soils",0.5,0)))*(1-VLOOKUP($F50,$B$64:$K$88,10,FALSE))</f>
        <v>0</v>
      </c>
      <c r="AG50" s="627">
        <f>$Q50*(SUM('Primary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Worksheet'!$D50))*$R50*$P50*($O50+(1-$O50)*K50)-Y50</f>
        <v>0</v>
      </c>
      <c r="AH50" s="628">
        <f>$Q50*(SUM('Primary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Worksheet'!$D50))*$R50*$P50*($O50+(1-$O50)*L50)-Z50</f>
        <v>0</v>
      </c>
      <c r="AI50" s="628">
        <f>$Q50*SUM('Primary Sources'!R$10:R$35)*$R50*$P50*($O50+(1-$O50)*M50)-AA50</f>
        <v>0</v>
      </c>
      <c r="AJ50" s="628">
        <f>$Q50*SUM('Primary Sources'!S$10:S$35)*$R50*$P50*($O50+(1-$O50)*N50)-AB50</f>
        <v>0</v>
      </c>
      <c r="AK50" s="628">
        <f>$Q50*(SUM('Primary Sources'!U$10:U$35)-('Existing Management Practices'!G$176)*SUM('Primary Sources'!$D$10:$D$35)/MAX(('Primary Sources'!$F$53+'Future Management Practices'!$C$20-'Existing Management Practices'!$C$6),0.01)*(1-'Retrofit Worksheet'!$D50))*$R50*$P50*$O50-AC50</f>
        <v>0</v>
      </c>
      <c r="AL50" s="628">
        <f>$AK50*(SUM('Primary Sources'!P$11:P$35)-'Existing Management Practices'!C$176-'Future Management Practices'!C$388)/MAX(SUM('Primary Sources'!$U$11:$U$35)-'Existing Management Practices'!$G$176,0.001)*(1-K50)*(1-VLOOKUP($H50,$B$91:$E$93,2,FALSE)*(1-IF($G50="A Soils",0.5,0)))*(1-VLOOKUP($B50,$B$64:$K$88,10,FALSE))-AD50</f>
        <v>0</v>
      </c>
      <c r="AM50" s="628">
        <f>$AK50*(SUM('Primary Sources'!Q$11:Q$35)-'Existing Management Practices'!D$176-'Future Management Practices'!D$388)/MAX(SUM('Primary Sources'!$U$11:$U$35)-'Existing Management Practices'!$G$176,0.001)*(1-L50)*(1-VLOOKUP($H50,$B$91:$E$93,3,FALSE)*(1-IF($G50="A Soils",0.5,0)))*(1-VLOOKUP($B50,$B$64:$K$88,10,FALSE))-AE50</f>
        <v>0</v>
      </c>
      <c r="AN50" s="629">
        <f>$AK50*(SUM('Primary Sources'!S$11:S$35)-'Existing Management Practices'!F$176-'Future Management Practices'!F$388)/MAX(SUM('Primary Sources'!$U$11:$U$35)-'Existing Management Practices'!$G$176,0.001)*(1-N50)*(1-VLOOKUP($H50,$B$91:$E$93,4,FALSE)*(1-IF($G50="A Soils",0.5,0)))*(1-VLOOKUP($B50,$B$64:$K$88,10,FALSE))-AF50</f>
        <v>0</v>
      </c>
      <c r="AO50" s="604"/>
      <c r="AP50" s="1672">
        <f t="shared" si="4"/>
        <v>0</v>
      </c>
      <c r="AQ50" s="1672">
        <f t="shared" si="4"/>
        <v>0</v>
      </c>
      <c r="AR50" s="1672">
        <f t="shared" si="16"/>
        <v>0</v>
      </c>
      <c r="AS50" s="1672">
        <f t="shared" si="17"/>
        <v>0</v>
      </c>
      <c r="AT50" s="1672">
        <f t="shared" si="18"/>
        <v>0</v>
      </c>
      <c r="AU50" s="1672">
        <f t="shared" si="19"/>
        <v>0</v>
      </c>
      <c r="AV50" s="1672">
        <f t="shared" si="20"/>
        <v>0</v>
      </c>
      <c r="AW50" s="1672">
        <f t="shared" si="21"/>
        <v>0</v>
      </c>
      <c r="AX50" s="1672">
        <f t="shared" si="22"/>
        <v>0</v>
      </c>
      <c r="AY50" s="1672">
        <f t="shared" si="23"/>
        <v>0</v>
      </c>
      <c r="AZ50" s="1670">
        <f t="shared" si="31"/>
        <v>0</v>
      </c>
      <c r="BA50" s="1679">
        <f t="shared" si="32"/>
        <v>0</v>
      </c>
      <c r="BB50" s="1657"/>
      <c r="BC50" s="1657"/>
      <c r="BD50" s="1670"/>
      <c r="BE50" s="1671"/>
      <c r="BF50" s="1670"/>
      <c r="BG50" s="1671"/>
      <c r="BH50" s="1670"/>
      <c r="BI50" s="1684"/>
      <c r="BJ50" s="1670"/>
      <c r="BK50" s="1671"/>
      <c r="BL50" s="1684"/>
      <c r="BM50" s="1684"/>
      <c r="BN50" s="1670"/>
      <c r="BO50" s="1671"/>
    </row>
    <row r="51" spans="2:67" ht="12.5" x14ac:dyDescent="0.25">
      <c r="B51" s="1251" t="s">
        <v>487</v>
      </c>
      <c r="C51" s="1252"/>
      <c r="D51" s="1253"/>
      <c r="E51" s="1253" t="s">
        <v>485</v>
      </c>
      <c r="F51" s="626" t="str">
        <f t="shared" si="28"/>
        <v>N/A</v>
      </c>
      <c r="G51" s="1249" t="s">
        <v>61</v>
      </c>
      <c r="H51" s="1250" t="s">
        <v>66</v>
      </c>
      <c r="I51" s="1461">
        <f>C51*C$3*(D51*0.95+'Existing Management Practices'!$C$32/SUMPRODUCT('Primary Sources'!$C$70:$C$73,'Primary Sources'!$E$70:$E$73)*(1-D51)*VLOOKUP(G51,'Primary Sources'!B$70:E$73,4,FALSE))*3630</f>
        <v>0</v>
      </c>
      <c r="J51" s="1470">
        <f t="shared" si="5"/>
        <v>0</v>
      </c>
      <c r="K51" s="1462">
        <f t="shared" si="6"/>
        <v>0</v>
      </c>
      <c r="L51" s="1462">
        <f t="shared" si="7"/>
        <v>0</v>
      </c>
      <c r="M51" s="1462">
        <f t="shared" si="8"/>
        <v>0</v>
      </c>
      <c r="N51" s="1462">
        <f t="shared" si="9"/>
        <v>0</v>
      </c>
      <c r="O51" s="1463">
        <f t="shared" si="10"/>
        <v>0</v>
      </c>
      <c r="P51" s="1464">
        <v>1.2</v>
      </c>
      <c r="Q51" s="1465">
        <f>J51/MAX(('Primary Sources'!$E$53*0.95+'Existing Management Practices'!$C$32*'Primary Sources'!$F$53)*$C$3,0.001)/3630</f>
        <v>0</v>
      </c>
      <c r="R51" s="1462">
        <v>0.9</v>
      </c>
      <c r="S51" s="1466">
        <f>IF(E51=$B$58,C51*(0.95*D51+(1-D51)*VLOOKUP(G51,'Primary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51" s="1467">
        <f t="shared" si="11"/>
        <v>0</v>
      </c>
      <c r="U51" s="1468">
        <f t="shared" si="12"/>
        <v>0</v>
      </c>
      <c r="V51" s="1468">
        <f t="shared" si="13"/>
        <v>0</v>
      </c>
      <c r="W51" s="1468">
        <f t="shared" si="14"/>
        <v>0</v>
      </c>
      <c r="X51" s="1469">
        <f t="shared" si="15"/>
        <v>0</v>
      </c>
      <c r="Y51" s="1068">
        <f>IF($F51=$B$86,"Enter Value",$S51*(SUM('Primary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Worksheet'!$D51))*($T51+(1-$T51)*U51))</f>
        <v>0</v>
      </c>
      <c r="Z51" s="1063">
        <f>IF($F51=$B$86,"Enter Value",$S51*(SUM('Primary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Worksheet'!$D51))*($T51+(1-$T51)*V51))</f>
        <v>0</v>
      </c>
      <c r="AA51" s="1063">
        <f>IF($F51=$B$86,"Enter Value",$S51*SUM('Primary Sources'!R$11:R$35)*($T51+(1-$T51)*W51))</f>
        <v>0</v>
      </c>
      <c r="AB51" s="1063">
        <f>IF($F51=$B$86,"Enter Value",$S51*SUM('Primary Sources'!S$11:S$35)*($T51+(1-$T51)*X51))</f>
        <v>0</v>
      </c>
      <c r="AC51" s="1063">
        <f>IF($F51=$B$86,"Enter Value",$S51*(SUM('Primary Sources'!U$11:U$35)-'Existing Management Practices'!G$176)*$T51)</f>
        <v>0</v>
      </c>
      <c r="AD51" s="1063">
        <f>$AC51*SUM('Primary Sources'!P$11:P$35)/MAX(SUM('Primary Sources'!$U$11:$U$35),0.001)*(1-U51)*(1-VLOOKUP($H51,$B$91:$E$93,2,FALSE)*(1-IF($G51="A Soils",0.5,0)))*(1-VLOOKUP($F51,$B$64:$K$88,10,FALSE))</f>
        <v>0</v>
      </c>
      <c r="AE51" s="1063">
        <f>$AC51*SUM('Primary Sources'!Q$11:Q$35)/MAX(SUM('Primary Sources'!$U$11:$U$35),0.001)*(1-V51)*(1-VLOOKUP($H51,$B$91:$E$93,3,FALSE)*(1-IF($G51="A Soils",0.5,0)))*(1-VLOOKUP($F51,$B$64:$K$88,10,FALSE))</f>
        <v>0</v>
      </c>
      <c r="AF51" s="1064">
        <f>$AC51*SUM('Primary Sources'!S$11:S$35)/MAX(SUM('Primary Sources'!$U$11:$U$35),0.001)*(1-X51)*(1-VLOOKUP($H51,$B$91:$E$93,4,FALSE)*(1-IF($G51="A Soils",0.5,0)))*(1-VLOOKUP($F51,$B$64:$K$88,10,FALSE))</f>
        <v>0</v>
      </c>
      <c r="AG51" s="627">
        <f>$Q51*(SUM('Primary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Worksheet'!$D51))*$R51*$P51*($O51+(1-$O51)*K51)-Y51</f>
        <v>0</v>
      </c>
      <c r="AH51" s="628">
        <f>$Q51*(SUM('Primary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Worksheet'!$D51))*$R51*$P51*($O51+(1-$O51)*L51)-Z51</f>
        <v>0</v>
      </c>
      <c r="AI51" s="628">
        <f>$Q51*SUM('Primary Sources'!R$10:R$35)*$R51*$P51*($O51+(1-$O51)*M51)-AA51</f>
        <v>0</v>
      </c>
      <c r="AJ51" s="628">
        <f>$Q51*SUM('Primary Sources'!S$10:S$35)*$R51*$P51*($O51+(1-$O51)*N51)-AB51</f>
        <v>0</v>
      </c>
      <c r="AK51" s="628">
        <f>$Q51*(SUM('Primary Sources'!U$10:U$35)-('Existing Management Practices'!G$176)*SUM('Primary Sources'!$D$10:$D$35)/MAX(('Primary Sources'!$F$53+'Future Management Practices'!$C$20-'Existing Management Practices'!$C$6),0.01)*(1-'Retrofit Worksheet'!$D51))*$R51*$P51*$O51-AC51</f>
        <v>0</v>
      </c>
      <c r="AL51" s="628">
        <f>$AK51*(SUM('Primary Sources'!P$11:P$35)-'Existing Management Practices'!C$176-'Future Management Practices'!C$388)/MAX(SUM('Primary Sources'!$U$11:$U$35)-'Existing Management Practices'!$G$176,0.001)*(1-K51)*(1-VLOOKUP($H51,$B$91:$E$93,2,FALSE)*(1-IF($G51="A Soils",0.5,0)))*(1-VLOOKUP($B51,$B$64:$K$88,10,FALSE))-AD51</f>
        <v>0</v>
      </c>
      <c r="AM51" s="628">
        <f>$AK51*(SUM('Primary Sources'!Q$11:Q$35)-'Existing Management Practices'!D$176-'Future Management Practices'!D$388)/MAX(SUM('Primary Sources'!$U$11:$U$35)-'Existing Management Practices'!$G$176,0.001)*(1-L51)*(1-VLOOKUP($H51,$B$91:$E$93,3,FALSE)*(1-IF($G51="A Soils",0.5,0)))*(1-VLOOKUP($B51,$B$64:$K$88,10,FALSE))-AE51</f>
        <v>0</v>
      </c>
      <c r="AN51" s="629">
        <f>$AK51*(SUM('Primary Sources'!S$11:S$35)-'Existing Management Practices'!F$176-'Future Management Practices'!F$388)/MAX(SUM('Primary Sources'!$U$11:$U$35)-'Existing Management Practices'!$G$176,0.001)*(1-N51)*(1-VLOOKUP($H51,$B$91:$E$93,4,FALSE)*(1-IF($G51="A Soils",0.5,0)))*(1-VLOOKUP($B51,$B$64:$K$88,10,FALSE))-AF51</f>
        <v>0</v>
      </c>
      <c r="AO51" s="604"/>
      <c r="AP51" s="1672">
        <f t="shared" si="4"/>
        <v>0</v>
      </c>
      <c r="AQ51" s="1672">
        <f t="shared" si="4"/>
        <v>0</v>
      </c>
      <c r="AR51" s="1672">
        <f t="shared" si="16"/>
        <v>0</v>
      </c>
      <c r="AS51" s="1672">
        <f t="shared" si="17"/>
        <v>0</v>
      </c>
      <c r="AT51" s="1672">
        <f t="shared" si="18"/>
        <v>0</v>
      </c>
      <c r="AU51" s="1672">
        <f t="shared" si="19"/>
        <v>0</v>
      </c>
      <c r="AV51" s="1672">
        <f t="shared" si="20"/>
        <v>0</v>
      </c>
      <c r="AW51" s="1672">
        <f t="shared" si="21"/>
        <v>0</v>
      </c>
      <c r="AX51" s="1672">
        <f t="shared" si="22"/>
        <v>0</v>
      </c>
      <c r="AY51" s="1672">
        <f t="shared" si="23"/>
        <v>0</v>
      </c>
      <c r="AZ51" s="1670">
        <f t="shared" si="31"/>
        <v>0</v>
      </c>
      <c r="BA51" s="1679">
        <f t="shared" si="32"/>
        <v>0</v>
      </c>
      <c r="BB51" s="1657"/>
      <c r="BC51" s="1657"/>
      <c r="BD51" s="1670"/>
      <c r="BE51" s="1671"/>
      <c r="BF51" s="1670"/>
      <c r="BG51" s="1671"/>
      <c r="BH51" s="1670"/>
      <c r="BI51" s="1684"/>
      <c r="BJ51" s="1670"/>
      <c r="BK51" s="1671"/>
      <c r="BL51" s="1684"/>
      <c r="BM51" s="1684"/>
      <c r="BN51" s="1670"/>
      <c r="BO51" s="1671"/>
    </row>
    <row r="52" spans="2:67" ht="12.5" x14ac:dyDescent="0.25">
      <c r="B52" s="1251" t="s">
        <v>487</v>
      </c>
      <c r="C52" s="1252"/>
      <c r="D52" s="1253"/>
      <c r="E52" s="1253" t="s">
        <v>485</v>
      </c>
      <c r="F52" s="626" t="str">
        <f t="shared" si="28"/>
        <v>N/A</v>
      </c>
      <c r="G52" s="1249" t="s">
        <v>61</v>
      </c>
      <c r="H52" s="1250" t="s">
        <v>66</v>
      </c>
      <c r="I52" s="1461">
        <f>C52*C$3*(D52*0.95+'Existing Management Practices'!$C$32/SUMPRODUCT('Primary Sources'!$C$70:$C$73,'Primary Sources'!$E$70:$E$73)*(1-D52)*VLOOKUP(G52,'Primary Sources'!B$70:E$73,4,FALSE))*3630</f>
        <v>0</v>
      </c>
      <c r="J52" s="1470">
        <f t="shared" si="5"/>
        <v>0</v>
      </c>
      <c r="K52" s="1462">
        <f t="shared" si="6"/>
        <v>0</v>
      </c>
      <c r="L52" s="1462">
        <f t="shared" si="7"/>
        <v>0</v>
      </c>
      <c r="M52" s="1462">
        <f t="shared" si="8"/>
        <v>0</v>
      </c>
      <c r="N52" s="1462">
        <f t="shared" si="9"/>
        <v>0</v>
      </c>
      <c r="O52" s="1463">
        <f t="shared" si="10"/>
        <v>0</v>
      </c>
      <c r="P52" s="1464">
        <v>1.2</v>
      </c>
      <c r="Q52" s="1465">
        <f>J52/MAX(('Primary Sources'!$E$53*0.95+'Existing Management Practices'!$C$32*'Primary Sources'!$F$53)*$C$3,0.001)/3630</f>
        <v>0</v>
      </c>
      <c r="R52" s="1462">
        <v>0.9</v>
      </c>
      <c r="S52" s="1466">
        <f>IF(E52=$B$58,C52*(0.95*D52+(1-D52)*VLOOKUP(G52,'Primary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52" s="1467">
        <f t="shared" si="11"/>
        <v>0</v>
      </c>
      <c r="U52" s="1468">
        <f t="shared" si="12"/>
        <v>0</v>
      </c>
      <c r="V52" s="1468">
        <f t="shared" si="13"/>
        <v>0</v>
      </c>
      <c r="W52" s="1468">
        <f t="shared" si="14"/>
        <v>0</v>
      </c>
      <c r="X52" s="1469">
        <f t="shared" si="15"/>
        <v>0</v>
      </c>
      <c r="Y52" s="1068">
        <f>IF($F52=$B$86,"Enter Value",$S52*(SUM('Primary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Worksheet'!$D52))*($T52+(1-$T52)*U52))</f>
        <v>0</v>
      </c>
      <c r="Z52" s="1063">
        <f>IF($F52=$B$86,"Enter Value",$S52*(SUM('Primary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Worksheet'!$D52))*($T52+(1-$T52)*V52))</f>
        <v>0</v>
      </c>
      <c r="AA52" s="1063">
        <f>IF($F52=$B$86,"Enter Value",$S52*SUM('Primary Sources'!R$11:R$35)*($T52+(1-$T52)*W52))</f>
        <v>0</v>
      </c>
      <c r="AB52" s="1063">
        <f>IF($F52=$B$86,"Enter Value",$S52*SUM('Primary Sources'!S$11:S$35)*($T52+(1-$T52)*X52))</f>
        <v>0</v>
      </c>
      <c r="AC52" s="1063">
        <f>IF($F52=$B$86,"Enter Value",$S52*(SUM('Primary Sources'!U$11:U$35)-'Existing Management Practices'!G$176)*$T52)</f>
        <v>0</v>
      </c>
      <c r="AD52" s="1063">
        <f>$AC52*SUM('Primary Sources'!P$11:P$35)/MAX(SUM('Primary Sources'!$U$11:$U$35),0.001)*(1-U52)*(1-VLOOKUP($H52,$B$91:$E$93,2,FALSE)*(1-IF($G52="A Soils",0.5,0)))*(1-VLOOKUP($F52,$B$64:$K$88,10,FALSE))</f>
        <v>0</v>
      </c>
      <c r="AE52" s="1063">
        <f>$AC52*SUM('Primary Sources'!Q$11:Q$35)/MAX(SUM('Primary Sources'!$U$11:$U$35),0.001)*(1-V52)*(1-VLOOKUP($H52,$B$91:$E$93,3,FALSE)*(1-IF($G52="A Soils",0.5,0)))*(1-VLOOKUP($F52,$B$64:$K$88,10,FALSE))</f>
        <v>0</v>
      </c>
      <c r="AF52" s="1064">
        <f>$AC52*SUM('Primary Sources'!S$11:S$35)/MAX(SUM('Primary Sources'!$U$11:$U$35),0.001)*(1-X52)*(1-VLOOKUP($H52,$B$91:$E$93,4,FALSE)*(1-IF($G52="A Soils",0.5,0)))*(1-VLOOKUP($F52,$B$64:$K$88,10,FALSE))</f>
        <v>0</v>
      </c>
      <c r="AG52" s="627">
        <f>$Q52*(SUM('Primary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Worksheet'!$D52))*$R52*$P52*($O52+(1-$O52)*K52)-Y52</f>
        <v>0</v>
      </c>
      <c r="AH52" s="628">
        <f>$Q52*(SUM('Primary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Worksheet'!$D52))*$R52*$P52*($O52+(1-$O52)*L52)-Z52</f>
        <v>0</v>
      </c>
      <c r="AI52" s="628">
        <f>$Q52*SUM('Primary Sources'!R$10:R$35)*$R52*$P52*($O52+(1-$O52)*M52)-AA52</f>
        <v>0</v>
      </c>
      <c r="AJ52" s="628">
        <f>$Q52*SUM('Primary Sources'!S$10:S$35)*$R52*$P52*($O52+(1-$O52)*N52)-AB52</f>
        <v>0</v>
      </c>
      <c r="AK52" s="628">
        <f>$Q52*(SUM('Primary Sources'!U$10:U$35)-('Existing Management Practices'!G$176)*SUM('Primary Sources'!$D$10:$D$35)/MAX(('Primary Sources'!$F$53+'Future Management Practices'!$C$20-'Existing Management Practices'!$C$6),0.01)*(1-'Retrofit Worksheet'!$D52))*$R52*$P52*$O52-AC52</f>
        <v>0</v>
      </c>
      <c r="AL52" s="628">
        <f>$AK52*(SUM('Primary Sources'!P$11:P$35)-'Existing Management Practices'!C$176-'Future Management Practices'!C$388)/MAX(SUM('Primary Sources'!$U$11:$U$35)-'Existing Management Practices'!$G$176,0.001)*(1-K52)*(1-VLOOKUP($H52,$B$91:$E$93,2,FALSE)*(1-IF($G52="A Soils",0.5,0)))*(1-VLOOKUP($B52,$B$64:$K$88,10,FALSE))-AD52</f>
        <v>0</v>
      </c>
      <c r="AM52" s="628">
        <f>$AK52*(SUM('Primary Sources'!Q$11:Q$35)-'Existing Management Practices'!D$176-'Future Management Practices'!D$388)/MAX(SUM('Primary Sources'!$U$11:$U$35)-'Existing Management Practices'!$G$176,0.001)*(1-L52)*(1-VLOOKUP($H52,$B$91:$E$93,3,FALSE)*(1-IF($G52="A Soils",0.5,0)))*(1-VLOOKUP($B52,$B$64:$K$88,10,FALSE))-AE52</f>
        <v>0</v>
      </c>
      <c r="AN52" s="629">
        <f>$AK52*(SUM('Primary Sources'!S$11:S$35)-'Existing Management Practices'!F$176-'Future Management Practices'!F$388)/MAX(SUM('Primary Sources'!$U$11:$U$35)-'Existing Management Practices'!$G$176,0.001)*(1-N52)*(1-VLOOKUP($H52,$B$91:$E$93,4,FALSE)*(1-IF($G52="A Soils",0.5,0)))*(1-VLOOKUP($B52,$B$64:$K$88,10,FALSE))-AF52</f>
        <v>0</v>
      </c>
      <c r="AO52" s="604"/>
      <c r="AP52" s="1672">
        <f t="shared" si="4"/>
        <v>0</v>
      </c>
      <c r="AQ52" s="1672">
        <f t="shared" si="4"/>
        <v>0</v>
      </c>
      <c r="AR52" s="1672">
        <f t="shared" si="16"/>
        <v>0</v>
      </c>
      <c r="AS52" s="1672">
        <f t="shared" si="17"/>
        <v>0</v>
      </c>
      <c r="AT52" s="1672">
        <f t="shared" si="18"/>
        <v>0</v>
      </c>
      <c r="AU52" s="1672">
        <f t="shared" si="19"/>
        <v>0</v>
      </c>
      <c r="AV52" s="1672">
        <f t="shared" si="20"/>
        <v>0</v>
      </c>
      <c r="AW52" s="1672">
        <f t="shared" si="21"/>
        <v>0</v>
      </c>
      <c r="AX52" s="1672">
        <f t="shared" si="22"/>
        <v>0</v>
      </c>
      <c r="AY52" s="1672">
        <f t="shared" si="23"/>
        <v>0</v>
      </c>
      <c r="AZ52" s="1670">
        <f t="shared" si="31"/>
        <v>0</v>
      </c>
      <c r="BA52" s="1679">
        <f t="shared" si="32"/>
        <v>0</v>
      </c>
      <c r="BB52" s="1657"/>
      <c r="BC52" s="1657"/>
      <c r="BD52" s="1670"/>
      <c r="BE52" s="1671"/>
      <c r="BF52" s="1670"/>
      <c r="BG52" s="1671"/>
      <c r="BH52" s="1670"/>
      <c r="BI52" s="1684"/>
      <c r="BJ52" s="1670"/>
      <c r="BK52" s="1671"/>
      <c r="BL52" s="1684"/>
      <c r="BM52" s="1684"/>
      <c r="BN52" s="1670"/>
      <c r="BO52" s="1671"/>
    </row>
    <row r="53" spans="2:67" ht="12.5" x14ac:dyDescent="0.25">
      <c r="B53" s="1251" t="s">
        <v>487</v>
      </c>
      <c r="C53" s="1252"/>
      <c r="D53" s="1253"/>
      <c r="E53" s="1253" t="s">
        <v>485</v>
      </c>
      <c r="F53" s="626" t="str">
        <f t="shared" si="28"/>
        <v>N/A</v>
      </c>
      <c r="G53" s="1249" t="s">
        <v>61</v>
      </c>
      <c r="H53" s="1250" t="s">
        <v>66</v>
      </c>
      <c r="I53" s="1461">
        <f>C53*C$3*(D53*0.95+'Existing Management Practices'!$C$32/SUMPRODUCT('Primary Sources'!$C$70:$C$73,'Primary Sources'!$E$70:$E$73)*(1-D53)*VLOOKUP(G53,'Primary Sources'!B$70:E$73,4,FALSE))*3630</f>
        <v>0</v>
      </c>
      <c r="J53" s="1470">
        <f t="shared" si="5"/>
        <v>0</v>
      </c>
      <c r="K53" s="1462">
        <f t="shared" si="6"/>
        <v>0</v>
      </c>
      <c r="L53" s="1462">
        <f t="shared" si="7"/>
        <v>0</v>
      </c>
      <c r="M53" s="1462">
        <f t="shared" si="8"/>
        <v>0</v>
      </c>
      <c r="N53" s="1462">
        <f t="shared" si="9"/>
        <v>0</v>
      </c>
      <c r="O53" s="1463">
        <f t="shared" si="10"/>
        <v>0</v>
      </c>
      <c r="P53" s="1464">
        <v>1.2</v>
      </c>
      <c r="Q53" s="1465">
        <f>J53/MAX(('Primary Sources'!$E$53*0.95+'Existing Management Practices'!$C$32*'Primary Sources'!$F$53)*$C$3,0.001)/3630</f>
        <v>0</v>
      </c>
      <c r="R53" s="1462">
        <v>0.9</v>
      </c>
      <c r="S53" s="1466">
        <f>IF(E53=$B$58,C53*(0.95*D53+(1-D53)*VLOOKUP(G53,'Primary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53" s="1467">
        <f t="shared" si="11"/>
        <v>0</v>
      </c>
      <c r="U53" s="1468">
        <f t="shared" si="12"/>
        <v>0</v>
      </c>
      <c r="V53" s="1468">
        <f t="shared" si="13"/>
        <v>0</v>
      </c>
      <c r="W53" s="1468">
        <f t="shared" si="14"/>
        <v>0</v>
      </c>
      <c r="X53" s="1469">
        <f t="shared" si="15"/>
        <v>0</v>
      </c>
      <c r="Y53" s="1068">
        <f>IF($F53=$B$86,"Enter Value",$S53*(SUM('Primary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Worksheet'!$D53))*($T53+(1-$T53)*U53))</f>
        <v>0</v>
      </c>
      <c r="Z53" s="1063">
        <f>IF($F53=$B$86,"Enter Value",$S53*(SUM('Primary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Worksheet'!$D53))*($T53+(1-$T53)*V53))</f>
        <v>0</v>
      </c>
      <c r="AA53" s="1063">
        <f>IF($F53=$B$86,"Enter Value",$S53*SUM('Primary Sources'!R$11:R$35)*($T53+(1-$T53)*W53))</f>
        <v>0</v>
      </c>
      <c r="AB53" s="1063">
        <f>IF($F53=$B$86,"Enter Value",$S53*SUM('Primary Sources'!S$11:S$35)*($T53+(1-$T53)*X53))</f>
        <v>0</v>
      </c>
      <c r="AC53" s="1063">
        <f>IF($F53=$B$86,"Enter Value",$S53*(SUM('Primary Sources'!U$11:U$35)-'Existing Management Practices'!G$176)*$T53)</f>
        <v>0</v>
      </c>
      <c r="AD53" s="1063">
        <f>$AC53*SUM('Primary Sources'!P$11:P$35)/MAX(SUM('Primary Sources'!$U$11:$U$35),0.001)*(1-U53)*(1-VLOOKUP($H53,$B$91:$E$93,2,FALSE)*(1-IF($G53="A Soils",0.5,0)))*(1-VLOOKUP($F53,$B$64:$K$88,10,FALSE))</f>
        <v>0</v>
      </c>
      <c r="AE53" s="1063">
        <f>$AC53*SUM('Primary Sources'!Q$11:Q$35)/MAX(SUM('Primary Sources'!$U$11:$U$35),0.001)*(1-V53)*(1-VLOOKUP($H53,$B$91:$E$93,3,FALSE)*(1-IF($G53="A Soils",0.5,0)))*(1-VLOOKUP($F53,$B$64:$K$88,10,FALSE))</f>
        <v>0</v>
      </c>
      <c r="AF53" s="1064">
        <f>$AC53*SUM('Primary Sources'!S$11:S$35)/MAX(SUM('Primary Sources'!$U$11:$U$35),0.001)*(1-X53)*(1-VLOOKUP($H53,$B$91:$E$93,4,FALSE)*(1-IF($G53="A Soils",0.5,0)))*(1-VLOOKUP($F53,$B$64:$K$88,10,FALSE))</f>
        <v>0</v>
      </c>
      <c r="AG53" s="627">
        <f>$Q53*(SUM('Primary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Worksheet'!$D53))*$R53*$P53*($O53+(1-$O53)*K53)-Y53</f>
        <v>0</v>
      </c>
      <c r="AH53" s="628">
        <f>$Q53*(SUM('Primary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Worksheet'!$D53))*$R53*$P53*($O53+(1-$O53)*L53)-Z53</f>
        <v>0</v>
      </c>
      <c r="AI53" s="628">
        <f>$Q53*SUM('Primary Sources'!R$10:R$35)*$R53*$P53*($O53+(1-$O53)*M53)-AA53</f>
        <v>0</v>
      </c>
      <c r="AJ53" s="628">
        <f>$Q53*SUM('Primary Sources'!S$10:S$35)*$R53*$P53*($O53+(1-$O53)*N53)-AB53</f>
        <v>0</v>
      </c>
      <c r="AK53" s="628">
        <f>$Q53*(SUM('Primary Sources'!U$10:U$35)-('Existing Management Practices'!G$176)*SUM('Primary Sources'!$D$10:$D$35)/MAX(('Primary Sources'!$F$53+'Future Management Practices'!$C$20-'Existing Management Practices'!$C$6),0.01)*(1-'Retrofit Worksheet'!$D53))*$R53*$P53*$O53-AC53</f>
        <v>0</v>
      </c>
      <c r="AL53" s="628">
        <f>$AK53*(SUM('Primary Sources'!P$11:P$35)-'Existing Management Practices'!C$176-'Future Management Practices'!C$388)/MAX(SUM('Primary Sources'!$U$11:$U$35)-'Existing Management Practices'!$G$176,0.001)*(1-K53)*(1-VLOOKUP($H53,$B$91:$E$93,2,FALSE)*(1-IF($G53="A Soils",0.5,0)))*(1-VLOOKUP($B53,$B$64:$K$88,10,FALSE))-AD53</f>
        <v>0</v>
      </c>
      <c r="AM53" s="628">
        <f>$AK53*(SUM('Primary Sources'!Q$11:Q$35)-'Existing Management Practices'!D$176-'Future Management Practices'!D$388)/MAX(SUM('Primary Sources'!$U$11:$U$35)-'Existing Management Practices'!$G$176,0.001)*(1-L53)*(1-VLOOKUP($H53,$B$91:$E$93,3,FALSE)*(1-IF($G53="A Soils",0.5,0)))*(1-VLOOKUP($B53,$B$64:$K$88,10,FALSE))-AE53</f>
        <v>0</v>
      </c>
      <c r="AN53" s="629">
        <f>$AK53*(SUM('Primary Sources'!S$11:S$35)-'Existing Management Practices'!F$176-'Future Management Practices'!F$388)/MAX(SUM('Primary Sources'!$U$11:$U$35)-'Existing Management Practices'!$G$176,0.001)*(1-N53)*(1-VLOOKUP($H53,$B$91:$E$93,4,FALSE)*(1-IF($G53="A Soils",0.5,0)))*(1-VLOOKUP($B53,$B$64:$K$88,10,FALSE))-AF53</f>
        <v>0</v>
      </c>
      <c r="AO53" s="604"/>
      <c r="AP53" s="1672">
        <f t="shared" si="4"/>
        <v>0</v>
      </c>
      <c r="AQ53" s="1672">
        <f t="shared" ref="AQ53:AQ56" si="33">+BE53</f>
        <v>0</v>
      </c>
      <c r="AR53" s="1672">
        <f t="shared" si="16"/>
        <v>0</v>
      </c>
      <c r="AS53" s="1672">
        <f t="shared" si="17"/>
        <v>0</v>
      </c>
      <c r="AT53" s="1672">
        <f t="shared" si="18"/>
        <v>0</v>
      </c>
      <c r="AU53" s="1672">
        <f t="shared" si="19"/>
        <v>0</v>
      </c>
      <c r="AV53" s="1672">
        <f t="shared" si="20"/>
        <v>0</v>
      </c>
      <c r="AW53" s="1672">
        <f t="shared" si="21"/>
        <v>0</v>
      </c>
      <c r="AX53" s="1672">
        <f t="shared" si="22"/>
        <v>0</v>
      </c>
      <c r="AY53" s="1672">
        <f t="shared" si="23"/>
        <v>0</v>
      </c>
      <c r="AZ53" s="1670">
        <f t="shared" si="31"/>
        <v>0</v>
      </c>
      <c r="BA53" s="1679">
        <f t="shared" si="32"/>
        <v>0</v>
      </c>
      <c r="BB53" s="1657"/>
      <c r="BC53" s="1657"/>
      <c r="BD53" s="1670"/>
      <c r="BE53" s="1671"/>
      <c r="BF53" s="1670"/>
      <c r="BG53" s="1671"/>
      <c r="BH53" s="1670"/>
      <c r="BI53" s="1684"/>
      <c r="BJ53" s="1670"/>
      <c r="BK53" s="1671"/>
      <c r="BL53" s="1684"/>
      <c r="BM53" s="1684"/>
      <c r="BN53" s="1670"/>
      <c r="BO53" s="1671"/>
    </row>
    <row r="54" spans="2:67" ht="12.5" x14ac:dyDescent="0.25">
      <c r="B54" s="1251" t="s">
        <v>487</v>
      </c>
      <c r="C54" s="1252"/>
      <c r="D54" s="1253"/>
      <c r="E54" s="1253" t="s">
        <v>485</v>
      </c>
      <c r="F54" s="626" t="str">
        <f t="shared" si="28"/>
        <v>N/A</v>
      </c>
      <c r="G54" s="1249" t="s">
        <v>61</v>
      </c>
      <c r="H54" s="1250" t="s">
        <v>66</v>
      </c>
      <c r="I54" s="1461">
        <f>C54*C$3*(D54*0.95+'Existing Management Practices'!$C$32/SUMPRODUCT('Primary Sources'!$C$70:$C$73,'Primary Sources'!$E$70:$E$73)*(1-D54)*VLOOKUP(G54,'Primary Sources'!B$70:E$73,4,FALSE))*3630</f>
        <v>0</v>
      </c>
      <c r="J54" s="1470">
        <f t="shared" si="5"/>
        <v>0</v>
      </c>
      <c r="K54" s="1462">
        <f t="shared" si="6"/>
        <v>0</v>
      </c>
      <c r="L54" s="1462">
        <f t="shared" si="7"/>
        <v>0</v>
      </c>
      <c r="M54" s="1462">
        <f t="shared" si="8"/>
        <v>0</v>
      </c>
      <c r="N54" s="1462">
        <f t="shared" si="9"/>
        <v>0</v>
      </c>
      <c r="O54" s="1463">
        <f t="shared" si="10"/>
        <v>0</v>
      </c>
      <c r="P54" s="1464">
        <v>1.2</v>
      </c>
      <c r="Q54" s="1465">
        <f>J54/MAX(('Primary Sources'!$E$53*0.95+'Existing Management Practices'!$C$32*'Primary Sources'!$F$53)*$C$3,0.001)/3630</f>
        <v>0</v>
      </c>
      <c r="R54" s="1462">
        <v>0.9</v>
      </c>
      <c r="S54" s="1466">
        <f>IF(E54=$B$58,C54*(0.95*D54+(1-D54)*VLOOKUP(G54,'Primary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54" s="1467">
        <f t="shared" si="11"/>
        <v>0</v>
      </c>
      <c r="U54" s="1468">
        <f t="shared" si="12"/>
        <v>0</v>
      </c>
      <c r="V54" s="1468">
        <f t="shared" si="13"/>
        <v>0</v>
      </c>
      <c r="W54" s="1468">
        <f t="shared" si="14"/>
        <v>0</v>
      </c>
      <c r="X54" s="1469">
        <f t="shared" si="15"/>
        <v>0</v>
      </c>
      <c r="Y54" s="1068">
        <f>IF($F54=$B$86,"Enter Value",$S54*(SUM('Primary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Worksheet'!$D54))*($T54+(1-$T54)*U54))</f>
        <v>0</v>
      </c>
      <c r="Z54" s="1063">
        <f>IF($F54=$B$86,"Enter Value",$S54*(SUM('Primary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Worksheet'!$D54))*($T54+(1-$T54)*V54))</f>
        <v>0</v>
      </c>
      <c r="AA54" s="1063">
        <f>IF($F54=$B$86,"Enter Value",$S54*SUM('Primary Sources'!R$11:R$35)*($T54+(1-$T54)*W54))</f>
        <v>0</v>
      </c>
      <c r="AB54" s="1063">
        <f>IF($F54=$B$86,"Enter Value",$S54*SUM('Primary Sources'!S$11:S$35)*($T54+(1-$T54)*X54))</f>
        <v>0</v>
      </c>
      <c r="AC54" s="1063">
        <f>IF($F54=$B$86,"Enter Value",$S54*(SUM('Primary Sources'!U$11:U$35)-'Existing Management Practices'!G$176)*$T54)</f>
        <v>0</v>
      </c>
      <c r="AD54" s="1063">
        <f>$AC54*SUM('Primary Sources'!P$11:P$35)/MAX(SUM('Primary Sources'!$U$11:$U$35),0.001)*(1-U54)*(1-VLOOKUP($H54,$B$91:$E$93,2,FALSE)*(1-IF($G54="A Soils",0.5,0)))*(1-VLOOKUP($F54,$B$64:$K$88,10,FALSE))</f>
        <v>0</v>
      </c>
      <c r="AE54" s="1063">
        <f>$AC54*SUM('Primary Sources'!Q$11:Q$35)/MAX(SUM('Primary Sources'!$U$11:$U$35),0.001)*(1-V54)*(1-VLOOKUP($H54,$B$91:$E$93,3,FALSE)*(1-IF($G54="A Soils",0.5,0)))*(1-VLOOKUP($F54,$B$64:$K$88,10,FALSE))</f>
        <v>0</v>
      </c>
      <c r="AF54" s="1064">
        <f>$AC54*SUM('Primary Sources'!S$11:S$35)/MAX(SUM('Primary Sources'!$U$11:$U$35),0.001)*(1-X54)*(1-VLOOKUP($H54,$B$91:$E$93,4,FALSE)*(1-IF($G54="A Soils",0.5,0)))*(1-VLOOKUP($F54,$B$64:$K$88,10,FALSE))</f>
        <v>0</v>
      </c>
      <c r="AG54" s="627">
        <f>$Q54*(SUM('Primary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Worksheet'!$D54))*$R54*$P54*($O54+(1-$O54)*K54)-Y54</f>
        <v>0</v>
      </c>
      <c r="AH54" s="628">
        <f>$Q54*(SUM('Primary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Worksheet'!$D54))*$R54*$P54*($O54+(1-$O54)*L54)-Z54</f>
        <v>0</v>
      </c>
      <c r="AI54" s="628">
        <f>$Q54*SUM('Primary Sources'!R$10:R$35)*$R54*$P54*($O54+(1-$O54)*M54)-AA54</f>
        <v>0</v>
      </c>
      <c r="AJ54" s="628">
        <f>$Q54*SUM('Primary Sources'!S$10:S$35)*$R54*$P54*($O54+(1-$O54)*N54)-AB54</f>
        <v>0</v>
      </c>
      <c r="AK54" s="628">
        <f>$Q54*(SUM('Primary Sources'!U$10:U$35)-('Existing Management Practices'!G$176)*SUM('Primary Sources'!$D$10:$D$35)/MAX(('Primary Sources'!$F$53+'Future Management Practices'!$C$20-'Existing Management Practices'!$C$6),0.01)*(1-'Retrofit Worksheet'!$D54))*$R54*$P54*$O54-AC54</f>
        <v>0</v>
      </c>
      <c r="AL54" s="628">
        <f>$AK54*(SUM('Primary Sources'!P$11:P$35)-'Existing Management Practices'!C$176-'Future Management Practices'!C$388)/MAX(SUM('Primary Sources'!$U$11:$U$35)-'Existing Management Practices'!$G$176,0.001)*(1-K54)*(1-VLOOKUP($H54,$B$91:$E$93,2,FALSE)*(1-IF($G54="A Soils",0.5,0)))*(1-VLOOKUP($B54,$B$64:$K$88,10,FALSE))-AD54</f>
        <v>0</v>
      </c>
      <c r="AM54" s="628">
        <f>$AK54*(SUM('Primary Sources'!Q$11:Q$35)-'Existing Management Practices'!D$176-'Future Management Practices'!D$388)/MAX(SUM('Primary Sources'!$U$11:$U$35)-'Existing Management Practices'!$G$176,0.001)*(1-L54)*(1-VLOOKUP($H54,$B$91:$E$93,3,FALSE)*(1-IF($G54="A Soils",0.5,0)))*(1-VLOOKUP($B54,$B$64:$K$88,10,FALSE))-AE54</f>
        <v>0</v>
      </c>
      <c r="AN54" s="629">
        <f>$AK54*(SUM('Primary Sources'!S$11:S$35)-'Existing Management Practices'!F$176-'Future Management Practices'!F$388)/MAX(SUM('Primary Sources'!$U$11:$U$35)-'Existing Management Practices'!$G$176,0.001)*(1-N54)*(1-VLOOKUP($H54,$B$91:$E$93,4,FALSE)*(1-IF($G54="A Soils",0.5,0)))*(1-VLOOKUP($B54,$B$64:$K$88,10,FALSE))-AF54</f>
        <v>0</v>
      </c>
      <c r="AO54" s="604"/>
      <c r="AP54" s="1672">
        <f t="shared" ref="AP54:AP56" si="34">+BD54</f>
        <v>0</v>
      </c>
      <c r="AQ54" s="1672">
        <f t="shared" si="33"/>
        <v>0</v>
      </c>
      <c r="AR54" s="1672">
        <f t="shared" si="16"/>
        <v>0</v>
      </c>
      <c r="AS54" s="1672">
        <f t="shared" si="17"/>
        <v>0</v>
      </c>
      <c r="AT54" s="1672">
        <f t="shared" si="18"/>
        <v>0</v>
      </c>
      <c r="AU54" s="1672">
        <f t="shared" si="19"/>
        <v>0</v>
      </c>
      <c r="AV54" s="1672">
        <f t="shared" si="20"/>
        <v>0</v>
      </c>
      <c r="AW54" s="1672">
        <f t="shared" si="21"/>
        <v>0</v>
      </c>
      <c r="AX54" s="1672">
        <f t="shared" si="22"/>
        <v>0</v>
      </c>
      <c r="AY54" s="1672">
        <f t="shared" si="23"/>
        <v>0</v>
      </c>
      <c r="AZ54" s="1670">
        <f t="shared" si="31"/>
        <v>0</v>
      </c>
      <c r="BA54" s="1679">
        <f t="shared" si="32"/>
        <v>0</v>
      </c>
      <c r="BB54" s="1657"/>
      <c r="BC54" s="1657"/>
      <c r="BD54" s="1670"/>
      <c r="BE54" s="1671"/>
      <c r="BF54" s="1670"/>
      <c r="BG54" s="1671"/>
      <c r="BH54" s="1670"/>
      <c r="BI54" s="1684"/>
      <c r="BJ54" s="1670"/>
      <c r="BK54" s="1671"/>
      <c r="BL54" s="1684"/>
      <c r="BM54" s="1684"/>
      <c r="BN54" s="1670"/>
      <c r="BO54" s="1671"/>
    </row>
    <row r="55" spans="2:67" ht="18" customHeight="1" x14ac:dyDescent="0.25">
      <c r="B55" s="1251" t="s">
        <v>487</v>
      </c>
      <c r="C55" s="1252"/>
      <c r="D55" s="1253"/>
      <c r="E55" s="1253" t="s">
        <v>485</v>
      </c>
      <c r="F55" s="626" t="str">
        <f t="shared" si="28"/>
        <v>N/A</v>
      </c>
      <c r="G55" s="1249" t="s">
        <v>61</v>
      </c>
      <c r="H55" s="1250" t="s">
        <v>66</v>
      </c>
      <c r="I55" s="1461">
        <f>C55*C$3*(D55*0.95+'Existing Management Practices'!$C$32/SUMPRODUCT('Primary Sources'!$C$70:$C$73,'Primary Sources'!$E$70:$E$73)*(1-D55)*VLOOKUP(G55,'Primary Sources'!B$70:E$73,4,FALSE))*3630</f>
        <v>0</v>
      </c>
      <c r="J55" s="1470">
        <f t="shared" si="5"/>
        <v>0</v>
      </c>
      <c r="K55" s="1462">
        <f t="shared" si="6"/>
        <v>0</v>
      </c>
      <c r="L55" s="1462">
        <f t="shared" si="7"/>
        <v>0</v>
      </c>
      <c r="M55" s="1462">
        <f t="shared" si="8"/>
        <v>0</v>
      </c>
      <c r="N55" s="1462">
        <f t="shared" si="9"/>
        <v>0</v>
      </c>
      <c r="O55" s="1463">
        <f t="shared" si="10"/>
        <v>0</v>
      </c>
      <c r="P55" s="1464">
        <v>1.2</v>
      </c>
      <c r="Q55" s="1465">
        <f>J55/MAX(('Primary Sources'!$E$53*0.95+'Existing Management Practices'!$C$32*'Primary Sources'!$F$53)*$C$3,0.001)/3630</f>
        <v>0</v>
      </c>
      <c r="R55" s="1462">
        <v>0.9</v>
      </c>
      <c r="S55" s="1466">
        <f>IF(E55=$B$58,C55*(0.95*D55+(1-D55)*VLOOKUP(G55,'Primary Sources'!$B$70:$E$73,4,FALSE)*'Existing Management Practices'!$C$32/SUMPRODUCT('Primary Sources'!$C$70:$C$73,'Primary Sources'!$E$70:$E$73))/(0.95*'Primary Sources'!$E$53+'Existing Management Practices'!$C$32*'Primary Sources'!$F$53),0)*'Existing Management Practices'!$C$145*'Existing Management Practices'!$D$145*'Existing Management Practices'!$E$145</f>
        <v>0</v>
      </c>
      <c r="T55" s="1467">
        <f t="shared" si="11"/>
        <v>0</v>
      </c>
      <c r="U55" s="1468">
        <f t="shared" si="12"/>
        <v>0</v>
      </c>
      <c r="V55" s="1468">
        <f t="shared" si="13"/>
        <v>0</v>
      </c>
      <c r="W55" s="1468">
        <f t="shared" si="14"/>
        <v>0</v>
      </c>
      <c r="X55" s="1469">
        <f t="shared" si="15"/>
        <v>0</v>
      </c>
      <c r="Y55" s="1068">
        <f>IF($F55=$B$86,"Enter Value",$S55*(SUM('Primary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Worksheet'!$D55))*($T55+(1-$T55)*U55))</f>
        <v>0</v>
      </c>
      <c r="Z55" s="1063">
        <f>IF($F55=$B$86,"Enter Value",$S55*(SUM('Primary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Worksheet'!$D55))*($T55+(1-$T55)*V55))</f>
        <v>0</v>
      </c>
      <c r="AA55" s="1063">
        <f>IF($F55=$B$86,"Enter Value",$S55*SUM('Primary Sources'!R$11:R$35)*($T55+(1-$T55)*W55))</f>
        <v>0</v>
      </c>
      <c r="AB55" s="1063">
        <f>IF($F55=$B$86,"Enter Value",$S55*SUM('Primary Sources'!S$11:S$35)*($T55+(1-$T55)*X55))</f>
        <v>0</v>
      </c>
      <c r="AC55" s="1063">
        <f>IF($F55=$B$86,"Enter Value",$S55*(SUM('Primary Sources'!U$11:U$35)-'Existing Management Practices'!G$176)*$T55)</f>
        <v>0</v>
      </c>
      <c r="AD55" s="1063">
        <f>$AC55*SUM('Primary Sources'!P$11:P$35)/MAX(SUM('Primary Sources'!$U$11:$U$35),0.001)*(1-U55)*(1-VLOOKUP($H55,$B$91:$E$93,2,FALSE)*(1-IF($G55="A Soils",0.5,0)))*(1-VLOOKUP($F55,$B$64:$K$88,10,FALSE))</f>
        <v>0</v>
      </c>
      <c r="AE55" s="1063">
        <f>$AC55*SUM('Primary Sources'!Q$11:Q$35)/MAX(SUM('Primary Sources'!$U$11:$U$35),0.001)*(1-V55)*(1-VLOOKUP($H55,$B$91:$E$93,3,FALSE)*(1-IF($G55="A Soils",0.5,0)))*(1-VLOOKUP($F55,$B$64:$K$88,10,FALSE))</f>
        <v>0</v>
      </c>
      <c r="AF55" s="1064">
        <f>$AC55*SUM('Primary Sources'!S$11:S$35)/MAX(SUM('Primary Sources'!$U$11:$U$35),0.001)*(1-X55)*(1-VLOOKUP($H55,$B$91:$E$93,4,FALSE)*(1-IF($G55="A Soils",0.5,0)))*(1-VLOOKUP($F55,$B$64:$K$88,10,FALSE))</f>
        <v>0</v>
      </c>
      <c r="AG55" s="627">
        <f>$Q55*(SUM('Primary Sources'!P$10:P$35)-('Existing Management Practices'!C$176+'Future Management Practices'!C$388)/MAX('Primary Sources'!$F$53+'Future Management Practices'!$C$20-'Existing Management Practices'!$C$6,0.001)*SUM('Primary Sources'!$D$10:$D$35)*(1-'Retrofit Worksheet'!$D55))*$R55*$P55*($O55+(1-$O55)*K55)-Y55</f>
        <v>0</v>
      </c>
      <c r="AH55" s="628">
        <f>$Q55*(SUM('Primary Sources'!Q$10:Q$35)-('Existing Management Practices'!D$176+'Future Management Practices'!D$388)/MAX('Primary Sources'!$F$53+'Future Management Practices'!$C$20-'Existing Management Practices'!$C$6,0.001)*SUM('Primary Sources'!$D$10:$D$35)*(1-'Retrofit Worksheet'!$D55))*$R55*$P55*($O55+(1-$O55)*L55)-Z55</f>
        <v>0</v>
      </c>
      <c r="AI55" s="628">
        <f>$Q55*SUM('Primary Sources'!R$10:R$35)*$R55*$P55*($O55+(1-$O55)*M55)-AA55</f>
        <v>0</v>
      </c>
      <c r="AJ55" s="628">
        <f>$Q55*SUM('Primary Sources'!S$10:S$35)*$R55*$P55*($O55+(1-$O55)*N55)-AB55</f>
        <v>0</v>
      </c>
      <c r="AK55" s="628">
        <f>$Q55*(SUM('Primary Sources'!U$10:U$35)-('Existing Management Practices'!G$176)*SUM('Primary Sources'!$D$10:$D$35)/MAX(('Primary Sources'!$F$53+'Future Management Practices'!$C$20-'Existing Management Practices'!$C$6),0.01)*(1-'Retrofit Worksheet'!$D55))*$R55*$P55*$O55-AC55</f>
        <v>0</v>
      </c>
      <c r="AL55" s="628">
        <f>$AK55*(SUM('Primary Sources'!P$11:P$35)-'Existing Management Practices'!C$176-'Future Management Practices'!C$388)/MAX(SUM('Primary Sources'!$U$11:$U$35)-'Existing Management Practices'!$G$176,0.001)*(1-K55)*(1-VLOOKUP($H55,$B$91:$E$93,2,FALSE)*(1-IF($G55="A Soils",0.5,0)))*(1-VLOOKUP($B55,$B$64:$K$88,10,FALSE))-AD55</f>
        <v>0</v>
      </c>
      <c r="AM55" s="628">
        <f>$AK55*(SUM('Primary Sources'!Q$11:Q$35)-'Existing Management Practices'!D$176-'Future Management Practices'!D$388)/MAX(SUM('Primary Sources'!$U$11:$U$35)-'Existing Management Practices'!$G$176,0.001)*(1-L55)*(1-VLOOKUP($H55,$B$91:$E$93,3,FALSE)*(1-IF($G55="A Soils",0.5,0)))*(1-VLOOKUP($B55,$B$64:$K$88,10,FALSE))-AE55</f>
        <v>0</v>
      </c>
      <c r="AN55" s="629">
        <f>$AK55*(SUM('Primary Sources'!S$11:S$35)-'Existing Management Practices'!F$176-'Future Management Practices'!F$388)/MAX(SUM('Primary Sources'!$U$11:$U$35)-'Existing Management Practices'!$G$176,0.001)*(1-N55)*(1-VLOOKUP($H55,$B$91:$E$93,4,FALSE)*(1-IF($G55="A Soils",0.5,0)))*(1-VLOOKUP($B55,$B$64:$K$88,10,FALSE))-AF55</f>
        <v>0</v>
      </c>
      <c r="AO55" s="604"/>
      <c r="AP55" s="1672">
        <f t="shared" si="34"/>
        <v>0</v>
      </c>
      <c r="AQ55" s="1672">
        <f t="shared" si="33"/>
        <v>0</v>
      </c>
      <c r="AR55" s="1672">
        <f t="shared" ref="AR55:AR56" si="35">+BF55</f>
        <v>0</v>
      </c>
      <c r="AS55" s="1672">
        <f t="shared" ref="AS55:AS56" si="36">+BG55</f>
        <v>0</v>
      </c>
      <c r="AT55" s="1672">
        <f t="shared" ref="AT55:AT56" si="37">+BH55</f>
        <v>0</v>
      </c>
      <c r="AU55" s="1672">
        <f t="shared" ref="AU55:AU56" si="38">+BI55</f>
        <v>0</v>
      </c>
      <c r="AV55" s="1672">
        <f t="shared" ref="AV55:AV56" si="39">+BJ55</f>
        <v>0</v>
      </c>
      <c r="AW55" s="1672">
        <f t="shared" ref="AW55:AW56" si="40">+BK55</f>
        <v>0</v>
      </c>
      <c r="AX55" s="1672">
        <f t="shared" ref="AX55:AX56" si="41">+BL55</f>
        <v>0</v>
      </c>
      <c r="AY55" s="1672">
        <f t="shared" ref="AY55:AY56" si="42">+BM55</f>
        <v>0</v>
      </c>
      <c r="AZ55" s="1670">
        <f t="shared" si="31"/>
        <v>0</v>
      </c>
      <c r="BA55" s="1679">
        <f t="shared" si="32"/>
        <v>0</v>
      </c>
      <c r="BB55" s="1657"/>
      <c r="BC55" s="1657"/>
      <c r="BD55" s="1670"/>
      <c r="BE55" s="1671"/>
      <c r="BF55" s="1670"/>
      <c r="BG55" s="1671"/>
      <c r="BH55" s="1670"/>
      <c r="BI55" s="1684"/>
      <c r="BJ55" s="1670"/>
      <c r="BK55" s="1671"/>
      <c r="BL55" s="1684"/>
      <c r="BM55" s="1684"/>
      <c r="BN55" s="1670"/>
      <c r="BO55" s="1671"/>
    </row>
    <row r="56" spans="2:67" s="645" customFormat="1" ht="13.5" thickBot="1" x14ac:dyDescent="0.35">
      <c r="B56" s="646" t="s">
        <v>488</v>
      </c>
      <c r="C56" s="647">
        <f>SUM(C23:C55)</f>
        <v>9.9</v>
      </c>
      <c r="D56" s="648">
        <f>SUMPRODUCT(C27:C55,D27:D55)/MAX(C56,0.001)</f>
        <v>0.40404040404040403</v>
      </c>
      <c r="E56" s="649"/>
      <c r="F56" s="649"/>
      <c r="G56" s="650"/>
      <c r="H56" s="651"/>
      <c r="I56" s="652">
        <f>SUM(I23:I55)</f>
        <v>18505.739999999998</v>
      </c>
      <c r="J56" s="653">
        <f>SUM(J23:J55)</f>
        <v>18505.739999999998</v>
      </c>
      <c r="K56" s="654">
        <f>IF($J56&gt;0,SUMPRODUCT($J23:$J55,K23:K55)/$J56,0)</f>
        <v>0.60000000000000009</v>
      </c>
      <c r="L56" s="654">
        <f>IF($J56&gt;0,SUMPRODUCT($J23:$J55,L23:L55)/$J56,0)</f>
        <v>0.5</v>
      </c>
      <c r="M56" s="654">
        <f>IF($J56&gt;0,SUMPRODUCT($J23:$J55,M23:M55)/$J56,0)</f>
        <v>0.5</v>
      </c>
      <c r="N56" s="654">
        <f>IF($J56&gt;0,SUMPRODUCT($J23:$J55,N23:N55)/$J56,0)</f>
        <v>0.5</v>
      </c>
      <c r="O56" s="655">
        <f>IF($J56&gt;0,SUMPRODUCT($J23:$J55,O23:O55)/$J56,0)</f>
        <v>0.40000000000000008</v>
      </c>
      <c r="P56" s="656"/>
      <c r="Q56" s="648"/>
      <c r="R56" s="648"/>
      <c r="S56" s="1484">
        <f>SUM(S27:S55)</f>
        <v>0</v>
      </c>
      <c r="T56" s="1485"/>
      <c r="U56" s="1486"/>
      <c r="V56" s="1486"/>
      <c r="W56" s="1486"/>
      <c r="X56" s="1487"/>
      <c r="Y56" s="1471">
        <f>IF($F56=$B$86,"Enter Value",$S56*SUM('Primary Sources'!P$11:P$35)*($T56+(1-$T56)*U56))</f>
        <v>0</v>
      </c>
      <c r="Z56" s="1472">
        <f>IF($F56=$B$86,"Enter Value",$S56*SUM('Primary Sources'!Q$11:Q$35)*($T56+(1-$T56)*V56))</f>
        <v>0</v>
      </c>
      <c r="AA56" s="1472">
        <f>IF($F56=$B$86,"Enter Value",$S56*SUM('Primary Sources'!R$11:R$35)*($T56+(1-$T56)*W56))</f>
        <v>0</v>
      </c>
      <c r="AB56" s="1472">
        <f>IF($F56=$B$86,"Enter Value",$S56*SUM('Primary Sources'!S$11:S$35)*($T56+(1-$T56)*X56))</f>
        <v>0</v>
      </c>
      <c r="AC56" s="1472">
        <f>IF($F56=$B$86,"Enter Value",$S56*SUM('Primary Sources'!U$11:U$35)*($T56+(1-$T56)*Y56))</f>
        <v>0</v>
      </c>
      <c r="AD56" s="1472">
        <f>IF($F56=$B$86,"Enter Value",$S56*SUM('Primary Sources'!U$11:U$35)*($T56+(1-$T56)*Z56))</f>
        <v>0</v>
      </c>
      <c r="AE56" s="1472">
        <f>IF($F56=$B$86,"Enter Value",$S56*SUM('Primary Sources'!V$11:V$35)*($T56+(1-$T56)*AA56))</f>
        <v>0</v>
      </c>
      <c r="AF56" s="1473">
        <f>IF($F56=$B$86,"Enter Value",$S56*SUM('Primary Sources'!W$11:W$35)*($T56+(1-$T56)*AB56))</f>
        <v>0</v>
      </c>
      <c r="AG56" s="657">
        <f t="shared" ref="AG56:AN56" si="43">SUM(AG22:AG55)</f>
        <v>88.676436649160593</v>
      </c>
      <c r="AH56" s="658">
        <f t="shared" si="43"/>
        <v>19.737716478614736</v>
      </c>
      <c r="AI56" s="658">
        <f t="shared" si="43"/>
        <v>1583.299792385965</v>
      </c>
      <c r="AJ56" s="658">
        <f t="shared" si="43"/>
        <v>1087.3737754112346</v>
      </c>
      <c r="AK56" s="658">
        <f t="shared" si="43"/>
        <v>6.8188856755871949</v>
      </c>
      <c r="AL56" s="658">
        <f t="shared" si="43"/>
        <v>17.550159977485826</v>
      </c>
      <c r="AM56" s="658">
        <f t="shared" si="43"/>
        <v>1.2603191488653218</v>
      </c>
      <c r="AN56" s="659">
        <f t="shared" si="43"/>
        <v>0</v>
      </c>
      <c r="AO56" s="660"/>
      <c r="AP56" s="1672">
        <f t="shared" si="34"/>
        <v>0</v>
      </c>
      <c r="AQ56" s="1672">
        <f t="shared" si="33"/>
        <v>0</v>
      </c>
      <c r="AR56" s="1672">
        <f t="shared" si="35"/>
        <v>0</v>
      </c>
      <c r="AS56" s="1672">
        <f t="shared" si="36"/>
        <v>0</v>
      </c>
      <c r="AT56" s="1672">
        <f t="shared" si="37"/>
        <v>0</v>
      </c>
      <c r="AU56" s="1672">
        <f t="shared" si="38"/>
        <v>0</v>
      </c>
      <c r="AV56" s="1672">
        <f t="shared" si="39"/>
        <v>0</v>
      </c>
      <c r="AW56" s="1672">
        <f t="shared" si="40"/>
        <v>0</v>
      </c>
      <c r="AX56" s="1672">
        <f t="shared" si="41"/>
        <v>0</v>
      </c>
      <c r="AY56" s="1672">
        <f t="shared" si="42"/>
        <v>0</v>
      </c>
      <c r="AZ56" s="1670">
        <f t="shared" si="31"/>
        <v>0</v>
      </c>
      <c r="BA56" s="1679">
        <f t="shared" si="32"/>
        <v>0</v>
      </c>
      <c r="BB56" s="187"/>
      <c r="BC56" s="187"/>
      <c r="BD56" s="1685"/>
      <c r="BE56" s="1686"/>
      <c r="BF56" s="1685"/>
      <c r="BG56" s="1686"/>
      <c r="BH56" s="1685"/>
      <c r="BI56" s="1687"/>
      <c r="BJ56" s="1685"/>
      <c r="BK56" s="1686"/>
      <c r="BL56" s="1687"/>
      <c r="BM56" s="1687"/>
      <c r="BN56" s="1688"/>
      <c r="BO56" s="1689"/>
    </row>
    <row r="57" spans="2:67" ht="13" thickTop="1" x14ac:dyDescent="0.25">
      <c r="S57" s="731"/>
      <c r="T57" s="731"/>
      <c r="U57" s="731"/>
      <c r="V57" s="731"/>
      <c r="W57" s="731"/>
      <c r="X57" s="731"/>
      <c r="AA57" s="599"/>
      <c r="AB57" s="604"/>
      <c r="AP57" s="1672" t="str">
        <f t="shared" ref="AP57:AP83" si="44">+BD57</f>
        <v>Permit</v>
      </c>
      <c r="AQ57" s="1672">
        <f t="shared" ref="AQ57:AQ83" si="45">+BE57</f>
        <v>0</v>
      </c>
      <c r="AR57" s="1672" t="str">
        <f t="shared" ref="AR57:AR83" si="46">+BF57</f>
        <v>Progress</v>
      </c>
      <c r="AS57" s="1672">
        <f t="shared" ref="AS57:AS83" si="47">+BG57</f>
        <v>0</v>
      </c>
      <c r="AT57" s="1672" t="str">
        <f t="shared" ref="AT57:AT83" si="48">+BH57</f>
        <v>Programmed</v>
      </c>
      <c r="AU57" s="1672">
        <f t="shared" ref="AU57:AU83" si="49">+BI57</f>
        <v>0</v>
      </c>
      <c r="AV57" s="1672" t="str">
        <f t="shared" ref="AV57:AV83" si="50">+BJ57</f>
        <v>Identified</v>
      </c>
      <c r="AW57" s="1672">
        <f t="shared" ref="AW57:AW83" si="51">+BK57</f>
        <v>0</v>
      </c>
      <c r="AX57" s="1672" t="str">
        <f t="shared" ref="AX57:AX83" si="52">+BL57</f>
        <v>Potential</v>
      </c>
      <c r="AY57" s="1672">
        <f t="shared" ref="AY57:AY83" si="53">+BM57</f>
        <v>0</v>
      </c>
      <c r="AZ57" s="1670" t="e">
        <f t="shared" ref="AZ57:AZ83" si="54">+AP57+AR57+AT57+AV57+AX57</f>
        <v>#VALUE!</v>
      </c>
      <c r="BA57" s="1679">
        <f t="shared" ref="BA57:BA83" si="55">IFERROR((AQ57+AS57+AU57+AW57+AY57)/AZ57,0)</f>
        <v>0</v>
      </c>
      <c r="BB57" s="1657"/>
      <c r="BC57" s="1657"/>
      <c r="BD57" s="1661" t="s">
        <v>775</v>
      </c>
      <c r="BE57" s="1662"/>
      <c r="BF57" s="1661" t="s">
        <v>776</v>
      </c>
      <c r="BG57" s="1662"/>
      <c r="BH57" s="1661" t="s">
        <v>777</v>
      </c>
      <c r="BI57" s="1662"/>
      <c r="BJ57" s="1663" t="s">
        <v>790</v>
      </c>
      <c r="BK57" s="1663"/>
      <c r="BL57" s="1684" t="s">
        <v>804</v>
      </c>
      <c r="BM57" s="1684"/>
      <c r="BN57" s="1658"/>
      <c r="BO57" s="1657"/>
    </row>
    <row r="58" spans="2:67" ht="12.5" x14ac:dyDescent="0.25">
      <c r="B58" s="601" t="s">
        <v>377</v>
      </c>
      <c r="C58" s="601" t="s">
        <v>59</v>
      </c>
      <c r="S58" s="634"/>
      <c r="T58" s="634"/>
      <c r="U58" s="634"/>
      <c r="V58" s="634"/>
      <c r="W58" s="634"/>
      <c r="X58" s="1609"/>
      <c r="AO58" s="1696" t="s">
        <v>791</v>
      </c>
      <c r="AP58" s="1697">
        <f t="shared" si="44"/>
        <v>0</v>
      </c>
      <c r="AQ58" s="1697">
        <f t="shared" si="45"/>
        <v>0</v>
      </c>
      <c r="AR58" s="1697">
        <f t="shared" si="46"/>
        <v>0</v>
      </c>
      <c r="AS58" s="1697">
        <f t="shared" si="47"/>
        <v>0</v>
      </c>
      <c r="AT58" s="1697">
        <f t="shared" si="48"/>
        <v>0</v>
      </c>
      <c r="AU58" s="1697">
        <f t="shared" si="49"/>
        <v>0</v>
      </c>
      <c r="AV58" s="1697">
        <f t="shared" si="50"/>
        <v>0</v>
      </c>
      <c r="AW58" s="1697">
        <f t="shared" si="51"/>
        <v>0</v>
      </c>
      <c r="AX58" s="1697">
        <f t="shared" si="52"/>
        <v>0</v>
      </c>
      <c r="AY58" s="1697">
        <f t="shared" si="53"/>
        <v>0</v>
      </c>
      <c r="AZ58" s="1685">
        <f t="shared" si="54"/>
        <v>0</v>
      </c>
      <c r="BA58" s="1698">
        <f t="shared" si="55"/>
        <v>0</v>
      </c>
      <c r="BB58" s="1696"/>
      <c r="BC58" s="1696"/>
      <c r="BD58" s="1696"/>
      <c r="BE58" s="1696"/>
      <c r="BF58" s="1696"/>
      <c r="BG58" s="1696"/>
      <c r="BH58" s="1696"/>
      <c r="BI58" s="1696"/>
      <c r="BJ58" s="1696"/>
      <c r="BK58" s="1696"/>
      <c r="BL58" s="1696"/>
      <c r="BM58" s="1696"/>
      <c r="BN58" s="1696"/>
      <c r="BO58" s="1696"/>
    </row>
    <row r="59" spans="2:67" ht="12.5" x14ac:dyDescent="0.25">
      <c r="B59" s="601" t="s">
        <v>485</v>
      </c>
      <c r="C59" s="601" t="s">
        <v>60</v>
      </c>
      <c r="S59" s="634"/>
      <c r="T59" s="634"/>
      <c r="U59" s="634"/>
      <c r="V59" s="634"/>
      <c r="W59" s="634"/>
      <c r="X59" s="1609"/>
      <c r="AP59" s="1672">
        <f>+BD59</f>
        <v>86.853700000000003</v>
      </c>
      <c r="AQ59" s="1672">
        <f t="shared" si="45"/>
        <v>0</v>
      </c>
      <c r="AR59" s="1672">
        <f t="shared" si="46"/>
        <v>0</v>
      </c>
      <c r="AS59" s="1672">
        <f t="shared" si="47"/>
        <v>0</v>
      </c>
      <c r="AT59" s="1672">
        <f t="shared" si="48"/>
        <v>0</v>
      </c>
      <c r="AU59" s="1672">
        <f t="shared" si="49"/>
        <v>0</v>
      </c>
      <c r="AV59" s="1672">
        <f t="shared" si="50"/>
        <v>0</v>
      </c>
      <c r="AW59" s="1672">
        <f t="shared" si="51"/>
        <v>0</v>
      </c>
      <c r="AX59" s="1672">
        <f t="shared" si="52"/>
        <v>0</v>
      </c>
      <c r="AY59" s="1672">
        <f t="shared" si="53"/>
        <v>0</v>
      </c>
      <c r="AZ59" s="1670">
        <f t="shared" si="54"/>
        <v>86.853700000000003</v>
      </c>
      <c r="BA59" s="1679">
        <f t="shared" si="55"/>
        <v>0</v>
      </c>
      <c r="BD59" s="599">
        <v>86.853700000000003</v>
      </c>
      <c r="BE59" s="599">
        <v>0</v>
      </c>
    </row>
    <row r="60" spans="2:67" ht="12.5" x14ac:dyDescent="0.25">
      <c r="B60" s="601" t="s">
        <v>396</v>
      </c>
      <c r="C60" s="601" t="s">
        <v>61</v>
      </c>
      <c r="S60" s="634"/>
      <c r="T60" s="634"/>
      <c r="U60" s="634"/>
      <c r="V60" s="634"/>
      <c r="W60" s="634"/>
      <c r="X60" s="1609"/>
      <c r="AP60" s="1672">
        <f t="shared" si="44"/>
        <v>0</v>
      </c>
      <c r="AQ60" s="1672">
        <f t="shared" si="45"/>
        <v>0</v>
      </c>
      <c r="AR60" s="1672">
        <f t="shared" si="46"/>
        <v>0</v>
      </c>
      <c r="AS60" s="1672">
        <f t="shared" si="47"/>
        <v>0</v>
      </c>
      <c r="AT60" s="1672">
        <f t="shared" si="48"/>
        <v>0</v>
      </c>
      <c r="AU60" s="1672">
        <f t="shared" si="49"/>
        <v>0</v>
      </c>
      <c r="AV60" s="1672">
        <f t="shared" si="50"/>
        <v>0</v>
      </c>
      <c r="AW60" s="1672">
        <f t="shared" si="51"/>
        <v>0</v>
      </c>
      <c r="AX60" s="1672">
        <f t="shared" si="52"/>
        <v>0</v>
      </c>
      <c r="AY60" s="1672">
        <f t="shared" si="53"/>
        <v>0</v>
      </c>
      <c r="AZ60" s="1670">
        <f t="shared" si="54"/>
        <v>0</v>
      </c>
      <c r="BA60" s="1679">
        <f t="shared" si="55"/>
        <v>0</v>
      </c>
    </row>
    <row r="61" spans="2:67" ht="12.5" x14ac:dyDescent="0.25">
      <c r="B61" s="601" t="s">
        <v>487</v>
      </c>
      <c r="C61" s="601" t="s">
        <v>62</v>
      </c>
      <c r="S61" s="634"/>
      <c r="T61" s="634"/>
      <c r="U61" s="634"/>
      <c r="V61" s="634"/>
      <c r="W61" s="634"/>
      <c r="X61" s="1609"/>
      <c r="AP61" s="1672">
        <f t="shared" si="44"/>
        <v>0</v>
      </c>
      <c r="AQ61" s="1672">
        <f t="shared" si="45"/>
        <v>0</v>
      </c>
      <c r="AR61" s="1672">
        <f t="shared" si="46"/>
        <v>0</v>
      </c>
      <c r="AS61" s="1672">
        <f t="shared" si="47"/>
        <v>0</v>
      </c>
      <c r="AT61" s="1672">
        <f t="shared" si="48"/>
        <v>0</v>
      </c>
      <c r="AU61" s="1672">
        <f t="shared" si="49"/>
        <v>0</v>
      </c>
      <c r="AV61" s="1672">
        <f t="shared" si="50"/>
        <v>0</v>
      </c>
      <c r="AW61" s="1672">
        <f t="shared" si="51"/>
        <v>0</v>
      </c>
      <c r="AX61" s="1672">
        <f t="shared" si="52"/>
        <v>0</v>
      </c>
      <c r="AY61" s="1672">
        <f t="shared" si="53"/>
        <v>0</v>
      </c>
      <c r="AZ61" s="1670">
        <f t="shared" si="54"/>
        <v>0</v>
      </c>
      <c r="BA61" s="1679">
        <f t="shared" si="55"/>
        <v>0</v>
      </c>
    </row>
    <row r="62" spans="2:67" ht="12.5" x14ac:dyDescent="0.25">
      <c r="Q62" s="601"/>
      <c r="S62" s="634"/>
      <c r="T62" s="634"/>
      <c r="U62" s="1609"/>
      <c r="V62" s="1609"/>
      <c r="W62" s="1609"/>
      <c r="X62" s="1609"/>
      <c r="AP62" s="1672">
        <f t="shared" si="44"/>
        <v>0</v>
      </c>
      <c r="AQ62" s="1672">
        <f t="shared" si="45"/>
        <v>0</v>
      </c>
      <c r="AR62" s="1672">
        <f t="shared" si="46"/>
        <v>0</v>
      </c>
      <c r="AS62" s="1672">
        <f t="shared" si="47"/>
        <v>0</v>
      </c>
      <c r="AT62" s="1672">
        <f t="shared" si="48"/>
        <v>0</v>
      </c>
      <c r="AU62" s="1672">
        <f t="shared" si="49"/>
        <v>0</v>
      </c>
      <c r="AV62" s="1672">
        <f t="shared" si="50"/>
        <v>0</v>
      </c>
      <c r="AW62" s="1672">
        <f t="shared" si="51"/>
        <v>0</v>
      </c>
      <c r="AX62" s="1672">
        <f t="shared" si="52"/>
        <v>0</v>
      </c>
      <c r="AY62" s="1672">
        <f t="shared" si="53"/>
        <v>0</v>
      </c>
      <c r="AZ62" s="1670">
        <f t="shared" si="54"/>
        <v>0</v>
      </c>
      <c r="BA62" s="1679">
        <f t="shared" si="55"/>
        <v>0</v>
      </c>
    </row>
    <row r="63" spans="2:67" ht="13" thickBot="1" x14ac:dyDescent="0.3">
      <c r="Q63" s="601"/>
      <c r="S63" s="634"/>
      <c r="T63" s="634"/>
      <c r="U63" s="1609"/>
      <c r="V63" s="1609"/>
      <c r="W63" s="1609"/>
      <c r="X63" s="1609"/>
      <c r="AP63" s="1672">
        <f t="shared" si="44"/>
        <v>0</v>
      </c>
      <c r="AQ63" s="1672">
        <f t="shared" si="45"/>
        <v>0</v>
      </c>
      <c r="AR63" s="1672">
        <f t="shared" si="46"/>
        <v>0</v>
      </c>
      <c r="AS63" s="1672">
        <f t="shared" si="47"/>
        <v>0</v>
      </c>
      <c r="AT63" s="1672">
        <f t="shared" si="48"/>
        <v>0</v>
      </c>
      <c r="AU63" s="1672">
        <f t="shared" si="49"/>
        <v>0</v>
      </c>
      <c r="AV63" s="1672">
        <f t="shared" si="50"/>
        <v>0</v>
      </c>
      <c r="AW63" s="1672">
        <f t="shared" si="51"/>
        <v>0</v>
      </c>
      <c r="AX63" s="1672">
        <f t="shared" si="52"/>
        <v>0</v>
      </c>
      <c r="AY63" s="1672">
        <f t="shared" si="53"/>
        <v>0</v>
      </c>
      <c r="AZ63" s="1670">
        <f t="shared" si="54"/>
        <v>0</v>
      </c>
      <c r="BA63" s="1679">
        <f t="shared" si="55"/>
        <v>0</v>
      </c>
    </row>
    <row r="64" spans="2:67" ht="13.5" thickTop="1" x14ac:dyDescent="0.3">
      <c r="B64" s="661" t="s">
        <v>489</v>
      </c>
      <c r="C64" s="662"/>
      <c r="D64" s="662"/>
      <c r="E64" s="662"/>
      <c r="F64" s="662"/>
      <c r="G64" s="662"/>
      <c r="H64" s="663" t="s">
        <v>490</v>
      </c>
      <c r="I64" s="662"/>
      <c r="J64" s="664"/>
      <c r="K64" s="664" t="s">
        <v>491</v>
      </c>
      <c r="Q64" s="601"/>
      <c r="S64" s="634"/>
      <c r="T64" s="634"/>
      <c r="U64" s="634"/>
      <c r="V64" s="634"/>
      <c r="W64" s="634"/>
      <c r="X64" s="634"/>
      <c r="Y64" s="603"/>
      <c r="AA64" s="599"/>
      <c r="AP64" s="1672">
        <f t="shared" si="44"/>
        <v>0</v>
      </c>
      <c r="AQ64" s="1672">
        <f t="shared" si="45"/>
        <v>0</v>
      </c>
      <c r="AR64" s="1672">
        <f t="shared" si="46"/>
        <v>0</v>
      </c>
      <c r="AS64" s="1672">
        <f t="shared" si="47"/>
        <v>0</v>
      </c>
      <c r="AT64" s="1672">
        <f t="shared" si="48"/>
        <v>0</v>
      </c>
      <c r="AU64" s="1672">
        <f t="shared" si="49"/>
        <v>0</v>
      </c>
      <c r="AV64" s="1672">
        <f t="shared" si="50"/>
        <v>0</v>
      </c>
      <c r="AW64" s="1672">
        <f t="shared" si="51"/>
        <v>0</v>
      </c>
      <c r="AX64" s="1672">
        <f t="shared" si="52"/>
        <v>0</v>
      </c>
      <c r="AY64" s="1672">
        <f t="shared" si="53"/>
        <v>0</v>
      </c>
      <c r="AZ64" s="1670">
        <f t="shared" si="54"/>
        <v>0</v>
      </c>
      <c r="BA64" s="1679">
        <f t="shared" si="55"/>
        <v>0</v>
      </c>
    </row>
    <row r="65" spans="2:67" ht="13" x14ac:dyDescent="0.3">
      <c r="B65" s="498" t="s">
        <v>317</v>
      </c>
      <c r="C65" s="529" t="s">
        <v>10</v>
      </c>
      <c r="D65" s="529" t="s">
        <v>11</v>
      </c>
      <c r="E65" s="529" t="s">
        <v>12</v>
      </c>
      <c r="F65" s="529" t="s">
        <v>68</v>
      </c>
      <c r="G65" s="529" t="s">
        <v>61</v>
      </c>
      <c r="H65" s="529" t="s">
        <v>62</v>
      </c>
      <c r="I65" s="383" t="s">
        <v>59</v>
      </c>
      <c r="J65" s="665" t="s">
        <v>60</v>
      </c>
      <c r="K65" s="665"/>
      <c r="Q65" s="601"/>
      <c r="S65" s="634"/>
      <c r="T65" s="634"/>
      <c r="U65" s="87" t="s">
        <v>59</v>
      </c>
      <c r="V65" s="87" t="s">
        <v>60</v>
      </c>
      <c r="W65" s="87" t="s">
        <v>61</v>
      </c>
      <c r="X65" s="87" t="s">
        <v>62</v>
      </c>
      <c r="Y65" s="604"/>
      <c r="AA65" s="599"/>
      <c r="AP65" s="1672">
        <f t="shared" si="44"/>
        <v>0</v>
      </c>
      <c r="AQ65" s="1672">
        <f t="shared" si="45"/>
        <v>0</v>
      </c>
      <c r="AR65" s="1672">
        <f t="shared" si="46"/>
        <v>0</v>
      </c>
      <c r="AS65" s="1672">
        <f t="shared" si="47"/>
        <v>0</v>
      </c>
      <c r="AT65" s="1672">
        <f t="shared" si="48"/>
        <v>0</v>
      </c>
      <c r="AU65" s="1672">
        <f t="shared" si="49"/>
        <v>0</v>
      </c>
      <c r="AV65" s="1672">
        <f t="shared" si="50"/>
        <v>0</v>
      </c>
      <c r="AW65" s="1672">
        <f t="shared" si="51"/>
        <v>0</v>
      </c>
      <c r="AX65" s="1672">
        <f t="shared" si="52"/>
        <v>0</v>
      </c>
      <c r="AY65" s="1672">
        <f t="shared" si="53"/>
        <v>0</v>
      </c>
      <c r="AZ65" s="1670">
        <f t="shared" si="54"/>
        <v>0</v>
      </c>
      <c r="BA65" s="1679">
        <f t="shared" si="55"/>
        <v>0</v>
      </c>
    </row>
    <row r="66" spans="2:67" ht="13" x14ac:dyDescent="0.3">
      <c r="B66" s="498" t="str">
        <f>'Existing Management Practices'!B119</f>
        <v>ESD</v>
      </c>
      <c r="C66" s="666"/>
      <c r="D66" s="666"/>
      <c r="E66" s="666"/>
      <c r="F66" s="666"/>
      <c r="G66" s="666"/>
      <c r="H66" s="666"/>
      <c r="I66" s="666"/>
      <c r="J66" s="667"/>
      <c r="K66" s="667"/>
      <c r="Q66" s="601"/>
      <c r="S66" s="634"/>
      <c r="T66" s="634"/>
      <c r="U66" s="634">
        <v>8</v>
      </c>
      <c r="V66" s="634">
        <v>9</v>
      </c>
      <c r="W66" s="634">
        <v>6</v>
      </c>
      <c r="X66" s="634">
        <v>7</v>
      </c>
      <c r="Y66" s="604"/>
      <c r="AA66" s="599"/>
      <c r="AP66" s="1672">
        <f t="shared" si="44"/>
        <v>0</v>
      </c>
      <c r="AQ66" s="1672">
        <f t="shared" si="45"/>
        <v>0</v>
      </c>
      <c r="AR66" s="1672">
        <f t="shared" si="46"/>
        <v>0</v>
      </c>
      <c r="AS66" s="1672">
        <f t="shared" si="47"/>
        <v>0</v>
      </c>
      <c r="AT66" s="1672">
        <f t="shared" si="48"/>
        <v>0</v>
      </c>
      <c r="AU66" s="1672">
        <f t="shared" si="49"/>
        <v>0</v>
      </c>
      <c r="AV66" s="1672">
        <f t="shared" si="50"/>
        <v>0</v>
      </c>
      <c r="AW66" s="1672">
        <f t="shared" si="51"/>
        <v>0</v>
      </c>
      <c r="AX66" s="1672">
        <f t="shared" si="52"/>
        <v>0</v>
      </c>
      <c r="AY66" s="1672">
        <f t="shared" si="53"/>
        <v>0</v>
      </c>
      <c r="AZ66" s="1670">
        <f t="shared" si="54"/>
        <v>0</v>
      </c>
      <c r="BA66" s="1679">
        <f t="shared" si="55"/>
        <v>0</v>
      </c>
    </row>
    <row r="67" spans="2:67" ht="12.5" x14ac:dyDescent="0.25">
      <c r="B67" s="1625" t="str">
        <f>'Existing Management Practices'!B120</f>
        <v>Green Roof (AGRE)</v>
      </c>
      <c r="C67" s="666">
        <f>'Existing Management Practices'!F120</f>
        <v>0</v>
      </c>
      <c r="D67" s="666">
        <f>'Existing Management Practices'!G120</f>
        <v>0</v>
      </c>
      <c r="E67" s="666">
        <f>'Existing Management Practices'!H120</f>
        <v>0</v>
      </c>
      <c r="F67" s="666">
        <f>'Existing Management Practices'!I120</f>
        <v>0</v>
      </c>
      <c r="G67" s="666">
        <f>'Existing Management Practices'!J120</f>
        <v>0.6</v>
      </c>
      <c r="H67" s="666">
        <f t="shared" ref="H67:H85" si="56">G67</f>
        <v>0.6</v>
      </c>
      <c r="I67" s="666">
        <f>'Existing Management Practices'!K120</f>
        <v>0.6</v>
      </c>
      <c r="J67" s="667">
        <f t="shared" ref="J67:J85" si="57">I67</f>
        <v>0.6</v>
      </c>
      <c r="K67" s="667">
        <v>1</v>
      </c>
      <c r="Q67" s="601"/>
      <c r="S67" s="634"/>
      <c r="T67" s="634"/>
      <c r="U67" s="634"/>
      <c r="V67" s="634"/>
      <c r="W67" s="634"/>
      <c r="X67" s="634"/>
      <c r="Y67" s="604"/>
      <c r="AA67" s="599"/>
      <c r="AO67" s="1696" t="s">
        <v>792</v>
      </c>
      <c r="AP67" s="1697">
        <f t="shared" si="44"/>
        <v>0</v>
      </c>
      <c r="AQ67" s="1697">
        <f t="shared" si="45"/>
        <v>0</v>
      </c>
      <c r="AR67" s="1697">
        <f t="shared" si="46"/>
        <v>0</v>
      </c>
      <c r="AS67" s="1697">
        <f t="shared" si="47"/>
        <v>0</v>
      </c>
      <c r="AT67" s="1697">
        <f t="shared" si="48"/>
        <v>0</v>
      </c>
      <c r="AU67" s="1697">
        <f t="shared" si="49"/>
        <v>0</v>
      </c>
      <c r="AV67" s="1697">
        <f t="shared" si="50"/>
        <v>0</v>
      </c>
      <c r="AW67" s="1697">
        <f t="shared" si="51"/>
        <v>0</v>
      </c>
      <c r="AX67" s="1697">
        <f t="shared" si="52"/>
        <v>0</v>
      </c>
      <c r="AY67" s="1697">
        <f t="shared" si="53"/>
        <v>0</v>
      </c>
      <c r="AZ67" s="1685">
        <f t="shared" si="54"/>
        <v>0</v>
      </c>
      <c r="BA67" s="1698">
        <f t="shared" si="55"/>
        <v>0</v>
      </c>
      <c r="BB67" s="1696"/>
      <c r="BC67" s="1696"/>
      <c r="BD67" s="1696"/>
      <c r="BE67" s="1696"/>
      <c r="BF67" s="1696"/>
      <c r="BG67" s="1696"/>
      <c r="BH67" s="1696"/>
      <c r="BI67" s="1696"/>
      <c r="BJ67" s="1696"/>
      <c r="BK67" s="1696"/>
      <c r="BL67" s="1696"/>
      <c r="BM67" s="1696"/>
      <c r="BN67" s="1696"/>
      <c r="BO67" s="1696"/>
    </row>
    <row r="68" spans="2:67" ht="12.5" x14ac:dyDescent="0.25">
      <c r="B68" s="1625" t="str">
        <f>'Existing Management Practices'!B121</f>
        <v>Permeable Pavement (APRP)</v>
      </c>
      <c r="C68" s="666">
        <f>'Existing Management Practices'!F121</f>
        <v>0.25</v>
      </c>
      <c r="D68" s="666">
        <f>'Existing Management Practices'!G121</f>
        <v>0.25</v>
      </c>
      <c r="E68" s="666">
        <f>'Existing Management Practices'!H121</f>
        <v>0.25</v>
      </c>
      <c r="F68" s="666">
        <f>'Existing Management Practices'!I121</f>
        <v>0</v>
      </c>
      <c r="G68" s="666">
        <f>'Existing Management Practices'!J121</f>
        <v>0.45</v>
      </c>
      <c r="H68" s="666">
        <f t="shared" si="56"/>
        <v>0.45</v>
      </c>
      <c r="I68" s="666">
        <f>'Existing Management Practices'!K121</f>
        <v>0.75</v>
      </c>
      <c r="J68" s="667">
        <f t="shared" si="57"/>
        <v>0.75</v>
      </c>
      <c r="K68" s="667">
        <v>0</v>
      </c>
      <c r="Q68" s="601"/>
      <c r="S68" s="634"/>
      <c r="T68" s="634"/>
      <c r="U68" s="634"/>
      <c r="V68" s="634"/>
      <c r="W68" s="634"/>
      <c r="X68" s="634"/>
      <c r="Y68" s="604"/>
      <c r="AA68" s="599"/>
      <c r="AP68" s="1672">
        <f t="shared" si="44"/>
        <v>2481</v>
      </c>
      <c r="AQ68" s="1672">
        <f t="shared" si="45"/>
        <v>0</v>
      </c>
      <c r="AR68" s="1672">
        <f t="shared" si="46"/>
        <v>0</v>
      </c>
      <c r="AS68" s="1672">
        <f t="shared" si="47"/>
        <v>0</v>
      </c>
      <c r="AT68" s="1672">
        <f t="shared" si="48"/>
        <v>0</v>
      </c>
      <c r="AU68" s="1672">
        <f t="shared" si="49"/>
        <v>0</v>
      </c>
      <c r="AV68" s="1672">
        <f t="shared" si="50"/>
        <v>0</v>
      </c>
      <c r="AW68" s="1672">
        <f t="shared" si="51"/>
        <v>0</v>
      </c>
      <c r="AX68" s="1672">
        <f t="shared" si="52"/>
        <v>0</v>
      </c>
      <c r="AY68" s="1672">
        <f t="shared" si="53"/>
        <v>0</v>
      </c>
      <c r="AZ68" s="1670">
        <f t="shared" si="54"/>
        <v>2481</v>
      </c>
      <c r="BA68" s="1679">
        <f t="shared" si="55"/>
        <v>0</v>
      </c>
      <c r="BD68" s="599">
        <v>2481</v>
      </c>
      <c r="BE68" s="599">
        <v>0</v>
      </c>
    </row>
    <row r="69" spans="2:67" ht="12.5" x14ac:dyDescent="0.25">
      <c r="B69" s="1625" t="str">
        <f>'Existing Management Practices'!B122</f>
        <v>Rooftop Disconnection (NDRR)</v>
      </c>
      <c r="C69" s="666">
        <f>'Existing Management Practices'!F122</f>
        <v>0</v>
      </c>
      <c r="D69" s="666">
        <f>'Existing Management Practices'!G122</f>
        <v>0</v>
      </c>
      <c r="E69" s="666">
        <f>'Existing Management Practices'!H122</f>
        <v>0</v>
      </c>
      <c r="F69" s="666">
        <f>'Existing Management Practices'!I122</f>
        <v>0</v>
      </c>
      <c r="G69" s="666">
        <f>'Existing Management Practices'!J122</f>
        <v>0.25</v>
      </c>
      <c r="H69" s="666">
        <f t="shared" si="56"/>
        <v>0.25</v>
      </c>
      <c r="I69" s="666">
        <f>'Existing Management Practices'!K122</f>
        <v>0.5</v>
      </c>
      <c r="J69" s="667">
        <f t="shared" si="57"/>
        <v>0.5</v>
      </c>
      <c r="K69" s="667">
        <v>0</v>
      </c>
      <c r="Q69" s="601"/>
      <c r="S69" s="634"/>
      <c r="T69" s="634"/>
      <c r="U69" s="634"/>
      <c r="V69" s="634"/>
      <c r="W69" s="634"/>
      <c r="X69" s="634"/>
      <c r="Y69" s="604"/>
      <c r="AA69" s="599"/>
      <c r="AP69" s="1672">
        <f t="shared" si="44"/>
        <v>0</v>
      </c>
      <c r="AQ69" s="1672">
        <f t="shared" si="45"/>
        <v>0</v>
      </c>
      <c r="AR69" s="1672">
        <f t="shared" si="46"/>
        <v>0</v>
      </c>
      <c r="AS69" s="1672">
        <f t="shared" si="47"/>
        <v>0</v>
      </c>
      <c r="AT69" s="1672">
        <f t="shared" si="48"/>
        <v>0</v>
      </c>
      <c r="AU69" s="1672">
        <f t="shared" si="49"/>
        <v>0</v>
      </c>
      <c r="AV69" s="1672">
        <f t="shared" si="50"/>
        <v>0</v>
      </c>
      <c r="AW69" s="1672">
        <f t="shared" si="51"/>
        <v>0</v>
      </c>
      <c r="AX69" s="1672">
        <f t="shared" si="52"/>
        <v>0</v>
      </c>
      <c r="AY69" s="1672">
        <f t="shared" si="53"/>
        <v>0</v>
      </c>
      <c r="AZ69" s="1670">
        <f t="shared" si="54"/>
        <v>0</v>
      </c>
      <c r="BA69" s="1679">
        <f t="shared" si="55"/>
        <v>0</v>
      </c>
    </row>
    <row r="70" spans="2:67" ht="12.5" x14ac:dyDescent="0.25">
      <c r="B70" s="1625" t="str">
        <f>'Existing Management Practices'!B123</f>
        <v>Sheetflow to Open Space (NSCA)</v>
      </c>
      <c r="C70" s="666">
        <f>'Existing Management Practices'!F123</f>
        <v>0</v>
      </c>
      <c r="D70" s="666">
        <f>'Existing Management Practices'!G123</f>
        <v>0</v>
      </c>
      <c r="E70" s="666">
        <f>'Existing Management Practices'!H123</f>
        <v>0</v>
      </c>
      <c r="F70" s="666">
        <f>'Existing Management Practices'!I123</f>
        <v>0</v>
      </c>
      <c r="G70" s="666">
        <f>'Existing Management Practices'!J123</f>
        <v>0.5</v>
      </c>
      <c r="H70" s="666">
        <f t="shared" si="56"/>
        <v>0.5</v>
      </c>
      <c r="I70" s="666">
        <f>'Existing Management Practices'!K123</f>
        <v>0.75</v>
      </c>
      <c r="J70" s="667">
        <f t="shared" si="57"/>
        <v>0.75</v>
      </c>
      <c r="K70" s="667">
        <v>0</v>
      </c>
      <c r="Q70" s="599"/>
      <c r="R70" s="599"/>
      <c r="S70" s="1609"/>
      <c r="T70" s="1609"/>
      <c r="U70" s="1609"/>
      <c r="V70" s="1609"/>
      <c r="W70" s="1609"/>
      <c r="X70" s="1609"/>
      <c r="Y70" s="604"/>
      <c r="AA70" s="599"/>
      <c r="AP70" s="1672">
        <f t="shared" si="44"/>
        <v>0</v>
      </c>
      <c r="AQ70" s="1672">
        <f t="shared" si="45"/>
        <v>0</v>
      </c>
      <c r="AR70" s="1672">
        <f t="shared" si="46"/>
        <v>0</v>
      </c>
      <c r="AS70" s="1672">
        <f t="shared" si="47"/>
        <v>0</v>
      </c>
      <c r="AT70" s="1672">
        <f t="shared" si="48"/>
        <v>0</v>
      </c>
      <c r="AU70" s="1672">
        <f t="shared" si="49"/>
        <v>0</v>
      </c>
      <c r="AV70" s="1672">
        <f t="shared" si="50"/>
        <v>0</v>
      </c>
      <c r="AW70" s="1672">
        <f t="shared" si="51"/>
        <v>0</v>
      </c>
      <c r="AX70" s="1672">
        <f t="shared" si="52"/>
        <v>0</v>
      </c>
      <c r="AY70" s="1672">
        <f t="shared" si="53"/>
        <v>0</v>
      </c>
      <c r="AZ70" s="1670">
        <f t="shared" si="54"/>
        <v>0</v>
      </c>
      <c r="BA70" s="1679">
        <f t="shared" si="55"/>
        <v>0</v>
      </c>
      <c r="BJ70" s="1718"/>
      <c r="BK70" s="1718"/>
    </row>
    <row r="71" spans="2:67" ht="12.5" x14ac:dyDescent="0.25">
      <c r="B71" s="1625" t="str">
        <f>'Existing Management Practices'!B124</f>
        <v>Raintanks and Cisterns (MRWH)</v>
      </c>
      <c r="C71" s="666">
        <f>'Existing Management Practices'!F124</f>
        <v>0</v>
      </c>
      <c r="D71" s="666">
        <f>'Existing Management Practices'!G124</f>
        <v>0</v>
      </c>
      <c r="E71" s="666">
        <f>'Existing Management Practices'!H124</f>
        <v>0</v>
      </c>
      <c r="F71" s="666">
        <f>'Existing Management Practices'!I124</f>
        <v>0</v>
      </c>
      <c r="G71" s="666">
        <f>'Existing Management Practices'!J124</f>
        <v>0.4</v>
      </c>
      <c r="H71" s="666">
        <f t="shared" si="56"/>
        <v>0.4</v>
      </c>
      <c r="I71" s="666">
        <f>'Existing Management Practices'!K124</f>
        <v>0.4</v>
      </c>
      <c r="J71" s="667">
        <f t="shared" si="57"/>
        <v>0.4</v>
      </c>
      <c r="K71" s="667">
        <v>1</v>
      </c>
      <c r="N71" s="603"/>
      <c r="Q71" s="601"/>
      <c r="R71" s="599"/>
      <c r="S71" s="1609"/>
      <c r="T71" s="1609"/>
      <c r="U71" s="1609"/>
      <c r="V71" s="1609"/>
      <c r="W71" s="1609"/>
      <c r="X71" s="1609"/>
      <c r="Y71" s="604"/>
      <c r="AA71" s="599"/>
      <c r="AP71" s="1672">
        <f t="shared" si="44"/>
        <v>0</v>
      </c>
      <c r="AQ71" s="1672">
        <f t="shared" si="45"/>
        <v>0</v>
      </c>
      <c r="AR71" s="1672">
        <f t="shared" si="46"/>
        <v>0</v>
      </c>
      <c r="AS71" s="1672">
        <f t="shared" si="47"/>
        <v>0</v>
      </c>
      <c r="AT71" s="1672">
        <f t="shared" si="48"/>
        <v>0</v>
      </c>
      <c r="AU71" s="1672">
        <f t="shared" si="49"/>
        <v>0</v>
      </c>
      <c r="AV71" s="1672">
        <f t="shared" si="50"/>
        <v>0</v>
      </c>
      <c r="AW71" s="1672">
        <f t="shared" si="51"/>
        <v>0</v>
      </c>
      <c r="AX71" s="1672">
        <f t="shared" si="52"/>
        <v>0</v>
      </c>
      <c r="AY71" s="1672">
        <f t="shared" si="53"/>
        <v>0</v>
      </c>
      <c r="AZ71" s="1670">
        <f t="shared" si="54"/>
        <v>0</v>
      </c>
      <c r="BA71" s="1679">
        <f t="shared" si="55"/>
        <v>0</v>
      </c>
    </row>
    <row r="72" spans="2:67" ht="13" x14ac:dyDescent="0.3">
      <c r="B72" s="498" t="str">
        <f>'Existing Management Practices'!B126</f>
        <v>STRUCTURAL</v>
      </c>
      <c r="C72" s="666"/>
      <c r="D72" s="666"/>
      <c r="E72" s="666"/>
      <c r="F72" s="666"/>
      <c r="G72" s="666"/>
      <c r="H72" s="666"/>
      <c r="I72" s="666"/>
      <c r="J72" s="667"/>
      <c r="K72" s="667"/>
      <c r="N72" s="603"/>
      <c r="Q72" s="601"/>
      <c r="R72" s="599"/>
      <c r="S72" s="1609"/>
      <c r="T72" s="1609"/>
      <c r="U72" s="1609"/>
      <c r="V72" s="1609"/>
      <c r="W72" s="1609"/>
      <c r="X72" s="1609"/>
      <c r="Y72" s="604"/>
      <c r="AA72" s="599"/>
      <c r="AP72" s="1672">
        <f t="shared" si="44"/>
        <v>0</v>
      </c>
      <c r="AQ72" s="1672">
        <f t="shared" si="45"/>
        <v>0</v>
      </c>
      <c r="AR72" s="1672">
        <f t="shared" si="46"/>
        <v>0</v>
      </c>
      <c r="AS72" s="1672">
        <f t="shared" si="47"/>
        <v>0</v>
      </c>
      <c r="AT72" s="1672">
        <f t="shared" si="48"/>
        <v>0</v>
      </c>
      <c r="AU72" s="1672">
        <f t="shared" si="49"/>
        <v>0</v>
      </c>
      <c r="AV72" s="1672">
        <f t="shared" si="50"/>
        <v>0</v>
      </c>
      <c r="AW72" s="1672">
        <f t="shared" si="51"/>
        <v>0</v>
      </c>
      <c r="AX72" s="1672">
        <f t="shared" si="52"/>
        <v>0</v>
      </c>
      <c r="AY72" s="1672">
        <f t="shared" si="53"/>
        <v>0</v>
      </c>
      <c r="AZ72" s="1670">
        <f t="shared" si="54"/>
        <v>0</v>
      </c>
      <c r="BA72" s="1679">
        <f t="shared" si="55"/>
        <v>0</v>
      </c>
    </row>
    <row r="73" spans="2:67" ht="12.5" x14ac:dyDescent="0.25">
      <c r="B73" s="1625" t="str">
        <f>'Existing Management Practices'!B127</f>
        <v>Wet Pond (PWET PPKT PWED)</v>
      </c>
      <c r="C73" s="666">
        <f>'Existing Management Practices'!F127</f>
        <v>0.4</v>
      </c>
      <c r="D73" s="666">
        <f>'Existing Management Practices'!G127</f>
        <v>0.75</v>
      </c>
      <c r="E73" s="666">
        <f>'Existing Management Practices'!H127</f>
        <v>0.85</v>
      </c>
      <c r="F73" s="666">
        <f>'Existing Management Practices'!I127</f>
        <v>0.7</v>
      </c>
      <c r="G73" s="666">
        <f>'Existing Management Practices'!J127</f>
        <v>0</v>
      </c>
      <c r="H73" s="666">
        <f t="shared" si="56"/>
        <v>0</v>
      </c>
      <c r="I73" s="666">
        <f>'Existing Management Practices'!K127</f>
        <v>0</v>
      </c>
      <c r="J73" s="667">
        <f t="shared" si="57"/>
        <v>0</v>
      </c>
      <c r="K73" s="667">
        <v>0</v>
      </c>
      <c r="N73" s="603"/>
      <c r="Q73" s="601"/>
      <c r="R73" s="599"/>
      <c r="S73" s="1609"/>
      <c r="T73" s="1609"/>
      <c r="U73" s="1609"/>
      <c r="V73" s="1609"/>
      <c r="W73" s="1609"/>
      <c r="X73" s="1609"/>
      <c r="Y73" s="604"/>
      <c r="AA73" s="599"/>
      <c r="AO73" s="1712" t="s">
        <v>793</v>
      </c>
      <c r="AP73" s="1672">
        <f t="shared" si="44"/>
        <v>0</v>
      </c>
      <c r="AQ73" s="1672">
        <f t="shared" si="45"/>
        <v>0</v>
      </c>
      <c r="AR73" s="1672">
        <f t="shared" si="46"/>
        <v>0</v>
      </c>
      <c r="AS73" s="1672">
        <f t="shared" si="47"/>
        <v>0</v>
      </c>
      <c r="AT73" s="1672">
        <f t="shared" si="48"/>
        <v>0</v>
      </c>
      <c r="AU73" s="1672">
        <f t="shared" si="49"/>
        <v>0</v>
      </c>
      <c r="AV73" s="1672">
        <f t="shared" si="50"/>
        <v>0</v>
      </c>
      <c r="AW73" s="1672">
        <f t="shared" si="51"/>
        <v>0</v>
      </c>
      <c r="AX73" s="1672">
        <f t="shared" si="52"/>
        <v>0</v>
      </c>
      <c r="AY73" s="1672">
        <f t="shared" si="53"/>
        <v>0</v>
      </c>
      <c r="AZ73" s="1670">
        <f t="shared" si="54"/>
        <v>0</v>
      </c>
      <c r="BA73" s="1679">
        <f t="shared" si="55"/>
        <v>0</v>
      </c>
      <c r="BB73" s="1713"/>
      <c r="BC73" s="1696"/>
      <c r="BD73" s="1696"/>
      <c r="BE73" s="1696"/>
      <c r="BF73" s="1696"/>
      <c r="BG73" s="1696"/>
      <c r="BH73" s="1696"/>
      <c r="BI73" s="1696"/>
      <c r="BJ73" s="1696"/>
      <c r="BK73" s="1696"/>
      <c r="BL73" s="1696"/>
      <c r="BM73" s="1696"/>
      <c r="BN73" s="1696"/>
      <c r="BO73" s="1696"/>
    </row>
    <row r="74" spans="2:67" ht="12.5" x14ac:dyDescent="0.25">
      <c r="B74" s="1625" t="str">
        <f>'Existing Management Practices'!B128</f>
        <v>Wetland (WSHW)</v>
      </c>
      <c r="C74" s="666">
        <f>'Existing Management Practices'!F128</f>
        <v>0.55000000000000004</v>
      </c>
      <c r="D74" s="666">
        <f>'Existing Management Practices'!G128</f>
        <v>0.75</v>
      </c>
      <c r="E74" s="666">
        <f>'Existing Management Practices'!H128</f>
        <v>0.85</v>
      </c>
      <c r="F74" s="666">
        <f>'Existing Management Practices'!I128</f>
        <v>0.8</v>
      </c>
      <c r="G74" s="666">
        <f>'Existing Management Practices'!J128</f>
        <v>0</v>
      </c>
      <c r="H74" s="666">
        <f t="shared" si="56"/>
        <v>0</v>
      </c>
      <c r="I74" s="666">
        <f>'Existing Management Practices'!K128</f>
        <v>0</v>
      </c>
      <c r="J74" s="667">
        <f t="shared" si="57"/>
        <v>0</v>
      </c>
      <c r="K74" s="667">
        <v>0</v>
      </c>
      <c r="N74" s="603"/>
      <c r="Q74" s="601"/>
      <c r="R74" s="599"/>
      <c r="S74" s="1609"/>
      <c r="T74" s="1609"/>
      <c r="U74" s="1609"/>
      <c r="V74" s="1609"/>
      <c r="W74" s="1609"/>
      <c r="X74" s="1609"/>
      <c r="Y74" s="604"/>
      <c r="AA74" s="599"/>
      <c r="AO74" s="599" t="s">
        <v>794</v>
      </c>
      <c r="AP74" s="1672">
        <f t="shared" si="44"/>
        <v>0</v>
      </c>
      <c r="AQ74" s="1672">
        <f t="shared" si="45"/>
        <v>0</v>
      </c>
      <c r="AR74" s="1672">
        <f t="shared" si="46"/>
        <v>0</v>
      </c>
      <c r="AS74" s="1672">
        <f t="shared" si="47"/>
        <v>0</v>
      </c>
      <c r="AT74" s="1672">
        <f t="shared" si="48"/>
        <v>0</v>
      </c>
      <c r="AU74" s="1672">
        <f t="shared" si="49"/>
        <v>0</v>
      </c>
      <c r="AV74" s="1672">
        <f t="shared" si="50"/>
        <v>0</v>
      </c>
      <c r="AW74" s="1672">
        <f t="shared" si="51"/>
        <v>0</v>
      </c>
      <c r="AX74" s="1672">
        <f t="shared" si="52"/>
        <v>0</v>
      </c>
      <c r="AY74" s="1672">
        <f t="shared" si="53"/>
        <v>0</v>
      </c>
      <c r="AZ74" s="1670">
        <f t="shared" si="54"/>
        <v>0</v>
      </c>
      <c r="BA74" s="1679">
        <f t="shared" si="55"/>
        <v>0</v>
      </c>
    </row>
    <row r="75" spans="2:67" ht="12.5" x14ac:dyDescent="0.25">
      <c r="B75" s="1625" t="str">
        <f>'Existing Management Practices'!B129</f>
        <v>Infiltration Practices (IBAS ITRN)</v>
      </c>
      <c r="C75" s="666">
        <f>'Existing Management Practices'!F129</f>
        <v>0.15</v>
      </c>
      <c r="D75" s="666">
        <f>'Existing Management Practices'!G129</f>
        <v>0.25</v>
      </c>
      <c r="E75" s="666">
        <f>'Existing Management Practices'!H129</f>
        <v>0.5</v>
      </c>
      <c r="F75" s="666">
        <f>'Existing Management Practices'!I129</f>
        <v>0.85</v>
      </c>
      <c r="G75" s="666">
        <f>'Existing Management Practices'!J129</f>
        <v>0.5</v>
      </c>
      <c r="H75" s="666">
        <f t="shared" si="56"/>
        <v>0.5</v>
      </c>
      <c r="I75" s="666">
        <f>'Existing Management Practices'!K129</f>
        <v>0.9</v>
      </c>
      <c r="J75" s="667">
        <f t="shared" si="57"/>
        <v>0.9</v>
      </c>
      <c r="K75" s="667">
        <v>0</v>
      </c>
      <c r="N75" s="603"/>
      <c r="Q75" s="601"/>
      <c r="R75" s="599"/>
      <c r="S75" s="1609"/>
      <c r="T75" s="1609"/>
      <c r="U75" s="1609"/>
      <c r="V75" s="1609"/>
      <c r="W75" s="1609"/>
      <c r="X75" s="1609"/>
      <c r="Y75" s="604"/>
      <c r="AA75" s="599"/>
      <c r="AO75" s="599" t="s">
        <v>795</v>
      </c>
      <c r="AP75" s="1672">
        <f t="shared" si="44"/>
        <v>0</v>
      </c>
      <c r="AQ75" s="1672">
        <f t="shared" si="45"/>
        <v>0</v>
      </c>
      <c r="AR75" s="1672">
        <f t="shared" si="46"/>
        <v>0</v>
      </c>
      <c r="AS75" s="1672">
        <f t="shared" si="47"/>
        <v>0</v>
      </c>
      <c r="AT75" s="1672">
        <f t="shared" si="48"/>
        <v>0</v>
      </c>
      <c r="AU75" s="1672">
        <f t="shared" si="49"/>
        <v>0</v>
      </c>
      <c r="AV75" s="1672">
        <f t="shared" si="50"/>
        <v>0</v>
      </c>
      <c r="AW75" s="1672">
        <f t="shared" si="51"/>
        <v>0</v>
      </c>
      <c r="AX75" s="1672">
        <f t="shared" si="52"/>
        <v>0</v>
      </c>
      <c r="AY75" s="1672">
        <f t="shared" si="53"/>
        <v>0</v>
      </c>
      <c r="AZ75" s="1670">
        <f t="shared" si="54"/>
        <v>0</v>
      </c>
      <c r="BA75" s="1679">
        <f t="shared" si="55"/>
        <v>0</v>
      </c>
    </row>
    <row r="76" spans="2:67" ht="12.5" x14ac:dyDescent="0.25">
      <c r="B76" s="1625" t="str">
        <f>'Existing Management Practices'!B130</f>
        <v>Bioretention (FBIO MMBR)</v>
      </c>
      <c r="C76" s="666">
        <f>'Existing Management Practices'!F130</f>
        <v>0.6</v>
      </c>
      <c r="D76" s="666">
        <f>'Existing Management Practices'!G130</f>
        <v>0.5</v>
      </c>
      <c r="E76" s="666">
        <f>'Existing Management Practices'!H130</f>
        <v>0.5</v>
      </c>
      <c r="F76" s="666">
        <f>'Existing Management Practices'!I130</f>
        <v>0.5</v>
      </c>
      <c r="G76" s="666">
        <f>'Existing Management Practices'!J130</f>
        <v>0.4</v>
      </c>
      <c r="H76" s="666">
        <f t="shared" si="56"/>
        <v>0.4</v>
      </c>
      <c r="I76" s="666">
        <f>'Existing Management Practices'!K130</f>
        <v>0.8</v>
      </c>
      <c r="J76" s="667">
        <f t="shared" si="57"/>
        <v>0.8</v>
      </c>
      <c r="K76" s="667">
        <v>0</v>
      </c>
      <c r="N76" s="603"/>
      <c r="Q76" s="601"/>
      <c r="R76" s="599"/>
      <c r="S76" s="1609"/>
      <c r="T76" s="1609"/>
      <c r="U76" s="1609"/>
      <c r="V76" s="1609"/>
      <c r="W76" s="1609"/>
      <c r="X76" s="1609"/>
      <c r="Y76" s="604"/>
      <c r="AA76" s="599"/>
      <c r="AO76" s="599" t="s">
        <v>796</v>
      </c>
      <c r="AP76" s="1672">
        <f t="shared" si="44"/>
        <v>0</v>
      </c>
      <c r="AQ76" s="1672">
        <f t="shared" si="45"/>
        <v>0</v>
      </c>
      <c r="AR76" s="1672">
        <f t="shared" si="46"/>
        <v>0</v>
      </c>
      <c r="AS76" s="1672">
        <f t="shared" si="47"/>
        <v>0</v>
      </c>
      <c r="AT76" s="1672">
        <f t="shared" si="48"/>
        <v>0</v>
      </c>
      <c r="AU76" s="1672">
        <f t="shared" si="49"/>
        <v>0</v>
      </c>
      <c r="AV76" s="1672">
        <f t="shared" si="50"/>
        <v>0</v>
      </c>
      <c r="AW76" s="1672">
        <f t="shared" si="51"/>
        <v>0</v>
      </c>
      <c r="AX76" s="1672">
        <f t="shared" si="52"/>
        <v>0</v>
      </c>
      <c r="AY76" s="1672">
        <f t="shared" si="53"/>
        <v>0</v>
      </c>
      <c r="AZ76" s="1670">
        <f t="shared" si="54"/>
        <v>0</v>
      </c>
      <c r="BA76" s="1679">
        <f t="shared" si="55"/>
        <v>0</v>
      </c>
    </row>
    <row r="77" spans="2:67" ht="12.5" x14ac:dyDescent="0.25">
      <c r="B77" s="1625" t="str">
        <f>'Existing Management Practices'!B131</f>
        <v>Filters (FSND FUND)</v>
      </c>
      <c r="C77" s="666">
        <f>'Existing Management Practices'!F131</f>
        <v>0.45</v>
      </c>
      <c r="D77" s="666">
        <f>'Existing Management Practices'!G131</f>
        <v>0.65</v>
      </c>
      <c r="E77" s="666">
        <f>'Existing Management Practices'!H131</f>
        <v>0.9</v>
      </c>
      <c r="F77" s="666">
        <f>'Existing Management Practices'!I131</f>
        <v>0.8</v>
      </c>
      <c r="G77" s="666">
        <f>'Existing Management Practices'!J131</f>
        <v>0</v>
      </c>
      <c r="H77" s="666">
        <f t="shared" si="56"/>
        <v>0</v>
      </c>
      <c r="I77" s="666">
        <f>'Existing Management Practices'!K131</f>
        <v>0</v>
      </c>
      <c r="J77" s="667">
        <f t="shared" si="57"/>
        <v>0</v>
      </c>
      <c r="K77" s="667">
        <v>0</v>
      </c>
      <c r="N77" s="603"/>
      <c r="Q77" s="601"/>
      <c r="R77" s="599"/>
      <c r="S77" s="1609"/>
      <c r="T77" s="1609"/>
      <c r="U77" s="1609"/>
      <c r="V77" s="1609"/>
      <c r="W77" s="1609"/>
      <c r="X77" s="1609"/>
      <c r="Y77" s="604"/>
      <c r="AA77" s="599"/>
      <c r="AO77" s="599" t="s">
        <v>797</v>
      </c>
      <c r="AP77" s="1672">
        <f t="shared" si="44"/>
        <v>0</v>
      </c>
      <c r="AQ77" s="1672">
        <f t="shared" si="45"/>
        <v>0</v>
      </c>
      <c r="AR77" s="1672">
        <f t="shared" si="46"/>
        <v>0</v>
      </c>
      <c r="AS77" s="1672">
        <f t="shared" si="47"/>
        <v>0</v>
      </c>
      <c r="AT77" s="1672">
        <f t="shared" si="48"/>
        <v>0</v>
      </c>
      <c r="AU77" s="1672">
        <f t="shared" si="49"/>
        <v>0</v>
      </c>
      <c r="AV77" s="1672">
        <f t="shared" si="50"/>
        <v>0</v>
      </c>
      <c r="AW77" s="1672">
        <f t="shared" si="51"/>
        <v>0</v>
      </c>
      <c r="AX77" s="1672">
        <f t="shared" si="52"/>
        <v>0</v>
      </c>
      <c r="AY77" s="1672">
        <f t="shared" si="53"/>
        <v>0</v>
      </c>
      <c r="AZ77" s="1670">
        <f t="shared" si="54"/>
        <v>0</v>
      </c>
      <c r="BA77" s="1679">
        <f t="shared" si="55"/>
        <v>0</v>
      </c>
    </row>
    <row r="78" spans="2:67" ht="12.5" x14ac:dyDescent="0.25">
      <c r="B78" s="1625" t="str">
        <f>'Existing Management Practices'!B132</f>
        <v>Dry Swale (ODSW MSWB )</v>
      </c>
      <c r="C78" s="666">
        <f>'Existing Management Practices'!F132</f>
        <v>0.35</v>
      </c>
      <c r="D78" s="666">
        <f>'Existing Management Practices'!G132</f>
        <v>0.4</v>
      </c>
      <c r="E78" s="666">
        <f>'Existing Management Practices'!H132</f>
        <v>0.4</v>
      </c>
      <c r="F78" s="666">
        <f>'Existing Management Practices'!I132</f>
        <v>0</v>
      </c>
      <c r="G78" s="666">
        <f>'Existing Management Practices'!J132</f>
        <v>0.4</v>
      </c>
      <c r="H78" s="666">
        <f t="shared" si="56"/>
        <v>0.4</v>
      </c>
      <c r="I78" s="666">
        <f>'Existing Management Practices'!K132</f>
        <v>0.6</v>
      </c>
      <c r="J78" s="667">
        <f t="shared" si="57"/>
        <v>0.6</v>
      </c>
      <c r="K78" s="667">
        <v>0</v>
      </c>
      <c r="N78" s="603"/>
      <c r="Q78" s="601"/>
      <c r="R78" s="599"/>
      <c r="S78" s="1609"/>
      <c r="T78" s="1609"/>
      <c r="U78" s="1609"/>
      <c r="V78" s="1609"/>
      <c r="W78" s="1609"/>
      <c r="X78" s="1609"/>
      <c r="Y78" s="604"/>
      <c r="AA78" s="599"/>
      <c r="AO78" s="599" t="s">
        <v>798</v>
      </c>
      <c r="AP78" s="1672">
        <f t="shared" si="44"/>
        <v>0</v>
      </c>
      <c r="AQ78" s="1672">
        <f t="shared" si="45"/>
        <v>0</v>
      </c>
      <c r="AR78" s="1672">
        <f t="shared" si="46"/>
        <v>0</v>
      </c>
      <c r="AS78" s="1672">
        <f t="shared" si="47"/>
        <v>0</v>
      </c>
      <c r="AT78" s="1672">
        <f t="shared" si="48"/>
        <v>0</v>
      </c>
      <c r="AU78" s="1672">
        <f t="shared" si="49"/>
        <v>0</v>
      </c>
      <c r="AV78" s="1672">
        <f t="shared" si="50"/>
        <v>0</v>
      </c>
      <c r="AW78" s="1672">
        <f t="shared" si="51"/>
        <v>0</v>
      </c>
      <c r="AX78" s="1715">
        <f>+BL78</f>
        <v>0</v>
      </c>
      <c r="AY78" s="1672">
        <f t="shared" si="53"/>
        <v>0</v>
      </c>
      <c r="AZ78" s="1967">
        <f>+AP78+AR78+AT78+AV78+AX78</f>
        <v>0</v>
      </c>
      <c r="BA78" s="1679">
        <f t="shared" si="55"/>
        <v>0</v>
      </c>
      <c r="BL78" s="604"/>
    </row>
    <row r="79" spans="2:67" ht="12.5" x14ac:dyDescent="0.25">
      <c r="B79" s="1625" t="str">
        <f>'Existing Management Practices'!B133</f>
        <v>Wet Swale (OWSW MSWW)</v>
      </c>
      <c r="C79" s="666">
        <f>'Existing Management Practices'!F133</f>
        <v>0.35</v>
      </c>
      <c r="D79" s="666">
        <f>'Existing Management Practices'!G133</f>
        <v>0.4</v>
      </c>
      <c r="E79" s="666">
        <f>'Existing Management Practices'!H133</f>
        <v>0.4</v>
      </c>
      <c r="F79" s="666">
        <f>'Existing Management Practices'!I133</f>
        <v>0</v>
      </c>
      <c r="G79" s="666">
        <f>'Existing Management Practices'!J133</f>
        <v>0</v>
      </c>
      <c r="H79" s="666">
        <f>G79</f>
        <v>0</v>
      </c>
      <c r="I79" s="666">
        <f>'Existing Management Practices'!K133</f>
        <v>0</v>
      </c>
      <c r="J79" s="667">
        <f>I79</f>
        <v>0</v>
      </c>
      <c r="K79" s="667">
        <v>0</v>
      </c>
      <c r="N79" s="603"/>
      <c r="Q79" s="601"/>
      <c r="R79" s="599"/>
      <c r="S79" s="1609"/>
      <c r="T79" s="1609"/>
      <c r="U79" s="1609"/>
      <c r="V79" s="1609"/>
      <c r="W79" s="1609"/>
      <c r="X79" s="1609"/>
      <c r="Y79" s="604"/>
      <c r="AA79" s="599"/>
      <c r="AO79" s="599" t="s">
        <v>799</v>
      </c>
      <c r="AP79" s="1672">
        <f t="shared" si="44"/>
        <v>0</v>
      </c>
      <c r="AQ79" s="1672">
        <f t="shared" si="45"/>
        <v>0</v>
      </c>
      <c r="AR79" s="1672">
        <f t="shared" si="46"/>
        <v>0</v>
      </c>
      <c r="AS79" s="1672">
        <f t="shared" si="47"/>
        <v>0</v>
      </c>
      <c r="AT79" s="1672">
        <f t="shared" si="48"/>
        <v>0</v>
      </c>
      <c r="AU79" s="1672">
        <f t="shared" si="49"/>
        <v>0</v>
      </c>
      <c r="AV79" s="1672">
        <f t="shared" si="50"/>
        <v>0</v>
      </c>
      <c r="AW79" s="1672">
        <f t="shared" si="51"/>
        <v>0</v>
      </c>
      <c r="AX79" s="1715">
        <f t="shared" si="52"/>
        <v>0</v>
      </c>
      <c r="AY79" s="1672">
        <f t="shared" si="53"/>
        <v>0</v>
      </c>
      <c r="AZ79" s="1715">
        <f t="shared" si="54"/>
        <v>0</v>
      </c>
      <c r="BA79" s="1679">
        <f t="shared" si="55"/>
        <v>0</v>
      </c>
      <c r="BL79" s="604"/>
    </row>
    <row r="80" spans="2:67" ht="13" x14ac:dyDescent="0.3">
      <c r="B80" s="498" t="str">
        <f>'Existing Management Practices'!B134</f>
        <v>OTHER</v>
      </c>
      <c r="C80" s="666"/>
      <c r="D80" s="666"/>
      <c r="E80" s="666"/>
      <c r="F80" s="666"/>
      <c r="G80" s="666"/>
      <c r="H80" s="666"/>
      <c r="I80" s="666"/>
      <c r="J80" s="667"/>
      <c r="K80" s="667"/>
      <c r="N80" s="603"/>
      <c r="Q80" s="601"/>
      <c r="R80" s="599"/>
      <c r="S80" s="1609"/>
      <c r="T80" s="1609"/>
      <c r="U80" s="1609"/>
      <c r="V80" s="1609"/>
      <c r="W80" s="1609"/>
      <c r="X80" s="1609"/>
      <c r="Y80" s="604"/>
      <c r="AA80" s="599"/>
      <c r="AO80" s="599" t="s">
        <v>800</v>
      </c>
      <c r="AP80" s="1672">
        <f t="shared" si="44"/>
        <v>0</v>
      </c>
      <c r="AQ80" s="1672">
        <f t="shared" si="45"/>
        <v>0</v>
      </c>
      <c r="AR80" s="1672">
        <f t="shared" si="46"/>
        <v>0</v>
      </c>
      <c r="AS80" s="1672">
        <f t="shared" si="47"/>
        <v>0</v>
      </c>
      <c r="AT80" s="1672">
        <f t="shared" si="48"/>
        <v>0</v>
      </c>
      <c r="AU80" s="1672">
        <f t="shared" si="49"/>
        <v>0</v>
      </c>
      <c r="AV80" s="1672">
        <f t="shared" si="50"/>
        <v>0</v>
      </c>
      <c r="AW80" s="1672">
        <f t="shared" si="51"/>
        <v>0</v>
      </c>
      <c r="AX80" s="1672">
        <f t="shared" si="52"/>
        <v>0</v>
      </c>
      <c r="AY80" s="1672">
        <f t="shared" si="53"/>
        <v>0</v>
      </c>
      <c r="AZ80" s="1670">
        <f t="shared" si="54"/>
        <v>0</v>
      </c>
      <c r="BA80" s="1679">
        <f t="shared" si="55"/>
        <v>0</v>
      </c>
    </row>
    <row r="81" spans="2:220" ht="12.5" x14ac:dyDescent="0.25">
      <c r="B81" s="1625" t="str">
        <f>'Existing Management Practices'!B135</f>
        <v>Dry Water Quantity Pond (XDPD)</v>
      </c>
      <c r="C81" s="666">
        <f>'Existing Management Practices'!F135</f>
        <v>0.05</v>
      </c>
      <c r="D81" s="666">
        <f>'Existing Management Practices'!G135</f>
        <v>0.1</v>
      </c>
      <c r="E81" s="666">
        <f>'Existing Management Practices'!H135</f>
        <v>0.1</v>
      </c>
      <c r="F81" s="666">
        <f>'Existing Management Practices'!I135</f>
        <v>0</v>
      </c>
      <c r="G81" s="666">
        <f>'Existing Management Practices'!J135</f>
        <v>0</v>
      </c>
      <c r="H81" s="666">
        <f t="shared" si="56"/>
        <v>0</v>
      </c>
      <c r="I81" s="666">
        <f>'Existing Management Practices'!K135</f>
        <v>0</v>
      </c>
      <c r="J81" s="667">
        <f t="shared" si="57"/>
        <v>0</v>
      </c>
      <c r="K81" s="667">
        <v>0</v>
      </c>
      <c r="N81" s="603"/>
      <c r="Q81" s="601"/>
      <c r="R81" s="599"/>
      <c r="S81" s="1609"/>
      <c r="T81" s="1609"/>
      <c r="U81" s="1609"/>
      <c r="V81" s="1609"/>
      <c r="W81" s="1609"/>
      <c r="X81" s="1609"/>
      <c r="Y81" s="604"/>
      <c r="AA81" s="599"/>
      <c r="AO81" s="599" t="s">
        <v>801</v>
      </c>
      <c r="AP81" s="1672">
        <f t="shared" si="44"/>
        <v>0</v>
      </c>
      <c r="AQ81" s="1672">
        <f t="shared" si="45"/>
        <v>0</v>
      </c>
      <c r="AR81" s="1672">
        <f t="shared" si="46"/>
        <v>0</v>
      </c>
      <c r="AS81" s="1672">
        <f t="shared" si="47"/>
        <v>0</v>
      </c>
      <c r="AT81" s="1672">
        <f t="shared" si="48"/>
        <v>0</v>
      </c>
      <c r="AU81" s="1672">
        <f t="shared" si="49"/>
        <v>0</v>
      </c>
      <c r="AV81" s="1672">
        <f t="shared" si="50"/>
        <v>0</v>
      </c>
      <c r="AW81" s="1672">
        <f t="shared" si="51"/>
        <v>0</v>
      </c>
      <c r="AX81" s="1672">
        <f t="shared" si="52"/>
        <v>0</v>
      </c>
      <c r="AY81" s="1672">
        <f t="shared" si="53"/>
        <v>0</v>
      </c>
      <c r="AZ81" s="1670">
        <f t="shared" si="54"/>
        <v>0</v>
      </c>
      <c r="BA81" s="1679">
        <f t="shared" si="55"/>
        <v>0</v>
      </c>
    </row>
    <row r="82" spans="2:220" ht="12.5" x14ac:dyDescent="0.25">
      <c r="B82" s="1625" t="str">
        <f>'Existing Management Practices'!B136</f>
        <v>Dry Extended Detention Pond (XDED)</v>
      </c>
      <c r="C82" s="666">
        <f>'Existing Management Practices'!F136</f>
        <v>0.1</v>
      </c>
      <c r="D82" s="666">
        <f>'Existing Management Practices'!G136</f>
        <v>0.15</v>
      </c>
      <c r="E82" s="666">
        <f>'Existing Management Practices'!H136</f>
        <v>0.7</v>
      </c>
      <c r="F82" s="666">
        <f>'Existing Management Practices'!I136</f>
        <v>0</v>
      </c>
      <c r="G82" s="666">
        <f>'Existing Management Practices'!J136</f>
        <v>0</v>
      </c>
      <c r="H82" s="666">
        <f t="shared" si="56"/>
        <v>0</v>
      </c>
      <c r="I82" s="666">
        <f>'Existing Management Practices'!K136</f>
        <v>0.15</v>
      </c>
      <c r="J82" s="667">
        <f t="shared" si="57"/>
        <v>0.15</v>
      </c>
      <c r="K82" s="667">
        <v>0</v>
      </c>
      <c r="N82" s="603"/>
      <c r="Q82" s="601"/>
      <c r="R82" s="599"/>
      <c r="S82" s="1609"/>
      <c r="T82" s="1609"/>
      <c r="U82" s="1609"/>
      <c r="V82" s="1609"/>
      <c r="W82" s="1609"/>
      <c r="X82" s="1609"/>
      <c r="Y82" s="604"/>
      <c r="AA82" s="599"/>
      <c r="AO82" s="599" t="s">
        <v>802</v>
      </c>
      <c r="AP82" s="1672">
        <f t="shared" si="44"/>
        <v>0</v>
      </c>
      <c r="AQ82" s="1672">
        <f t="shared" si="45"/>
        <v>0</v>
      </c>
      <c r="AR82" s="1672">
        <f t="shared" si="46"/>
        <v>0</v>
      </c>
      <c r="AS82" s="1672">
        <f t="shared" si="47"/>
        <v>0</v>
      </c>
      <c r="AT82" s="1672">
        <f t="shared" si="48"/>
        <v>0</v>
      </c>
      <c r="AU82" s="1672">
        <f t="shared" si="49"/>
        <v>0</v>
      </c>
      <c r="AV82" s="1672">
        <f t="shared" si="50"/>
        <v>0</v>
      </c>
      <c r="AW82" s="1672">
        <f t="shared" si="51"/>
        <v>0</v>
      </c>
      <c r="AX82" s="1672">
        <f t="shared" si="52"/>
        <v>0</v>
      </c>
      <c r="AY82" s="1672">
        <f t="shared" si="53"/>
        <v>0</v>
      </c>
      <c r="AZ82" s="1670">
        <f t="shared" si="54"/>
        <v>0</v>
      </c>
      <c r="BA82" s="1679">
        <f t="shared" si="55"/>
        <v>0</v>
      </c>
    </row>
    <row r="83" spans="2:220" ht="12.5" x14ac:dyDescent="0.25">
      <c r="B83" s="1625" t="str">
        <f>'Existing Management Practices'!B137</f>
        <v>Underground Detention (XOTH )</v>
      </c>
      <c r="C83" s="666">
        <f>'Existing Management Practices'!F137</f>
        <v>0</v>
      </c>
      <c r="D83" s="666">
        <f>'Existing Management Practices'!G137</f>
        <v>0</v>
      </c>
      <c r="E83" s="666">
        <f>'Existing Management Practices'!H137</f>
        <v>0</v>
      </c>
      <c r="F83" s="666">
        <f>'Existing Management Practices'!I137</f>
        <v>0</v>
      </c>
      <c r="G83" s="666">
        <f>'Existing Management Practices'!J137</f>
        <v>0.75</v>
      </c>
      <c r="H83" s="666">
        <f t="shared" si="56"/>
        <v>0.75</v>
      </c>
      <c r="I83" s="666">
        <f>'Existing Management Practices'!K137</f>
        <v>0.5</v>
      </c>
      <c r="J83" s="667">
        <f t="shared" si="57"/>
        <v>0.5</v>
      </c>
      <c r="K83" s="667">
        <v>0</v>
      </c>
      <c r="N83" s="603"/>
      <c r="Q83" s="601"/>
      <c r="R83" s="599"/>
      <c r="S83" s="1609"/>
      <c r="T83" s="1609"/>
      <c r="U83" s="1609"/>
      <c r="V83" s="1609"/>
      <c r="W83" s="1609"/>
      <c r="X83" s="1609"/>
      <c r="Y83" s="604"/>
      <c r="AA83" s="599"/>
      <c r="AO83" s="599" t="s">
        <v>803</v>
      </c>
      <c r="AP83" s="1672">
        <f t="shared" si="44"/>
        <v>0</v>
      </c>
      <c r="AQ83" s="1672">
        <f t="shared" si="45"/>
        <v>0</v>
      </c>
      <c r="AR83" s="1672">
        <f t="shared" si="46"/>
        <v>0</v>
      </c>
      <c r="AS83" s="1672">
        <f t="shared" si="47"/>
        <v>0</v>
      </c>
      <c r="AT83" s="1672">
        <f t="shared" si="48"/>
        <v>0</v>
      </c>
      <c r="AU83" s="1672">
        <f t="shared" si="49"/>
        <v>0</v>
      </c>
      <c r="AV83" s="1672">
        <f t="shared" si="50"/>
        <v>0</v>
      </c>
      <c r="AW83" s="1672">
        <f t="shared" si="51"/>
        <v>0</v>
      </c>
      <c r="AX83" s="1672">
        <f t="shared" si="52"/>
        <v>0</v>
      </c>
      <c r="AY83" s="1672">
        <f t="shared" si="53"/>
        <v>0</v>
      </c>
      <c r="AZ83" s="1670">
        <f t="shared" si="54"/>
        <v>0</v>
      </c>
      <c r="BA83" s="1679">
        <f t="shared" si="55"/>
        <v>0</v>
      </c>
    </row>
    <row r="84" spans="2:220" ht="12.5" x14ac:dyDescent="0.25">
      <c r="B84" s="1625" t="str">
        <f>'Existing Management Practices'!B138</f>
        <v>Soil Amendments</v>
      </c>
      <c r="C84" s="666">
        <f>'Existing Management Practices'!F138</f>
        <v>0</v>
      </c>
      <c r="D84" s="666">
        <f>'Existing Management Practices'!G138</f>
        <v>0</v>
      </c>
      <c r="E84" s="666">
        <f>'Existing Management Practices'!H138</f>
        <v>0</v>
      </c>
      <c r="F84" s="666">
        <f>'Existing Management Practices'!I138</f>
        <v>0</v>
      </c>
      <c r="G84" s="666">
        <f>'Existing Management Practices'!J138</f>
        <v>0.75</v>
      </c>
      <c r="H84" s="666">
        <f t="shared" si="56"/>
        <v>0.75</v>
      </c>
      <c r="I84" s="666">
        <f>'Existing Management Practices'!K138</f>
        <v>0.5</v>
      </c>
      <c r="J84" s="667">
        <f t="shared" si="57"/>
        <v>0.5</v>
      </c>
      <c r="K84" s="667">
        <v>0</v>
      </c>
      <c r="N84" s="603"/>
      <c r="Q84" s="601"/>
      <c r="R84" s="599"/>
      <c r="S84" s="1609"/>
      <c r="T84" s="1609"/>
      <c r="U84" s="1609"/>
      <c r="V84" s="1609"/>
      <c r="W84" s="1609"/>
      <c r="X84" s="1609"/>
      <c r="Y84" s="604"/>
      <c r="AA84" s="599"/>
    </row>
    <row r="85" spans="2:220" ht="12.5" x14ac:dyDescent="0.25">
      <c r="B85" s="1625" t="str">
        <f>'Existing Management Practices'!B139</f>
        <v>Grassed Filter Strips</v>
      </c>
      <c r="C85" s="666">
        <f>'Existing Management Practices'!F139</f>
        <v>0</v>
      </c>
      <c r="D85" s="666">
        <f>'Existing Management Practices'!G139</f>
        <v>0</v>
      </c>
      <c r="E85" s="666">
        <f>'Existing Management Practices'!H139</f>
        <v>0</v>
      </c>
      <c r="F85" s="666">
        <f>'Existing Management Practices'!I139</f>
        <v>0</v>
      </c>
      <c r="G85" s="666">
        <f>'Existing Management Practices'!J139</f>
        <v>0.5</v>
      </c>
      <c r="H85" s="666">
        <f t="shared" si="56"/>
        <v>0.5</v>
      </c>
      <c r="I85" s="666">
        <f>'Existing Management Practices'!K130</f>
        <v>0.8</v>
      </c>
      <c r="J85" s="667">
        <f t="shared" si="57"/>
        <v>0.8</v>
      </c>
      <c r="K85" s="667">
        <v>0</v>
      </c>
      <c r="N85" s="603"/>
      <c r="Q85" s="601"/>
      <c r="R85" s="599"/>
      <c r="S85" s="1609"/>
      <c r="T85" s="1609"/>
      <c r="U85" s="1609"/>
      <c r="V85" s="1609"/>
      <c r="W85" s="1609"/>
      <c r="X85" s="1609"/>
      <c r="Y85" s="604"/>
      <c r="AA85" s="599"/>
    </row>
    <row r="86" spans="2:220" ht="12.5" x14ac:dyDescent="0.25">
      <c r="B86" s="1625" t="s">
        <v>492</v>
      </c>
      <c r="C86" s="666" t="s">
        <v>493</v>
      </c>
      <c r="D86" s="666" t="s">
        <v>493</v>
      </c>
      <c r="E86" s="666" t="s">
        <v>493</v>
      </c>
      <c r="F86" s="666" t="s">
        <v>493</v>
      </c>
      <c r="G86" s="666" t="s">
        <v>493</v>
      </c>
      <c r="H86" s="666" t="s">
        <v>493</v>
      </c>
      <c r="I86" s="666" t="s">
        <v>493</v>
      </c>
      <c r="J86" s="667" t="s">
        <v>493</v>
      </c>
      <c r="K86" s="667">
        <v>0</v>
      </c>
      <c r="N86" s="603"/>
      <c r="Q86" s="601"/>
      <c r="R86" s="599"/>
      <c r="S86" s="1609"/>
      <c r="T86" s="1609"/>
      <c r="U86" s="1609"/>
      <c r="V86" s="1609"/>
      <c r="W86" s="1609"/>
      <c r="X86" s="1609"/>
      <c r="Y86" s="604"/>
      <c r="AA86" s="599"/>
    </row>
    <row r="87" spans="2:220" ht="13" thickBot="1" x14ac:dyDescent="0.3">
      <c r="B87" s="1626" t="s">
        <v>487</v>
      </c>
      <c r="C87" s="668"/>
      <c r="D87" s="668"/>
      <c r="E87" s="668"/>
      <c r="F87" s="668"/>
      <c r="G87" s="668"/>
      <c r="H87" s="668"/>
      <c r="I87" s="668"/>
      <c r="J87" s="669"/>
      <c r="K87" s="669">
        <v>0</v>
      </c>
      <c r="N87" s="603"/>
      <c r="Q87" s="601"/>
      <c r="R87" s="599"/>
      <c r="S87" s="1609"/>
      <c r="T87" s="1609"/>
      <c r="U87" s="1609"/>
      <c r="V87" s="1609"/>
      <c r="W87" s="1609"/>
      <c r="X87" s="1609"/>
      <c r="Y87" s="604"/>
      <c r="AA87" s="599"/>
    </row>
    <row r="88" spans="2:220" ht="10.5" thickTop="1" x14ac:dyDescent="0.2">
      <c r="B88" s="601" t="s">
        <v>396</v>
      </c>
      <c r="S88" s="634"/>
      <c r="T88" s="634"/>
      <c r="U88" s="634"/>
      <c r="V88" s="1609"/>
      <c r="W88" s="1609"/>
      <c r="X88" s="1609"/>
    </row>
    <row r="89" spans="2:220" x14ac:dyDescent="0.2">
      <c r="B89" s="599"/>
      <c r="Q89" s="601"/>
      <c r="R89" s="603"/>
      <c r="S89" s="634"/>
      <c r="T89" s="634"/>
      <c r="U89" s="634"/>
      <c r="V89" s="634"/>
      <c r="W89" s="634"/>
      <c r="X89" s="634"/>
      <c r="Y89" s="601"/>
      <c r="Z89" s="601"/>
    </row>
    <row r="90" spans="2:220" s="1" customFormat="1" ht="13.5" thickBot="1" x14ac:dyDescent="0.35">
      <c r="B90" s="1" t="s">
        <v>67</v>
      </c>
      <c r="C90" s="1" t="s">
        <v>10</v>
      </c>
      <c r="D90" s="1" t="s">
        <v>11</v>
      </c>
      <c r="E90" s="1" t="s">
        <v>68</v>
      </c>
      <c r="H90" s="1">
        <f>0.67+C77*0.33</f>
        <v>0.81850000000000001</v>
      </c>
      <c r="S90" s="87"/>
      <c r="T90" s="87"/>
      <c r="U90" s="87"/>
      <c r="V90" s="87"/>
      <c r="W90" s="87"/>
      <c r="X90" s="87"/>
      <c r="Y90" s="109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</row>
    <row r="91" spans="2:220" s="1" customFormat="1" ht="13.5" thickBot="1" x14ac:dyDescent="0.35">
      <c r="B91" s="32" t="str">
        <f>'Primary Sources'!B76</f>
        <v>&lt;3 Feet</v>
      </c>
      <c r="C91" s="109">
        <v>0</v>
      </c>
      <c r="D91" s="109">
        <v>0.5</v>
      </c>
      <c r="E91" s="109">
        <v>0.5</v>
      </c>
      <c r="H91" s="95">
        <f>C68</f>
        <v>0.25</v>
      </c>
      <c r="S91" s="87"/>
      <c r="T91" s="87"/>
      <c r="U91" s="87"/>
      <c r="V91" s="87"/>
      <c r="W91" s="87"/>
      <c r="X91" s="87"/>
      <c r="Y91" s="109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</row>
    <row r="92" spans="2:220" s="1" customFormat="1" ht="13.5" thickBot="1" x14ac:dyDescent="0.35">
      <c r="B92" s="32" t="str">
        <f>'Primary Sources'!B77</f>
        <v>3-5 Feet</v>
      </c>
      <c r="C92" s="109">
        <v>0.1</v>
      </c>
      <c r="D92" s="109">
        <v>0.8</v>
      </c>
      <c r="E92" s="109">
        <v>1</v>
      </c>
      <c r="S92" s="87"/>
      <c r="T92" s="87"/>
      <c r="U92" s="87"/>
      <c r="V92" s="87"/>
      <c r="W92" s="87"/>
      <c r="X92" s="87"/>
      <c r="Y92" s="109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</row>
    <row r="93" spans="2:220" s="1" customFormat="1" ht="13" x14ac:dyDescent="0.3">
      <c r="B93" s="32" t="str">
        <f>'Primary Sources'!B78</f>
        <v>&gt;5 Feet</v>
      </c>
      <c r="C93" s="109">
        <v>0.2</v>
      </c>
      <c r="D93" s="109">
        <v>1</v>
      </c>
      <c r="E93" s="109">
        <v>1</v>
      </c>
      <c r="H93" s="1">
        <f>H90/H91</f>
        <v>3.274</v>
      </c>
      <c r="S93" s="87"/>
      <c r="T93" s="87"/>
      <c r="U93" s="87"/>
      <c r="V93" s="87"/>
      <c r="W93" s="87"/>
      <c r="X93" s="87"/>
      <c r="Y93" s="109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</row>
    <row r="94" spans="2:220" x14ac:dyDescent="0.2">
      <c r="B94" s="599"/>
      <c r="Q94" s="601"/>
      <c r="R94" s="603"/>
      <c r="S94" s="634"/>
      <c r="T94" s="634"/>
      <c r="U94" s="634"/>
      <c r="V94" s="634"/>
      <c r="W94" s="634"/>
      <c r="X94" s="634"/>
      <c r="Y94" s="601"/>
      <c r="Z94" s="601"/>
    </row>
    <row r="95" spans="2:220" x14ac:dyDescent="0.2">
      <c r="S95" s="634"/>
      <c r="T95" s="634"/>
      <c r="U95" s="634"/>
      <c r="V95" s="634"/>
      <c r="W95" s="634"/>
      <c r="X95" s="1609"/>
    </row>
    <row r="96" spans="2:220" x14ac:dyDescent="0.2">
      <c r="S96" s="634"/>
      <c r="T96" s="634"/>
      <c r="U96" s="634"/>
      <c r="V96" s="634"/>
      <c r="W96" s="634"/>
      <c r="X96" s="1609"/>
    </row>
    <row r="97" spans="19:24" x14ac:dyDescent="0.2">
      <c r="S97" s="634"/>
      <c r="T97" s="634"/>
      <c r="U97" s="634"/>
      <c r="V97" s="634"/>
      <c r="W97" s="634"/>
      <c r="X97" s="1609"/>
    </row>
    <row r="98" spans="19:24" x14ac:dyDescent="0.2">
      <c r="S98" s="634"/>
      <c r="T98" s="634"/>
      <c r="U98" s="634"/>
      <c r="V98" s="634"/>
      <c r="W98" s="634"/>
      <c r="X98" s="1609"/>
    </row>
  </sheetData>
  <mergeCells count="20">
    <mergeCell ref="AP19:AW19"/>
    <mergeCell ref="AG19:AN19"/>
    <mergeCell ref="I20:J20"/>
    <mergeCell ref="K20:O20"/>
    <mergeCell ref="Y20:AB20"/>
    <mergeCell ref="AC20:AC21"/>
    <mergeCell ref="AD20:AF20"/>
    <mergeCell ref="AG20:AJ20"/>
    <mergeCell ref="AK20:AK21"/>
    <mergeCell ref="AL20:AN20"/>
    <mergeCell ref="I19:O19"/>
    <mergeCell ref="C11:D11"/>
    <mergeCell ref="C15:D15"/>
    <mergeCell ref="C5:D5"/>
    <mergeCell ref="Y19:AF19"/>
    <mergeCell ref="C19:H20"/>
    <mergeCell ref="P19:R20"/>
    <mergeCell ref="S19:X19"/>
    <mergeCell ref="F11:G11"/>
    <mergeCell ref="F15:G15"/>
  </mergeCells>
  <phoneticPr fontId="15" type="noConversion"/>
  <conditionalFormatting sqref="S56:AF56 S23:X24 Q27:Q55 S27:X55 Q23:Q24">
    <cfRule type="cellIs" dxfId="13" priority="1" stopIfTrue="1" operator="lessThan">
      <formula>0</formula>
    </cfRule>
    <cfRule type="cellIs" priority="2" stopIfTrue="1" operator="equal">
      <formula>$K23</formula>
    </cfRule>
  </conditionalFormatting>
  <conditionalFormatting sqref="K23:K24">
    <cfRule type="cellIs" dxfId="12" priority="5" stopIfTrue="1" operator="equal">
      <formula>$B$61</formula>
    </cfRule>
    <cfRule type="cellIs" priority="6" stopIfTrue="1" operator="equal">
      <formula>$K23</formula>
    </cfRule>
  </conditionalFormatting>
  <conditionalFormatting sqref="F11 E5 F15 J27:J55">
    <cfRule type="cellIs" dxfId="11" priority="7" stopIfTrue="1" operator="equal">
      <formula>$D$7</formula>
    </cfRule>
  </conditionalFormatting>
  <conditionalFormatting sqref="F23:F24 E27:F55">
    <cfRule type="cellIs" dxfId="10" priority="8" stopIfTrue="1" operator="equal">
      <formula>"N/A"</formula>
    </cfRule>
  </conditionalFormatting>
  <conditionalFormatting sqref="Y23:AF24 Y27:AF55">
    <cfRule type="cellIs" dxfId="9" priority="9" stopIfTrue="1" operator="equal">
      <formula>0</formula>
    </cfRule>
    <cfRule type="cellIs" dxfId="8" priority="10" stopIfTrue="1" operator="equal">
      <formula>"Enter Value"</formula>
    </cfRule>
  </conditionalFormatting>
  <conditionalFormatting sqref="P27:P55 R27:R55">
    <cfRule type="cellIs" dxfId="7" priority="11" stopIfTrue="1" operator="equal">
      <formula>$D$12</formula>
    </cfRule>
  </conditionalFormatting>
  <conditionalFormatting sqref="K27:O55 L23:O24">
    <cfRule type="cellIs" dxfId="6" priority="14" stopIfTrue="1" operator="equal">
      <formula>$D$86</formula>
    </cfRule>
    <cfRule type="cellIs" priority="15" stopIfTrue="1" operator="equal">
      <formula>$K23</formula>
    </cfRule>
  </conditionalFormatting>
  <dataValidations count="14">
    <dataValidation allowBlank="1" showInputMessage="1" showErrorMessage="1" prompt="Maintenance Discount:_x000a_Factor to Account for ongoing maintenance:_x000a_Regular maintenance specified and enforced:  90%_x000a_Maintenance Specified but poorly enforced:     60%_x000a_No Maintenance Guidance:                                50%_x000a_" sqref="F15 R27:R55"/>
    <dataValidation allowBlank="1" showInputMessage="1" showErrorMessage="1" prompt="Specific, Legally Binding Standards           1.2_x000a_Specific Standards, not Legally Binding     1.0_x000a_Less specific Standards,legally binding      1.0_x000a_No Standards                                             0.8_x000a_" sqref="F11"/>
    <dataValidation type="list" allowBlank="1" showInputMessage="1" showErrorMessage="1" sqref="E27:E55">
      <formula1>$B$58:$B$59</formula1>
    </dataValidation>
    <dataValidation type="list" allowBlank="1" showInputMessage="1" showErrorMessage="1" sqref="G25:H26">
      <formula1>Soils</formula1>
    </dataValidation>
    <dataValidation type="list" allowBlank="1" showInputMessage="1" showErrorMessage="1" sqref="B25">
      <formula1>Practices</formula1>
    </dataValidation>
    <dataValidation type="list" allowBlank="1" showInputMessage="1" showErrorMessage="1" sqref="C5:D5">
      <formula1>$C$6:$C$8</formula1>
    </dataValidation>
    <dataValidation type="list" allowBlank="1" showInputMessage="1" showErrorMessage="1" sqref="C11:D11">
      <formula1>$C$12:$C$13</formula1>
    </dataValidation>
    <dataValidation type="list" allowBlank="1" showInputMessage="1" showErrorMessage="1" sqref="C15:D15">
      <formula1>$C$16:$C$17</formula1>
    </dataValidation>
    <dataValidation allowBlank="1" showInputMessage="1" showErrorMessage="1" prompt="Specific, Legally Binding Standards           1.2_x000a_Specific Standards, not Legally Binding     1.0_x000a_Less specific Standards,legally binding      1.0_x000a_No Standards                                             0.8" sqref="P27:P55"/>
    <dataValidation type="list" allowBlank="1" showInputMessage="1" showErrorMessage="1" sqref="H27:H55 H23">
      <formula1>$B$91:$B$93</formula1>
    </dataValidation>
    <dataValidation type="list" allowBlank="1" showInputMessage="1" showErrorMessage="1" sqref="G27:G55 G23">
      <formula1>$C$58:$C$61</formula1>
    </dataValidation>
    <dataValidation allowBlank="1" showInputMessage="1" showErrorMessage="1" prompt="Do not enter data in grey cells in this section. Either educational data in &quot;Lawn Care Education or &quot;Residential Disconnection&quot; or enter the practice directly in green cells below" sqref="B23:F24 G24:H24"/>
    <dataValidation type="list" allowBlank="1" showInputMessage="1" showErrorMessage="1" sqref="B27:B55">
      <formula1>$B$66:$B$87</formula1>
    </dataValidation>
    <dataValidation type="list" allowBlank="1" showInputMessage="1" showErrorMessage="1" sqref="F27:F55">
      <formula1>$B$66:$B$88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I121"/>
  <sheetViews>
    <sheetView topLeftCell="A73" workbookViewId="0">
      <selection activeCell="B94" sqref="B94"/>
    </sheetView>
  </sheetViews>
  <sheetFormatPr defaultColWidth="9.1796875" defaultRowHeight="14.5" x14ac:dyDescent="0.35"/>
  <cols>
    <col min="1" max="1" width="40.7265625" style="1497" customWidth="1"/>
    <col min="2" max="2" width="13.26953125" style="1497" customWidth="1"/>
    <col min="3" max="3" width="11.26953125" style="1497" customWidth="1"/>
    <col min="4" max="8" width="9.1796875" style="1497"/>
    <col min="9" max="9" width="14.81640625" style="1497" customWidth="1"/>
    <col min="10" max="16384" width="9.1796875" style="1497"/>
  </cols>
  <sheetData>
    <row r="1" spans="1:9" x14ac:dyDescent="0.35">
      <c r="A1" s="1495" t="s">
        <v>657</v>
      </c>
      <c r="B1" s="1496"/>
      <c r="C1" s="1496"/>
      <c r="D1" s="1496"/>
      <c r="E1" s="1496"/>
    </row>
    <row r="2" spans="1:9" s="1498" customFormat="1" x14ac:dyDescent="0.35">
      <c r="A2" s="1498" t="s">
        <v>658</v>
      </c>
      <c r="B2" s="1498" t="s">
        <v>761</v>
      </c>
    </row>
    <row r="3" spans="1:9" x14ac:dyDescent="0.35">
      <c r="A3" s="1498" t="s">
        <v>659</v>
      </c>
      <c r="B3" s="1639">
        <v>40150</v>
      </c>
      <c r="C3" s="1643"/>
      <c r="D3" s="1643"/>
      <c r="E3" s="1643"/>
      <c r="F3" s="1643"/>
    </row>
    <row r="4" spans="1:9" x14ac:dyDescent="0.35">
      <c r="A4" s="1498" t="s">
        <v>660</v>
      </c>
      <c r="B4" s="1498">
        <v>2004</v>
      </c>
      <c r="C4" s="1643"/>
      <c r="D4" s="1643"/>
      <c r="E4" s="1643"/>
      <c r="F4" s="1643"/>
    </row>
    <row r="5" spans="1:9" x14ac:dyDescent="0.35">
      <c r="A5" s="1640" t="s">
        <v>661</v>
      </c>
      <c r="B5" s="1640">
        <v>2002</v>
      </c>
      <c r="C5" s="1643"/>
      <c r="D5" s="1643"/>
      <c r="E5" s="1643"/>
      <c r="F5" s="1643"/>
    </row>
    <row r="6" spans="1:9" x14ac:dyDescent="0.35">
      <c r="A6" s="1641" t="s">
        <v>662</v>
      </c>
      <c r="B6" s="1642" t="s">
        <v>769</v>
      </c>
      <c r="C6" s="1642" t="s">
        <v>770</v>
      </c>
      <c r="D6" s="1644"/>
      <c r="E6" s="1644"/>
      <c r="F6" s="1643"/>
    </row>
    <row r="7" spans="1:9" x14ac:dyDescent="0.35">
      <c r="A7" s="1498" t="s">
        <v>766</v>
      </c>
      <c r="B7" s="1653">
        <v>1700789.7</v>
      </c>
      <c r="C7" s="1653">
        <v>1700789.7</v>
      </c>
      <c r="D7" s="1644"/>
      <c r="E7" s="1644"/>
      <c r="F7" s="1643"/>
    </row>
    <row r="8" spans="1:9" x14ac:dyDescent="0.35">
      <c r="A8" s="1498" t="s">
        <v>767</v>
      </c>
      <c r="B8" s="1518">
        <v>183893</v>
      </c>
      <c r="C8" s="1518">
        <v>183893</v>
      </c>
      <c r="D8" s="1644"/>
      <c r="E8" s="1644"/>
      <c r="F8" s="1643"/>
    </row>
    <row r="9" spans="1:9" x14ac:dyDescent="0.35">
      <c r="A9" s="1498" t="s">
        <v>768</v>
      </c>
      <c r="B9" s="1653">
        <v>1573230.4</v>
      </c>
      <c r="C9" s="1653">
        <v>1293620.6000000001</v>
      </c>
      <c r="D9" s="1644"/>
      <c r="E9" s="1644"/>
      <c r="F9" s="1643"/>
    </row>
    <row r="10" spans="1:9" x14ac:dyDescent="0.35">
      <c r="A10" s="1640" t="s">
        <v>663</v>
      </c>
      <c r="B10" s="1654">
        <f>+B9/B7</f>
        <v>0.92499995737274276</v>
      </c>
      <c r="C10" s="1654">
        <v>0.85299999999999998</v>
      </c>
      <c r="D10" s="1644"/>
      <c r="E10" s="1644"/>
      <c r="F10" s="1643"/>
    </row>
    <row r="11" spans="1:9" x14ac:dyDescent="0.35">
      <c r="A11" s="1643"/>
      <c r="B11" s="1650"/>
      <c r="C11" s="1645"/>
      <c r="D11" s="1645"/>
      <c r="E11" s="1645"/>
      <c r="F11" s="1643"/>
      <c r="I11" s="1651"/>
    </row>
    <row r="12" spans="1:9" x14ac:dyDescent="0.35">
      <c r="A12" s="1502" t="s">
        <v>807</v>
      </c>
      <c r="B12" s="1512">
        <f>+B95</f>
        <v>2.4050280332944658E-4</v>
      </c>
      <c r="C12" s="1512">
        <f>+B95</f>
        <v>2.4050280332944658E-4</v>
      </c>
      <c r="D12" s="1645"/>
      <c r="E12" s="1645"/>
      <c r="F12" s="1643"/>
    </row>
    <row r="13" spans="1:9" x14ac:dyDescent="0.35">
      <c r="A13" s="1497" t="s">
        <v>771</v>
      </c>
      <c r="B13" s="1655">
        <f>+B12/B10</f>
        <v>2.6000304260828449E-4</v>
      </c>
      <c r="C13" s="1655">
        <f>+C12/C10</f>
        <v>2.8194935912010153E-4</v>
      </c>
      <c r="D13" s="1643"/>
      <c r="E13" s="1643"/>
      <c r="F13" s="1643"/>
    </row>
    <row r="14" spans="1:9" s="1498" customFormat="1" x14ac:dyDescent="0.35"/>
    <row r="15" spans="1:9" x14ac:dyDescent="0.35">
      <c r="A15" s="1495" t="s">
        <v>664</v>
      </c>
      <c r="B15" s="1495"/>
      <c r="C15" s="1495"/>
      <c r="D15" s="1495"/>
      <c r="E15" s="1495"/>
    </row>
    <row r="16" spans="1:9" x14ac:dyDescent="0.35">
      <c r="B16" s="1503"/>
    </row>
    <row r="17" spans="1:7" x14ac:dyDescent="0.35">
      <c r="A17" s="1504" t="s">
        <v>685</v>
      </c>
      <c r="B17" s="1504"/>
      <c r="C17" s="1504"/>
    </row>
    <row r="18" spans="1:7" x14ac:dyDescent="0.35">
      <c r="A18" s="1497" t="str">
        <f>+'Existing Loads'!B7</f>
        <v>Urban Land</v>
      </c>
      <c r="B18" s="1500">
        <f>+SUM('Primary Sources'!S10:S35)</f>
        <v>2354789.514724154</v>
      </c>
      <c r="C18" s="1500"/>
      <c r="G18" s="1643"/>
    </row>
    <row r="19" spans="1:7" x14ac:dyDescent="0.35">
      <c r="A19" s="1497" t="str">
        <f>+'Existing Loads'!B13</f>
        <v>Forest</v>
      </c>
      <c r="B19" s="1500">
        <f>SUM('Primary Sources'!S36:S40)</f>
        <v>0</v>
      </c>
      <c r="C19" s="1500"/>
      <c r="G19" s="1643"/>
    </row>
    <row r="20" spans="1:7" x14ac:dyDescent="0.35">
      <c r="A20" s="1497" t="str">
        <f>+'Existing Loads'!B14</f>
        <v>Rural Land</v>
      </c>
      <c r="B20" s="1500">
        <f>SUM('Primary Sources'!S41:S50)</f>
        <v>0</v>
      </c>
      <c r="C20" s="1500"/>
      <c r="G20" s="1643"/>
    </row>
    <row r="21" spans="1:7" x14ac:dyDescent="0.35">
      <c r="A21" s="1497" t="str">
        <f>+'Existing Loads'!B20</f>
        <v>Open Water</v>
      </c>
      <c r="B21" s="1500">
        <f>+'Primary Sources'!S51</f>
        <v>0</v>
      </c>
      <c r="C21" s="1500"/>
      <c r="G21" s="1643"/>
    </row>
    <row r="22" spans="1:7" x14ac:dyDescent="0.35">
      <c r="A22" s="1497" t="str">
        <f>+'Existing Loads'!B8</f>
        <v>Active Construction</v>
      </c>
      <c r="B22" s="1501">
        <f>+'Primary Sources'!S52</f>
        <v>0</v>
      </c>
      <c r="C22" s="1501"/>
      <c r="G22" s="1643"/>
    </row>
    <row r="23" spans="1:7" x14ac:dyDescent="0.35">
      <c r="A23" s="1503" t="s">
        <v>41</v>
      </c>
      <c r="B23" s="1505">
        <f>SUM(B18:B22)</f>
        <v>2354789.514724154</v>
      </c>
      <c r="C23" s="1500"/>
      <c r="G23" s="1643"/>
    </row>
    <row r="24" spans="1:7" x14ac:dyDescent="0.35">
      <c r="B24" s="1500"/>
      <c r="C24" s="1500"/>
      <c r="G24" s="1643"/>
    </row>
    <row r="25" spans="1:7" x14ac:dyDescent="0.35">
      <c r="A25" s="1504" t="s">
        <v>73</v>
      </c>
      <c r="B25" s="1506"/>
      <c r="C25" s="1506"/>
      <c r="G25" s="1643"/>
    </row>
    <row r="26" spans="1:7" s="1498" customFormat="1" x14ac:dyDescent="0.35">
      <c r="A26" s="1498" t="str">
        <f>+'Existing Loads'!B9</f>
        <v>SSOs</v>
      </c>
      <c r="B26" s="1518">
        <f>+'Existing Loads'!F9</f>
        <v>1476804.2536800003</v>
      </c>
      <c r="C26" s="1518"/>
      <c r="G26" s="1643"/>
    </row>
    <row r="27" spans="1:7" x14ac:dyDescent="0.35">
      <c r="A27" s="1497" t="str">
        <f>+'Existing Loads'!B10</f>
        <v>CSOs</v>
      </c>
      <c r="B27" s="1500">
        <f>+'Existing Loads'!F10</f>
        <v>0</v>
      </c>
      <c r="C27" s="1500"/>
      <c r="G27" s="1643"/>
    </row>
    <row r="28" spans="1:7" x14ac:dyDescent="0.35">
      <c r="A28" s="1497" t="str">
        <f>+'Existing Loads'!B11</f>
        <v>Channel Erosion</v>
      </c>
      <c r="B28" s="1500">
        <f>+'Existing Loads'!F11</f>
        <v>0</v>
      </c>
      <c r="C28" s="1500"/>
      <c r="G28" s="1643"/>
    </row>
    <row r="29" spans="1:7" x14ac:dyDescent="0.35">
      <c r="A29" s="1497" t="str">
        <f>+'Existing Loads'!B12</f>
        <v>Road Sanding</v>
      </c>
      <c r="B29" s="1500">
        <f>+'Existing Loads'!F12</f>
        <v>0</v>
      </c>
      <c r="C29" s="1500"/>
    </row>
    <row r="30" spans="1:7" x14ac:dyDescent="0.35">
      <c r="A30" s="1497" t="str">
        <f>+'Existing Loads'!B15</f>
        <v>Livestock</v>
      </c>
      <c r="B30" s="1500">
        <f>+'Existing Loads'!F15</f>
        <v>0</v>
      </c>
      <c r="C30" s="1500"/>
    </row>
    <row r="31" spans="1:7" x14ac:dyDescent="0.35">
      <c r="A31" s="1497" t="str">
        <f>+'Existing Loads'!B16</f>
        <v>Illicit Connections</v>
      </c>
      <c r="B31" s="1500">
        <f>+'Existing Loads'!F16</f>
        <v>672096.91720499983</v>
      </c>
      <c r="C31" s="1500"/>
    </row>
    <row r="32" spans="1:7" x14ac:dyDescent="0.35">
      <c r="A32" s="1497" t="str">
        <f>+'Existing Loads'!B17</f>
        <v>Marinas</v>
      </c>
      <c r="B32" s="1500">
        <f>+'Existing Loads'!F17</f>
        <v>0</v>
      </c>
      <c r="C32" s="1500"/>
    </row>
    <row r="33" spans="1:3" x14ac:dyDescent="0.35">
      <c r="A33" s="1497" t="str">
        <f>+'Existing Loads'!B18</f>
        <v>Point Source Discharges</v>
      </c>
      <c r="B33" s="1500">
        <f>+'Existing Loads'!F18</f>
        <v>0</v>
      </c>
      <c r="C33" s="1500"/>
    </row>
    <row r="34" spans="1:3" x14ac:dyDescent="0.35">
      <c r="A34" s="1497" t="str">
        <f>+'Existing Loads'!B19</f>
        <v>OSDS</v>
      </c>
      <c r="B34" s="1500">
        <f>+'Existing Loads'!F19</f>
        <v>210841.67160000006</v>
      </c>
      <c r="C34" s="1500"/>
    </row>
    <row r="35" spans="1:3" x14ac:dyDescent="0.35">
      <c r="A35" s="1497" t="str">
        <f>+'Existing Loads'!B20</f>
        <v>Open Water</v>
      </c>
      <c r="B35" s="1500">
        <f>+'Existing Loads'!F20</f>
        <v>0</v>
      </c>
      <c r="C35" s="1500"/>
    </row>
    <row r="36" spans="1:3" ht="15" thickBot="1" x14ac:dyDescent="0.4">
      <c r="A36" s="1503" t="s">
        <v>41</v>
      </c>
      <c r="B36" s="1507">
        <f>SUM(B26:B35)</f>
        <v>2359742.8424850004</v>
      </c>
      <c r="C36" s="1507"/>
    </row>
    <row r="37" spans="1:3" ht="15" thickTop="1" x14ac:dyDescent="0.35">
      <c r="A37" s="1503" t="s">
        <v>665</v>
      </c>
      <c r="B37" s="1500">
        <f>+B23+B36</f>
        <v>4714532.3572091544</v>
      </c>
      <c r="C37" s="1500"/>
    </row>
    <row r="38" spans="1:3" x14ac:dyDescent="0.35">
      <c r="A38" s="1503"/>
      <c r="B38" s="1500"/>
      <c r="C38" s="1500"/>
    </row>
    <row r="39" spans="1:3" x14ac:dyDescent="0.35">
      <c r="A39" s="1504" t="s">
        <v>666</v>
      </c>
      <c r="B39" s="1506"/>
      <c r="C39" s="1506"/>
    </row>
    <row r="40" spans="1:3" x14ac:dyDescent="0.35">
      <c r="A40" s="1497" t="str">
        <f>+'Existing Management Practices'!B176</f>
        <v>Turf Management - Surface</v>
      </c>
      <c r="B40" s="1505">
        <f>+'Existing Management Practices'!F176</f>
        <v>0</v>
      </c>
      <c r="C40" s="1505"/>
    </row>
    <row r="41" spans="1:3" x14ac:dyDescent="0.35">
      <c r="A41" s="1497" t="str">
        <f>+'Existing Management Practices'!B177</f>
        <v>Pet Waste Education</v>
      </c>
      <c r="B41" s="1505">
        <f>+'Existing Management Practices'!F177</f>
        <v>0</v>
      </c>
      <c r="C41" s="1505"/>
    </row>
    <row r="42" spans="1:3" x14ac:dyDescent="0.35">
      <c r="A42" s="1497" t="str">
        <f>+'Existing Management Practices'!B178</f>
        <v>Erosion and Sediment Control</v>
      </c>
      <c r="B42" s="1505">
        <f>+'Existing Management Practices'!F178</f>
        <v>0</v>
      </c>
      <c r="C42" s="1505"/>
    </row>
    <row r="43" spans="1:3" x14ac:dyDescent="0.35">
      <c r="A43" s="1497" t="str">
        <f>+'Existing Management Practices'!B179</f>
        <v xml:space="preserve">Street Sweeping </v>
      </c>
      <c r="B43" s="1505">
        <f>+'Existing Management Practices'!F179</f>
        <v>0</v>
      </c>
      <c r="C43" s="1505"/>
    </row>
    <row r="44" spans="1:3" x14ac:dyDescent="0.35">
      <c r="A44" s="1497" t="str">
        <f>+'Existing Management Practices'!B180</f>
        <v>Street Sweeping - Sanding</v>
      </c>
      <c r="B44" s="1505">
        <f>+'Existing Management Practices'!F180</f>
        <v>0</v>
      </c>
      <c r="C44" s="1505"/>
    </row>
    <row r="45" spans="1:3" x14ac:dyDescent="0.35">
      <c r="A45" s="1497" t="str">
        <f>+'Existing Management Practices'!B181</f>
        <v>Structural SWM Practices</v>
      </c>
      <c r="B45" s="1505">
        <f>+'Existing Management Practices'!F181</f>
        <v>193280.37861278147</v>
      </c>
      <c r="C45" s="1505"/>
    </row>
    <row r="46" spans="1:3" x14ac:dyDescent="0.35">
      <c r="A46" s="1497" t="str">
        <f>+'Existing Management Practices'!B182</f>
        <v>Riparian Buffers</v>
      </c>
      <c r="B46" s="1505">
        <f>+'Existing Management Practices'!F182</f>
        <v>0</v>
      </c>
      <c r="C46" s="1505"/>
    </row>
    <row r="47" spans="1:3" x14ac:dyDescent="0.35">
      <c r="A47" s="1497" t="str">
        <f>+'Existing Management Practices'!B183</f>
        <v>Catch Basin Cleanouts</v>
      </c>
      <c r="B47" s="1505">
        <f>+'Existing Management Practices'!F183</f>
        <v>0</v>
      </c>
      <c r="C47" s="1505"/>
    </row>
    <row r="48" spans="1:3" x14ac:dyDescent="0.35">
      <c r="A48" s="1497" t="str">
        <f>+'Existing Management Practices'!B184</f>
        <v>Marina Pumpouts</v>
      </c>
      <c r="B48" s="1505">
        <f>+'Existing Management Practices'!F184</f>
        <v>0</v>
      </c>
      <c r="C48" s="1508"/>
    </row>
    <row r="49" spans="1:5" x14ac:dyDescent="0.35">
      <c r="A49" s="1503" t="s">
        <v>451</v>
      </c>
      <c r="B49" s="1532">
        <f>SUM(B40:B48)</f>
        <v>193280.37861278147</v>
      </c>
      <c r="C49" s="1532"/>
    </row>
    <row r="50" spans="1:5" ht="15" thickBot="1" x14ac:dyDescent="0.4">
      <c r="A50" s="1503"/>
      <c r="B50" s="1510"/>
      <c r="C50" s="1510"/>
    </row>
    <row r="51" spans="1:5" ht="15" thickTop="1" x14ac:dyDescent="0.35">
      <c r="A51" s="1503" t="s">
        <v>667</v>
      </c>
      <c r="B51" s="1509">
        <f>+B37-B49</f>
        <v>4521251.9785963725</v>
      </c>
      <c r="C51" s="1509"/>
      <c r="E51" s="1500"/>
    </row>
    <row r="52" spans="1:5" x14ac:dyDescent="0.35">
      <c r="A52" s="1503" t="s">
        <v>668</v>
      </c>
      <c r="B52" s="1511">
        <f>+B49/B37</f>
        <v>4.0996723315989074E-2</v>
      </c>
      <c r="C52" s="1509"/>
    </row>
    <row r="53" spans="1:5" x14ac:dyDescent="0.35">
      <c r="B53" s="1509"/>
      <c r="C53" s="1509"/>
    </row>
    <row r="54" spans="1:5" x14ac:dyDescent="0.35">
      <c r="A54" s="1504" t="s">
        <v>669</v>
      </c>
      <c r="B54" s="1506"/>
      <c r="C54" s="1506"/>
    </row>
    <row r="55" spans="1:5" x14ac:dyDescent="0.35">
      <c r="A55" s="1497" t="str">
        <f>+'Future Management Practices'!B388</f>
        <v>Lawn Care Education Surface</v>
      </c>
      <c r="B55" s="1509">
        <f>+'Future Management Practices'!F388</f>
        <v>0</v>
      </c>
      <c r="C55" s="1509"/>
    </row>
    <row r="56" spans="1:5" x14ac:dyDescent="0.35">
      <c r="A56" s="1497" t="str">
        <f>+'Future Management Practices'!B389</f>
        <v>Pet Waste Education</v>
      </c>
      <c r="B56" s="1509">
        <f>+'Future Management Practices'!F389</f>
        <v>0</v>
      </c>
      <c r="C56" s="1509"/>
    </row>
    <row r="57" spans="1:5" x14ac:dyDescent="0.35">
      <c r="A57" s="1497" t="str">
        <f>+'Future Management Practices'!B390</f>
        <v>Erosion and Sediment Control</v>
      </c>
      <c r="B57" s="1509">
        <f>+'Future Management Practices'!F390</f>
        <v>0</v>
      </c>
      <c r="C57" s="1509"/>
    </row>
    <row r="58" spans="1:5" x14ac:dyDescent="0.35">
      <c r="A58" s="1497" t="str">
        <f>+'Future Management Practices'!B391</f>
        <v xml:space="preserve">Street Sweeping </v>
      </c>
      <c r="B58" s="1509">
        <f>+'Future Management Practices'!F391</f>
        <v>0</v>
      </c>
      <c r="C58" s="1509"/>
    </row>
    <row r="59" spans="1:5" x14ac:dyDescent="0.35">
      <c r="A59" s="1497" t="str">
        <f>+'Future Management Practices'!B392</f>
        <v>Street Sweeping - Sanding</v>
      </c>
      <c r="B59" s="1509">
        <f>+'Future Management Practices'!F392</f>
        <v>0</v>
      </c>
      <c r="C59" s="1509"/>
    </row>
    <row r="60" spans="1:5" x14ac:dyDescent="0.35">
      <c r="A60" s="1497" t="str">
        <f>+'Future Management Practices'!B393</f>
        <v>Riparian Buffers</v>
      </c>
      <c r="B60" s="1509">
        <f>+'Future Management Practices'!F393</f>
        <v>0</v>
      </c>
      <c r="C60" s="1509"/>
    </row>
    <row r="61" spans="1:5" x14ac:dyDescent="0.35">
      <c r="A61" s="1497" t="str">
        <f>+'Future Management Practices'!B394</f>
        <v>Catch Basin Cleanouts</v>
      </c>
      <c r="B61" s="1509">
        <f>+'Future Management Practices'!F394</f>
        <v>0</v>
      </c>
      <c r="C61" s="1509"/>
    </row>
    <row r="62" spans="1:5" x14ac:dyDescent="0.35">
      <c r="A62" s="1497" t="str">
        <f>+'Future Management Practices'!B395</f>
        <v>Marina Pumpouts</v>
      </c>
      <c r="B62" s="1509">
        <f>+'Future Management Practices'!F395</f>
        <v>0</v>
      </c>
      <c r="C62" s="1509"/>
    </row>
    <row r="63" spans="1:5" x14ac:dyDescent="0.35">
      <c r="A63" s="1497" t="str">
        <f>+'Future Management Practices'!B396</f>
        <v>Urban Downsizing</v>
      </c>
      <c r="B63" s="1509">
        <f>+'Future Management Practices'!F396</f>
        <v>0</v>
      </c>
      <c r="C63" s="1509"/>
    </row>
    <row r="64" spans="1:5" x14ac:dyDescent="0.35">
      <c r="A64" s="1497" t="str">
        <f>+'Future Management Practices'!B397</f>
        <v>Redevelopment With Improvements</v>
      </c>
      <c r="B64" s="1509">
        <f>+'Future Management Practices'!F397</f>
        <v>0</v>
      </c>
      <c r="C64" s="1509"/>
    </row>
    <row r="65" spans="1:3" x14ac:dyDescent="0.35">
      <c r="A65" s="1499" t="str">
        <f>+'Future Management Practices'!B398</f>
        <v xml:space="preserve">Stormwater Retrofits </v>
      </c>
      <c r="B65" s="1508">
        <f>+'Future Management Practices'!F398</f>
        <v>1087.3737754112346</v>
      </c>
      <c r="C65" s="1508"/>
    </row>
    <row r="66" spans="1:3" x14ac:dyDescent="0.35">
      <c r="A66" s="1634" t="str">
        <f>+'Future Management Practices'!B196</f>
        <v>ESD</v>
      </c>
      <c r="B66" s="1521"/>
      <c r="C66" s="1635">
        <f>+'Future Management Practices'!G196</f>
        <v>0</v>
      </c>
    </row>
    <row r="67" spans="1:3" x14ac:dyDescent="0.35">
      <c r="A67" s="1636" t="str">
        <f>+'Future Management Practices'!B197</f>
        <v>Green Roof (AGRE)</v>
      </c>
      <c r="B67" s="1521"/>
      <c r="C67" s="1635">
        <f>+'Future Management Practices'!G197</f>
        <v>0</v>
      </c>
    </row>
    <row r="68" spans="1:3" x14ac:dyDescent="0.35">
      <c r="A68" s="1636" t="str">
        <f>+'Future Management Practices'!B198</f>
        <v>Permeable Pavement (APRP)</v>
      </c>
      <c r="B68" s="1521"/>
      <c r="C68" s="1635">
        <f>+'Future Management Practices'!G198</f>
        <v>0</v>
      </c>
    </row>
    <row r="69" spans="1:3" x14ac:dyDescent="0.35">
      <c r="A69" s="1636" t="str">
        <f>+'Future Management Practices'!B199</f>
        <v>Rooftop Disconnection (NDRR)</v>
      </c>
      <c r="B69" s="1521"/>
      <c r="C69" s="1635">
        <f>+'Future Management Practices'!G199</f>
        <v>0</v>
      </c>
    </row>
    <row r="70" spans="1:3" x14ac:dyDescent="0.35">
      <c r="A70" s="1636" t="str">
        <f>+'Future Management Practices'!B200</f>
        <v>Sheetflow to Open Space (NSCA)</v>
      </c>
      <c r="B70" s="1521"/>
      <c r="C70" s="1635">
        <f>+'Future Management Practices'!G200</f>
        <v>0</v>
      </c>
    </row>
    <row r="71" spans="1:3" x14ac:dyDescent="0.35">
      <c r="A71" s="1636" t="str">
        <f>+'Future Management Practices'!B201</f>
        <v>Raintanks and Cisterns (MRWH)</v>
      </c>
      <c r="B71" s="1521"/>
      <c r="C71" s="1635">
        <f>+'Future Management Practices'!G201</f>
        <v>0</v>
      </c>
    </row>
    <row r="72" spans="1:3" x14ac:dyDescent="0.35">
      <c r="A72" s="1637" t="e">
        <f>+'Future Management Practices'!B202</f>
        <v>#REF!</v>
      </c>
      <c r="B72" s="1633"/>
      <c r="C72" s="1638">
        <f>+'Future Management Practices'!G202</f>
        <v>0</v>
      </c>
    </row>
    <row r="73" spans="1:3" x14ac:dyDescent="0.35">
      <c r="A73" s="1634" t="str">
        <f>+'Future Management Practices'!B203</f>
        <v>STRUCTURAL</v>
      </c>
      <c r="B73" s="1521"/>
      <c r="C73" s="1635">
        <f>+'Future Management Practices'!G203</f>
        <v>0</v>
      </c>
    </row>
    <row r="74" spans="1:3" x14ac:dyDescent="0.35">
      <c r="A74" s="1636" t="str">
        <f>+'Future Management Practices'!B204</f>
        <v>Wet Pond (PWET PPKT PWED)</v>
      </c>
      <c r="B74" s="1521"/>
      <c r="C74" s="1635">
        <f>+'Future Management Practices'!G204</f>
        <v>0</v>
      </c>
    </row>
    <row r="75" spans="1:3" x14ac:dyDescent="0.35">
      <c r="A75" s="1636" t="str">
        <f>+'Future Management Practices'!B205</f>
        <v>Wetland (WSHW)</v>
      </c>
      <c r="B75" s="1521"/>
      <c r="C75" s="1635">
        <f>+'Future Management Practices'!G205</f>
        <v>0</v>
      </c>
    </row>
    <row r="76" spans="1:3" x14ac:dyDescent="0.35">
      <c r="A76" s="1636" t="str">
        <f>+'Future Management Practices'!B206</f>
        <v>Infiltration Practices (IBAS ITRN)</v>
      </c>
      <c r="B76" s="1521"/>
      <c r="C76" s="1635">
        <f>+'Future Management Practices'!G206</f>
        <v>0</v>
      </c>
    </row>
    <row r="77" spans="1:3" x14ac:dyDescent="0.35">
      <c r="A77" s="1636" t="str">
        <f>+'Future Management Practices'!B207</f>
        <v>Bioretention (FBIO MMBR)</v>
      </c>
      <c r="B77" s="1521"/>
      <c r="C77" s="1635">
        <f>+'Future Management Practices'!G207</f>
        <v>1087.3737754112346</v>
      </c>
    </row>
    <row r="78" spans="1:3" x14ac:dyDescent="0.35">
      <c r="A78" s="1636" t="str">
        <f>+'Future Management Practices'!B208</f>
        <v>Filters (FSND FUND)</v>
      </c>
      <c r="B78" s="1521"/>
      <c r="C78" s="1635">
        <f>+'Future Management Practices'!G208</f>
        <v>0</v>
      </c>
    </row>
    <row r="79" spans="1:3" x14ac:dyDescent="0.35">
      <c r="A79" s="1636" t="str">
        <f>+'Future Management Practices'!B209</f>
        <v>Dry Swale (ODSW MSWB )</v>
      </c>
      <c r="B79" s="1521"/>
      <c r="C79" s="1635">
        <f>+'Future Management Practices'!G209</f>
        <v>0</v>
      </c>
    </row>
    <row r="80" spans="1:3" x14ac:dyDescent="0.35">
      <c r="A80" s="1637" t="str">
        <f>+'Future Management Practices'!B210</f>
        <v>Wet Swale (OWSW MSWW)</v>
      </c>
      <c r="B80" s="1633"/>
      <c r="C80" s="1638">
        <f>+'Future Management Practices'!G210</f>
        <v>0</v>
      </c>
    </row>
    <row r="81" spans="1:3" x14ac:dyDescent="0.35">
      <c r="A81" s="1634" t="str">
        <f>+'Future Management Practices'!B211</f>
        <v>OTHER</v>
      </c>
      <c r="B81" s="1521"/>
      <c r="C81" s="1635">
        <f>+'Future Management Practices'!G211</f>
        <v>0</v>
      </c>
    </row>
    <row r="82" spans="1:3" x14ac:dyDescent="0.35">
      <c r="A82" s="1636" t="str">
        <f>+'Future Management Practices'!B212</f>
        <v>Dry Water Quantity Pond (XDPD)</v>
      </c>
      <c r="B82" s="1521"/>
      <c r="C82" s="1635">
        <f>+'Future Management Practices'!G212</f>
        <v>0</v>
      </c>
    </row>
    <row r="83" spans="1:3" x14ac:dyDescent="0.35">
      <c r="A83" s="1636" t="str">
        <f>+'Future Management Practices'!B213</f>
        <v>Dry Extended Detention Pond (XDED)</v>
      </c>
      <c r="B83" s="1521"/>
      <c r="C83" s="1635">
        <f>+'Future Management Practices'!G213</f>
        <v>0</v>
      </c>
    </row>
    <row r="84" spans="1:3" x14ac:dyDescent="0.35">
      <c r="A84" s="1636" t="str">
        <f>+'Future Management Practices'!B214</f>
        <v>Underground Detention (XOTH )</v>
      </c>
      <c r="B84" s="1521"/>
      <c r="C84" s="1635">
        <f>+'Future Management Practices'!G214</f>
        <v>0</v>
      </c>
    </row>
    <row r="85" spans="1:3" x14ac:dyDescent="0.35">
      <c r="A85" s="1636" t="str">
        <f>+'Future Management Practices'!B215</f>
        <v>Soil Amendments</v>
      </c>
      <c r="B85" s="1521"/>
      <c r="C85" s="1635">
        <f>+'Future Management Practices'!G215</f>
        <v>0</v>
      </c>
    </row>
    <row r="86" spans="1:3" x14ac:dyDescent="0.35">
      <c r="A86" s="1637" t="str">
        <f>+'Future Management Practices'!B216</f>
        <v>Grassed Filter Strips</v>
      </c>
      <c r="B86" s="1633"/>
      <c r="C86" s="1638">
        <f>+'Future Management Practices'!G216</f>
        <v>0</v>
      </c>
    </row>
    <row r="87" spans="1:3" x14ac:dyDescent="0.35">
      <c r="A87" s="1497" t="str">
        <f>+'Future Management Practices'!B399</f>
        <v>Illicit Connection Removal</v>
      </c>
      <c r="B87" s="1509">
        <f>+'Future Management Practices'!F399</f>
        <v>0</v>
      </c>
      <c r="C87" s="1509"/>
    </row>
    <row r="88" spans="1:3" x14ac:dyDescent="0.35">
      <c r="A88" s="1497" t="str">
        <f>+'Future Management Practices'!B400</f>
        <v>CSO Repair/ Abatement</v>
      </c>
      <c r="B88" s="1509">
        <f>+'Future Management Practices'!F400</f>
        <v>0</v>
      </c>
      <c r="C88" s="1509"/>
    </row>
    <row r="89" spans="1:3" x14ac:dyDescent="0.35">
      <c r="A89" s="1497" t="str">
        <f>+'Future Management Practices'!B401</f>
        <v>SSO Repair/ Abatement</v>
      </c>
      <c r="B89" s="1509">
        <f>+'Future Management Practices'!F401</f>
        <v>0</v>
      </c>
      <c r="C89" s="1509"/>
    </row>
    <row r="90" spans="1:3" x14ac:dyDescent="0.35">
      <c r="A90" s="1497" t="str">
        <f>+'Future Management Practices'!B402</f>
        <v>Septic System - Surface</v>
      </c>
      <c r="B90" s="1509">
        <f>+'Future Management Practices'!F402</f>
        <v>0</v>
      </c>
      <c r="C90" s="1509"/>
    </row>
    <row r="91" spans="1:3" x14ac:dyDescent="0.35">
      <c r="A91" s="1497" t="str">
        <f>+'Future Management Practices'!B403</f>
        <v>Stream Restoration</v>
      </c>
      <c r="B91" s="1509">
        <f>+'Future Management Practices'!F403</f>
        <v>0</v>
      </c>
      <c r="C91" s="1509"/>
    </row>
    <row r="92" spans="1:3" x14ac:dyDescent="0.35">
      <c r="A92" s="1497" t="str">
        <f>+'Future Management Practices'!B404</f>
        <v>Point Source Reduction</v>
      </c>
      <c r="B92" s="1508">
        <f>+'Future Management Practices'!F404</f>
        <v>0</v>
      </c>
      <c r="C92" s="1508"/>
    </row>
    <row r="93" spans="1:3" x14ac:dyDescent="0.35">
      <c r="A93" s="1503" t="s">
        <v>670</v>
      </c>
      <c r="B93" s="1509">
        <f>SUM(B55:B92)</f>
        <v>1087.3737754112346</v>
      </c>
      <c r="C93" s="1509"/>
    </row>
    <row r="94" spans="1:3" x14ac:dyDescent="0.35">
      <c r="A94" s="1503" t="s">
        <v>671</v>
      </c>
      <c r="B94" s="1509">
        <f>+B51-B93</f>
        <v>4520164.6048209611</v>
      </c>
      <c r="C94" s="1509"/>
    </row>
    <row r="95" spans="1:3" x14ac:dyDescent="0.35">
      <c r="A95" s="1503" t="s">
        <v>668</v>
      </c>
      <c r="B95" s="1512">
        <f>+B93/B51</f>
        <v>2.4050280332944658E-4</v>
      </c>
      <c r="C95" s="1513"/>
    </row>
    <row r="96" spans="1:3" x14ac:dyDescent="0.35">
      <c r="A96" s="1503"/>
      <c r="B96" s="1513"/>
      <c r="C96" s="1513"/>
    </row>
    <row r="97" spans="1:3" x14ac:dyDescent="0.35">
      <c r="A97" s="1495" t="s">
        <v>672</v>
      </c>
      <c r="B97" s="1495"/>
      <c r="C97" s="1495"/>
    </row>
    <row r="98" spans="1:3" s="1498" customFormat="1" x14ac:dyDescent="0.35">
      <c r="A98" s="1514"/>
      <c r="B98" s="1514"/>
      <c r="C98" s="1514"/>
    </row>
    <row r="99" spans="1:3" s="1498" customFormat="1" x14ac:dyDescent="0.35">
      <c r="A99" s="1504" t="s">
        <v>673</v>
      </c>
      <c r="B99" s="1515"/>
      <c r="C99" s="1515"/>
    </row>
    <row r="100" spans="1:3" x14ac:dyDescent="0.35">
      <c r="A100" s="1497" t="str">
        <f>+'Secondary Sources'!B147</f>
        <v>Septic Systems - Subsurface</v>
      </c>
      <c r="B100" s="1519">
        <f>+'Secondary Sources'!F147</f>
        <v>0</v>
      </c>
      <c r="C100" s="1501"/>
    </row>
    <row r="101" spans="1:3" ht="15" thickBot="1" x14ac:dyDescent="0.4">
      <c r="A101" s="1503" t="s">
        <v>674</v>
      </c>
      <c r="B101" s="1527">
        <f>+B100</f>
        <v>0</v>
      </c>
      <c r="C101" s="1516"/>
    </row>
    <row r="102" spans="1:3" x14ac:dyDescent="0.35">
      <c r="A102" s="1503"/>
      <c r="B102" s="1528"/>
      <c r="C102" s="1513"/>
    </row>
    <row r="103" spans="1:3" x14ac:dyDescent="0.35">
      <c r="A103" s="1504" t="s">
        <v>675</v>
      </c>
      <c r="B103" s="1517"/>
      <c r="C103" s="1517"/>
    </row>
    <row r="104" spans="1:3" x14ac:dyDescent="0.35">
      <c r="A104" s="1497" t="str">
        <f>+'Existing Management Practices'!B191</f>
        <v>Structural SWM Practices - Infiltration</v>
      </c>
      <c r="B104" s="1528">
        <f>+'Existing Management Practices'!F191</f>
        <v>-4968.5412981350783</v>
      </c>
      <c r="C104" s="1513"/>
    </row>
    <row r="105" spans="1:3" x14ac:dyDescent="0.35">
      <c r="A105" s="1497" t="str">
        <f>+'Existing Management Practices'!B192</f>
        <v>Riparian Buffers - Infiltration</v>
      </c>
      <c r="B105" s="1528">
        <f>+'Existing Management Practices'!F192</f>
        <v>0</v>
      </c>
      <c r="C105" s="1513"/>
    </row>
    <row r="106" spans="1:3" x14ac:dyDescent="0.35">
      <c r="A106" s="1503" t="s">
        <v>451</v>
      </c>
      <c r="B106" s="1529">
        <f>SUM(B104:B105)</f>
        <v>-4968.5412981350783</v>
      </c>
      <c r="C106" s="1532"/>
    </row>
    <row r="107" spans="1:3" ht="15" thickBot="1" x14ac:dyDescent="0.4">
      <c r="A107" s="1503"/>
      <c r="B107" s="1530"/>
      <c r="C107" s="1510"/>
    </row>
    <row r="108" spans="1:3" ht="15" thickTop="1" x14ac:dyDescent="0.35">
      <c r="A108" s="1503" t="s">
        <v>677</v>
      </c>
      <c r="B108" s="1521">
        <f>+B101-B106</f>
        <v>4968.5412981350783</v>
      </c>
      <c r="C108" s="1509"/>
    </row>
    <row r="109" spans="1:3" x14ac:dyDescent="0.35">
      <c r="A109" s="1503" t="s">
        <v>668</v>
      </c>
      <c r="B109" s="1531"/>
      <c r="C109" s="1509"/>
    </row>
    <row r="110" spans="1:3" x14ac:dyDescent="0.35">
      <c r="A110" s="1503"/>
      <c r="B110" s="1531"/>
      <c r="C110" s="1509"/>
    </row>
    <row r="111" spans="1:3" x14ac:dyDescent="0.35">
      <c r="A111" s="1504" t="s">
        <v>678</v>
      </c>
      <c r="B111" s="1506"/>
      <c r="C111" s="1506"/>
    </row>
    <row r="112" spans="1:3" s="1498" customFormat="1" x14ac:dyDescent="0.35">
      <c r="A112" s="1498" t="str">
        <f>+'Future Management Practices'!B411</f>
        <v>Lawn Care Education - Groundwater</v>
      </c>
      <c r="B112" s="1518">
        <f>+'Future Management Practices'!F411</f>
        <v>0</v>
      </c>
      <c r="C112" s="1518"/>
    </row>
    <row r="113" spans="1:3" s="1498" customFormat="1" x14ac:dyDescent="0.35">
      <c r="A113" s="1498" t="str">
        <f>+'Future Management Practices'!B412</f>
        <v>Riparian Buffers - Infiltration</v>
      </c>
      <c r="B113" s="1518">
        <f>+'Future Management Practices'!F412</f>
        <v>0</v>
      </c>
      <c r="C113" s="1518"/>
    </row>
    <row r="114" spans="1:3" s="1498" customFormat="1" x14ac:dyDescent="0.35">
      <c r="A114" s="1498" t="str">
        <f>+'Future Management Practices'!B413</f>
        <v>Retrofits - Discharge to GW</v>
      </c>
      <c r="B114" s="1518">
        <f>+'Future Management Practices'!F413</f>
        <v>0</v>
      </c>
      <c r="C114" s="1518"/>
    </row>
    <row r="115" spans="1:3" s="1498" customFormat="1" x14ac:dyDescent="0.35">
      <c r="A115" s="1498" t="str">
        <f>+'Future Management Practices'!B414</f>
        <v>OSDS - GW</v>
      </c>
      <c r="B115" s="1518">
        <f>+'Future Management Practices'!F414</f>
        <v>0</v>
      </c>
      <c r="C115" s="1519"/>
    </row>
    <row r="116" spans="1:3" s="1498" customFormat="1" x14ac:dyDescent="0.35">
      <c r="A116" s="1520" t="str">
        <f>+'Future Management Practices'!B415</f>
        <v>Net Groundwater Load Reduction</v>
      </c>
      <c r="B116" s="1526">
        <f>SUM(B112:B115)</f>
        <v>0</v>
      </c>
      <c r="C116" s="1521"/>
    </row>
    <row r="117" spans="1:3" x14ac:dyDescent="0.35">
      <c r="A117" s="1503" t="s">
        <v>679</v>
      </c>
      <c r="B117" s="1522">
        <f>+B108</f>
        <v>4968.5412981350783</v>
      </c>
    </row>
    <row r="118" spans="1:3" x14ac:dyDescent="0.35">
      <c r="A118" s="1503" t="s">
        <v>668</v>
      </c>
      <c r="B118" s="1523">
        <f>+B116/B108</f>
        <v>0</v>
      </c>
    </row>
    <row r="119" spans="1:3" x14ac:dyDescent="0.35">
      <c r="B119" s="1498"/>
    </row>
    <row r="120" spans="1:3" x14ac:dyDescent="0.35">
      <c r="B120" s="1498"/>
    </row>
    <row r="121" spans="1:3" x14ac:dyDescent="0.35">
      <c r="B121" s="149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indexed="11"/>
  </sheetPr>
  <dimension ref="A1:ID784"/>
  <sheetViews>
    <sheetView tabSelected="1" topLeftCell="A358" zoomScale="75" zoomScaleNormal="75" workbookViewId="0">
      <selection activeCell="F399" sqref="F399"/>
    </sheetView>
  </sheetViews>
  <sheetFormatPr defaultColWidth="9.1796875" defaultRowHeight="12.5" x14ac:dyDescent="0.25"/>
  <cols>
    <col min="1" max="1" width="5.54296875" style="294" customWidth="1"/>
    <col min="2" max="2" width="64.7265625" style="114" customWidth="1"/>
    <col min="3" max="3" width="28.26953125" style="114" customWidth="1"/>
    <col min="4" max="4" width="28.81640625" style="114" customWidth="1"/>
    <col min="5" max="5" width="20.81640625" style="114" customWidth="1"/>
    <col min="6" max="6" width="20.453125" style="114" customWidth="1"/>
    <col min="7" max="7" width="29.81640625" style="114" customWidth="1"/>
    <col min="8" max="8" width="36.54296875" style="114" customWidth="1"/>
    <col min="9" max="9" width="15.81640625" style="114" customWidth="1"/>
    <col min="10" max="10" width="13.26953125" style="132" customWidth="1"/>
    <col min="11" max="11" width="18.1796875" style="114" customWidth="1"/>
    <col min="12" max="12" width="23.54296875" style="114" customWidth="1"/>
    <col min="13" max="13" width="38.453125" style="114" customWidth="1"/>
    <col min="14" max="14" width="14.81640625" style="114" customWidth="1"/>
    <col min="15" max="19" width="9.1796875" style="114" customWidth="1"/>
    <col min="20" max="20" width="19.453125" style="132" customWidth="1"/>
    <col min="21" max="21" width="17.54296875" style="132" customWidth="1"/>
    <col min="22" max="23" width="9.1796875" style="132"/>
    <col min="24" max="24" width="11.54296875" style="132" customWidth="1"/>
    <col min="25" max="28" width="9.1796875" style="132"/>
    <col min="29" max="16384" width="9.1796875" style="114"/>
  </cols>
  <sheetData>
    <row r="1" spans="1:235" s="261" customFormat="1" ht="25" x14ac:dyDescent="0.5">
      <c r="A1" s="368"/>
      <c r="B1" s="442" t="s">
        <v>358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94"/>
      <c r="U1" s="294"/>
      <c r="V1" s="294"/>
      <c r="W1" s="294"/>
      <c r="X1" s="294"/>
      <c r="Y1" s="294"/>
      <c r="Z1" s="294"/>
      <c r="AA1" s="294"/>
      <c r="AB1" s="294"/>
      <c r="AC1" s="277"/>
      <c r="AD1" s="277"/>
    </row>
    <row r="2" spans="1:235" s="261" customFormat="1" ht="20" x14ac:dyDescent="0.4">
      <c r="A2" s="368"/>
      <c r="B2" s="443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94"/>
      <c r="U2" s="294"/>
      <c r="V2" s="294"/>
      <c r="W2" s="294"/>
      <c r="X2" s="294"/>
      <c r="Y2" s="294"/>
      <c r="Z2" s="294"/>
      <c r="AA2" s="294"/>
      <c r="AB2" s="294"/>
      <c r="AC2" s="277"/>
      <c r="AD2" s="277"/>
    </row>
    <row r="3" spans="1:235" s="261" customFormat="1" ht="13" x14ac:dyDescent="0.3">
      <c r="A3" s="368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94"/>
      <c r="U3" s="294"/>
      <c r="V3" s="294"/>
      <c r="W3" s="294"/>
      <c r="X3" s="294"/>
      <c r="Y3" s="294"/>
      <c r="Z3" s="294"/>
      <c r="AA3" s="294"/>
      <c r="AB3" s="294"/>
      <c r="AC3" s="277"/>
      <c r="AD3" s="277"/>
    </row>
    <row r="4" spans="1:235" s="261" customFormat="1" ht="13.5" thickBot="1" x14ac:dyDescent="0.35">
      <c r="A4" s="368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94"/>
      <c r="U4" s="294"/>
      <c r="V4" s="294"/>
      <c r="W4" s="294"/>
      <c r="X4" s="294"/>
      <c r="Y4" s="294"/>
      <c r="Z4" s="294"/>
      <c r="AA4" s="294"/>
      <c r="AB4" s="294"/>
      <c r="AC4" s="277"/>
      <c r="AD4" s="277"/>
    </row>
    <row r="5" spans="1:235" s="261" customFormat="1" ht="24" customHeight="1" thickTop="1" thickBot="1" x14ac:dyDescent="0.45">
      <c r="A5" s="368"/>
      <c r="B5" s="1864" t="s">
        <v>359</v>
      </c>
      <c r="C5" s="1801"/>
      <c r="D5" s="444"/>
      <c r="E5" s="277"/>
      <c r="F5" s="277"/>
      <c r="G5" s="445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94"/>
      <c r="U5" s="294"/>
      <c r="V5" s="294"/>
      <c r="W5" s="294"/>
      <c r="X5" s="294"/>
      <c r="Y5" s="294"/>
      <c r="Z5" s="294"/>
      <c r="AA5" s="294"/>
      <c r="AB5" s="294"/>
      <c r="AC5" s="277"/>
      <c r="AD5" s="277"/>
    </row>
    <row r="6" spans="1:235" customFormat="1" ht="15.75" customHeight="1" x14ac:dyDescent="0.3">
      <c r="A6" s="368"/>
      <c r="B6" s="446"/>
      <c r="C6" s="447"/>
      <c r="D6" s="448"/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94"/>
      <c r="U6" s="294"/>
      <c r="V6" s="294"/>
      <c r="W6" s="294"/>
      <c r="X6" s="294"/>
      <c r="Y6" s="294"/>
      <c r="Z6" s="294"/>
      <c r="AA6" s="294"/>
      <c r="AB6" s="294"/>
      <c r="AC6" s="277"/>
      <c r="AD6" s="277"/>
      <c r="AE6" s="261"/>
      <c r="AF6" s="261"/>
      <c r="AG6" s="261"/>
      <c r="AH6" s="261"/>
      <c r="AI6" s="261"/>
      <c r="AJ6" s="261"/>
      <c r="AK6" s="261"/>
      <c r="AL6" s="261"/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1"/>
      <c r="BH6" s="261"/>
      <c r="BI6" s="261"/>
      <c r="BJ6" s="261"/>
      <c r="BK6" s="261"/>
      <c r="BL6" s="261"/>
      <c r="BM6" s="261"/>
      <c r="BN6" s="261"/>
      <c r="BO6" s="261"/>
      <c r="BP6" s="261"/>
      <c r="BQ6" s="261"/>
      <c r="BR6" s="261"/>
      <c r="BS6" s="261"/>
      <c r="BT6" s="261"/>
      <c r="BU6" s="261"/>
      <c r="BV6" s="261"/>
      <c r="BW6" s="261"/>
      <c r="BX6" s="261"/>
      <c r="BY6" s="261"/>
      <c r="BZ6" s="261"/>
      <c r="CA6" s="261"/>
      <c r="CB6" s="261"/>
      <c r="CC6" s="261"/>
      <c r="CD6" s="261"/>
      <c r="CE6" s="261"/>
      <c r="CF6" s="261"/>
      <c r="CG6" s="261"/>
      <c r="CH6" s="261"/>
      <c r="CI6" s="261"/>
      <c r="CJ6" s="261"/>
      <c r="CK6" s="261"/>
      <c r="CL6" s="261"/>
      <c r="CM6" s="261"/>
      <c r="CN6" s="261"/>
      <c r="CO6" s="261"/>
      <c r="CP6" s="261"/>
      <c r="CQ6" s="261"/>
      <c r="CR6" s="261"/>
      <c r="CS6" s="261"/>
      <c r="CT6" s="261"/>
      <c r="CU6" s="261"/>
      <c r="CV6" s="261"/>
      <c r="CW6" s="261"/>
      <c r="CX6" s="261"/>
      <c r="CY6" s="261"/>
      <c r="CZ6" s="261"/>
      <c r="DA6" s="261"/>
      <c r="DB6" s="261"/>
      <c r="DC6" s="261"/>
      <c r="DD6" s="261"/>
      <c r="DE6" s="261"/>
      <c r="DF6" s="261"/>
      <c r="DG6" s="261"/>
      <c r="DH6" s="261"/>
      <c r="DI6" s="261"/>
      <c r="DJ6" s="261"/>
      <c r="DK6" s="261"/>
      <c r="DL6" s="261"/>
      <c r="DM6" s="261"/>
      <c r="DN6" s="261"/>
      <c r="DO6" s="261"/>
      <c r="DP6" s="261"/>
      <c r="DQ6" s="261"/>
      <c r="DR6" s="261"/>
      <c r="DS6" s="261"/>
      <c r="DT6" s="261"/>
      <c r="DU6" s="261"/>
      <c r="DV6" s="261"/>
      <c r="DW6" s="261"/>
      <c r="DX6" s="261"/>
      <c r="DY6" s="261"/>
      <c r="DZ6" s="261"/>
      <c r="EA6" s="261"/>
      <c r="EB6" s="261"/>
      <c r="EC6" s="261"/>
      <c r="ED6" s="261"/>
      <c r="EE6" s="261"/>
      <c r="EF6" s="261"/>
      <c r="EG6" s="261"/>
      <c r="EH6" s="261"/>
      <c r="EI6" s="261"/>
      <c r="EJ6" s="261"/>
      <c r="EK6" s="261"/>
      <c r="EL6" s="261"/>
      <c r="EM6" s="261"/>
      <c r="EN6" s="261"/>
      <c r="EO6" s="261"/>
      <c r="EP6" s="261"/>
      <c r="EQ6" s="261"/>
      <c r="ER6" s="261"/>
      <c r="ES6" s="261"/>
      <c r="ET6" s="261"/>
      <c r="EU6" s="261"/>
      <c r="EV6" s="261"/>
      <c r="EW6" s="261"/>
      <c r="EX6" s="261"/>
      <c r="EY6" s="261"/>
      <c r="EZ6" s="261"/>
      <c r="FA6" s="261"/>
      <c r="FB6" s="261"/>
      <c r="FC6" s="261"/>
      <c r="FD6" s="261"/>
      <c r="FE6" s="261"/>
      <c r="FF6" s="261"/>
      <c r="FG6" s="261"/>
      <c r="FH6" s="261"/>
      <c r="FI6" s="261"/>
      <c r="FJ6" s="261"/>
      <c r="FK6" s="261"/>
      <c r="FL6" s="261"/>
      <c r="FM6" s="261"/>
      <c r="FN6" s="261"/>
      <c r="FO6" s="261"/>
      <c r="FP6" s="261"/>
      <c r="FQ6" s="261"/>
      <c r="FR6" s="261"/>
      <c r="FS6" s="261"/>
      <c r="FT6" s="261"/>
      <c r="FU6" s="261"/>
      <c r="FV6" s="261"/>
      <c r="FW6" s="261"/>
      <c r="FX6" s="261"/>
      <c r="FY6" s="261"/>
      <c r="FZ6" s="261"/>
      <c r="GA6" s="261"/>
      <c r="GB6" s="261"/>
      <c r="GC6" s="261"/>
      <c r="GD6" s="261"/>
      <c r="GE6" s="261"/>
      <c r="GF6" s="261"/>
      <c r="GG6" s="261"/>
      <c r="GH6" s="261"/>
      <c r="GI6" s="261"/>
      <c r="GJ6" s="261"/>
      <c r="GK6" s="261"/>
      <c r="GL6" s="261"/>
      <c r="GM6" s="261"/>
      <c r="GN6" s="261"/>
      <c r="GO6" s="261"/>
      <c r="GP6" s="261"/>
      <c r="GQ6" s="261"/>
      <c r="GR6" s="261"/>
      <c r="GS6" s="261"/>
      <c r="GT6" s="261"/>
      <c r="GU6" s="261"/>
      <c r="GV6" s="261"/>
      <c r="GW6" s="261"/>
      <c r="GX6" s="261"/>
      <c r="GY6" s="261"/>
      <c r="GZ6" s="261"/>
      <c r="HA6" s="261"/>
      <c r="HB6" s="261"/>
      <c r="HC6" s="261"/>
      <c r="HD6" s="261"/>
      <c r="HE6" s="261"/>
      <c r="HF6" s="261"/>
      <c r="HG6" s="261"/>
      <c r="HH6" s="261"/>
      <c r="HI6" s="261"/>
      <c r="HJ6" s="261"/>
      <c r="HK6" s="261"/>
      <c r="HL6" s="261"/>
      <c r="HM6" s="261"/>
      <c r="HN6" s="261"/>
      <c r="HO6" s="261"/>
      <c r="HP6" s="261"/>
      <c r="HQ6" s="261"/>
      <c r="HR6" s="261"/>
      <c r="HS6" s="261"/>
      <c r="HT6" s="261"/>
      <c r="HU6" s="261"/>
    </row>
    <row r="7" spans="1:235" customFormat="1" ht="11.25" customHeight="1" x14ac:dyDescent="0.3">
      <c r="A7" s="368"/>
      <c r="B7" s="39" t="s">
        <v>291</v>
      </c>
      <c r="C7" s="1205">
        <v>0</v>
      </c>
      <c r="D7" s="448"/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94"/>
      <c r="U7" s="294"/>
      <c r="V7" s="294"/>
      <c r="W7" s="294"/>
      <c r="X7" s="294"/>
      <c r="Y7" s="294"/>
      <c r="Z7" s="294"/>
      <c r="AA7" s="294"/>
      <c r="AB7" s="294"/>
      <c r="AC7" s="277"/>
      <c r="AD7" s="277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  <c r="BW7" s="261"/>
      <c r="BX7" s="261"/>
      <c r="BY7" s="261"/>
      <c r="BZ7" s="261"/>
      <c r="CA7" s="261"/>
      <c r="CB7" s="261"/>
      <c r="CC7" s="261"/>
      <c r="CD7" s="261"/>
      <c r="CE7" s="261"/>
      <c r="CF7" s="261"/>
      <c r="CG7" s="261"/>
      <c r="CH7" s="261"/>
      <c r="CI7" s="261"/>
      <c r="CJ7" s="261"/>
      <c r="CK7" s="261"/>
      <c r="CL7" s="261"/>
      <c r="CM7" s="261"/>
      <c r="CN7" s="261"/>
      <c r="CO7" s="261"/>
      <c r="CP7" s="261"/>
      <c r="CQ7" s="261"/>
      <c r="CR7" s="261"/>
      <c r="CS7" s="261"/>
      <c r="CT7" s="261"/>
      <c r="CU7" s="261"/>
      <c r="CV7" s="261"/>
      <c r="CW7" s="261"/>
      <c r="CX7" s="261"/>
      <c r="CY7" s="261"/>
      <c r="CZ7" s="261"/>
      <c r="DA7" s="261"/>
      <c r="DB7" s="261"/>
      <c r="DC7" s="261"/>
      <c r="DD7" s="261"/>
      <c r="DE7" s="261"/>
      <c r="DF7" s="261"/>
      <c r="DG7" s="261"/>
      <c r="DH7" s="261"/>
      <c r="DI7" s="261"/>
      <c r="DJ7" s="261"/>
      <c r="DK7" s="261"/>
      <c r="DL7" s="261"/>
      <c r="DM7" s="261"/>
      <c r="DN7" s="261"/>
      <c r="DO7" s="261"/>
      <c r="DP7" s="261"/>
      <c r="DQ7" s="261"/>
      <c r="DR7" s="261"/>
      <c r="DS7" s="261"/>
      <c r="DT7" s="261"/>
      <c r="DU7" s="261"/>
      <c r="DV7" s="261"/>
      <c r="DW7" s="261"/>
      <c r="DX7" s="261"/>
      <c r="DY7" s="261"/>
      <c r="DZ7" s="261"/>
      <c r="EA7" s="261"/>
      <c r="EB7" s="261"/>
      <c r="EC7" s="261"/>
      <c r="ED7" s="261"/>
      <c r="EE7" s="261"/>
      <c r="EF7" s="261"/>
      <c r="EG7" s="261"/>
      <c r="EH7" s="261"/>
      <c r="EI7" s="261"/>
      <c r="EJ7" s="261"/>
      <c r="EK7" s="261"/>
      <c r="EL7" s="261"/>
      <c r="EM7" s="261"/>
      <c r="EN7" s="261"/>
      <c r="EO7" s="261"/>
      <c r="EP7" s="261"/>
      <c r="EQ7" s="261"/>
      <c r="ER7" s="261"/>
      <c r="ES7" s="261"/>
      <c r="ET7" s="261"/>
      <c r="EU7" s="261"/>
      <c r="EV7" s="261"/>
      <c r="EW7" s="261"/>
      <c r="EX7" s="261"/>
      <c r="EY7" s="261"/>
      <c r="EZ7" s="261"/>
      <c r="FA7" s="261"/>
      <c r="FB7" s="261"/>
      <c r="FC7" s="261"/>
      <c r="FD7" s="261"/>
      <c r="FE7" s="261"/>
      <c r="FF7" s="261"/>
      <c r="FG7" s="261"/>
      <c r="FH7" s="261"/>
      <c r="FI7" s="261"/>
      <c r="FJ7" s="261"/>
      <c r="FK7" s="261"/>
      <c r="FL7" s="261"/>
      <c r="FM7" s="261"/>
      <c r="FN7" s="261"/>
      <c r="FO7" s="261"/>
      <c r="FP7" s="261"/>
      <c r="FQ7" s="261"/>
      <c r="FR7" s="261"/>
      <c r="FS7" s="261"/>
      <c r="FT7" s="261"/>
      <c r="FU7" s="261"/>
      <c r="FV7" s="261"/>
      <c r="FW7" s="261"/>
      <c r="FX7" s="261"/>
      <c r="FY7" s="261"/>
      <c r="FZ7" s="261"/>
      <c r="GA7" s="261"/>
      <c r="GB7" s="261"/>
      <c r="GC7" s="261"/>
      <c r="GD7" s="261"/>
      <c r="GE7" s="261"/>
      <c r="GF7" s="261"/>
      <c r="GG7" s="261"/>
      <c r="GH7" s="261"/>
      <c r="GI7" s="261"/>
      <c r="GJ7" s="261"/>
      <c r="GK7" s="261"/>
      <c r="GL7" s="261"/>
      <c r="GM7" s="261"/>
      <c r="GN7" s="261"/>
      <c r="GO7" s="261"/>
      <c r="GP7" s="261"/>
      <c r="GQ7" s="261"/>
      <c r="GR7" s="261"/>
      <c r="GS7" s="261"/>
      <c r="GT7" s="261"/>
      <c r="GU7" s="261"/>
      <c r="GV7" s="261"/>
      <c r="GW7" s="261"/>
      <c r="GX7" s="261"/>
      <c r="GY7" s="261"/>
      <c r="GZ7" s="261"/>
      <c r="HA7" s="261"/>
      <c r="HB7" s="261"/>
      <c r="HC7" s="261"/>
      <c r="HD7" s="261"/>
      <c r="HE7" s="261"/>
      <c r="HF7" s="261"/>
      <c r="HG7" s="261"/>
      <c r="HH7" s="261"/>
      <c r="HI7" s="261"/>
      <c r="HJ7" s="261"/>
      <c r="HK7" s="261"/>
      <c r="HL7" s="261"/>
      <c r="HM7" s="261"/>
      <c r="HN7" s="261"/>
      <c r="HO7" s="261"/>
      <c r="HP7" s="261"/>
      <c r="HQ7" s="261"/>
      <c r="HR7" s="261"/>
      <c r="HS7" s="261"/>
      <c r="HT7" s="261"/>
      <c r="HU7" s="261"/>
    </row>
    <row r="8" spans="1:235" customFormat="1" ht="11.25" customHeight="1" x14ac:dyDescent="0.3">
      <c r="A8" s="368"/>
      <c r="B8" s="153"/>
      <c r="C8" s="449"/>
      <c r="D8" s="450"/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94"/>
      <c r="U8" s="294"/>
      <c r="V8" s="294"/>
      <c r="W8" s="294"/>
      <c r="X8" s="294"/>
      <c r="Y8" s="294"/>
      <c r="Z8" s="294"/>
      <c r="AA8" s="294"/>
      <c r="AB8" s="294"/>
      <c r="AC8" s="277"/>
      <c r="AD8" s="277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  <c r="BX8" s="261"/>
      <c r="BY8" s="261"/>
      <c r="BZ8" s="261"/>
      <c r="CA8" s="261"/>
      <c r="CB8" s="261"/>
      <c r="CC8" s="261"/>
      <c r="CD8" s="261"/>
      <c r="CE8" s="261"/>
      <c r="CF8" s="261"/>
      <c r="CG8" s="261"/>
      <c r="CH8" s="261"/>
      <c r="CI8" s="261"/>
      <c r="CJ8" s="261"/>
      <c r="CK8" s="261"/>
      <c r="CL8" s="261"/>
      <c r="CM8" s="261"/>
      <c r="CN8" s="261"/>
      <c r="CO8" s="261"/>
      <c r="CP8" s="261"/>
      <c r="CQ8" s="261"/>
      <c r="CR8" s="261"/>
      <c r="CS8" s="261"/>
      <c r="CT8" s="261"/>
      <c r="CU8" s="261"/>
      <c r="CV8" s="261"/>
      <c r="CW8" s="261"/>
      <c r="CX8" s="261"/>
      <c r="CY8" s="261"/>
      <c r="CZ8" s="261"/>
      <c r="DA8" s="261"/>
      <c r="DB8" s="261"/>
      <c r="DC8" s="261"/>
      <c r="DD8" s="261"/>
      <c r="DE8" s="261"/>
      <c r="DF8" s="261"/>
      <c r="DG8" s="261"/>
      <c r="DH8" s="261"/>
      <c r="DI8" s="261"/>
      <c r="DJ8" s="261"/>
      <c r="DK8" s="261"/>
      <c r="DL8" s="261"/>
      <c r="DM8" s="261"/>
      <c r="DN8" s="261"/>
      <c r="DO8" s="261"/>
      <c r="DP8" s="261"/>
      <c r="DQ8" s="261"/>
      <c r="DR8" s="261"/>
      <c r="DS8" s="261"/>
      <c r="DT8" s="261"/>
      <c r="DU8" s="261"/>
      <c r="DV8" s="261"/>
      <c r="DW8" s="261"/>
      <c r="DX8" s="261"/>
      <c r="DY8" s="261"/>
      <c r="DZ8" s="261"/>
      <c r="EA8" s="261"/>
      <c r="EB8" s="261"/>
      <c r="EC8" s="261"/>
      <c r="ED8" s="261"/>
      <c r="EE8" s="261"/>
      <c r="EF8" s="261"/>
      <c r="EG8" s="261"/>
      <c r="EH8" s="261"/>
      <c r="EI8" s="261"/>
      <c r="EJ8" s="261"/>
      <c r="EK8" s="261"/>
      <c r="EL8" s="261"/>
      <c r="EM8" s="261"/>
      <c r="EN8" s="261"/>
      <c r="EO8" s="261"/>
      <c r="EP8" s="261"/>
      <c r="EQ8" s="261"/>
      <c r="ER8" s="261"/>
      <c r="ES8" s="261"/>
      <c r="ET8" s="261"/>
      <c r="EU8" s="261"/>
      <c r="EV8" s="261"/>
      <c r="EW8" s="261"/>
      <c r="EX8" s="261"/>
      <c r="EY8" s="261"/>
      <c r="EZ8" s="261"/>
      <c r="FA8" s="261"/>
      <c r="FB8" s="261"/>
      <c r="FC8" s="261"/>
      <c r="FD8" s="261"/>
      <c r="FE8" s="261"/>
      <c r="FF8" s="261"/>
      <c r="FG8" s="261"/>
      <c r="FH8" s="261"/>
      <c r="FI8" s="261"/>
      <c r="FJ8" s="261"/>
      <c r="FK8" s="261"/>
      <c r="FL8" s="261"/>
      <c r="FM8" s="261"/>
      <c r="FN8" s="261"/>
      <c r="FO8" s="261"/>
      <c r="FP8" s="261"/>
      <c r="FQ8" s="261"/>
      <c r="FR8" s="261"/>
      <c r="FS8" s="261"/>
      <c r="FT8" s="261"/>
      <c r="FU8" s="261"/>
      <c r="FV8" s="261"/>
      <c r="FW8" s="261"/>
      <c r="FX8" s="261"/>
      <c r="FY8" s="261"/>
      <c r="FZ8" s="261"/>
      <c r="GA8" s="261"/>
      <c r="GB8" s="261"/>
      <c r="GC8" s="261"/>
      <c r="GD8" s="261"/>
      <c r="GE8" s="261"/>
      <c r="GF8" s="261"/>
      <c r="GG8" s="261"/>
      <c r="GH8" s="261"/>
      <c r="GI8" s="261"/>
      <c r="GJ8" s="261"/>
      <c r="GK8" s="261"/>
      <c r="GL8" s="261"/>
      <c r="GM8" s="261"/>
      <c r="GN8" s="261"/>
      <c r="GO8" s="261"/>
      <c r="GP8" s="261"/>
      <c r="GQ8" s="261"/>
      <c r="GR8" s="261"/>
      <c r="GS8" s="261"/>
      <c r="GT8" s="261"/>
      <c r="GU8" s="261"/>
      <c r="GV8" s="261"/>
      <c r="GW8" s="261"/>
      <c r="GX8" s="261"/>
      <c r="GY8" s="261"/>
      <c r="GZ8" s="261"/>
      <c r="HA8" s="261"/>
      <c r="HB8" s="261"/>
      <c r="HC8" s="261"/>
      <c r="HD8" s="261"/>
      <c r="HE8" s="261"/>
      <c r="HF8" s="261"/>
      <c r="HG8" s="261"/>
      <c r="HH8" s="261"/>
      <c r="HI8" s="261"/>
      <c r="HJ8" s="261"/>
      <c r="HK8" s="261"/>
      <c r="HL8" s="261"/>
      <c r="HM8" s="261"/>
      <c r="HN8" s="261"/>
      <c r="HO8" s="261"/>
      <c r="HP8" s="261"/>
      <c r="HQ8" s="261"/>
      <c r="HR8" s="261"/>
      <c r="HS8" s="261"/>
      <c r="HT8" s="261"/>
      <c r="HU8" s="261"/>
    </row>
    <row r="9" spans="1:235" customFormat="1" ht="49.5" customHeight="1" x14ac:dyDescent="0.3">
      <c r="A9" s="368"/>
      <c r="B9" s="451" t="s">
        <v>360</v>
      </c>
      <c r="C9" s="452" t="s">
        <v>361</v>
      </c>
      <c r="D9" s="453" t="s">
        <v>362</v>
      </c>
      <c r="E9" s="277"/>
      <c r="F9" s="277"/>
      <c r="G9" s="277"/>
      <c r="H9" s="277"/>
      <c r="I9" s="277"/>
      <c r="J9" s="277"/>
      <c r="K9" s="277" t="s">
        <v>363</v>
      </c>
      <c r="L9" s="277"/>
      <c r="M9" s="277"/>
      <c r="N9" s="277"/>
      <c r="O9" s="277"/>
      <c r="P9" s="277"/>
      <c r="Q9" s="277"/>
      <c r="R9" s="277"/>
      <c r="S9" s="277"/>
      <c r="T9" s="294"/>
      <c r="U9" s="294"/>
      <c r="V9" s="294"/>
      <c r="W9" s="294"/>
      <c r="X9" s="294"/>
      <c r="Y9" s="294"/>
      <c r="Z9" s="294"/>
      <c r="AA9" s="294"/>
      <c r="AB9" s="294"/>
      <c r="AC9" s="277"/>
      <c r="AD9" s="277"/>
      <c r="AE9" s="261"/>
      <c r="AF9" s="261"/>
      <c r="AG9" s="261"/>
      <c r="AH9" s="261"/>
      <c r="AI9" s="261"/>
      <c r="AJ9" s="261"/>
      <c r="AK9" s="261"/>
      <c r="AL9" s="261"/>
      <c r="AM9" s="261"/>
      <c r="AN9" s="261"/>
      <c r="AO9" s="261"/>
      <c r="AP9" s="261"/>
      <c r="AQ9" s="261"/>
      <c r="AR9" s="261"/>
      <c r="AS9" s="261"/>
      <c r="AT9" s="261"/>
      <c r="AU9" s="261"/>
      <c r="AV9" s="261"/>
      <c r="AW9" s="261"/>
      <c r="AX9" s="261"/>
      <c r="AY9" s="261"/>
      <c r="AZ9" s="261"/>
      <c r="BA9" s="261"/>
      <c r="BB9" s="261"/>
      <c r="BC9" s="261"/>
      <c r="BD9" s="261"/>
      <c r="BE9" s="261"/>
      <c r="BF9" s="261"/>
      <c r="BG9" s="261"/>
      <c r="BH9" s="261"/>
      <c r="BI9" s="261"/>
      <c r="BJ9" s="261"/>
      <c r="BK9" s="261"/>
      <c r="BL9" s="261"/>
      <c r="BM9" s="261"/>
      <c r="BN9" s="261"/>
      <c r="BO9" s="261"/>
      <c r="BP9" s="261"/>
      <c r="BQ9" s="261"/>
      <c r="BR9" s="261"/>
      <c r="BS9" s="261"/>
      <c r="BT9" s="261"/>
      <c r="BU9" s="261"/>
      <c r="BV9" s="261"/>
      <c r="BW9" s="261"/>
      <c r="BX9" s="261"/>
      <c r="BY9" s="261"/>
      <c r="BZ9" s="261"/>
      <c r="CA9" s="261"/>
      <c r="CB9" s="261"/>
      <c r="CC9" s="261"/>
      <c r="CD9" s="261"/>
      <c r="CE9" s="261"/>
      <c r="CF9" s="261"/>
      <c r="CG9" s="261"/>
      <c r="CH9" s="261"/>
      <c r="CI9" s="261"/>
      <c r="CJ9" s="261"/>
      <c r="CK9" s="261"/>
      <c r="CL9" s="261"/>
      <c r="CM9" s="261"/>
      <c r="CN9" s="261"/>
      <c r="CO9" s="261"/>
      <c r="CP9" s="261"/>
      <c r="CQ9" s="261"/>
      <c r="CR9" s="261"/>
      <c r="CS9" s="261"/>
      <c r="CT9" s="261"/>
      <c r="CU9" s="261"/>
      <c r="CV9" s="261"/>
      <c r="CW9" s="261"/>
      <c r="CX9" s="261"/>
      <c r="CY9" s="261"/>
      <c r="CZ9" s="261"/>
      <c r="DA9" s="261"/>
      <c r="DB9" s="261"/>
      <c r="DC9" s="261"/>
      <c r="DD9" s="261"/>
      <c r="DE9" s="261"/>
      <c r="DF9" s="261"/>
      <c r="DG9" s="261"/>
      <c r="DH9" s="261"/>
      <c r="DI9" s="261"/>
      <c r="DJ9" s="261"/>
      <c r="DK9" s="261"/>
      <c r="DL9" s="261"/>
      <c r="DM9" s="261"/>
      <c r="DN9" s="261"/>
      <c r="DO9" s="261"/>
      <c r="DP9" s="261"/>
      <c r="DQ9" s="261"/>
      <c r="DR9" s="261"/>
      <c r="DS9" s="261"/>
      <c r="DT9" s="261"/>
      <c r="DU9" s="261"/>
      <c r="DV9" s="261"/>
      <c r="DW9" s="261"/>
      <c r="DX9" s="261"/>
      <c r="DY9" s="261"/>
      <c r="DZ9" s="261"/>
      <c r="EA9" s="261"/>
      <c r="EB9" s="261"/>
      <c r="EC9" s="261"/>
      <c r="ED9" s="261"/>
      <c r="EE9" s="261"/>
      <c r="EF9" s="261"/>
      <c r="EG9" s="261"/>
      <c r="EH9" s="261"/>
      <c r="EI9" s="261"/>
      <c r="EJ9" s="261"/>
      <c r="EK9" s="261"/>
      <c r="EL9" s="261"/>
      <c r="EM9" s="261"/>
      <c r="EN9" s="261"/>
      <c r="EO9" s="261"/>
      <c r="EP9" s="261"/>
      <c r="EQ9" s="261"/>
      <c r="ER9" s="261"/>
      <c r="ES9" s="261"/>
      <c r="ET9" s="261"/>
      <c r="EU9" s="261"/>
      <c r="EV9" s="261"/>
      <c r="EW9" s="261"/>
      <c r="EX9" s="261"/>
      <c r="EY9" s="261"/>
      <c r="EZ9" s="261"/>
      <c r="FA9" s="261"/>
      <c r="FB9" s="261"/>
      <c r="FC9" s="261"/>
      <c r="FD9" s="261"/>
      <c r="FE9" s="261"/>
      <c r="FF9" s="261"/>
      <c r="FG9" s="261"/>
      <c r="FH9" s="261"/>
      <c r="FI9" s="261"/>
      <c r="FJ9" s="261"/>
      <c r="FK9" s="261"/>
      <c r="FL9" s="261"/>
      <c r="FM9" s="261"/>
      <c r="FN9" s="261"/>
      <c r="FO9" s="261"/>
      <c r="FP9" s="261"/>
      <c r="FQ9" s="261"/>
      <c r="FR9" s="261"/>
      <c r="FS9" s="261"/>
      <c r="FT9" s="261"/>
      <c r="FU9" s="261"/>
      <c r="FV9" s="261"/>
      <c r="FW9" s="261"/>
      <c r="FX9" s="261"/>
      <c r="FY9" s="261"/>
      <c r="FZ9" s="261"/>
      <c r="GA9" s="261"/>
      <c r="GB9" s="261"/>
      <c r="GC9" s="261"/>
      <c r="GD9" s="261"/>
      <c r="GE9" s="261"/>
      <c r="GF9" s="261"/>
      <c r="GG9" s="261"/>
      <c r="GH9" s="261"/>
      <c r="GI9" s="261"/>
      <c r="GJ9" s="261"/>
      <c r="GK9" s="261"/>
      <c r="GL9" s="261"/>
      <c r="GM9" s="261"/>
      <c r="GN9" s="261"/>
      <c r="GO9" s="261"/>
      <c r="GP9" s="261"/>
      <c r="GQ9" s="261"/>
      <c r="GR9" s="261"/>
      <c r="GS9" s="261"/>
      <c r="GT9" s="261"/>
      <c r="GU9" s="261"/>
      <c r="GV9" s="261"/>
      <c r="GW9" s="261"/>
      <c r="GX9" s="261"/>
      <c r="GY9" s="261"/>
      <c r="GZ9" s="261"/>
      <c r="HA9" s="261"/>
      <c r="HB9" s="261"/>
      <c r="HC9" s="261"/>
      <c r="HD9" s="261"/>
      <c r="HE9" s="261"/>
      <c r="HF9" s="261"/>
      <c r="HG9" s="261"/>
      <c r="HH9" s="261"/>
      <c r="HI9" s="261"/>
      <c r="HJ9" s="261"/>
      <c r="HK9" s="261"/>
      <c r="HL9" s="261"/>
      <c r="HM9" s="261"/>
      <c r="HN9" s="261"/>
      <c r="HO9" s="261"/>
      <c r="HP9" s="261"/>
      <c r="HQ9" s="261"/>
      <c r="HR9" s="261"/>
      <c r="HS9" s="261"/>
      <c r="HT9" s="261"/>
      <c r="HU9" s="261"/>
      <c r="HV9" s="261"/>
      <c r="HW9" s="261"/>
      <c r="HX9" s="261"/>
      <c r="HY9" s="261"/>
      <c r="HZ9" s="261"/>
      <c r="IA9" s="261"/>
    </row>
    <row r="10" spans="1:235" customFormat="1" ht="11.25" customHeight="1" x14ac:dyDescent="0.3">
      <c r="A10" s="368"/>
      <c r="B10" s="150" t="s">
        <v>364</v>
      </c>
      <c r="C10" s="1206" t="s">
        <v>280</v>
      </c>
      <c r="D10" s="1416">
        <v>0.5</v>
      </c>
      <c r="E10" s="277"/>
      <c r="F10" s="277"/>
      <c r="G10" s="277"/>
      <c r="H10" s="277"/>
      <c r="I10" s="277"/>
      <c r="J10" s="277"/>
      <c r="K10" s="277">
        <f>D10*IF(C10=B417,1,0)*('Existing Management Practices'!C$17-'Existing Management Practices'!C$16)*C$7</f>
        <v>0</v>
      </c>
      <c r="L10" s="277"/>
      <c r="M10" s="277"/>
      <c r="N10" s="277"/>
      <c r="O10" s="277"/>
      <c r="P10" s="277"/>
      <c r="Q10" s="277"/>
      <c r="R10" s="277"/>
      <c r="S10" s="277"/>
      <c r="T10" s="294"/>
      <c r="U10" s="294"/>
      <c r="V10" s="294"/>
      <c r="W10" s="294"/>
      <c r="X10" s="294"/>
      <c r="Y10" s="294"/>
      <c r="Z10" s="294"/>
      <c r="AA10" s="294"/>
      <c r="AB10" s="294"/>
      <c r="AC10" s="277"/>
      <c r="AD10" s="277"/>
      <c r="AE10" s="261"/>
      <c r="AF10" s="261"/>
      <c r="AG10" s="261"/>
      <c r="AH10" s="261"/>
      <c r="AI10" s="261"/>
      <c r="AJ10" s="261"/>
      <c r="AK10" s="261"/>
      <c r="AL10" s="261"/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61"/>
      <c r="BD10" s="261"/>
      <c r="BE10" s="261"/>
      <c r="BF10" s="261"/>
      <c r="BG10" s="261"/>
      <c r="BH10" s="261"/>
      <c r="BI10" s="261"/>
      <c r="BJ10" s="261"/>
      <c r="BK10" s="261"/>
      <c r="BL10" s="261"/>
      <c r="BM10" s="261"/>
      <c r="BN10" s="261"/>
      <c r="BO10" s="261"/>
      <c r="BP10" s="261"/>
      <c r="BQ10" s="261"/>
      <c r="BR10" s="261"/>
      <c r="BS10" s="261"/>
      <c r="BT10" s="261"/>
      <c r="BU10" s="261"/>
      <c r="BV10" s="261"/>
      <c r="BW10" s="261"/>
      <c r="BX10" s="261"/>
      <c r="BY10" s="261"/>
      <c r="BZ10" s="261"/>
      <c r="CA10" s="261"/>
      <c r="CB10" s="261"/>
      <c r="CC10" s="261"/>
      <c r="CD10" s="261"/>
      <c r="CE10" s="261"/>
      <c r="CF10" s="261"/>
      <c r="CG10" s="261"/>
      <c r="CH10" s="261"/>
      <c r="CI10" s="261"/>
      <c r="CJ10" s="261"/>
      <c r="CK10" s="261"/>
      <c r="CL10" s="261"/>
      <c r="CM10" s="261"/>
      <c r="CN10" s="261"/>
      <c r="CO10" s="261"/>
      <c r="CP10" s="261"/>
      <c r="CQ10" s="261"/>
      <c r="CR10" s="261"/>
      <c r="CS10" s="261"/>
      <c r="CT10" s="261"/>
      <c r="CU10" s="261"/>
      <c r="CV10" s="261"/>
      <c r="CW10" s="261"/>
      <c r="CX10" s="261"/>
      <c r="CY10" s="261"/>
      <c r="CZ10" s="261"/>
      <c r="DA10" s="261"/>
      <c r="DB10" s="261"/>
      <c r="DC10" s="261"/>
      <c r="DD10" s="261"/>
      <c r="DE10" s="261"/>
      <c r="DF10" s="261"/>
      <c r="DG10" s="261"/>
      <c r="DH10" s="261"/>
      <c r="DI10" s="261"/>
      <c r="DJ10" s="261"/>
      <c r="DK10" s="261"/>
      <c r="DL10" s="261"/>
      <c r="DM10" s="261"/>
      <c r="DN10" s="261"/>
      <c r="DO10" s="261"/>
      <c r="DP10" s="261"/>
      <c r="DQ10" s="261"/>
      <c r="DR10" s="261"/>
      <c r="DS10" s="261"/>
      <c r="DT10" s="261"/>
      <c r="DU10" s="261"/>
      <c r="DV10" s="261"/>
      <c r="DW10" s="261"/>
      <c r="DX10" s="261"/>
      <c r="DY10" s="261"/>
      <c r="DZ10" s="261"/>
      <c r="EA10" s="261"/>
      <c r="EB10" s="261"/>
      <c r="EC10" s="261"/>
      <c r="ED10" s="261"/>
      <c r="EE10" s="261"/>
      <c r="EF10" s="261"/>
      <c r="EG10" s="261"/>
      <c r="EH10" s="261"/>
      <c r="EI10" s="261"/>
      <c r="EJ10" s="261"/>
      <c r="EK10" s="261"/>
      <c r="EL10" s="261"/>
      <c r="EM10" s="261"/>
      <c r="EN10" s="261"/>
      <c r="EO10" s="261"/>
      <c r="EP10" s="261"/>
      <c r="EQ10" s="261"/>
      <c r="ER10" s="261"/>
      <c r="ES10" s="261"/>
      <c r="ET10" s="261"/>
      <c r="EU10" s="261"/>
      <c r="EV10" s="261"/>
      <c r="EW10" s="261"/>
      <c r="EX10" s="261"/>
      <c r="EY10" s="261"/>
      <c r="EZ10" s="261"/>
      <c r="FA10" s="261"/>
      <c r="FB10" s="261"/>
      <c r="FC10" s="261"/>
      <c r="FD10" s="261"/>
      <c r="FE10" s="261"/>
      <c r="FF10" s="261"/>
      <c r="FG10" s="261"/>
      <c r="FH10" s="261"/>
      <c r="FI10" s="261"/>
      <c r="FJ10" s="261"/>
      <c r="FK10" s="261"/>
      <c r="FL10" s="261"/>
      <c r="FM10" s="261"/>
      <c r="FN10" s="261"/>
      <c r="FO10" s="261"/>
      <c r="FP10" s="261"/>
      <c r="FQ10" s="261"/>
      <c r="FR10" s="261"/>
      <c r="FS10" s="261"/>
      <c r="FT10" s="261"/>
      <c r="FU10" s="261"/>
      <c r="FV10" s="261"/>
      <c r="FW10" s="261"/>
      <c r="FX10" s="261"/>
      <c r="FY10" s="261"/>
      <c r="FZ10" s="261"/>
      <c r="GA10" s="261"/>
      <c r="GB10" s="261"/>
      <c r="GC10" s="261"/>
      <c r="GD10" s="261"/>
      <c r="GE10" s="261"/>
      <c r="GF10" s="261"/>
      <c r="GG10" s="261"/>
      <c r="GH10" s="261"/>
      <c r="GI10" s="261"/>
      <c r="GJ10" s="261"/>
      <c r="GK10" s="261"/>
      <c r="GL10" s="261"/>
      <c r="GM10" s="261"/>
      <c r="GN10" s="261"/>
      <c r="GO10" s="261"/>
      <c r="GP10" s="261"/>
      <c r="GQ10" s="261"/>
      <c r="GR10" s="261"/>
      <c r="GS10" s="261"/>
      <c r="GT10" s="261"/>
      <c r="GU10" s="261"/>
      <c r="GV10" s="261"/>
      <c r="GW10" s="261"/>
      <c r="GX10" s="261"/>
      <c r="GY10" s="261"/>
      <c r="GZ10" s="261"/>
      <c r="HA10" s="261"/>
      <c r="HB10" s="261"/>
      <c r="HC10" s="261"/>
      <c r="HD10" s="261"/>
      <c r="HE10" s="261"/>
      <c r="HF10" s="261"/>
      <c r="HG10" s="261"/>
      <c r="HH10" s="261"/>
      <c r="HI10" s="261"/>
      <c r="HJ10" s="261"/>
      <c r="HK10" s="261"/>
      <c r="HL10" s="261"/>
      <c r="HM10" s="261"/>
      <c r="HN10" s="261"/>
      <c r="HO10" s="261"/>
      <c r="HP10" s="261"/>
      <c r="HQ10" s="261"/>
      <c r="HR10" s="261"/>
      <c r="HS10" s="261"/>
      <c r="HT10" s="261"/>
      <c r="HU10" s="261"/>
      <c r="HV10" s="261"/>
      <c r="HW10" s="261"/>
      <c r="HX10" s="261"/>
      <c r="HY10" s="261"/>
      <c r="HZ10" s="261"/>
      <c r="IA10" s="261"/>
    </row>
    <row r="11" spans="1:235" customFormat="1" ht="11.25" customHeight="1" x14ac:dyDescent="0.3">
      <c r="A11" s="368"/>
      <c r="B11" s="454" t="s">
        <v>365</v>
      </c>
      <c r="C11" s="1206" t="s">
        <v>280</v>
      </c>
      <c r="D11" s="1416">
        <v>0.25</v>
      </c>
      <c r="E11" s="277"/>
      <c r="F11" s="277"/>
      <c r="G11" s="277"/>
      <c r="H11" s="277"/>
      <c r="I11" s="277"/>
      <c r="J11" s="277"/>
      <c r="K11" s="277">
        <v>0</v>
      </c>
      <c r="L11" s="277"/>
      <c r="M11" s="277"/>
      <c r="N11" s="277"/>
      <c r="O11" s="277"/>
      <c r="P11" s="277"/>
      <c r="Q11" s="277"/>
      <c r="R11" s="277"/>
      <c r="S11" s="277"/>
      <c r="T11" s="294"/>
      <c r="U11" s="294"/>
      <c r="V11" s="294"/>
      <c r="W11" s="294"/>
      <c r="X11" s="294"/>
      <c r="Y11" s="294"/>
      <c r="Z11" s="294"/>
      <c r="AA11" s="294"/>
      <c r="AB11" s="294"/>
      <c r="AC11" s="277"/>
      <c r="AD11" s="277"/>
      <c r="AE11" s="261"/>
      <c r="AF11" s="261"/>
      <c r="AG11" s="261"/>
      <c r="AH11" s="261"/>
      <c r="AI11" s="261"/>
      <c r="AJ11" s="261"/>
      <c r="AK11" s="261"/>
      <c r="AL11" s="261"/>
      <c r="AM11" s="261"/>
      <c r="AN11" s="261"/>
      <c r="AO11" s="261"/>
      <c r="AP11" s="261"/>
      <c r="AQ11" s="261"/>
      <c r="AR11" s="261"/>
      <c r="AS11" s="261"/>
      <c r="AT11" s="261"/>
      <c r="AU11" s="261"/>
      <c r="AV11" s="261"/>
      <c r="AW11" s="261"/>
      <c r="AX11" s="261"/>
      <c r="AY11" s="261"/>
      <c r="AZ11" s="261"/>
      <c r="BA11" s="261"/>
      <c r="BB11" s="261"/>
      <c r="BC11" s="261"/>
      <c r="BD11" s="261"/>
      <c r="BE11" s="261"/>
      <c r="BF11" s="261"/>
      <c r="BG11" s="261"/>
      <c r="BH11" s="261"/>
      <c r="BI11" s="261"/>
      <c r="BJ11" s="261"/>
      <c r="BK11" s="261"/>
      <c r="BL11" s="261"/>
      <c r="BM11" s="261"/>
      <c r="BN11" s="261"/>
      <c r="BO11" s="261"/>
      <c r="BP11" s="261"/>
      <c r="BQ11" s="261"/>
      <c r="BR11" s="261"/>
      <c r="BS11" s="261"/>
      <c r="BT11" s="261"/>
      <c r="BU11" s="261"/>
      <c r="BV11" s="261"/>
      <c r="BW11" s="261"/>
      <c r="BX11" s="261"/>
      <c r="BY11" s="261"/>
      <c r="BZ11" s="261"/>
      <c r="CA11" s="261"/>
      <c r="CB11" s="261"/>
      <c r="CC11" s="261"/>
      <c r="CD11" s="261"/>
      <c r="CE11" s="261"/>
      <c r="CF11" s="261"/>
      <c r="CG11" s="261"/>
      <c r="CH11" s="261"/>
      <c r="CI11" s="261"/>
      <c r="CJ11" s="261"/>
      <c r="CK11" s="261"/>
      <c r="CL11" s="261"/>
      <c r="CM11" s="261"/>
      <c r="CN11" s="261"/>
      <c r="CO11" s="261"/>
      <c r="CP11" s="261"/>
      <c r="CQ11" s="261"/>
      <c r="CR11" s="261"/>
      <c r="CS11" s="261"/>
      <c r="CT11" s="261"/>
      <c r="CU11" s="261"/>
      <c r="CV11" s="261"/>
      <c r="CW11" s="261"/>
      <c r="CX11" s="261"/>
      <c r="CY11" s="261"/>
      <c r="CZ11" s="261"/>
      <c r="DA11" s="261"/>
      <c r="DB11" s="261"/>
      <c r="DC11" s="261"/>
      <c r="DD11" s="261"/>
      <c r="DE11" s="261"/>
      <c r="DF11" s="261"/>
      <c r="DG11" s="261"/>
      <c r="DH11" s="261"/>
      <c r="DI11" s="261"/>
      <c r="DJ11" s="261"/>
      <c r="DK11" s="261"/>
      <c r="DL11" s="261"/>
      <c r="DM11" s="261"/>
      <c r="DN11" s="261"/>
      <c r="DO11" s="261"/>
      <c r="DP11" s="261"/>
      <c r="DQ11" s="261"/>
      <c r="DR11" s="261"/>
      <c r="DS11" s="261"/>
      <c r="DT11" s="261"/>
      <c r="DU11" s="261"/>
      <c r="DV11" s="261"/>
      <c r="DW11" s="261"/>
      <c r="DX11" s="261"/>
      <c r="DY11" s="261"/>
      <c r="DZ11" s="261"/>
      <c r="EA11" s="261"/>
      <c r="EB11" s="261"/>
      <c r="EC11" s="261"/>
      <c r="ED11" s="261"/>
      <c r="EE11" s="261"/>
      <c r="EF11" s="261"/>
      <c r="EG11" s="261"/>
      <c r="EH11" s="261"/>
      <c r="EI11" s="261"/>
      <c r="EJ11" s="261"/>
      <c r="EK11" s="261"/>
      <c r="EL11" s="261"/>
      <c r="EM11" s="261"/>
      <c r="EN11" s="261"/>
      <c r="EO11" s="261"/>
      <c r="EP11" s="261"/>
      <c r="EQ11" s="261"/>
      <c r="ER11" s="261"/>
      <c r="ES11" s="261"/>
      <c r="ET11" s="261"/>
      <c r="EU11" s="261"/>
      <c r="EV11" s="261"/>
      <c r="EW11" s="261"/>
      <c r="EX11" s="261"/>
      <c r="EY11" s="261"/>
      <c r="EZ11" s="261"/>
      <c r="FA11" s="261"/>
      <c r="FB11" s="261"/>
      <c r="FC11" s="261"/>
      <c r="FD11" s="261"/>
      <c r="FE11" s="261"/>
      <c r="FF11" s="261"/>
      <c r="FG11" s="261"/>
      <c r="FH11" s="261"/>
      <c r="FI11" s="261"/>
      <c r="FJ11" s="261"/>
      <c r="FK11" s="261"/>
      <c r="FL11" s="261"/>
      <c r="FM11" s="261"/>
      <c r="FN11" s="261"/>
      <c r="FO11" s="261"/>
      <c r="FP11" s="261"/>
      <c r="FQ11" s="261"/>
      <c r="FR11" s="261"/>
      <c r="FS11" s="261"/>
      <c r="FT11" s="261"/>
      <c r="FU11" s="261"/>
      <c r="FV11" s="261"/>
      <c r="FW11" s="261"/>
      <c r="FX11" s="261"/>
      <c r="FY11" s="261"/>
      <c r="FZ11" s="261"/>
      <c r="GA11" s="261"/>
      <c r="GB11" s="261"/>
      <c r="GC11" s="261"/>
      <c r="GD11" s="261"/>
      <c r="GE11" s="261"/>
      <c r="GF11" s="261"/>
      <c r="GG11" s="261"/>
      <c r="GH11" s="261"/>
      <c r="GI11" s="261"/>
      <c r="GJ11" s="261"/>
      <c r="GK11" s="261"/>
      <c r="GL11" s="261"/>
      <c r="GM11" s="261"/>
      <c r="GN11" s="261"/>
      <c r="GO11" s="261"/>
      <c r="GP11" s="261"/>
      <c r="GQ11" s="261"/>
      <c r="GR11" s="261"/>
      <c r="GS11" s="261"/>
      <c r="GT11" s="261"/>
      <c r="GU11" s="261"/>
      <c r="GV11" s="261"/>
      <c r="GW11" s="261"/>
      <c r="GX11" s="261"/>
      <c r="GY11" s="261"/>
      <c r="GZ11" s="261"/>
      <c r="HA11" s="261"/>
      <c r="HB11" s="261"/>
      <c r="HC11" s="261"/>
      <c r="HD11" s="261"/>
      <c r="HE11" s="261"/>
      <c r="HF11" s="261"/>
      <c r="HG11" s="261"/>
      <c r="HH11" s="261"/>
      <c r="HI11" s="261"/>
      <c r="HJ11" s="261"/>
      <c r="HK11" s="261"/>
      <c r="HL11" s="261"/>
      <c r="HM11" s="261"/>
      <c r="HN11" s="261"/>
      <c r="HO11" s="261"/>
      <c r="HP11" s="261"/>
      <c r="HQ11" s="261"/>
      <c r="HR11" s="261"/>
      <c r="HS11" s="261"/>
      <c r="HT11" s="261"/>
      <c r="HU11" s="261"/>
      <c r="HV11" s="261"/>
      <c r="HW11" s="261"/>
      <c r="HX11" s="261"/>
      <c r="HY11" s="261"/>
      <c r="HZ11" s="261"/>
      <c r="IA11" s="261"/>
    </row>
    <row r="12" spans="1:235" customFormat="1" ht="14.25" customHeight="1" x14ac:dyDescent="0.3">
      <c r="A12" s="368"/>
      <c r="B12" s="39" t="s">
        <v>366</v>
      </c>
      <c r="C12" s="1206" t="s">
        <v>280</v>
      </c>
      <c r="D12" s="1416">
        <v>0.1</v>
      </c>
      <c r="E12" s="277"/>
      <c r="F12" s="277"/>
      <c r="G12" s="277"/>
      <c r="H12" s="277"/>
      <c r="I12" s="277"/>
      <c r="J12" s="277"/>
      <c r="K12" s="277">
        <v>0</v>
      </c>
      <c r="L12" s="277"/>
      <c r="M12" s="277"/>
      <c r="N12" s="277"/>
      <c r="O12" s="277"/>
      <c r="P12" s="277"/>
      <c r="Q12" s="277"/>
      <c r="R12" s="277"/>
      <c r="S12" s="277"/>
      <c r="T12" s="294"/>
      <c r="U12" s="294"/>
      <c r="V12" s="294"/>
      <c r="W12" s="294"/>
      <c r="X12" s="294"/>
      <c r="Y12" s="294"/>
      <c r="Z12" s="294"/>
      <c r="AA12" s="294"/>
      <c r="AB12" s="294"/>
      <c r="AC12" s="277"/>
      <c r="AD12" s="277"/>
      <c r="AE12" s="261"/>
      <c r="AF12" s="261"/>
      <c r="AG12" s="261"/>
      <c r="AH12" s="261"/>
      <c r="AI12" s="261"/>
      <c r="AJ12" s="261"/>
      <c r="AK12" s="261"/>
      <c r="AL12" s="261"/>
      <c r="AM12" s="261"/>
      <c r="AN12" s="261"/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1"/>
      <c r="BG12" s="261"/>
      <c r="BH12" s="261"/>
      <c r="BI12" s="261"/>
      <c r="BJ12" s="261"/>
      <c r="BK12" s="261"/>
      <c r="BL12" s="261"/>
      <c r="BM12" s="261"/>
      <c r="BN12" s="261"/>
      <c r="BO12" s="261"/>
      <c r="BP12" s="261"/>
      <c r="BQ12" s="261"/>
      <c r="BR12" s="261"/>
      <c r="BS12" s="261"/>
      <c r="BT12" s="261"/>
      <c r="BU12" s="261"/>
      <c r="BV12" s="261"/>
      <c r="BW12" s="261"/>
      <c r="BX12" s="261"/>
      <c r="BY12" s="261"/>
      <c r="BZ12" s="261"/>
      <c r="CA12" s="261"/>
      <c r="CB12" s="261"/>
      <c r="CC12" s="261"/>
      <c r="CD12" s="261"/>
      <c r="CE12" s="261"/>
      <c r="CF12" s="261"/>
      <c r="CG12" s="261"/>
      <c r="CH12" s="261"/>
      <c r="CI12" s="261"/>
      <c r="CJ12" s="261"/>
      <c r="CK12" s="261"/>
      <c r="CL12" s="261"/>
      <c r="CM12" s="261"/>
      <c r="CN12" s="261"/>
      <c r="CO12" s="261"/>
      <c r="CP12" s="261"/>
      <c r="CQ12" s="261"/>
      <c r="CR12" s="261"/>
      <c r="CS12" s="261"/>
      <c r="CT12" s="261"/>
      <c r="CU12" s="261"/>
      <c r="CV12" s="261"/>
      <c r="CW12" s="261"/>
      <c r="CX12" s="261"/>
      <c r="CY12" s="261"/>
      <c r="CZ12" s="261"/>
      <c r="DA12" s="261"/>
      <c r="DB12" s="261"/>
      <c r="DC12" s="261"/>
      <c r="DD12" s="261"/>
      <c r="DE12" s="261"/>
      <c r="DF12" s="261"/>
      <c r="DG12" s="261"/>
      <c r="DH12" s="261"/>
      <c r="DI12" s="261"/>
      <c r="DJ12" s="261"/>
      <c r="DK12" s="261"/>
      <c r="DL12" s="261"/>
      <c r="DM12" s="261"/>
      <c r="DN12" s="261"/>
      <c r="DO12" s="261"/>
      <c r="DP12" s="261"/>
      <c r="DQ12" s="261"/>
      <c r="DR12" s="261"/>
      <c r="DS12" s="261"/>
      <c r="DT12" s="261"/>
      <c r="DU12" s="261"/>
      <c r="DV12" s="261"/>
      <c r="DW12" s="261"/>
      <c r="DX12" s="261"/>
      <c r="DY12" s="261"/>
      <c r="DZ12" s="261"/>
      <c r="EA12" s="261"/>
      <c r="EB12" s="261"/>
      <c r="EC12" s="261"/>
      <c r="ED12" s="261"/>
      <c r="EE12" s="261"/>
      <c r="EF12" s="261"/>
      <c r="EG12" s="261"/>
      <c r="EH12" s="261"/>
      <c r="EI12" s="261"/>
      <c r="EJ12" s="261"/>
      <c r="EK12" s="261"/>
      <c r="EL12" s="261"/>
      <c r="EM12" s="261"/>
      <c r="EN12" s="261"/>
      <c r="EO12" s="261"/>
      <c r="EP12" s="261"/>
      <c r="EQ12" s="261"/>
      <c r="ER12" s="261"/>
      <c r="ES12" s="261"/>
      <c r="ET12" s="261"/>
      <c r="EU12" s="261"/>
      <c r="EV12" s="261"/>
      <c r="EW12" s="261"/>
      <c r="EX12" s="261"/>
      <c r="EY12" s="261"/>
      <c r="EZ12" s="261"/>
      <c r="FA12" s="261"/>
      <c r="FB12" s="261"/>
      <c r="FC12" s="261"/>
      <c r="FD12" s="261"/>
      <c r="FE12" s="261"/>
      <c r="FF12" s="261"/>
      <c r="FG12" s="261"/>
      <c r="FH12" s="261"/>
      <c r="FI12" s="261"/>
      <c r="FJ12" s="261"/>
      <c r="FK12" s="261"/>
      <c r="FL12" s="261"/>
      <c r="FM12" s="261"/>
      <c r="FN12" s="261"/>
      <c r="FO12" s="261"/>
      <c r="FP12" s="261"/>
      <c r="FQ12" s="261"/>
      <c r="FR12" s="261"/>
      <c r="FS12" s="261"/>
      <c r="FT12" s="261"/>
      <c r="FU12" s="261"/>
      <c r="FV12" s="261"/>
      <c r="FW12" s="261"/>
      <c r="FX12" s="261"/>
      <c r="FY12" s="261"/>
      <c r="FZ12" s="261"/>
      <c r="GA12" s="261"/>
      <c r="GB12" s="261"/>
      <c r="GC12" s="261"/>
      <c r="GD12" s="261"/>
      <c r="GE12" s="261"/>
      <c r="GF12" s="261"/>
      <c r="GG12" s="261"/>
      <c r="GH12" s="261"/>
      <c r="GI12" s="261"/>
      <c r="GJ12" s="261"/>
      <c r="GK12" s="261"/>
      <c r="GL12" s="261"/>
      <c r="GM12" s="261"/>
      <c r="GN12" s="261"/>
      <c r="GO12" s="261"/>
      <c r="GP12" s="261"/>
      <c r="GQ12" s="261"/>
      <c r="GR12" s="261"/>
      <c r="GS12" s="261"/>
      <c r="GT12" s="261"/>
      <c r="GU12" s="261"/>
      <c r="GV12" s="261"/>
      <c r="GW12" s="261"/>
      <c r="GX12" s="261"/>
      <c r="GY12" s="261"/>
      <c r="GZ12" s="261"/>
      <c r="HA12" s="261"/>
      <c r="HB12" s="261"/>
      <c r="HC12" s="261"/>
      <c r="HD12" s="261"/>
      <c r="HE12" s="261"/>
      <c r="HF12" s="261"/>
      <c r="HG12" s="261"/>
      <c r="HH12" s="261"/>
      <c r="HI12" s="261"/>
      <c r="HJ12" s="261"/>
      <c r="HK12" s="261"/>
      <c r="HL12" s="261"/>
      <c r="HM12" s="261"/>
      <c r="HN12" s="261"/>
      <c r="HO12" s="261"/>
      <c r="HP12" s="261"/>
      <c r="HQ12" s="261"/>
      <c r="HR12" s="261"/>
      <c r="HS12" s="261"/>
      <c r="HT12" s="261"/>
      <c r="HU12" s="261"/>
      <c r="HV12" s="261"/>
      <c r="HW12" s="261"/>
      <c r="HX12" s="261"/>
      <c r="HY12" s="261"/>
      <c r="HZ12" s="261"/>
      <c r="IA12" s="261"/>
    </row>
    <row r="13" spans="1:235" customFormat="1" ht="14.25" customHeight="1" x14ac:dyDescent="0.3">
      <c r="A13" s="368"/>
      <c r="B13" s="39" t="s">
        <v>367</v>
      </c>
      <c r="C13" s="1206" t="s">
        <v>280</v>
      </c>
      <c r="D13" s="1416">
        <v>0.1</v>
      </c>
      <c r="E13" s="277"/>
      <c r="F13" s="277"/>
      <c r="G13" s="277"/>
      <c r="H13" s="277"/>
      <c r="I13" s="277"/>
      <c r="J13" s="277"/>
      <c r="K13" s="277">
        <v>0</v>
      </c>
      <c r="L13" s="277"/>
      <c r="M13" s="277"/>
      <c r="N13" s="277"/>
      <c r="O13" s="277"/>
      <c r="P13" s="277"/>
      <c r="Q13" s="277"/>
      <c r="R13" s="277"/>
      <c r="S13" s="277"/>
      <c r="T13" s="294"/>
      <c r="U13" s="294"/>
      <c r="V13" s="294"/>
      <c r="W13" s="294"/>
      <c r="X13" s="294"/>
      <c r="Y13" s="294"/>
      <c r="Z13" s="294"/>
      <c r="AA13" s="294"/>
      <c r="AB13" s="294"/>
      <c r="AC13" s="277"/>
      <c r="AD13" s="277"/>
      <c r="AE13" s="261"/>
      <c r="AF13" s="261"/>
      <c r="AG13" s="261"/>
      <c r="AH13" s="261"/>
      <c r="AI13" s="261"/>
      <c r="AJ13" s="261"/>
      <c r="AK13" s="261"/>
      <c r="AL13" s="261"/>
      <c r="AM13" s="261"/>
      <c r="AN13" s="261"/>
      <c r="AO13" s="261"/>
      <c r="AP13" s="261"/>
      <c r="AQ13" s="261"/>
      <c r="AR13" s="261"/>
      <c r="AS13" s="261"/>
      <c r="AT13" s="261"/>
      <c r="AU13" s="261"/>
      <c r="AV13" s="261"/>
      <c r="AW13" s="261"/>
      <c r="AX13" s="261"/>
      <c r="AY13" s="261"/>
      <c r="AZ13" s="261"/>
      <c r="BA13" s="261"/>
      <c r="BB13" s="261"/>
      <c r="BC13" s="261"/>
      <c r="BD13" s="261"/>
      <c r="BE13" s="261"/>
      <c r="BF13" s="261"/>
      <c r="BG13" s="261"/>
      <c r="BH13" s="261"/>
      <c r="BI13" s="261"/>
      <c r="BJ13" s="261"/>
      <c r="BK13" s="261"/>
      <c r="BL13" s="261"/>
      <c r="BM13" s="261"/>
      <c r="BN13" s="261"/>
      <c r="BO13" s="261"/>
      <c r="BP13" s="261"/>
      <c r="BQ13" s="261"/>
      <c r="BR13" s="261"/>
      <c r="BS13" s="261"/>
      <c r="BT13" s="261"/>
      <c r="BU13" s="261"/>
      <c r="BV13" s="261"/>
      <c r="BW13" s="261"/>
      <c r="BX13" s="261"/>
      <c r="BY13" s="261"/>
      <c r="BZ13" s="261"/>
      <c r="CA13" s="261"/>
      <c r="CB13" s="261"/>
      <c r="CC13" s="261"/>
      <c r="CD13" s="261"/>
      <c r="CE13" s="261"/>
      <c r="CF13" s="261"/>
      <c r="CG13" s="261"/>
      <c r="CH13" s="261"/>
      <c r="CI13" s="261"/>
      <c r="CJ13" s="261"/>
      <c r="CK13" s="261"/>
      <c r="CL13" s="261"/>
      <c r="CM13" s="261"/>
      <c r="CN13" s="261"/>
      <c r="CO13" s="261"/>
      <c r="CP13" s="261"/>
      <c r="CQ13" s="261"/>
      <c r="CR13" s="261"/>
      <c r="CS13" s="261"/>
      <c r="CT13" s="261"/>
      <c r="CU13" s="261"/>
      <c r="CV13" s="261"/>
      <c r="CW13" s="261"/>
      <c r="CX13" s="261"/>
      <c r="CY13" s="261"/>
      <c r="CZ13" s="261"/>
      <c r="DA13" s="261"/>
      <c r="DB13" s="261"/>
      <c r="DC13" s="261"/>
      <c r="DD13" s="261"/>
      <c r="DE13" s="261"/>
      <c r="DF13" s="261"/>
      <c r="DG13" s="261"/>
      <c r="DH13" s="261"/>
      <c r="DI13" s="261"/>
      <c r="DJ13" s="261"/>
      <c r="DK13" s="261"/>
      <c r="DL13" s="261"/>
      <c r="DM13" s="261"/>
      <c r="DN13" s="261"/>
      <c r="DO13" s="261"/>
      <c r="DP13" s="261"/>
      <c r="DQ13" s="261"/>
      <c r="DR13" s="261"/>
      <c r="DS13" s="261"/>
      <c r="DT13" s="261"/>
      <c r="DU13" s="261"/>
      <c r="DV13" s="261"/>
      <c r="DW13" s="261"/>
      <c r="DX13" s="261"/>
      <c r="DY13" s="261"/>
      <c r="DZ13" s="261"/>
      <c r="EA13" s="261"/>
      <c r="EB13" s="261"/>
      <c r="EC13" s="261"/>
      <c r="ED13" s="261"/>
      <c r="EE13" s="261"/>
      <c r="EF13" s="261"/>
      <c r="EG13" s="261"/>
      <c r="EH13" s="261"/>
      <c r="EI13" s="261"/>
      <c r="EJ13" s="261"/>
      <c r="EK13" s="261"/>
      <c r="EL13" s="261"/>
      <c r="EM13" s="261"/>
      <c r="EN13" s="261"/>
      <c r="EO13" s="261"/>
      <c r="EP13" s="261"/>
      <c r="EQ13" s="261"/>
      <c r="ER13" s="261"/>
      <c r="ES13" s="261"/>
      <c r="ET13" s="261"/>
      <c r="EU13" s="261"/>
      <c r="EV13" s="261"/>
      <c r="EW13" s="261"/>
      <c r="EX13" s="261"/>
      <c r="EY13" s="261"/>
      <c r="EZ13" s="261"/>
      <c r="FA13" s="261"/>
      <c r="FB13" s="261"/>
      <c r="FC13" s="261"/>
      <c r="FD13" s="261"/>
      <c r="FE13" s="261"/>
      <c r="FF13" s="261"/>
      <c r="FG13" s="261"/>
      <c r="FH13" s="261"/>
      <c r="FI13" s="261"/>
      <c r="FJ13" s="261"/>
      <c r="FK13" s="261"/>
      <c r="FL13" s="261"/>
      <c r="FM13" s="261"/>
      <c r="FN13" s="261"/>
      <c r="FO13" s="261"/>
      <c r="FP13" s="261"/>
      <c r="FQ13" s="261"/>
      <c r="FR13" s="261"/>
      <c r="FS13" s="261"/>
      <c r="FT13" s="261"/>
      <c r="FU13" s="261"/>
      <c r="FV13" s="261"/>
      <c r="FW13" s="261"/>
      <c r="FX13" s="261"/>
      <c r="FY13" s="261"/>
      <c r="FZ13" s="261"/>
      <c r="GA13" s="261"/>
      <c r="GB13" s="261"/>
      <c r="GC13" s="261"/>
      <c r="GD13" s="261"/>
      <c r="GE13" s="261"/>
      <c r="GF13" s="261"/>
      <c r="GG13" s="261"/>
      <c r="GH13" s="261"/>
      <c r="GI13" s="261"/>
      <c r="GJ13" s="261"/>
      <c r="GK13" s="261"/>
      <c r="GL13" s="261"/>
      <c r="GM13" s="261"/>
      <c r="GN13" s="261"/>
      <c r="GO13" s="261"/>
      <c r="GP13" s="261"/>
      <c r="GQ13" s="261"/>
      <c r="GR13" s="261"/>
      <c r="GS13" s="261"/>
      <c r="GT13" s="261"/>
      <c r="GU13" s="261"/>
      <c r="GV13" s="261"/>
      <c r="GW13" s="261"/>
      <c r="GX13" s="261"/>
      <c r="GY13" s="261"/>
      <c r="GZ13" s="261"/>
      <c r="HA13" s="261"/>
      <c r="HB13" s="261"/>
      <c r="HC13" s="261"/>
      <c r="HD13" s="261"/>
      <c r="HE13" s="261"/>
      <c r="HF13" s="261"/>
      <c r="HG13" s="261"/>
      <c r="HH13" s="261"/>
      <c r="HI13" s="261"/>
      <c r="HJ13" s="261"/>
      <c r="HK13" s="261"/>
      <c r="HL13" s="261"/>
      <c r="HM13" s="261"/>
      <c r="HN13" s="261"/>
      <c r="HO13" s="261"/>
      <c r="HP13" s="261"/>
      <c r="HQ13" s="261"/>
      <c r="HR13" s="261"/>
      <c r="HS13" s="261"/>
      <c r="HT13" s="261"/>
      <c r="HU13" s="261"/>
      <c r="HV13" s="261"/>
      <c r="HW13" s="261"/>
      <c r="HX13" s="261"/>
      <c r="HY13" s="261"/>
      <c r="HZ13" s="261"/>
      <c r="IA13" s="261"/>
    </row>
    <row r="14" spans="1:235" customFormat="1" ht="11.25" customHeight="1" x14ac:dyDescent="0.3">
      <c r="A14" s="368"/>
      <c r="B14" s="39" t="s">
        <v>368</v>
      </c>
      <c r="C14" s="1206" t="s">
        <v>280</v>
      </c>
      <c r="D14" s="1416">
        <v>0.1</v>
      </c>
      <c r="E14" s="277"/>
      <c r="F14" s="277"/>
      <c r="G14" s="277"/>
      <c r="H14" s="277"/>
      <c r="I14" s="277"/>
      <c r="J14" s="277"/>
      <c r="K14" s="277">
        <v>0</v>
      </c>
      <c r="L14" s="277"/>
      <c r="M14" s="277"/>
      <c r="N14" s="277"/>
      <c r="O14" s="277"/>
      <c r="P14" s="277"/>
      <c r="Q14" s="277"/>
      <c r="R14" s="277"/>
      <c r="S14" s="277"/>
      <c r="T14" s="294"/>
      <c r="U14" s="294"/>
      <c r="V14" s="294"/>
      <c r="W14" s="294"/>
      <c r="X14" s="294"/>
      <c r="Y14" s="294"/>
      <c r="Z14" s="294"/>
      <c r="AA14" s="294"/>
      <c r="AB14" s="294"/>
      <c r="AC14" s="277"/>
      <c r="AD14" s="277"/>
      <c r="AE14" s="261"/>
      <c r="AF14" s="261"/>
      <c r="AG14" s="261"/>
      <c r="AH14" s="261"/>
      <c r="AI14" s="261"/>
      <c r="AJ14" s="261"/>
      <c r="AK14" s="261"/>
      <c r="AL14" s="261"/>
      <c r="AM14" s="261"/>
      <c r="AN14" s="261"/>
      <c r="AO14" s="261"/>
      <c r="AP14" s="261"/>
      <c r="AQ14" s="261"/>
      <c r="AR14" s="261"/>
      <c r="AS14" s="261"/>
      <c r="AT14" s="261"/>
      <c r="AU14" s="261"/>
      <c r="AV14" s="261"/>
      <c r="AW14" s="261"/>
      <c r="AX14" s="261"/>
      <c r="AY14" s="261"/>
      <c r="AZ14" s="261"/>
      <c r="BA14" s="261"/>
      <c r="BB14" s="261"/>
      <c r="BC14" s="261"/>
      <c r="BD14" s="261"/>
      <c r="BE14" s="261"/>
      <c r="BF14" s="261"/>
      <c r="BG14" s="261"/>
      <c r="BH14" s="261"/>
      <c r="BI14" s="261"/>
      <c r="BJ14" s="261"/>
      <c r="BK14" s="261"/>
      <c r="BL14" s="261"/>
      <c r="BM14" s="261"/>
      <c r="BN14" s="261"/>
      <c r="BO14" s="261"/>
      <c r="BP14" s="261"/>
      <c r="BQ14" s="261"/>
      <c r="BR14" s="261"/>
      <c r="BS14" s="261"/>
      <c r="BT14" s="261"/>
      <c r="BU14" s="261"/>
      <c r="BV14" s="261"/>
      <c r="BW14" s="261"/>
      <c r="BX14" s="261"/>
      <c r="BY14" s="261"/>
      <c r="BZ14" s="261"/>
      <c r="CA14" s="261"/>
      <c r="CB14" s="261"/>
      <c r="CC14" s="261"/>
      <c r="CD14" s="261"/>
      <c r="CE14" s="261"/>
      <c r="CF14" s="261"/>
      <c r="CG14" s="261"/>
      <c r="CH14" s="261"/>
      <c r="CI14" s="261"/>
      <c r="CJ14" s="261"/>
      <c r="CK14" s="261"/>
      <c r="CL14" s="261"/>
      <c r="CM14" s="261"/>
      <c r="CN14" s="261"/>
      <c r="CO14" s="261"/>
      <c r="CP14" s="261"/>
      <c r="CQ14" s="261"/>
      <c r="CR14" s="261"/>
      <c r="CS14" s="261"/>
      <c r="CT14" s="261"/>
      <c r="CU14" s="261"/>
      <c r="CV14" s="261"/>
      <c r="CW14" s="261"/>
      <c r="CX14" s="261"/>
      <c r="CY14" s="261"/>
      <c r="CZ14" s="261"/>
      <c r="DA14" s="261"/>
      <c r="DB14" s="261"/>
      <c r="DC14" s="261"/>
      <c r="DD14" s="261"/>
      <c r="DE14" s="261"/>
      <c r="DF14" s="261"/>
      <c r="DG14" s="261"/>
      <c r="DH14" s="261"/>
      <c r="DI14" s="261"/>
      <c r="DJ14" s="261"/>
      <c r="DK14" s="261"/>
      <c r="DL14" s="261"/>
      <c r="DM14" s="261"/>
      <c r="DN14" s="261"/>
      <c r="DO14" s="261"/>
      <c r="DP14" s="261"/>
      <c r="DQ14" s="261"/>
      <c r="DR14" s="261"/>
      <c r="DS14" s="261"/>
      <c r="DT14" s="261"/>
      <c r="DU14" s="261"/>
      <c r="DV14" s="261"/>
      <c r="DW14" s="261"/>
      <c r="DX14" s="261"/>
      <c r="DY14" s="261"/>
      <c r="DZ14" s="261"/>
      <c r="EA14" s="261"/>
      <c r="EB14" s="261"/>
      <c r="EC14" s="261"/>
      <c r="ED14" s="261"/>
      <c r="EE14" s="261"/>
      <c r="EF14" s="261"/>
      <c r="EG14" s="261"/>
      <c r="EH14" s="261"/>
      <c r="EI14" s="261"/>
      <c r="EJ14" s="261"/>
      <c r="EK14" s="261"/>
      <c r="EL14" s="261"/>
      <c r="EM14" s="261"/>
      <c r="EN14" s="261"/>
      <c r="EO14" s="261"/>
      <c r="EP14" s="261"/>
      <c r="EQ14" s="261"/>
      <c r="ER14" s="261"/>
      <c r="ES14" s="261"/>
      <c r="ET14" s="261"/>
      <c r="EU14" s="261"/>
      <c r="EV14" s="261"/>
      <c r="EW14" s="261"/>
      <c r="EX14" s="261"/>
      <c r="EY14" s="261"/>
      <c r="EZ14" s="261"/>
      <c r="FA14" s="261"/>
      <c r="FB14" s="261"/>
      <c r="FC14" s="261"/>
      <c r="FD14" s="261"/>
      <c r="FE14" s="261"/>
      <c r="FF14" s="261"/>
      <c r="FG14" s="261"/>
      <c r="FH14" s="261"/>
      <c r="FI14" s="261"/>
      <c r="FJ14" s="261"/>
      <c r="FK14" s="261"/>
      <c r="FL14" s="261"/>
      <c r="FM14" s="261"/>
      <c r="FN14" s="261"/>
      <c r="FO14" s="261"/>
      <c r="FP14" s="261"/>
      <c r="FQ14" s="261"/>
      <c r="FR14" s="261"/>
      <c r="FS14" s="261"/>
      <c r="FT14" s="261"/>
      <c r="FU14" s="261"/>
      <c r="FV14" s="261"/>
      <c r="FW14" s="261"/>
      <c r="FX14" s="261"/>
      <c r="FY14" s="261"/>
      <c r="FZ14" s="261"/>
      <c r="GA14" s="261"/>
      <c r="GB14" s="261"/>
      <c r="GC14" s="261"/>
      <c r="GD14" s="261"/>
      <c r="GE14" s="261"/>
      <c r="GF14" s="261"/>
      <c r="GG14" s="261"/>
      <c r="GH14" s="261"/>
      <c r="GI14" s="261"/>
      <c r="GJ14" s="261"/>
      <c r="GK14" s="261"/>
      <c r="GL14" s="261"/>
      <c r="GM14" s="261"/>
      <c r="GN14" s="261"/>
      <c r="GO14" s="261"/>
      <c r="GP14" s="261"/>
      <c r="GQ14" s="261"/>
      <c r="GR14" s="261"/>
      <c r="GS14" s="261"/>
      <c r="GT14" s="261"/>
      <c r="GU14" s="261"/>
      <c r="GV14" s="261"/>
      <c r="GW14" s="261"/>
      <c r="GX14" s="261"/>
      <c r="GY14" s="261"/>
      <c r="GZ14" s="261"/>
      <c r="HA14" s="261"/>
      <c r="HB14" s="261"/>
      <c r="HC14" s="261"/>
      <c r="HD14" s="261"/>
      <c r="HE14" s="261"/>
      <c r="HF14" s="261"/>
      <c r="HG14" s="261"/>
      <c r="HH14" s="261"/>
      <c r="HI14" s="261"/>
      <c r="HJ14" s="261"/>
      <c r="HK14" s="261"/>
      <c r="HL14" s="261"/>
      <c r="HM14" s="261"/>
      <c r="HN14" s="261"/>
      <c r="HO14" s="261"/>
      <c r="HP14" s="261"/>
      <c r="HQ14" s="261"/>
      <c r="HR14" s="261"/>
      <c r="HS14" s="261"/>
      <c r="HT14" s="261"/>
      <c r="HU14" s="261"/>
      <c r="HV14" s="261"/>
      <c r="HW14" s="261"/>
      <c r="HX14" s="261"/>
      <c r="HY14" s="261"/>
      <c r="HZ14" s="261"/>
      <c r="IA14" s="261"/>
    </row>
    <row r="15" spans="1:235" customFormat="1" ht="11.25" customHeight="1" thickBot="1" x14ac:dyDescent="0.35">
      <c r="A15" s="368"/>
      <c r="B15" s="97" t="s">
        <v>369</v>
      </c>
      <c r="C15" s="1207" t="s">
        <v>280</v>
      </c>
      <c r="D15" s="1424">
        <v>0.1</v>
      </c>
      <c r="E15" s="277"/>
      <c r="F15" s="277"/>
      <c r="G15" s="277"/>
      <c r="H15" s="277"/>
      <c r="I15" s="277"/>
      <c r="J15" s="277"/>
      <c r="K15" s="277">
        <f>D15*IF(C15=B417,1,0)*('Existing Management Practices'!C$17)*C$7</f>
        <v>0</v>
      </c>
      <c r="L15" s="277"/>
      <c r="M15" s="277"/>
      <c r="N15" s="277"/>
      <c r="O15" s="277"/>
      <c r="P15" s="277"/>
      <c r="Q15" s="277"/>
      <c r="R15" s="277"/>
      <c r="S15" s="277"/>
      <c r="T15" s="294"/>
      <c r="U15" s="294"/>
      <c r="V15" s="294"/>
      <c r="W15" s="294"/>
      <c r="X15" s="294"/>
      <c r="Y15" s="294"/>
      <c r="Z15" s="294"/>
      <c r="AA15" s="294"/>
      <c r="AB15" s="294"/>
      <c r="AC15" s="277"/>
      <c r="AD15" s="277"/>
      <c r="AE15" s="261"/>
      <c r="AF15" s="261"/>
      <c r="AG15" s="261"/>
      <c r="AH15" s="261"/>
      <c r="AI15" s="261"/>
      <c r="AJ15" s="261"/>
      <c r="AK15" s="261"/>
      <c r="AL15" s="261"/>
      <c r="AM15" s="261"/>
      <c r="AN15" s="261"/>
      <c r="AO15" s="261"/>
      <c r="AP15" s="261"/>
      <c r="AQ15" s="261"/>
      <c r="AR15" s="261"/>
      <c r="AS15" s="261"/>
      <c r="AT15" s="261"/>
      <c r="AU15" s="261"/>
      <c r="AV15" s="261"/>
      <c r="AW15" s="261"/>
      <c r="AX15" s="261"/>
      <c r="AY15" s="261"/>
      <c r="AZ15" s="261"/>
      <c r="BA15" s="261"/>
      <c r="BB15" s="261"/>
      <c r="BC15" s="261"/>
      <c r="BD15" s="261"/>
      <c r="BE15" s="261"/>
      <c r="BF15" s="261"/>
      <c r="BG15" s="261"/>
      <c r="BH15" s="261"/>
      <c r="BI15" s="261"/>
      <c r="BJ15" s="261"/>
      <c r="BK15" s="261"/>
      <c r="BL15" s="261"/>
      <c r="BM15" s="261"/>
      <c r="BN15" s="261"/>
      <c r="BO15" s="261"/>
      <c r="BP15" s="261"/>
      <c r="BQ15" s="261"/>
      <c r="BR15" s="261"/>
      <c r="BS15" s="261"/>
      <c r="BT15" s="261"/>
      <c r="BU15" s="261"/>
      <c r="BV15" s="261"/>
      <c r="BW15" s="261"/>
      <c r="BX15" s="261"/>
      <c r="BY15" s="261"/>
      <c r="BZ15" s="261"/>
      <c r="CA15" s="261"/>
      <c r="CB15" s="261"/>
      <c r="CC15" s="261"/>
      <c r="CD15" s="261"/>
      <c r="CE15" s="261"/>
      <c r="CF15" s="261"/>
      <c r="CG15" s="261"/>
      <c r="CH15" s="261"/>
      <c r="CI15" s="261"/>
      <c r="CJ15" s="261"/>
      <c r="CK15" s="261"/>
      <c r="CL15" s="261"/>
      <c r="CM15" s="261"/>
      <c r="CN15" s="261"/>
      <c r="CO15" s="261"/>
      <c r="CP15" s="261"/>
      <c r="CQ15" s="261"/>
      <c r="CR15" s="261"/>
      <c r="CS15" s="261"/>
      <c r="CT15" s="261"/>
      <c r="CU15" s="261"/>
      <c r="CV15" s="261"/>
      <c r="CW15" s="261"/>
      <c r="CX15" s="261"/>
      <c r="CY15" s="261"/>
      <c r="CZ15" s="261"/>
      <c r="DA15" s="261"/>
      <c r="DB15" s="261"/>
      <c r="DC15" s="261"/>
      <c r="DD15" s="261"/>
      <c r="DE15" s="261"/>
      <c r="DF15" s="261"/>
      <c r="DG15" s="261"/>
      <c r="DH15" s="261"/>
      <c r="DI15" s="261"/>
      <c r="DJ15" s="261"/>
      <c r="DK15" s="261"/>
      <c r="DL15" s="261"/>
      <c r="DM15" s="261"/>
      <c r="DN15" s="261"/>
      <c r="DO15" s="261"/>
      <c r="DP15" s="261"/>
      <c r="DQ15" s="261"/>
      <c r="DR15" s="261"/>
      <c r="DS15" s="261"/>
      <c r="DT15" s="261"/>
      <c r="DU15" s="261"/>
      <c r="DV15" s="261"/>
      <c r="DW15" s="261"/>
      <c r="DX15" s="261"/>
      <c r="DY15" s="261"/>
      <c r="DZ15" s="261"/>
      <c r="EA15" s="261"/>
      <c r="EB15" s="261"/>
      <c r="EC15" s="261"/>
      <c r="ED15" s="261"/>
      <c r="EE15" s="261"/>
      <c r="EF15" s="261"/>
      <c r="EG15" s="261"/>
      <c r="EH15" s="261"/>
      <c r="EI15" s="261"/>
      <c r="EJ15" s="261"/>
      <c r="EK15" s="261"/>
      <c r="EL15" s="261"/>
      <c r="EM15" s="261"/>
      <c r="EN15" s="261"/>
      <c r="EO15" s="261"/>
      <c r="EP15" s="261"/>
      <c r="EQ15" s="261"/>
      <c r="ER15" s="261"/>
      <c r="ES15" s="261"/>
      <c r="ET15" s="261"/>
      <c r="EU15" s="261"/>
      <c r="EV15" s="261"/>
      <c r="EW15" s="261"/>
      <c r="EX15" s="261"/>
      <c r="EY15" s="261"/>
      <c r="EZ15" s="261"/>
      <c r="FA15" s="261"/>
      <c r="FB15" s="261"/>
      <c r="FC15" s="261"/>
      <c r="FD15" s="261"/>
      <c r="FE15" s="261"/>
      <c r="FF15" s="261"/>
      <c r="FG15" s="261"/>
      <c r="FH15" s="261"/>
      <c r="FI15" s="261"/>
      <c r="FJ15" s="261"/>
      <c r="FK15" s="261"/>
      <c r="FL15" s="261"/>
      <c r="FM15" s="261"/>
      <c r="FN15" s="261"/>
      <c r="FO15" s="261"/>
      <c r="FP15" s="261"/>
      <c r="FQ15" s="261"/>
      <c r="FR15" s="261"/>
      <c r="FS15" s="261"/>
      <c r="FT15" s="261"/>
      <c r="FU15" s="261"/>
      <c r="FV15" s="261"/>
      <c r="FW15" s="261"/>
      <c r="FX15" s="261"/>
      <c r="FY15" s="261"/>
      <c r="FZ15" s="261"/>
      <c r="GA15" s="261"/>
      <c r="GB15" s="261"/>
      <c r="GC15" s="261"/>
      <c r="GD15" s="261"/>
      <c r="GE15" s="261"/>
      <c r="GF15" s="261"/>
      <c r="GG15" s="261"/>
      <c r="GH15" s="261"/>
      <c r="GI15" s="261"/>
      <c r="GJ15" s="261"/>
      <c r="GK15" s="261"/>
      <c r="GL15" s="261"/>
      <c r="GM15" s="261"/>
      <c r="GN15" s="261"/>
      <c r="GO15" s="261"/>
      <c r="GP15" s="261"/>
      <c r="GQ15" s="261"/>
      <c r="GR15" s="261"/>
      <c r="GS15" s="261"/>
      <c r="GT15" s="261"/>
      <c r="GU15" s="261"/>
      <c r="GV15" s="261"/>
      <c r="GW15" s="261"/>
      <c r="GX15" s="261"/>
      <c r="GY15" s="261"/>
      <c r="GZ15" s="261"/>
      <c r="HA15" s="261"/>
      <c r="HB15" s="261"/>
      <c r="HC15" s="261"/>
      <c r="HD15" s="261"/>
      <c r="HE15" s="261"/>
      <c r="HF15" s="261"/>
      <c r="HG15" s="261"/>
      <c r="HH15" s="261"/>
      <c r="HI15" s="261"/>
      <c r="HJ15" s="261"/>
      <c r="HK15" s="261"/>
      <c r="HL15" s="261"/>
      <c r="HM15" s="261"/>
      <c r="HN15" s="261"/>
      <c r="HO15" s="261"/>
      <c r="HP15" s="261"/>
      <c r="HQ15" s="261"/>
      <c r="HR15" s="261"/>
      <c r="HS15" s="261"/>
      <c r="HT15" s="261"/>
      <c r="HU15" s="261"/>
      <c r="HV15" s="261"/>
      <c r="HW15" s="261"/>
      <c r="HX15" s="261"/>
      <c r="HY15" s="261"/>
      <c r="HZ15" s="261"/>
      <c r="IA15" s="261"/>
    </row>
    <row r="16" spans="1:235" s="261" customFormat="1" ht="18" customHeight="1" thickTop="1" thickBot="1" x14ac:dyDescent="0.35">
      <c r="A16" s="368"/>
      <c r="B16" s="455"/>
      <c r="C16" s="455"/>
      <c r="D16" s="132"/>
      <c r="E16" s="277"/>
      <c r="F16" s="277"/>
      <c r="G16" s="277"/>
      <c r="H16" s="277"/>
      <c r="I16" s="277"/>
      <c r="J16" s="277"/>
      <c r="K16" s="277">
        <f>SUM(K10:K15)</f>
        <v>0</v>
      </c>
      <c r="L16" s="277"/>
      <c r="M16" s="277"/>
      <c r="N16" s="277"/>
      <c r="O16" s="277"/>
      <c r="P16" s="277"/>
      <c r="Q16" s="277"/>
      <c r="R16" s="277"/>
      <c r="S16" s="277"/>
      <c r="T16" s="294"/>
      <c r="U16" s="294"/>
      <c r="V16" s="294"/>
      <c r="W16" s="294"/>
      <c r="X16" s="294"/>
      <c r="Y16" s="294"/>
      <c r="Z16" s="294"/>
      <c r="AA16" s="294"/>
      <c r="AB16" s="294"/>
      <c r="AC16" s="277"/>
      <c r="AD16" s="277"/>
    </row>
    <row r="17" spans="1:233" ht="21" thickTop="1" thickBot="1" x14ac:dyDescent="0.45">
      <c r="A17" s="368"/>
      <c r="B17" s="1933" t="s">
        <v>370</v>
      </c>
      <c r="C17" s="1934"/>
      <c r="D17" s="1934"/>
      <c r="E17" s="1935"/>
      <c r="F17" s="281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94"/>
      <c r="U17" s="294"/>
      <c r="V17" s="294"/>
      <c r="W17" s="294"/>
      <c r="X17" s="294"/>
      <c r="Y17" s="294"/>
      <c r="Z17" s="294"/>
      <c r="AA17" s="294"/>
      <c r="AB17" s="294"/>
      <c r="AC17" s="277"/>
      <c r="AD17" s="277"/>
      <c r="AE17" s="277"/>
      <c r="AF17" s="277"/>
      <c r="AG17" s="277"/>
      <c r="AH17" s="277"/>
      <c r="AI17" s="277"/>
      <c r="AJ17" s="277"/>
      <c r="AK17" s="277"/>
      <c r="AL17" s="277"/>
      <c r="AM17" s="277"/>
      <c r="AN17" s="277"/>
      <c r="AO17" s="277"/>
      <c r="AP17" s="277"/>
      <c r="AQ17" s="277"/>
      <c r="AR17" s="277"/>
      <c r="AS17" s="277"/>
      <c r="AT17" s="277"/>
      <c r="AU17" s="277"/>
      <c r="AV17" s="277"/>
      <c r="AW17" s="277"/>
      <c r="AX17" s="277"/>
      <c r="AY17" s="277"/>
      <c r="AZ17" s="277"/>
      <c r="BA17" s="277"/>
      <c r="BB17" s="277"/>
      <c r="BC17" s="277"/>
      <c r="BD17" s="277"/>
      <c r="BE17" s="277"/>
      <c r="BF17" s="277"/>
      <c r="BG17" s="277"/>
      <c r="BH17" s="277"/>
      <c r="BI17" s="277"/>
      <c r="BJ17" s="277"/>
      <c r="BK17" s="277"/>
      <c r="BL17" s="277"/>
      <c r="BM17" s="277"/>
      <c r="BN17" s="277"/>
      <c r="BO17" s="277"/>
      <c r="BP17" s="277"/>
      <c r="BQ17" s="277"/>
      <c r="BR17" s="277"/>
      <c r="BS17" s="277"/>
      <c r="BT17" s="277"/>
      <c r="BU17" s="277"/>
      <c r="BV17" s="277"/>
      <c r="BW17" s="277"/>
      <c r="BX17" s="277"/>
      <c r="BY17" s="277"/>
      <c r="BZ17" s="277"/>
      <c r="CA17" s="277"/>
      <c r="CB17" s="277"/>
      <c r="CC17" s="277"/>
      <c r="CD17" s="277"/>
      <c r="CE17" s="277"/>
      <c r="CF17" s="277"/>
      <c r="CG17" s="277"/>
      <c r="CH17" s="277"/>
      <c r="CI17" s="277"/>
      <c r="CJ17" s="277"/>
      <c r="CK17" s="277"/>
      <c r="CL17" s="277"/>
      <c r="CM17" s="277"/>
      <c r="CN17" s="277"/>
      <c r="CO17" s="277"/>
      <c r="CP17" s="277"/>
      <c r="CQ17" s="277"/>
      <c r="CR17" s="277"/>
      <c r="CS17" s="277"/>
      <c r="CT17" s="277"/>
      <c r="CU17" s="277"/>
      <c r="CV17" s="277"/>
      <c r="CW17" s="277"/>
      <c r="CX17" s="277"/>
      <c r="CY17" s="277"/>
      <c r="CZ17" s="277"/>
      <c r="DA17" s="277"/>
      <c r="DB17" s="277"/>
      <c r="DC17" s="277"/>
      <c r="DD17" s="277"/>
      <c r="DE17" s="277"/>
      <c r="DF17" s="277"/>
      <c r="DG17" s="277"/>
      <c r="DH17" s="277"/>
      <c r="DI17" s="277"/>
      <c r="DJ17" s="277"/>
      <c r="DK17" s="277"/>
      <c r="DL17" s="277"/>
      <c r="DM17" s="277"/>
      <c r="DN17" s="277"/>
      <c r="DO17" s="277"/>
      <c r="DP17" s="277"/>
      <c r="DQ17" s="277"/>
      <c r="DR17" s="277"/>
      <c r="DS17" s="277"/>
      <c r="DT17" s="277"/>
      <c r="DU17" s="277"/>
      <c r="DV17" s="277"/>
      <c r="DW17" s="277"/>
      <c r="DX17" s="277"/>
      <c r="DY17" s="277"/>
      <c r="DZ17" s="277"/>
      <c r="EA17" s="277"/>
      <c r="EB17" s="277"/>
      <c r="EC17" s="277"/>
      <c r="ED17" s="277"/>
      <c r="EE17" s="277"/>
      <c r="EF17" s="277"/>
      <c r="EG17" s="277"/>
      <c r="EH17" s="277"/>
      <c r="EI17" s="277"/>
      <c r="EJ17" s="277"/>
      <c r="EK17" s="277"/>
      <c r="EL17" s="277"/>
      <c r="EM17" s="277"/>
      <c r="EN17" s="277"/>
      <c r="EO17" s="277"/>
      <c r="EP17" s="277"/>
      <c r="EQ17" s="277"/>
      <c r="ER17" s="277"/>
      <c r="ES17" s="277"/>
      <c r="ET17" s="277"/>
      <c r="EU17" s="277"/>
      <c r="EV17" s="277"/>
      <c r="EW17" s="277"/>
      <c r="EX17" s="277"/>
      <c r="EY17" s="277"/>
      <c r="EZ17" s="277"/>
      <c r="FA17" s="277"/>
      <c r="FB17" s="277"/>
      <c r="FC17" s="277"/>
      <c r="FD17" s="277"/>
      <c r="FE17" s="277"/>
      <c r="FF17" s="277"/>
      <c r="FG17" s="277"/>
      <c r="FH17" s="277"/>
      <c r="FI17" s="277"/>
      <c r="FJ17" s="277"/>
      <c r="FK17" s="277"/>
      <c r="FL17" s="277"/>
      <c r="FM17" s="277"/>
      <c r="FN17" s="277"/>
      <c r="FO17" s="277"/>
      <c r="FP17" s="277"/>
      <c r="FQ17" s="277"/>
      <c r="FR17" s="277"/>
      <c r="FS17" s="277"/>
      <c r="FT17" s="277"/>
      <c r="FU17" s="277"/>
      <c r="FV17" s="277"/>
      <c r="FW17" s="277"/>
      <c r="FX17" s="277"/>
      <c r="FY17" s="277"/>
      <c r="FZ17" s="277"/>
      <c r="GA17" s="277"/>
      <c r="GB17" s="277"/>
      <c r="GC17" s="277"/>
      <c r="GD17" s="277"/>
      <c r="GE17" s="277"/>
      <c r="GF17" s="277"/>
      <c r="GG17" s="277"/>
      <c r="GH17" s="277"/>
      <c r="GI17" s="277"/>
      <c r="GJ17" s="277"/>
      <c r="GK17" s="277"/>
      <c r="GL17" s="277"/>
      <c r="GM17" s="277"/>
      <c r="GN17" s="277"/>
      <c r="GO17" s="277"/>
      <c r="GP17" s="277"/>
      <c r="GQ17" s="277"/>
      <c r="GR17" s="277"/>
      <c r="GS17" s="277"/>
      <c r="GT17" s="277"/>
      <c r="GU17" s="277"/>
      <c r="GV17" s="277"/>
      <c r="GW17" s="277"/>
      <c r="GX17" s="277"/>
      <c r="GY17" s="277"/>
      <c r="GZ17" s="277"/>
      <c r="HA17" s="277"/>
      <c r="HB17" s="277"/>
      <c r="HC17" s="277"/>
      <c r="HD17" s="277"/>
      <c r="HE17" s="277"/>
      <c r="HF17" s="277"/>
      <c r="HG17" s="277"/>
      <c r="HH17" s="277"/>
      <c r="HI17" s="277"/>
      <c r="HJ17" s="277"/>
      <c r="HK17" s="277"/>
      <c r="HL17" s="277"/>
      <c r="HM17" s="277"/>
      <c r="HN17" s="277"/>
      <c r="HO17" s="277"/>
      <c r="HP17" s="277"/>
      <c r="HQ17" s="277"/>
      <c r="HR17" s="277"/>
      <c r="HS17" s="277"/>
      <c r="HT17" s="277"/>
      <c r="HU17" s="277"/>
      <c r="HV17" s="277"/>
      <c r="HW17" s="277"/>
    </row>
    <row r="18" spans="1:233" ht="13" x14ac:dyDescent="0.3">
      <c r="A18" s="368"/>
      <c r="B18" s="282"/>
      <c r="C18" s="283"/>
      <c r="D18" s="283"/>
      <c r="E18" s="284"/>
      <c r="F18" s="281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94"/>
      <c r="U18" s="294"/>
      <c r="V18" s="294"/>
      <c r="W18" s="294"/>
      <c r="X18" s="294"/>
      <c r="Y18" s="294"/>
      <c r="Z18" s="294"/>
      <c r="AA18" s="294"/>
      <c r="AB18" s="294"/>
      <c r="AC18" s="277"/>
      <c r="AD18" s="277"/>
      <c r="AE18" s="277"/>
      <c r="AF18" s="277"/>
      <c r="AG18" s="277"/>
      <c r="AH18" s="277"/>
      <c r="AI18" s="277"/>
      <c r="AJ18" s="277"/>
      <c r="AK18" s="277"/>
      <c r="AL18" s="277"/>
      <c r="AM18" s="277"/>
      <c r="AN18" s="277"/>
      <c r="AO18" s="277"/>
      <c r="AP18" s="277"/>
      <c r="AQ18" s="277"/>
      <c r="AR18" s="277"/>
      <c r="AS18" s="277"/>
      <c r="AT18" s="277"/>
      <c r="AU18" s="277"/>
      <c r="AV18" s="277"/>
      <c r="AW18" s="277"/>
      <c r="AX18" s="277"/>
      <c r="AY18" s="277"/>
      <c r="AZ18" s="277"/>
      <c r="BA18" s="277"/>
      <c r="BB18" s="277"/>
      <c r="BC18" s="277"/>
      <c r="BD18" s="277"/>
      <c r="BE18" s="277"/>
      <c r="BF18" s="277"/>
      <c r="BG18" s="277"/>
      <c r="BH18" s="277"/>
      <c r="BI18" s="277"/>
      <c r="BJ18" s="277"/>
      <c r="BK18" s="277"/>
      <c r="BL18" s="277"/>
      <c r="BM18" s="277"/>
      <c r="BN18" s="277"/>
      <c r="BO18" s="277"/>
      <c r="BP18" s="277"/>
      <c r="BQ18" s="277"/>
      <c r="BR18" s="277"/>
      <c r="BS18" s="277"/>
      <c r="BT18" s="277"/>
      <c r="BU18" s="277"/>
      <c r="BV18" s="277"/>
      <c r="BW18" s="277"/>
      <c r="BX18" s="277"/>
      <c r="BY18" s="277"/>
      <c r="BZ18" s="277"/>
      <c r="CA18" s="277"/>
      <c r="CB18" s="277"/>
      <c r="CC18" s="277"/>
      <c r="CD18" s="277"/>
      <c r="CE18" s="277"/>
      <c r="CF18" s="277"/>
      <c r="CG18" s="277"/>
      <c r="CH18" s="277"/>
      <c r="CI18" s="277"/>
      <c r="CJ18" s="277"/>
      <c r="CK18" s="277"/>
      <c r="CL18" s="277"/>
      <c r="CM18" s="277"/>
      <c r="CN18" s="277"/>
      <c r="CO18" s="277"/>
      <c r="CP18" s="277"/>
      <c r="CQ18" s="277"/>
      <c r="CR18" s="277"/>
      <c r="CS18" s="277"/>
      <c r="CT18" s="277"/>
      <c r="CU18" s="277"/>
      <c r="CV18" s="277"/>
      <c r="CW18" s="277"/>
      <c r="CX18" s="277"/>
      <c r="CY18" s="277"/>
      <c r="CZ18" s="277"/>
      <c r="DA18" s="277"/>
      <c r="DB18" s="277"/>
      <c r="DC18" s="277"/>
      <c r="DD18" s="277"/>
      <c r="DE18" s="277"/>
      <c r="DF18" s="277"/>
      <c r="DG18" s="277"/>
      <c r="DH18" s="277"/>
      <c r="DI18" s="277"/>
      <c r="DJ18" s="277"/>
      <c r="DK18" s="277"/>
      <c r="DL18" s="277"/>
      <c r="DM18" s="277"/>
      <c r="DN18" s="277"/>
      <c r="DO18" s="277"/>
      <c r="DP18" s="277"/>
      <c r="DQ18" s="277"/>
      <c r="DR18" s="277"/>
      <c r="DS18" s="277"/>
      <c r="DT18" s="277"/>
      <c r="DU18" s="277"/>
      <c r="DV18" s="277"/>
      <c r="DW18" s="277"/>
      <c r="DX18" s="277"/>
      <c r="DY18" s="277"/>
      <c r="DZ18" s="277"/>
      <c r="EA18" s="277"/>
      <c r="EB18" s="277"/>
      <c r="EC18" s="277"/>
      <c r="ED18" s="277"/>
      <c r="EE18" s="277"/>
      <c r="EF18" s="277"/>
      <c r="EG18" s="277"/>
      <c r="EH18" s="277"/>
      <c r="EI18" s="277"/>
      <c r="EJ18" s="277"/>
      <c r="EK18" s="277"/>
      <c r="EL18" s="277"/>
      <c r="EM18" s="277"/>
      <c r="EN18" s="277"/>
      <c r="EO18" s="277"/>
      <c r="EP18" s="277"/>
      <c r="EQ18" s="277"/>
      <c r="ER18" s="277"/>
      <c r="ES18" s="277"/>
      <c r="ET18" s="277"/>
      <c r="EU18" s="277"/>
      <c r="EV18" s="277"/>
      <c r="EW18" s="277"/>
      <c r="EX18" s="277"/>
      <c r="EY18" s="277"/>
      <c r="EZ18" s="277"/>
      <c r="FA18" s="277"/>
      <c r="FB18" s="277"/>
      <c r="FC18" s="277"/>
      <c r="FD18" s="277"/>
      <c r="FE18" s="277"/>
      <c r="FF18" s="277"/>
      <c r="FG18" s="277"/>
      <c r="FH18" s="277"/>
      <c r="FI18" s="277"/>
      <c r="FJ18" s="277"/>
      <c r="FK18" s="277"/>
      <c r="FL18" s="277"/>
      <c r="FM18" s="277"/>
      <c r="FN18" s="277"/>
      <c r="FO18" s="277"/>
      <c r="FP18" s="277"/>
      <c r="FQ18" s="277"/>
      <c r="FR18" s="277"/>
      <c r="FS18" s="277"/>
      <c r="FT18" s="277"/>
      <c r="FU18" s="277"/>
      <c r="FV18" s="277"/>
      <c r="FW18" s="277"/>
      <c r="FX18" s="277"/>
      <c r="FY18" s="277"/>
      <c r="FZ18" s="277"/>
      <c r="GA18" s="277"/>
      <c r="GB18" s="277"/>
      <c r="GC18" s="277"/>
      <c r="GD18" s="277"/>
      <c r="GE18" s="277"/>
      <c r="GF18" s="277"/>
      <c r="GG18" s="277"/>
      <c r="GH18" s="277"/>
      <c r="GI18" s="277"/>
      <c r="GJ18" s="277"/>
      <c r="GK18" s="277"/>
      <c r="GL18" s="277"/>
      <c r="GM18" s="277"/>
      <c r="GN18" s="277"/>
      <c r="GO18" s="277"/>
      <c r="GP18" s="277"/>
      <c r="GQ18" s="277"/>
      <c r="GR18" s="277"/>
      <c r="GS18" s="277"/>
      <c r="GT18" s="277"/>
      <c r="GU18" s="277"/>
      <c r="GV18" s="277"/>
      <c r="GW18" s="277"/>
      <c r="GX18" s="277"/>
      <c r="GY18" s="277"/>
      <c r="GZ18" s="277"/>
      <c r="HA18" s="277"/>
      <c r="HB18" s="277"/>
      <c r="HC18" s="277"/>
      <c r="HD18" s="277"/>
      <c r="HE18" s="277"/>
      <c r="HF18" s="277"/>
      <c r="HG18" s="277"/>
      <c r="HH18" s="277"/>
      <c r="HI18" s="277"/>
      <c r="HJ18" s="277"/>
      <c r="HK18" s="277"/>
      <c r="HL18" s="277"/>
      <c r="HM18" s="277"/>
      <c r="HN18" s="277"/>
      <c r="HO18" s="277"/>
      <c r="HP18" s="277"/>
      <c r="HQ18" s="277"/>
      <c r="HR18" s="277"/>
      <c r="HS18" s="277"/>
      <c r="HT18" s="277"/>
      <c r="HU18" s="277"/>
      <c r="HV18" s="277"/>
      <c r="HW18" s="277"/>
      <c r="HX18" s="277"/>
    </row>
    <row r="19" spans="1:233" ht="13" x14ac:dyDescent="0.3">
      <c r="A19" s="368"/>
      <c r="B19" s="285"/>
      <c r="C19" s="286"/>
      <c r="D19" s="286"/>
      <c r="E19" s="287"/>
      <c r="F19" s="288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94"/>
      <c r="U19" s="294"/>
      <c r="V19" s="294"/>
      <c r="W19" s="294"/>
      <c r="X19" s="294"/>
      <c r="Y19" s="294"/>
      <c r="Z19" s="294"/>
      <c r="AA19" s="294"/>
      <c r="AB19" s="294"/>
      <c r="AC19" s="277"/>
      <c r="AD19" s="277"/>
      <c r="AE19" s="277"/>
      <c r="AF19" s="277"/>
      <c r="AG19" s="277"/>
      <c r="AH19" s="277"/>
      <c r="AI19" s="277"/>
      <c r="AJ19" s="277"/>
      <c r="AK19" s="277"/>
      <c r="AL19" s="277"/>
      <c r="AM19" s="277"/>
      <c r="AN19" s="277"/>
      <c r="AO19" s="277"/>
      <c r="AP19" s="277"/>
      <c r="AQ19" s="277"/>
      <c r="AR19" s="277"/>
      <c r="AS19" s="277"/>
      <c r="AT19" s="277"/>
      <c r="AU19" s="277"/>
      <c r="AV19" s="277"/>
      <c r="AW19" s="277"/>
      <c r="AX19" s="277"/>
      <c r="AY19" s="277"/>
      <c r="AZ19" s="277"/>
      <c r="BA19" s="277"/>
      <c r="BB19" s="277"/>
      <c r="BC19" s="277"/>
      <c r="BD19" s="277"/>
      <c r="BE19" s="277"/>
      <c r="BF19" s="277"/>
      <c r="BG19" s="277"/>
      <c r="BH19" s="277"/>
      <c r="BI19" s="277"/>
      <c r="BJ19" s="277"/>
      <c r="BK19" s="277"/>
      <c r="BL19" s="277"/>
      <c r="BM19" s="277"/>
      <c r="BN19" s="277"/>
      <c r="BO19" s="277"/>
      <c r="BP19" s="277"/>
      <c r="BQ19" s="277"/>
      <c r="BR19" s="277"/>
      <c r="BS19" s="277"/>
      <c r="BT19" s="277"/>
      <c r="BU19" s="277"/>
      <c r="BV19" s="277"/>
      <c r="BW19" s="277"/>
      <c r="BX19" s="277"/>
      <c r="BY19" s="277"/>
      <c r="BZ19" s="277"/>
      <c r="CA19" s="277"/>
      <c r="CB19" s="277"/>
      <c r="CC19" s="277"/>
      <c r="CD19" s="277"/>
      <c r="CE19" s="277"/>
      <c r="CF19" s="277"/>
      <c r="CG19" s="277"/>
      <c r="CH19" s="277"/>
      <c r="CI19" s="277"/>
      <c r="CJ19" s="277"/>
      <c r="CK19" s="277"/>
      <c r="CL19" s="277"/>
      <c r="CM19" s="277"/>
      <c r="CN19" s="277"/>
      <c r="CO19" s="277"/>
      <c r="CP19" s="277"/>
      <c r="CQ19" s="277"/>
      <c r="CR19" s="277"/>
      <c r="CS19" s="277"/>
      <c r="CT19" s="277"/>
      <c r="CU19" s="277"/>
      <c r="CV19" s="277"/>
      <c r="CW19" s="277"/>
      <c r="CX19" s="277"/>
      <c r="CY19" s="277"/>
      <c r="CZ19" s="277"/>
      <c r="DA19" s="277"/>
      <c r="DB19" s="277"/>
      <c r="DC19" s="277"/>
      <c r="DD19" s="277"/>
      <c r="DE19" s="277"/>
      <c r="DF19" s="277"/>
      <c r="DG19" s="277"/>
      <c r="DH19" s="277"/>
      <c r="DI19" s="277"/>
      <c r="DJ19" s="277"/>
      <c r="DK19" s="277"/>
      <c r="DL19" s="277"/>
      <c r="DM19" s="277"/>
      <c r="DN19" s="277"/>
      <c r="DO19" s="277"/>
      <c r="DP19" s="277"/>
      <c r="DQ19" s="277"/>
      <c r="DR19" s="277"/>
      <c r="DS19" s="277"/>
      <c r="DT19" s="277"/>
      <c r="DU19" s="277"/>
      <c r="DV19" s="277"/>
      <c r="DW19" s="277"/>
      <c r="DX19" s="277"/>
      <c r="DY19" s="277"/>
      <c r="DZ19" s="277"/>
      <c r="EA19" s="277"/>
      <c r="EB19" s="277"/>
      <c r="EC19" s="277"/>
      <c r="ED19" s="277"/>
      <c r="EE19" s="277"/>
      <c r="EF19" s="277"/>
      <c r="EG19" s="277"/>
      <c r="EH19" s="277"/>
      <c r="EI19" s="277"/>
      <c r="EJ19" s="277"/>
      <c r="EK19" s="277"/>
      <c r="EL19" s="277"/>
      <c r="EM19" s="277"/>
      <c r="EN19" s="277"/>
      <c r="EO19" s="277"/>
      <c r="EP19" s="277"/>
      <c r="EQ19" s="277"/>
      <c r="ER19" s="277"/>
      <c r="ES19" s="277"/>
      <c r="ET19" s="277"/>
      <c r="EU19" s="277"/>
      <c r="EV19" s="277"/>
      <c r="EW19" s="277"/>
      <c r="EX19" s="277"/>
      <c r="EY19" s="277"/>
      <c r="EZ19" s="277"/>
      <c r="FA19" s="277"/>
      <c r="FB19" s="277"/>
      <c r="FC19" s="277"/>
      <c r="FD19" s="277"/>
      <c r="FE19" s="277"/>
      <c r="FF19" s="277"/>
      <c r="FG19" s="277"/>
      <c r="FH19" s="277"/>
      <c r="FI19" s="277"/>
      <c r="FJ19" s="277"/>
      <c r="FK19" s="277"/>
      <c r="FL19" s="277"/>
      <c r="FM19" s="277"/>
      <c r="FN19" s="277"/>
      <c r="FO19" s="277"/>
      <c r="FP19" s="277"/>
      <c r="FQ19" s="277"/>
      <c r="FR19" s="277"/>
      <c r="FS19" s="277"/>
      <c r="FT19" s="277"/>
      <c r="FU19" s="277"/>
      <c r="FV19" s="277"/>
      <c r="FW19" s="277"/>
      <c r="FX19" s="277"/>
      <c r="FY19" s="277"/>
      <c r="FZ19" s="277"/>
      <c r="GA19" s="277"/>
      <c r="GB19" s="277"/>
      <c r="GC19" s="277"/>
      <c r="GD19" s="277"/>
      <c r="GE19" s="277"/>
      <c r="GF19" s="277"/>
      <c r="GG19" s="277"/>
      <c r="GH19" s="277"/>
      <c r="GI19" s="277"/>
      <c r="GJ19" s="277"/>
      <c r="GK19" s="277"/>
      <c r="GL19" s="277"/>
      <c r="GM19" s="277"/>
      <c r="GN19" s="277"/>
      <c r="GO19" s="277"/>
      <c r="GP19" s="277"/>
      <c r="GQ19" s="277"/>
      <c r="GR19" s="277"/>
      <c r="GS19" s="277"/>
      <c r="GT19" s="277"/>
      <c r="GU19" s="277"/>
      <c r="GV19" s="277"/>
      <c r="GW19" s="277"/>
      <c r="GX19" s="277"/>
      <c r="GY19" s="277"/>
      <c r="GZ19" s="277"/>
      <c r="HA19" s="277"/>
      <c r="HB19" s="277"/>
      <c r="HC19" s="277"/>
      <c r="HD19" s="277"/>
      <c r="HE19" s="277"/>
      <c r="HF19" s="277"/>
      <c r="HG19" s="277"/>
      <c r="HH19" s="277"/>
      <c r="HI19" s="277"/>
      <c r="HJ19" s="277"/>
      <c r="HK19" s="277"/>
      <c r="HL19" s="277"/>
      <c r="HM19" s="277"/>
      <c r="HN19" s="277"/>
      <c r="HO19" s="277"/>
      <c r="HP19" s="277"/>
      <c r="HQ19" s="277"/>
      <c r="HR19" s="277"/>
      <c r="HS19" s="277"/>
      <c r="HT19" s="277"/>
      <c r="HU19" s="277"/>
      <c r="HV19" s="277"/>
      <c r="HW19" s="277"/>
      <c r="HX19" s="277"/>
      <c r="HY19" s="277"/>
    </row>
    <row r="20" spans="1:233" ht="13" x14ac:dyDescent="0.3">
      <c r="A20" s="368"/>
      <c r="B20" s="285" t="s">
        <v>371</v>
      </c>
      <c r="C20" s="1208">
        <f>'Existing Management Practices'!C6*(1-IF(C14=B417,0.25*D14*C7,0))</f>
        <v>16789.272000000001</v>
      </c>
      <c r="D20" s="289"/>
      <c r="E20" s="287"/>
      <c r="F20" s="288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94"/>
      <c r="U20" s="294"/>
      <c r="V20" s="294"/>
      <c r="W20" s="294"/>
      <c r="X20" s="294"/>
      <c r="Y20" s="294"/>
      <c r="Z20" s="294"/>
      <c r="AA20" s="294"/>
      <c r="AB20" s="294"/>
      <c r="AC20" s="277"/>
      <c r="AD20" s="277"/>
      <c r="AE20" s="277"/>
      <c r="AF20" s="277"/>
      <c r="AG20" s="277"/>
      <c r="AH20" s="277"/>
      <c r="AI20" s="277"/>
      <c r="AJ20" s="277"/>
      <c r="AK20" s="277"/>
      <c r="AL20" s="277"/>
      <c r="AM20" s="277"/>
      <c r="AN20" s="277"/>
      <c r="AO20" s="277"/>
      <c r="AP20" s="277"/>
      <c r="AQ20" s="277"/>
      <c r="AR20" s="277"/>
      <c r="AS20" s="277"/>
      <c r="AT20" s="277"/>
      <c r="AU20" s="277"/>
      <c r="AV20" s="277"/>
      <c r="AW20" s="277"/>
      <c r="AX20" s="277"/>
      <c r="AY20" s="277"/>
      <c r="AZ20" s="277"/>
      <c r="BA20" s="277"/>
      <c r="BB20" s="277"/>
      <c r="BC20" s="277"/>
      <c r="BD20" s="277"/>
      <c r="BE20" s="277"/>
      <c r="BF20" s="277"/>
      <c r="BG20" s="277"/>
      <c r="BH20" s="277"/>
      <c r="BI20" s="277"/>
      <c r="BJ20" s="277"/>
      <c r="BK20" s="277"/>
      <c r="BL20" s="277"/>
      <c r="BM20" s="277"/>
      <c r="BN20" s="277"/>
      <c r="BO20" s="277"/>
      <c r="BP20" s="277"/>
      <c r="BQ20" s="277"/>
      <c r="BR20" s="277"/>
      <c r="BS20" s="277"/>
      <c r="BT20" s="277"/>
      <c r="BU20" s="277"/>
      <c r="BV20" s="277"/>
      <c r="BW20" s="277"/>
      <c r="BX20" s="277"/>
      <c r="BY20" s="277"/>
      <c r="BZ20" s="277"/>
      <c r="CA20" s="277"/>
      <c r="CB20" s="277"/>
      <c r="CC20" s="277"/>
      <c r="CD20" s="277"/>
      <c r="CE20" s="277"/>
      <c r="CF20" s="277"/>
      <c r="CG20" s="277"/>
      <c r="CH20" s="277"/>
      <c r="CI20" s="277"/>
      <c r="CJ20" s="277"/>
      <c r="CK20" s="277"/>
      <c r="CL20" s="277"/>
      <c r="CM20" s="277"/>
      <c r="CN20" s="277"/>
      <c r="CO20" s="277"/>
      <c r="CP20" s="277"/>
      <c r="CQ20" s="277"/>
      <c r="CR20" s="277"/>
      <c r="CS20" s="277"/>
      <c r="CT20" s="277"/>
      <c r="CU20" s="277"/>
      <c r="CV20" s="277"/>
      <c r="CW20" s="277"/>
      <c r="CX20" s="277"/>
      <c r="CY20" s="277"/>
      <c r="CZ20" s="277"/>
      <c r="DA20" s="277"/>
      <c r="DB20" s="277"/>
      <c r="DC20" s="277"/>
      <c r="DD20" s="277"/>
      <c r="DE20" s="277"/>
      <c r="DF20" s="277"/>
      <c r="DG20" s="277"/>
      <c r="DH20" s="277"/>
      <c r="DI20" s="277"/>
      <c r="DJ20" s="277"/>
      <c r="DK20" s="277"/>
      <c r="DL20" s="277"/>
      <c r="DM20" s="277"/>
      <c r="DN20" s="277"/>
      <c r="DO20" s="277"/>
      <c r="DP20" s="277"/>
      <c r="DQ20" s="277"/>
      <c r="DR20" s="277"/>
      <c r="DS20" s="277"/>
      <c r="DT20" s="277"/>
      <c r="DU20" s="277"/>
      <c r="DV20" s="277"/>
      <c r="DW20" s="277"/>
      <c r="DX20" s="277"/>
      <c r="DY20" s="277"/>
      <c r="DZ20" s="277"/>
      <c r="EA20" s="277"/>
      <c r="EB20" s="277"/>
      <c r="EC20" s="277"/>
      <c r="ED20" s="277"/>
      <c r="EE20" s="277"/>
      <c r="EF20" s="277"/>
      <c r="EG20" s="277"/>
      <c r="EH20" s="277"/>
      <c r="EI20" s="277"/>
      <c r="EJ20" s="277"/>
      <c r="EK20" s="277"/>
      <c r="EL20" s="277"/>
      <c r="EM20" s="277"/>
      <c r="EN20" s="277"/>
      <c r="EO20" s="277"/>
      <c r="EP20" s="277"/>
      <c r="EQ20" s="277"/>
      <c r="ER20" s="277"/>
      <c r="ES20" s="277"/>
      <c r="ET20" s="277"/>
      <c r="EU20" s="277"/>
      <c r="EV20" s="277"/>
      <c r="EW20" s="277"/>
      <c r="EX20" s="277"/>
      <c r="EY20" s="277"/>
      <c r="EZ20" s="277"/>
      <c r="FA20" s="277"/>
      <c r="FB20" s="277"/>
      <c r="FC20" s="277"/>
      <c r="FD20" s="277"/>
      <c r="FE20" s="277"/>
      <c r="FF20" s="277"/>
      <c r="FG20" s="277"/>
      <c r="FH20" s="277"/>
      <c r="FI20" s="277"/>
      <c r="FJ20" s="277"/>
      <c r="FK20" s="277"/>
      <c r="FL20" s="277"/>
      <c r="FM20" s="277"/>
      <c r="FN20" s="277"/>
      <c r="FO20" s="277"/>
      <c r="FP20" s="277"/>
      <c r="FQ20" s="277"/>
      <c r="FR20" s="277"/>
      <c r="FS20" s="277"/>
      <c r="FT20" s="277"/>
      <c r="FU20" s="277"/>
      <c r="FV20" s="277"/>
      <c r="FW20" s="277"/>
      <c r="FX20" s="277"/>
      <c r="FY20" s="277"/>
      <c r="FZ20" s="277"/>
      <c r="GA20" s="277"/>
      <c r="GB20" s="277"/>
      <c r="GC20" s="277"/>
      <c r="GD20" s="277"/>
      <c r="GE20" s="277"/>
      <c r="GF20" s="277"/>
      <c r="GG20" s="277"/>
      <c r="GH20" s="277"/>
      <c r="GI20" s="277"/>
      <c r="GJ20" s="277"/>
      <c r="GK20" s="277"/>
      <c r="GL20" s="277"/>
      <c r="GM20" s="277"/>
      <c r="GN20" s="277"/>
      <c r="GO20" s="277"/>
      <c r="GP20" s="277"/>
      <c r="GQ20" s="277"/>
      <c r="GR20" s="277"/>
      <c r="GS20" s="277"/>
      <c r="GT20" s="277"/>
      <c r="GU20" s="277"/>
      <c r="GV20" s="277"/>
      <c r="GW20" s="277"/>
      <c r="GX20" s="277"/>
      <c r="GY20" s="277"/>
      <c r="GZ20" s="277"/>
      <c r="HA20" s="277"/>
      <c r="HB20" s="277"/>
      <c r="HC20" s="277"/>
      <c r="HD20" s="277"/>
      <c r="HE20" s="277"/>
      <c r="HF20" s="277"/>
      <c r="HG20" s="277"/>
      <c r="HH20" s="277"/>
      <c r="HI20" s="277"/>
      <c r="HJ20" s="277"/>
      <c r="HK20" s="277"/>
      <c r="HL20" s="277"/>
      <c r="HM20" s="277"/>
      <c r="HN20" s="277"/>
      <c r="HO20" s="277"/>
      <c r="HP20" s="277"/>
      <c r="HQ20" s="277"/>
      <c r="HR20" s="277"/>
      <c r="HS20" s="277"/>
      <c r="HT20" s="277"/>
      <c r="HU20" s="277"/>
      <c r="HV20" s="277"/>
      <c r="HW20" s="277"/>
      <c r="HX20" s="277"/>
    </row>
    <row r="21" spans="1:233" ht="13" x14ac:dyDescent="0.3">
      <c r="A21" s="368"/>
      <c r="B21" s="285" t="s">
        <v>372</v>
      </c>
      <c r="C21" s="1208">
        <f>'Existing Management Practices'!C6-C20</f>
        <v>0</v>
      </c>
      <c r="D21" s="286"/>
      <c r="E21" s="287"/>
      <c r="F21" s="288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94"/>
      <c r="U21" s="294"/>
      <c r="V21" s="294"/>
      <c r="W21" s="294"/>
      <c r="X21" s="294"/>
      <c r="Y21" s="294"/>
      <c r="Z21" s="294"/>
      <c r="AA21" s="294"/>
      <c r="AB21" s="294"/>
      <c r="AC21" s="277"/>
      <c r="AD21" s="277"/>
      <c r="AE21" s="277"/>
      <c r="AF21" s="277"/>
      <c r="AG21" s="277"/>
      <c r="AH21" s="277"/>
      <c r="AI21" s="277"/>
      <c r="AJ21" s="277"/>
      <c r="AK21" s="277"/>
      <c r="AL21" s="277"/>
      <c r="AM21" s="277"/>
      <c r="AN21" s="277"/>
      <c r="AO21" s="277"/>
      <c r="AP21" s="277"/>
      <c r="AQ21" s="277"/>
      <c r="AR21" s="277"/>
      <c r="AS21" s="277"/>
      <c r="AT21" s="277"/>
      <c r="AU21" s="277"/>
      <c r="AV21" s="277"/>
      <c r="AW21" s="277"/>
      <c r="AX21" s="277"/>
      <c r="AY21" s="277"/>
      <c r="AZ21" s="277"/>
      <c r="BA21" s="277"/>
      <c r="BB21" s="277"/>
      <c r="BC21" s="277"/>
      <c r="BD21" s="277"/>
      <c r="BE21" s="277"/>
      <c r="BF21" s="277"/>
      <c r="BG21" s="277"/>
      <c r="BH21" s="277"/>
      <c r="BI21" s="277"/>
      <c r="BJ21" s="277"/>
      <c r="BK21" s="277"/>
      <c r="BL21" s="277"/>
      <c r="BM21" s="277"/>
      <c r="BN21" s="277"/>
      <c r="BO21" s="277"/>
      <c r="BP21" s="277"/>
      <c r="BQ21" s="277"/>
      <c r="BR21" s="277"/>
      <c r="BS21" s="277"/>
      <c r="BT21" s="277"/>
      <c r="BU21" s="277"/>
      <c r="BV21" s="277"/>
      <c r="BW21" s="277"/>
      <c r="BX21" s="277"/>
      <c r="BY21" s="277"/>
      <c r="BZ21" s="277"/>
      <c r="CA21" s="277"/>
      <c r="CB21" s="277"/>
      <c r="CC21" s="277"/>
      <c r="CD21" s="277"/>
      <c r="CE21" s="277"/>
      <c r="CF21" s="277"/>
      <c r="CG21" s="277"/>
      <c r="CH21" s="277"/>
      <c r="CI21" s="277"/>
      <c r="CJ21" s="277"/>
      <c r="CK21" s="277"/>
      <c r="CL21" s="277"/>
      <c r="CM21" s="277"/>
      <c r="CN21" s="277"/>
      <c r="CO21" s="277"/>
      <c r="CP21" s="277"/>
      <c r="CQ21" s="277"/>
      <c r="CR21" s="277"/>
      <c r="CS21" s="277"/>
      <c r="CT21" s="277"/>
      <c r="CU21" s="277"/>
      <c r="CV21" s="277"/>
      <c r="CW21" s="277"/>
      <c r="CX21" s="277"/>
      <c r="CY21" s="277"/>
      <c r="CZ21" s="277"/>
      <c r="DA21" s="277"/>
      <c r="DB21" s="277"/>
      <c r="DC21" s="277"/>
      <c r="DD21" s="277"/>
      <c r="DE21" s="277"/>
      <c r="DF21" s="277"/>
      <c r="DG21" s="277"/>
      <c r="DH21" s="277"/>
      <c r="DI21" s="277"/>
      <c r="DJ21" s="277"/>
      <c r="DK21" s="277"/>
      <c r="DL21" s="277"/>
      <c r="DM21" s="277"/>
      <c r="DN21" s="277"/>
      <c r="DO21" s="277"/>
      <c r="DP21" s="277"/>
      <c r="DQ21" s="277"/>
      <c r="DR21" s="277"/>
      <c r="DS21" s="277"/>
      <c r="DT21" s="277"/>
      <c r="DU21" s="277"/>
      <c r="DV21" s="277"/>
      <c r="DW21" s="277"/>
      <c r="DX21" s="277"/>
      <c r="DY21" s="277"/>
      <c r="DZ21" s="277"/>
      <c r="EA21" s="277"/>
      <c r="EB21" s="277"/>
      <c r="EC21" s="277"/>
      <c r="ED21" s="277"/>
      <c r="EE21" s="277"/>
      <c r="EF21" s="277"/>
      <c r="EG21" s="277"/>
      <c r="EH21" s="277"/>
      <c r="EI21" s="277"/>
      <c r="EJ21" s="277"/>
      <c r="EK21" s="277"/>
      <c r="EL21" s="277"/>
      <c r="EM21" s="277"/>
      <c r="EN21" s="277"/>
      <c r="EO21" s="277"/>
      <c r="EP21" s="277"/>
      <c r="EQ21" s="277"/>
      <c r="ER21" s="277"/>
      <c r="ES21" s="277"/>
      <c r="ET21" s="277"/>
      <c r="EU21" s="277"/>
      <c r="EV21" s="277"/>
      <c r="EW21" s="277"/>
      <c r="EX21" s="277"/>
      <c r="EY21" s="277"/>
      <c r="EZ21" s="277"/>
      <c r="FA21" s="277"/>
      <c r="FB21" s="277"/>
      <c r="FC21" s="277"/>
      <c r="FD21" s="277"/>
      <c r="FE21" s="277"/>
      <c r="FF21" s="277"/>
      <c r="FG21" s="277"/>
      <c r="FH21" s="277"/>
      <c r="FI21" s="277"/>
      <c r="FJ21" s="277"/>
      <c r="FK21" s="277"/>
      <c r="FL21" s="277"/>
      <c r="FM21" s="277"/>
      <c r="FN21" s="277"/>
      <c r="FO21" s="277"/>
      <c r="FP21" s="277"/>
      <c r="FQ21" s="277"/>
      <c r="FR21" s="277"/>
      <c r="FS21" s="277"/>
      <c r="FT21" s="277"/>
      <c r="FU21" s="277"/>
      <c r="FV21" s="277"/>
      <c r="FW21" s="277"/>
      <c r="FX21" s="277"/>
      <c r="FY21" s="277"/>
      <c r="FZ21" s="277"/>
      <c r="GA21" s="277"/>
      <c r="GB21" s="277"/>
      <c r="GC21" s="277"/>
      <c r="GD21" s="277"/>
      <c r="GE21" s="277"/>
      <c r="GF21" s="277"/>
      <c r="GG21" s="277"/>
      <c r="GH21" s="277"/>
      <c r="GI21" s="277"/>
      <c r="GJ21" s="277"/>
      <c r="GK21" s="277"/>
      <c r="GL21" s="277"/>
      <c r="GM21" s="277"/>
      <c r="GN21" s="277"/>
      <c r="GO21" s="277"/>
      <c r="GP21" s="277"/>
      <c r="GQ21" s="277"/>
      <c r="GR21" s="277"/>
      <c r="GS21" s="277"/>
      <c r="GT21" s="277"/>
      <c r="GU21" s="277"/>
      <c r="GV21" s="277"/>
      <c r="GW21" s="277"/>
      <c r="GX21" s="277"/>
      <c r="GY21" s="277"/>
      <c r="GZ21" s="277"/>
      <c r="HA21" s="277"/>
      <c r="HB21" s="277"/>
      <c r="HC21" s="277"/>
      <c r="HD21" s="277"/>
      <c r="HE21" s="277"/>
      <c r="HF21" s="277"/>
      <c r="HG21" s="277"/>
      <c r="HH21" s="277"/>
      <c r="HI21" s="277"/>
      <c r="HJ21" s="277"/>
      <c r="HK21" s="277"/>
      <c r="HL21" s="277"/>
      <c r="HM21" s="277"/>
      <c r="HN21" s="277"/>
      <c r="HO21" s="277"/>
      <c r="HP21" s="277"/>
      <c r="HQ21" s="277"/>
      <c r="HR21" s="277"/>
      <c r="HS21" s="277"/>
      <c r="HT21" s="277"/>
      <c r="HU21" s="277"/>
      <c r="HV21" s="277"/>
      <c r="HW21" s="277"/>
      <c r="HX21" s="277"/>
    </row>
    <row r="22" spans="1:233" ht="13" x14ac:dyDescent="0.3">
      <c r="A22" s="368"/>
      <c r="B22" s="285" t="s">
        <v>373</v>
      </c>
      <c r="C22" s="1209">
        <f>'Existing Management Practices'!C17-K16</f>
        <v>150</v>
      </c>
      <c r="D22" s="286"/>
      <c r="E22" s="287"/>
      <c r="F22" s="288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94"/>
      <c r="U22" s="294"/>
      <c r="V22" s="294"/>
      <c r="W22" s="294"/>
      <c r="X22" s="294"/>
      <c r="Y22" s="294"/>
      <c r="Z22" s="294"/>
      <c r="AA22" s="294"/>
      <c r="AB22" s="294"/>
      <c r="AC22" s="277"/>
      <c r="AD22" s="277"/>
      <c r="AE22" s="277"/>
      <c r="AF22" s="277"/>
      <c r="AG22" s="277"/>
      <c r="AH22" s="277"/>
      <c r="AI22" s="277"/>
      <c r="AJ22" s="277"/>
      <c r="AK22" s="277"/>
      <c r="AL22" s="277"/>
      <c r="AM22" s="277"/>
      <c r="AN22" s="277"/>
      <c r="AO22" s="277"/>
      <c r="AP22" s="277"/>
      <c r="AQ22" s="277"/>
      <c r="AR22" s="277"/>
      <c r="AS22" s="277"/>
      <c r="AT22" s="277"/>
      <c r="AU22" s="277"/>
      <c r="AV22" s="277"/>
      <c r="AW22" s="277"/>
      <c r="AX22" s="277"/>
      <c r="AY22" s="277"/>
      <c r="AZ22" s="277"/>
      <c r="BA22" s="277"/>
      <c r="BB22" s="277"/>
      <c r="BC22" s="277"/>
      <c r="BD22" s="277"/>
      <c r="BE22" s="277"/>
      <c r="BF22" s="277"/>
      <c r="BG22" s="277"/>
      <c r="BH22" s="277"/>
      <c r="BI22" s="277"/>
      <c r="BJ22" s="277"/>
      <c r="BK22" s="277"/>
      <c r="BL22" s="277"/>
      <c r="BM22" s="277"/>
      <c r="BN22" s="277"/>
      <c r="BO22" s="277"/>
      <c r="BP22" s="277"/>
      <c r="BQ22" s="277"/>
      <c r="BR22" s="277"/>
      <c r="BS22" s="277"/>
      <c r="BT22" s="277"/>
      <c r="BU22" s="277"/>
      <c r="BV22" s="277"/>
      <c r="BW22" s="277"/>
      <c r="BX22" s="277"/>
      <c r="BY22" s="277"/>
      <c r="BZ22" s="277"/>
      <c r="CA22" s="277"/>
      <c r="CB22" s="277"/>
      <c r="CC22" s="277"/>
      <c r="CD22" s="277"/>
      <c r="CE22" s="277"/>
      <c r="CF22" s="277"/>
      <c r="CG22" s="277"/>
      <c r="CH22" s="277"/>
      <c r="CI22" s="277"/>
      <c r="CJ22" s="277"/>
      <c r="CK22" s="277"/>
      <c r="CL22" s="277"/>
      <c r="CM22" s="277"/>
      <c r="CN22" s="277"/>
      <c r="CO22" s="277"/>
      <c r="CP22" s="277"/>
      <c r="CQ22" s="277"/>
      <c r="CR22" s="277"/>
      <c r="CS22" s="277"/>
      <c r="CT22" s="277"/>
      <c r="CU22" s="277"/>
      <c r="CV22" s="277"/>
      <c r="CW22" s="277"/>
      <c r="CX22" s="277"/>
      <c r="CY22" s="277"/>
      <c r="CZ22" s="277"/>
      <c r="DA22" s="277"/>
      <c r="DB22" s="277"/>
      <c r="DC22" s="277"/>
      <c r="DD22" s="277"/>
      <c r="DE22" s="277"/>
      <c r="DF22" s="277"/>
      <c r="DG22" s="277"/>
      <c r="DH22" s="277"/>
      <c r="DI22" s="277"/>
      <c r="DJ22" s="277"/>
      <c r="DK22" s="277"/>
      <c r="DL22" s="277"/>
      <c r="DM22" s="277"/>
      <c r="DN22" s="277"/>
      <c r="DO22" s="277"/>
      <c r="DP22" s="277"/>
      <c r="DQ22" s="277"/>
      <c r="DR22" s="277"/>
      <c r="DS22" s="277"/>
      <c r="DT22" s="277"/>
      <c r="DU22" s="277"/>
      <c r="DV22" s="277"/>
      <c r="DW22" s="277"/>
      <c r="DX22" s="277"/>
      <c r="DY22" s="277"/>
      <c r="DZ22" s="277"/>
      <c r="EA22" s="277"/>
      <c r="EB22" s="277"/>
      <c r="EC22" s="277"/>
      <c r="ED22" s="277"/>
      <c r="EE22" s="277"/>
      <c r="EF22" s="277"/>
      <c r="EG22" s="277"/>
      <c r="EH22" s="277"/>
      <c r="EI22" s="277"/>
      <c r="EJ22" s="277"/>
      <c r="EK22" s="277"/>
      <c r="EL22" s="277"/>
      <c r="EM22" s="277"/>
      <c r="EN22" s="277"/>
      <c r="EO22" s="277"/>
      <c r="EP22" s="277"/>
      <c r="EQ22" s="277"/>
      <c r="ER22" s="277"/>
      <c r="ES22" s="277"/>
      <c r="ET22" s="277"/>
      <c r="EU22" s="277"/>
      <c r="EV22" s="277"/>
      <c r="EW22" s="277"/>
      <c r="EX22" s="277"/>
      <c r="EY22" s="277"/>
      <c r="EZ22" s="277"/>
      <c r="FA22" s="277"/>
      <c r="FB22" s="277"/>
      <c r="FC22" s="277"/>
      <c r="FD22" s="277"/>
      <c r="FE22" s="277"/>
      <c r="FF22" s="277"/>
      <c r="FG22" s="277"/>
      <c r="FH22" s="277"/>
      <c r="FI22" s="277"/>
      <c r="FJ22" s="277"/>
      <c r="FK22" s="277"/>
      <c r="FL22" s="277"/>
      <c r="FM22" s="277"/>
      <c r="FN22" s="277"/>
      <c r="FO22" s="277"/>
      <c r="FP22" s="277"/>
      <c r="FQ22" s="277"/>
      <c r="FR22" s="277"/>
      <c r="FS22" s="277"/>
      <c r="FT22" s="277"/>
      <c r="FU22" s="277"/>
      <c r="FV22" s="277"/>
      <c r="FW22" s="277"/>
      <c r="FX22" s="277"/>
      <c r="FY22" s="277"/>
      <c r="FZ22" s="277"/>
      <c r="GA22" s="277"/>
      <c r="GB22" s="277"/>
      <c r="GC22" s="277"/>
      <c r="GD22" s="277"/>
      <c r="GE22" s="277"/>
      <c r="GF22" s="277"/>
      <c r="GG22" s="277"/>
      <c r="GH22" s="277"/>
      <c r="GI22" s="277"/>
      <c r="GJ22" s="277"/>
      <c r="GK22" s="277"/>
      <c r="GL22" s="277"/>
      <c r="GM22" s="277"/>
      <c r="GN22" s="277"/>
      <c r="GO22" s="277"/>
      <c r="GP22" s="277"/>
      <c r="GQ22" s="277"/>
      <c r="GR22" s="277"/>
      <c r="GS22" s="277"/>
      <c r="GT22" s="277"/>
      <c r="GU22" s="277"/>
      <c r="GV22" s="277"/>
      <c r="GW22" s="277"/>
      <c r="GX22" s="277"/>
      <c r="GY22" s="277"/>
      <c r="GZ22" s="277"/>
      <c r="HA22" s="277"/>
      <c r="HB22" s="277"/>
      <c r="HC22" s="277"/>
      <c r="HD22" s="277"/>
      <c r="HE22" s="277"/>
      <c r="HF22" s="277"/>
      <c r="HG22" s="277"/>
      <c r="HH22" s="277"/>
      <c r="HI22" s="277"/>
      <c r="HJ22" s="277"/>
      <c r="HK22" s="277"/>
      <c r="HL22" s="277"/>
      <c r="HM22" s="277"/>
      <c r="HN22" s="277"/>
      <c r="HO22" s="277"/>
      <c r="HP22" s="277"/>
      <c r="HQ22" s="277"/>
      <c r="HR22" s="277"/>
      <c r="HS22" s="277"/>
      <c r="HT22" s="277"/>
      <c r="HU22" s="277"/>
      <c r="HV22" s="277"/>
      <c r="HW22" s="277"/>
      <c r="HX22" s="277"/>
    </row>
    <row r="23" spans="1:233" ht="13" x14ac:dyDescent="0.3">
      <c r="A23" s="368"/>
      <c r="B23" s="299"/>
      <c r="C23" s="300"/>
      <c r="D23" s="289"/>
      <c r="E23" s="287"/>
      <c r="F23" s="288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94"/>
      <c r="U23" s="294"/>
      <c r="V23" s="294"/>
      <c r="W23" s="294"/>
      <c r="X23" s="294"/>
      <c r="Y23" s="294"/>
      <c r="Z23" s="294"/>
      <c r="AA23" s="294"/>
      <c r="AB23" s="294"/>
      <c r="AC23" s="277"/>
      <c r="AD23" s="277"/>
      <c r="AE23" s="277"/>
      <c r="AF23" s="277"/>
      <c r="AG23" s="277"/>
      <c r="AH23" s="277"/>
      <c r="AI23" s="277"/>
      <c r="AJ23" s="277"/>
      <c r="AK23" s="277"/>
      <c r="AL23" s="277"/>
      <c r="AM23" s="277"/>
      <c r="AN23" s="277"/>
      <c r="AO23" s="277"/>
      <c r="AP23" s="277"/>
      <c r="AQ23" s="277"/>
      <c r="AR23" s="277"/>
      <c r="AS23" s="277"/>
      <c r="AT23" s="277"/>
      <c r="AU23" s="277"/>
      <c r="AV23" s="277"/>
      <c r="AW23" s="277"/>
      <c r="AX23" s="277"/>
      <c r="AY23" s="277"/>
      <c r="AZ23" s="277"/>
      <c r="BA23" s="277"/>
      <c r="BB23" s="277"/>
      <c r="BC23" s="277"/>
      <c r="BD23" s="277"/>
      <c r="BE23" s="277"/>
      <c r="BF23" s="277"/>
      <c r="BG23" s="277"/>
      <c r="BH23" s="277"/>
      <c r="BI23" s="277"/>
      <c r="BJ23" s="277"/>
      <c r="BK23" s="277"/>
      <c r="BL23" s="277"/>
      <c r="BM23" s="277"/>
      <c r="BN23" s="277"/>
      <c r="BO23" s="277"/>
      <c r="BP23" s="277"/>
      <c r="BQ23" s="277"/>
      <c r="BR23" s="277"/>
      <c r="BS23" s="277"/>
      <c r="BT23" s="277"/>
      <c r="BU23" s="277"/>
      <c r="BV23" s="277"/>
      <c r="BW23" s="277"/>
      <c r="BX23" s="277"/>
      <c r="BY23" s="277"/>
      <c r="BZ23" s="277"/>
      <c r="CA23" s="277"/>
      <c r="CB23" s="277"/>
      <c r="CC23" s="277"/>
      <c r="CD23" s="277"/>
      <c r="CE23" s="277"/>
      <c r="CF23" s="277"/>
      <c r="CG23" s="277"/>
      <c r="CH23" s="277"/>
      <c r="CI23" s="277"/>
      <c r="CJ23" s="277"/>
      <c r="CK23" s="277"/>
      <c r="CL23" s="277"/>
      <c r="CM23" s="277"/>
      <c r="CN23" s="277"/>
      <c r="CO23" s="277"/>
      <c r="CP23" s="277"/>
      <c r="CQ23" s="277"/>
      <c r="CR23" s="277"/>
      <c r="CS23" s="277"/>
      <c r="CT23" s="277"/>
      <c r="CU23" s="277"/>
      <c r="CV23" s="277"/>
      <c r="CW23" s="277"/>
      <c r="CX23" s="277"/>
      <c r="CY23" s="277"/>
      <c r="CZ23" s="277"/>
      <c r="DA23" s="277"/>
      <c r="DB23" s="277"/>
      <c r="DC23" s="277"/>
      <c r="DD23" s="277"/>
      <c r="DE23" s="277"/>
      <c r="DF23" s="277"/>
      <c r="DG23" s="277"/>
      <c r="DH23" s="277"/>
      <c r="DI23" s="277"/>
      <c r="DJ23" s="277"/>
      <c r="DK23" s="277"/>
      <c r="DL23" s="277"/>
      <c r="DM23" s="277"/>
      <c r="DN23" s="277"/>
      <c r="DO23" s="277"/>
      <c r="DP23" s="277"/>
      <c r="DQ23" s="277"/>
      <c r="DR23" s="277"/>
      <c r="DS23" s="277"/>
      <c r="DT23" s="277"/>
      <c r="DU23" s="277"/>
      <c r="DV23" s="277"/>
      <c r="DW23" s="277"/>
      <c r="DX23" s="277"/>
      <c r="DY23" s="277"/>
      <c r="DZ23" s="277"/>
      <c r="EA23" s="277"/>
      <c r="EB23" s="277"/>
      <c r="EC23" s="277"/>
      <c r="ED23" s="277"/>
      <c r="EE23" s="277"/>
      <c r="EF23" s="277"/>
      <c r="EG23" s="277"/>
      <c r="EH23" s="277"/>
      <c r="EI23" s="277"/>
      <c r="EJ23" s="277"/>
      <c r="EK23" s="277"/>
      <c r="EL23" s="277"/>
      <c r="EM23" s="277"/>
      <c r="EN23" s="277"/>
      <c r="EO23" s="277"/>
      <c r="EP23" s="277"/>
      <c r="EQ23" s="277"/>
      <c r="ER23" s="277"/>
      <c r="ES23" s="277"/>
      <c r="ET23" s="277"/>
      <c r="EU23" s="277"/>
      <c r="EV23" s="277"/>
      <c r="EW23" s="277"/>
      <c r="EX23" s="277"/>
      <c r="EY23" s="277"/>
      <c r="EZ23" s="277"/>
      <c r="FA23" s="277"/>
      <c r="FB23" s="277"/>
      <c r="FC23" s="277"/>
      <c r="FD23" s="277"/>
      <c r="FE23" s="277"/>
      <c r="FF23" s="277"/>
      <c r="FG23" s="277"/>
      <c r="FH23" s="277"/>
      <c r="FI23" s="277"/>
      <c r="FJ23" s="277"/>
      <c r="FK23" s="277"/>
      <c r="FL23" s="277"/>
      <c r="FM23" s="277"/>
      <c r="FN23" s="277"/>
      <c r="FO23" s="277"/>
      <c r="FP23" s="277"/>
      <c r="FQ23" s="277"/>
      <c r="FR23" s="277"/>
      <c r="FS23" s="277"/>
      <c r="FT23" s="277"/>
      <c r="FU23" s="277"/>
      <c r="FV23" s="277"/>
      <c r="FW23" s="277"/>
      <c r="FX23" s="277"/>
      <c r="FY23" s="277"/>
      <c r="FZ23" s="277"/>
      <c r="GA23" s="277"/>
      <c r="GB23" s="277"/>
      <c r="GC23" s="277"/>
      <c r="GD23" s="277"/>
      <c r="GE23" s="277"/>
      <c r="GF23" s="277"/>
      <c r="GG23" s="277"/>
      <c r="GH23" s="277"/>
      <c r="GI23" s="277"/>
      <c r="GJ23" s="277"/>
      <c r="GK23" s="277"/>
      <c r="GL23" s="277"/>
      <c r="GM23" s="277"/>
      <c r="GN23" s="277"/>
      <c r="GO23" s="277"/>
      <c r="GP23" s="277"/>
      <c r="GQ23" s="277"/>
      <c r="GR23" s="277"/>
      <c r="GS23" s="277"/>
      <c r="GT23" s="277"/>
      <c r="GU23" s="277"/>
      <c r="GV23" s="277"/>
      <c r="GW23" s="277"/>
      <c r="GX23" s="277"/>
      <c r="GY23" s="277"/>
      <c r="GZ23" s="277"/>
      <c r="HA23" s="277"/>
      <c r="HB23" s="277"/>
      <c r="HC23" s="277"/>
      <c r="HD23" s="277"/>
      <c r="HE23" s="277"/>
      <c r="HF23" s="277"/>
      <c r="HG23" s="277"/>
      <c r="HH23" s="277"/>
      <c r="HI23" s="277"/>
      <c r="HJ23" s="277"/>
      <c r="HK23" s="277"/>
      <c r="HL23" s="277"/>
      <c r="HM23" s="277"/>
      <c r="HN23" s="277"/>
      <c r="HO23" s="277"/>
      <c r="HP23" s="277"/>
      <c r="HQ23" s="277"/>
      <c r="HR23" s="277"/>
      <c r="HS23" s="277"/>
      <c r="HT23" s="277"/>
      <c r="HU23" s="277"/>
      <c r="HV23" s="277"/>
      <c r="HW23" s="277"/>
      <c r="HX23" s="277"/>
    </row>
    <row r="24" spans="1:233" ht="15.5" x14ac:dyDescent="0.35">
      <c r="A24" s="368"/>
      <c r="B24" s="299"/>
      <c r="C24" s="300"/>
      <c r="D24" s="1936" t="s">
        <v>246</v>
      </c>
      <c r="E24" s="1937"/>
      <c r="F24" s="281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94"/>
      <c r="U24" s="294"/>
      <c r="V24" s="294"/>
      <c r="W24" s="294"/>
      <c r="X24" s="294"/>
      <c r="Y24" s="294"/>
      <c r="Z24" s="294"/>
      <c r="AA24" s="294"/>
      <c r="AB24" s="294"/>
      <c r="AC24" s="277"/>
      <c r="AD24" s="277"/>
      <c r="AE24" s="277"/>
      <c r="AF24" s="277"/>
      <c r="AG24" s="277"/>
      <c r="AH24" s="277"/>
      <c r="AI24" s="277"/>
      <c r="AJ24" s="277"/>
      <c r="AK24" s="277"/>
      <c r="AL24" s="277"/>
      <c r="AM24" s="277"/>
      <c r="AN24" s="277"/>
      <c r="AO24" s="277"/>
      <c r="AP24" s="277"/>
      <c r="AQ24" s="277"/>
      <c r="AR24" s="277"/>
      <c r="AS24" s="277"/>
      <c r="AT24" s="277"/>
      <c r="AU24" s="277"/>
      <c r="AV24" s="277"/>
      <c r="AW24" s="277"/>
      <c r="AX24" s="277"/>
      <c r="AY24" s="277"/>
      <c r="AZ24" s="277"/>
      <c r="BA24" s="277"/>
      <c r="BB24" s="277"/>
      <c r="BC24" s="277"/>
      <c r="BD24" s="277"/>
      <c r="BE24" s="277"/>
      <c r="BF24" s="277"/>
      <c r="BG24" s="277"/>
      <c r="BH24" s="277"/>
      <c r="BI24" s="277"/>
      <c r="BJ24" s="277"/>
      <c r="BK24" s="277"/>
      <c r="BL24" s="277"/>
      <c r="BM24" s="277"/>
      <c r="BN24" s="277"/>
      <c r="BO24" s="277"/>
      <c r="BP24" s="277"/>
      <c r="BQ24" s="277"/>
      <c r="BR24" s="277"/>
      <c r="BS24" s="277"/>
      <c r="BT24" s="277"/>
      <c r="BU24" s="277"/>
      <c r="BV24" s="277"/>
      <c r="BW24" s="277"/>
      <c r="BX24" s="277"/>
      <c r="BY24" s="277"/>
      <c r="BZ24" s="277"/>
      <c r="CA24" s="277"/>
      <c r="CB24" s="277"/>
      <c r="CC24" s="277"/>
      <c r="CD24" s="277"/>
      <c r="CE24" s="277"/>
      <c r="CF24" s="277"/>
      <c r="CG24" s="277"/>
      <c r="CH24" s="277"/>
      <c r="CI24" s="277"/>
      <c r="CJ24" s="277"/>
      <c r="CK24" s="277"/>
      <c r="CL24" s="277"/>
      <c r="CM24" s="277"/>
      <c r="CN24" s="277"/>
      <c r="CO24" s="277"/>
      <c r="CP24" s="277"/>
      <c r="CQ24" s="277"/>
      <c r="CR24" s="277"/>
      <c r="CS24" s="277"/>
      <c r="CT24" s="277"/>
      <c r="CU24" s="277"/>
      <c r="CV24" s="277"/>
      <c r="CW24" s="277"/>
      <c r="CX24" s="277"/>
      <c r="CY24" s="277"/>
      <c r="CZ24" s="277"/>
      <c r="DA24" s="277"/>
      <c r="DB24" s="277"/>
      <c r="DC24" s="277"/>
      <c r="DD24" s="277"/>
      <c r="DE24" s="277"/>
      <c r="DF24" s="277"/>
      <c r="DG24" s="277"/>
      <c r="DH24" s="277"/>
      <c r="DI24" s="277"/>
      <c r="DJ24" s="277"/>
      <c r="DK24" s="277"/>
      <c r="DL24" s="277"/>
      <c r="DM24" s="277"/>
      <c r="DN24" s="277"/>
      <c r="DO24" s="277"/>
      <c r="DP24" s="277"/>
      <c r="DQ24" s="277"/>
      <c r="DR24" s="277"/>
      <c r="DS24" s="277"/>
      <c r="DT24" s="277"/>
      <c r="DU24" s="277"/>
      <c r="DV24" s="277"/>
      <c r="DW24" s="277"/>
      <c r="DX24" s="277"/>
      <c r="DY24" s="277"/>
      <c r="DZ24" s="277"/>
      <c r="EA24" s="277"/>
      <c r="EB24" s="277"/>
      <c r="EC24" s="277"/>
      <c r="ED24" s="277"/>
      <c r="EE24" s="277"/>
      <c r="EF24" s="277"/>
      <c r="EG24" s="277"/>
      <c r="EH24" s="277"/>
      <c r="EI24" s="277"/>
      <c r="EJ24" s="277"/>
      <c r="EK24" s="277"/>
      <c r="EL24" s="277"/>
      <c r="EM24" s="277"/>
      <c r="EN24" s="277"/>
      <c r="EO24" s="277"/>
      <c r="EP24" s="277"/>
      <c r="EQ24" s="277"/>
      <c r="ER24" s="277"/>
      <c r="ES24" s="277"/>
      <c r="ET24" s="277"/>
      <c r="EU24" s="277"/>
      <c r="EV24" s="277"/>
      <c r="EW24" s="277"/>
      <c r="EX24" s="277"/>
      <c r="EY24" s="277"/>
      <c r="EZ24" s="277"/>
      <c r="FA24" s="277"/>
      <c r="FB24" s="277"/>
      <c r="FC24" s="277"/>
      <c r="FD24" s="277"/>
      <c r="FE24" s="277"/>
      <c r="FF24" s="277"/>
      <c r="FG24" s="277"/>
      <c r="FH24" s="277"/>
      <c r="FI24" s="277"/>
      <c r="FJ24" s="277"/>
      <c r="FK24" s="277"/>
      <c r="FL24" s="277"/>
      <c r="FM24" s="277"/>
      <c r="FN24" s="277"/>
      <c r="FO24" s="277"/>
      <c r="FP24" s="277"/>
      <c r="FQ24" s="277"/>
      <c r="FR24" s="277"/>
      <c r="FS24" s="277"/>
      <c r="FT24" s="277"/>
      <c r="FU24" s="277"/>
      <c r="FV24" s="277"/>
      <c r="FW24" s="277"/>
      <c r="FX24" s="277"/>
      <c r="FY24" s="277"/>
      <c r="FZ24" s="277"/>
      <c r="GA24" s="277"/>
      <c r="GB24" s="277"/>
      <c r="GC24" s="277"/>
      <c r="GD24" s="277"/>
      <c r="GE24" s="277"/>
      <c r="GF24" s="277"/>
      <c r="GG24" s="277"/>
      <c r="GH24" s="277"/>
      <c r="GI24" s="277"/>
      <c r="GJ24" s="277"/>
      <c r="GK24" s="277"/>
      <c r="GL24" s="277"/>
      <c r="GM24" s="277"/>
      <c r="GN24" s="277"/>
      <c r="GO24" s="277"/>
      <c r="GP24" s="277"/>
      <c r="GQ24" s="277"/>
      <c r="GR24" s="277"/>
      <c r="GS24" s="277"/>
      <c r="GT24" s="277"/>
      <c r="GU24" s="277"/>
      <c r="GV24" s="277"/>
      <c r="GW24" s="277"/>
      <c r="GX24" s="277"/>
      <c r="GY24" s="277"/>
      <c r="GZ24" s="277"/>
      <c r="HA24" s="277"/>
      <c r="HB24" s="277"/>
      <c r="HC24" s="277"/>
      <c r="HD24" s="277"/>
      <c r="HE24" s="277"/>
      <c r="HF24" s="277"/>
      <c r="HG24" s="277"/>
      <c r="HH24" s="277"/>
      <c r="HI24" s="277"/>
      <c r="HJ24" s="277"/>
      <c r="HK24" s="277"/>
      <c r="HL24" s="277"/>
      <c r="HM24" s="277"/>
      <c r="HN24" s="277"/>
      <c r="HO24" s="277"/>
      <c r="HP24" s="277"/>
      <c r="HQ24" s="277"/>
      <c r="HR24" s="277"/>
      <c r="HS24" s="277"/>
      <c r="HT24" s="277"/>
      <c r="HU24" s="277"/>
      <c r="HV24" s="277"/>
      <c r="HW24" s="277"/>
      <c r="HX24" s="277"/>
    </row>
    <row r="25" spans="1:233" ht="26" x14ac:dyDescent="0.3">
      <c r="A25" s="368"/>
      <c r="B25" s="285" t="s">
        <v>247</v>
      </c>
      <c r="C25" s="456" t="s">
        <v>374</v>
      </c>
      <c r="D25" s="286" t="s">
        <v>249</v>
      </c>
      <c r="E25" s="287" t="s">
        <v>250</v>
      </c>
      <c r="F25" s="288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94"/>
      <c r="U25" s="294"/>
      <c r="V25" s="294"/>
      <c r="W25" s="294"/>
      <c r="X25" s="294"/>
      <c r="Y25" s="294"/>
      <c r="Z25" s="294"/>
      <c r="AA25" s="294"/>
      <c r="AB25" s="294"/>
      <c r="AC25" s="277"/>
      <c r="AD25" s="277"/>
      <c r="AE25" s="277"/>
      <c r="AF25" s="277"/>
      <c r="AG25" s="277"/>
      <c r="AH25" s="277"/>
      <c r="AI25" s="277"/>
      <c r="AJ25" s="277"/>
      <c r="AK25" s="277"/>
      <c r="AL25" s="277"/>
      <c r="AM25" s="277"/>
      <c r="AN25" s="277"/>
      <c r="AO25" s="277"/>
      <c r="AP25" s="277"/>
      <c r="AQ25" s="277"/>
      <c r="AR25" s="277"/>
      <c r="AS25" s="277"/>
      <c r="AT25" s="277"/>
      <c r="AU25" s="277"/>
      <c r="AV25" s="277"/>
      <c r="AW25" s="277"/>
      <c r="AX25" s="277"/>
      <c r="AY25" s="277"/>
      <c r="AZ25" s="277"/>
      <c r="BA25" s="277"/>
      <c r="BB25" s="277"/>
      <c r="BC25" s="277"/>
      <c r="BD25" s="277"/>
      <c r="BE25" s="277"/>
      <c r="BF25" s="277"/>
      <c r="BG25" s="277"/>
      <c r="BH25" s="277"/>
      <c r="BI25" s="277"/>
      <c r="BJ25" s="277"/>
      <c r="BK25" s="277"/>
      <c r="BL25" s="277"/>
      <c r="BM25" s="277"/>
      <c r="BN25" s="277"/>
      <c r="BO25" s="277"/>
      <c r="BP25" s="277"/>
      <c r="BQ25" s="277"/>
      <c r="BR25" s="277"/>
      <c r="BS25" s="277"/>
      <c r="BT25" s="277"/>
      <c r="BU25" s="277"/>
      <c r="BV25" s="277"/>
      <c r="BW25" s="277"/>
      <c r="BX25" s="277"/>
      <c r="BY25" s="277"/>
      <c r="BZ25" s="277"/>
      <c r="CA25" s="277"/>
      <c r="CB25" s="277"/>
      <c r="CC25" s="277"/>
      <c r="CD25" s="277"/>
      <c r="CE25" s="277"/>
      <c r="CF25" s="277"/>
      <c r="CG25" s="277"/>
      <c r="CH25" s="277"/>
      <c r="CI25" s="277"/>
      <c r="CJ25" s="277"/>
      <c r="CK25" s="277"/>
      <c r="CL25" s="277"/>
      <c r="CM25" s="277"/>
      <c r="CN25" s="277"/>
      <c r="CO25" s="277"/>
      <c r="CP25" s="277"/>
      <c r="CQ25" s="277"/>
      <c r="CR25" s="277"/>
      <c r="CS25" s="277"/>
      <c r="CT25" s="277"/>
      <c r="CU25" s="277"/>
      <c r="CV25" s="277"/>
      <c r="CW25" s="277"/>
      <c r="CX25" s="277"/>
      <c r="CY25" s="277"/>
      <c r="CZ25" s="277"/>
      <c r="DA25" s="277"/>
      <c r="DB25" s="277"/>
      <c r="DC25" s="277"/>
      <c r="DD25" s="277"/>
      <c r="DE25" s="277"/>
      <c r="DF25" s="277"/>
      <c r="DG25" s="277"/>
      <c r="DH25" s="277"/>
      <c r="DI25" s="277"/>
      <c r="DJ25" s="277"/>
      <c r="DK25" s="277"/>
      <c r="DL25" s="277"/>
      <c r="DM25" s="277"/>
      <c r="DN25" s="277"/>
      <c r="DO25" s="277"/>
      <c r="DP25" s="277"/>
      <c r="DQ25" s="277"/>
      <c r="DR25" s="277"/>
      <c r="DS25" s="277"/>
      <c r="DT25" s="277"/>
      <c r="DU25" s="277"/>
      <c r="DV25" s="277"/>
      <c r="DW25" s="277"/>
      <c r="DX25" s="277"/>
      <c r="DY25" s="277"/>
      <c r="DZ25" s="277"/>
      <c r="EA25" s="277"/>
      <c r="EB25" s="277"/>
      <c r="EC25" s="277"/>
      <c r="ED25" s="277"/>
      <c r="EE25" s="277"/>
      <c r="EF25" s="277"/>
      <c r="EG25" s="277"/>
      <c r="EH25" s="277"/>
      <c r="EI25" s="277"/>
      <c r="EJ25" s="277"/>
      <c r="EK25" s="277"/>
      <c r="EL25" s="277"/>
      <c r="EM25" s="277"/>
      <c r="EN25" s="277"/>
      <c r="EO25" s="277"/>
      <c r="EP25" s="277"/>
      <c r="EQ25" s="277"/>
      <c r="ER25" s="277"/>
      <c r="ES25" s="277"/>
      <c r="ET25" s="277"/>
      <c r="EU25" s="277"/>
      <c r="EV25" s="277"/>
      <c r="EW25" s="277"/>
      <c r="EX25" s="277"/>
      <c r="EY25" s="277"/>
      <c r="EZ25" s="277"/>
      <c r="FA25" s="277"/>
      <c r="FB25" s="277"/>
      <c r="FC25" s="277"/>
      <c r="FD25" s="277"/>
      <c r="FE25" s="277"/>
      <c r="FF25" s="277"/>
      <c r="FG25" s="277"/>
      <c r="FH25" s="277"/>
      <c r="FI25" s="277"/>
      <c r="FJ25" s="277"/>
      <c r="FK25" s="277"/>
      <c r="FL25" s="277"/>
      <c r="FM25" s="277"/>
      <c r="FN25" s="277"/>
      <c r="FO25" s="277"/>
      <c r="FP25" s="277"/>
      <c r="FQ25" s="277"/>
      <c r="FR25" s="277"/>
      <c r="FS25" s="277"/>
      <c r="FT25" s="277"/>
      <c r="FU25" s="277"/>
      <c r="FV25" s="277"/>
      <c r="FW25" s="277"/>
      <c r="FX25" s="277"/>
      <c r="FY25" s="277"/>
      <c r="FZ25" s="277"/>
      <c r="GA25" s="277"/>
      <c r="GB25" s="277"/>
      <c r="GC25" s="277"/>
      <c r="GD25" s="277"/>
      <c r="GE25" s="277"/>
      <c r="GF25" s="277"/>
      <c r="GG25" s="277"/>
      <c r="GH25" s="277"/>
      <c r="GI25" s="277"/>
      <c r="GJ25" s="277"/>
      <c r="GK25" s="277"/>
      <c r="GL25" s="277"/>
      <c r="GM25" s="277"/>
      <c r="GN25" s="277"/>
      <c r="GO25" s="277"/>
      <c r="GP25" s="277"/>
      <c r="GQ25" s="277"/>
      <c r="GR25" s="277"/>
      <c r="GS25" s="277"/>
      <c r="GT25" s="277"/>
      <c r="GU25" s="277"/>
      <c r="GV25" s="277"/>
      <c r="GW25" s="277"/>
      <c r="GX25" s="277"/>
      <c r="GY25" s="277"/>
      <c r="GZ25" s="277"/>
      <c r="HA25" s="277"/>
      <c r="HB25" s="277"/>
      <c r="HC25" s="277"/>
      <c r="HD25" s="277"/>
      <c r="HE25" s="277"/>
      <c r="HF25" s="277"/>
      <c r="HG25" s="277"/>
      <c r="HH25" s="277"/>
      <c r="HI25" s="277"/>
      <c r="HJ25" s="277"/>
      <c r="HK25" s="277"/>
      <c r="HL25" s="277"/>
      <c r="HM25" s="277"/>
      <c r="HN25" s="277"/>
      <c r="HO25" s="277"/>
      <c r="HP25" s="277"/>
      <c r="HQ25" s="277"/>
      <c r="HR25" s="277"/>
      <c r="HS25" s="277"/>
      <c r="HT25" s="277"/>
      <c r="HU25" s="277"/>
      <c r="HV25" s="277"/>
      <c r="HW25" s="277"/>
      <c r="HX25" s="277"/>
      <c r="HY25" s="277"/>
    </row>
    <row r="26" spans="1:233" ht="13" x14ac:dyDescent="0.3">
      <c r="A26" s="368"/>
      <c r="B26" s="285" t="s">
        <v>251</v>
      </c>
      <c r="C26" s="1425">
        <f>'Existing Management Practices'!C21+IF(C12=$B417,D12,0)*C7</f>
        <v>0.2</v>
      </c>
      <c r="D26" s="1328">
        <f>'Existing Management Practices'!D21</f>
        <v>0.8</v>
      </c>
      <c r="E26" s="1386">
        <f>'Existing Management Practices'!E21</f>
        <v>0.3</v>
      </c>
      <c r="F26" s="288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94"/>
      <c r="U26" s="294"/>
      <c r="V26" s="294"/>
      <c r="W26" s="294"/>
      <c r="X26" s="294"/>
      <c r="Y26" s="294"/>
      <c r="Z26" s="294"/>
      <c r="AA26" s="294"/>
      <c r="AB26" s="294"/>
      <c r="AC26" s="277"/>
      <c r="AD26" s="277"/>
      <c r="AE26" s="277"/>
      <c r="AF26" s="277"/>
      <c r="AG26" s="277"/>
      <c r="AH26" s="277"/>
      <c r="AI26" s="277"/>
      <c r="AJ26" s="277"/>
      <c r="AK26" s="277"/>
      <c r="AL26" s="277"/>
      <c r="AM26" s="277"/>
      <c r="AN26" s="277"/>
      <c r="AO26" s="277"/>
      <c r="AP26" s="277"/>
      <c r="AQ26" s="277"/>
      <c r="AR26" s="277"/>
      <c r="AS26" s="277"/>
      <c r="AT26" s="277"/>
      <c r="AU26" s="277"/>
      <c r="AV26" s="277"/>
      <c r="AW26" s="277"/>
      <c r="AX26" s="277"/>
      <c r="AY26" s="277"/>
      <c r="AZ26" s="277"/>
      <c r="BA26" s="277"/>
      <c r="BB26" s="277"/>
      <c r="BC26" s="277"/>
      <c r="BD26" s="277"/>
      <c r="BE26" s="277"/>
      <c r="BF26" s="277"/>
      <c r="BG26" s="277"/>
      <c r="BH26" s="277"/>
      <c r="BI26" s="277"/>
      <c r="BJ26" s="277"/>
      <c r="BK26" s="277"/>
      <c r="BL26" s="277"/>
      <c r="BM26" s="277"/>
      <c r="BN26" s="277"/>
      <c r="BO26" s="277"/>
      <c r="BP26" s="277"/>
      <c r="BQ26" s="277"/>
      <c r="BR26" s="277"/>
      <c r="BS26" s="277"/>
      <c r="BT26" s="277"/>
      <c r="BU26" s="277"/>
      <c r="BV26" s="277"/>
      <c r="BW26" s="277"/>
      <c r="BX26" s="277"/>
      <c r="BY26" s="277"/>
      <c r="BZ26" s="277"/>
      <c r="CA26" s="277"/>
      <c r="CB26" s="277"/>
      <c r="CC26" s="277"/>
      <c r="CD26" s="277"/>
      <c r="CE26" s="277"/>
      <c r="CF26" s="277"/>
      <c r="CG26" s="277"/>
      <c r="CH26" s="277"/>
      <c r="CI26" s="277"/>
      <c r="CJ26" s="277"/>
      <c r="CK26" s="277"/>
      <c r="CL26" s="277"/>
      <c r="CM26" s="277"/>
      <c r="CN26" s="277"/>
      <c r="CO26" s="277"/>
      <c r="CP26" s="277"/>
      <c r="CQ26" s="277"/>
      <c r="CR26" s="277"/>
      <c r="CS26" s="277"/>
      <c r="CT26" s="277"/>
      <c r="CU26" s="277"/>
      <c r="CV26" s="277"/>
      <c r="CW26" s="277"/>
      <c r="CX26" s="277"/>
      <c r="CY26" s="277"/>
      <c r="CZ26" s="277"/>
      <c r="DA26" s="277"/>
      <c r="DB26" s="277"/>
      <c r="DC26" s="277"/>
      <c r="DD26" s="277"/>
      <c r="DE26" s="277"/>
      <c r="DF26" s="277"/>
      <c r="DG26" s="277"/>
      <c r="DH26" s="277"/>
      <c r="DI26" s="277"/>
      <c r="DJ26" s="277"/>
      <c r="DK26" s="277"/>
      <c r="DL26" s="277"/>
      <c r="DM26" s="277"/>
      <c r="DN26" s="277"/>
      <c r="DO26" s="277"/>
      <c r="DP26" s="277"/>
      <c r="DQ26" s="277"/>
      <c r="DR26" s="277"/>
      <c r="DS26" s="277"/>
      <c r="DT26" s="277"/>
      <c r="DU26" s="277"/>
      <c r="DV26" s="277"/>
      <c r="DW26" s="277"/>
      <c r="DX26" s="277"/>
      <c r="DY26" s="277"/>
      <c r="DZ26" s="277"/>
      <c r="EA26" s="277"/>
      <c r="EB26" s="277"/>
      <c r="EC26" s="277"/>
      <c r="ED26" s="277"/>
      <c r="EE26" s="277"/>
      <c r="EF26" s="277"/>
      <c r="EG26" s="277"/>
      <c r="EH26" s="277"/>
      <c r="EI26" s="277"/>
      <c r="EJ26" s="277"/>
      <c r="EK26" s="277"/>
      <c r="EL26" s="277"/>
      <c r="EM26" s="277"/>
      <c r="EN26" s="277"/>
      <c r="EO26" s="277"/>
      <c r="EP26" s="277"/>
      <c r="EQ26" s="277"/>
      <c r="ER26" s="277"/>
      <c r="ES26" s="277"/>
      <c r="ET26" s="277"/>
      <c r="EU26" s="277"/>
      <c r="EV26" s="277"/>
      <c r="EW26" s="277"/>
      <c r="EX26" s="277"/>
      <c r="EY26" s="277"/>
      <c r="EZ26" s="277"/>
      <c r="FA26" s="277"/>
      <c r="FB26" s="277"/>
      <c r="FC26" s="277"/>
      <c r="FD26" s="277"/>
      <c r="FE26" s="277"/>
      <c r="FF26" s="277"/>
      <c r="FG26" s="277"/>
      <c r="FH26" s="277"/>
      <c r="FI26" s="277"/>
      <c r="FJ26" s="277"/>
      <c r="FK26" s="277"/>
      <c r="FL26" s="277"/>
      <c r="FM26" s="277"/>
      <c r="FN26" s="277"/>
      <c r="FO26" s="277"/>
      <c r="FP26" s="277"/>
      <c r="FQ26" s="277"/>
      <c r="FR26" s="277"/>
      <c r="FS26" s="277"/>
      <c r="FT26" s="277"/>
      <c r="FU26" s="277"/>
      <c r="FV26" s="277"/>
      <c r="FW26" s="277"/>
      <c r="FX26" s="277"/>
      <c r="FY26" s="277"/>
      <c r="FZ26" s="277"/>
      <c r="GA26" s="277"/>
      <c r="GB26" s="277"/>
      <c r="GC26" s="277"/>
      <c r="GD26" s="277"/>
      <c r="GE26" s="277"/>
      <c r="GF26" s="277"/>
      <c r="GG26" s="277"/>
      <c r="GH26" s="277"/>
      <c r="GI26" s="277"/>
      <c r="GJ26" s="277"/>
      <c r="GK26" s="277"/>
      <c r="GL26" s="277"/>
      <c r="GM26" s="277"/>
      <c r="GN26" s="277"/>
      <c r="GO26" s="277"/>
      <c r="GP26" s="277"/>
      <c r="GQ26" s="277"/>
      <c r="GR26" s="277"/>
      <c r="GS26" s="277"/>
      <c r="GT26" s="277"/>
      <c r="GU26" s="277"/>
      <c r="GV26" s="277"/>
      <c r="GW26" s="277"/>
      <c r="GX26" s="277"/>
      <c r="GY26" s="277"/>
      <c r="GZ26" s="277"/>
      <c r="HA26" s="277"/>
      <c r="HB26" s="277"/>
      <c r="HC26" s="277"/>
      <c r="HD26" s="277"/>
      <c r="HE26" s="277"/>
      <c r="HF26" s="277"/>
      <c r="HG26" s="277"/>
      <c r="HH26" s="277"/>
      <c r="HI26" s="277"/>
      <c r="HJ26" s="277"/>
      <c r="HK26" s="277"/>
      <c r="HL26" s="277"/>
      <c r="HM26" s="277"/>
      <c r="HN26" s="277"/>
      <c r="HO26" s="277"/>
      <c r="HP26" s="277"/>
      <c r="HQ26" s="277"/>
      <c r="HR26" s="277"/>
      <c r="HS26" s="277"/>
      <c r="HT26" s="277"/>
      <c r="HU26" s="277"/>
      <c r="HV26" s="277"/>
      <c r="HW26" s="277"/>
      <c r="HX26" s="277"/>
      <c r="HY26" s="277"/>
    </row>
    <row r="27" spans="1:233" ht="13" x14ac:dyDescent="0.3">
      <c r="A27" s="368"/>
      <c r="B27" s="285" t="s">
        <v>252</v>
      </c>
      <c r="C27" s="1325">
        <f>1-C28-C26-C29</f>
        <v>0.29999999999999993</v>
      </c>
      <c r="D27" s="1328">
        <f>'Existing Management Practices'!D22</f>
        <v>35</v>
      </c>
      <c r="E27" s="1386">
        <f>'Existing Management Practices'!E22</f>
        <v>3</v>
      </c>
      <c r="F27" s="288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94"/>
      <c r="U27" s="294"/>
      <c r="V27" s="294"/>
      <c r="W27" s="294"/>
      <c r="X27" s="294"/>
      <c r="Y27" s="294"/>
      <c r="Z27" s="294"/>
      <c r="AA27" s="294"/>
      <c r="AB27" s="294"/>
      <c r="AC27" s="277"/>
      <c r="AD27" s="277"/>
      <c r="AE27" s="277"/>
      <c r="AF27" s="277"/>
      <c r="AG27" s="277"/>
      <c r="AH27" s="277"/>
      <c r="AI27" s="277"/>
      <c r="AJ27" s="277"/>
      <c r="AK27" s="277"/>
      <c r="AL27" s="277"/>
      <c r="AM27" s="277"/>
      <c r="AN27" s="277"/>
      <c r="AO27" s="277"/>
      <c r="AP27" s="277"/>
      <c r="AQ27" s="277"/>
      <c r="AR27" s="277"/>
      <c r="AS27" s="277"/>
      <c r="AT27" s="277"/>
      <c r="AU27" s="277"/>
      <c r="AV27" s="277"/>
      <c r="AW27" s="277"/>
      <c r="AX27" s="277"/>
      <c r="AY27" s="277"/>
      <c r="AZ27" s="277"/>
      <c r="BA27" s="277"/>
      <c r="BB27" s="277"/>
      <c r="BC27" s="277"/>
      <c r="BD27" s="277"/>
      <c r="BE27" s="277"/>
      <c r="BF27" s="277"/>
      <c r="BG27" s="277"/>
      <c r="BH27" s="277"/>
      <c r="BI27" s="277"/>
      <c r="BJ27" s="277"/>
      <c r="BK27" s="277"/>
      <c r="BL27" s="277"/>
      <c r="BM27" s="277"/>
      <c r="BN27" s="277"/>
      <c r="BO27" s="277"/>
      <c r="BP27" s="277"/>
      <c r="BQ27" s="277"/>
      <c r="BR27" s="277"/>
      <c r="BS27" s="277"/>
      <c r="BT27" s="277"/>
      <c r="BU27" s="277"/>
      <c r="BV27" s="277"/>
      <c r="BW27" s="277"/>
      <c r="BX27" s="277"/>
      <c r="BY27" s="277"/>
      <c r="BZ27" s="277"/>
      <c r="CA27" s="277"/>
      <c r="CB27" s="277"/>
      <c r="CC27" s="277"/>
      <c r="CD27" s="277"/>
      <c r="CE27" s="277"/>
      <c r="CF27" s="277"/>
      <c r="CG27" s="277"/>
      <c r="CH27" s="277"/>
      <c r="CI27" s="277"/>
      <c r="CJ27" s="277"/>
      <c r="CK27" s="277"/>
      <c r="CL27" s="277"/>
      <c r="CM27" s="277"/>
      <c r="CN27" s="277"/>
      <c r="CO27" s="277"/>
      <c r="CP27" s="277"/>
      <c r="CQ27" s="277"/>
      <c r="CR27" s="277"/>
      <c r="CS27" s="277"/>
      <c r="CT27" s="277"/>
      <c r="CU27" s="277"/>
      <c r="CV27" s="277"/>
      <c r="CW27" s="277"/>
      <c r="CX27" s="277"/>
      <c r="CY27" s="277"/>
      <c r="CZ27" s="277"/>
      <c r="DA27" s="277"/>
      <c r="DB27" s="277"/>
      <c r="DC27" s="277"/>
      <c r="DD27" s="277"/>
      <c r="DE27" s="277"/>
      <c r="DF27" s="277"/>
      <c r="DG27" s="277"/>
      <c r="DH27" s="277"/>
      <c r="DI27" s="277"/>
      <c r="DJ27" s="277"/>
      <c r="DK27" s="277"/>
      <c r="DL27" s="277"/>
      <c r="DM27" s="277"/>
      <c r="DN27" s="277"/>
      <c r="DO27" s="277"/>
      <c r="DP27" s="277"/>
      <c r="DQ27" s="277"/>
      <c r="DR27" s="277"/>
      <c r="DS27" s="277"/>
      <c r="DT27" s="277"/>
      <c r="DU27" s="277"/>
      <c r="DV27" s="277"/>
      <c r="DW27" s="277"/>
      <c r="DX27" s="277"/>
      <c r="DY27" s="277"/>
      <c r="DZ27" s="277"/>
      <c r="EA27" s="277"/>
      <c r="EB27" s="277"/>
      <c r="EC27" s="277"/>
      <c r="ED27" s="277"/>
      <c r="EE27" s="277"/>
      <c r="EF27" s="277"/>
      <c r="EG27" s="277"/>
      <c r="EH27" s="277"/>
      <c r="EI27" s="277"/>
      <c r="EJ27" s="277"/>
      <c r="EK27" s="277"/>
      <c r="EL27" s="277"/>
      <c r="EM27" s="277"/>
      <c r="EN27" s="277"/>
      <c r="EO27" s="277"/>
      <c r="EP27" s="277"/>
      <c r="EQ27" s="277"/>
      <c r="ER27" s="277"/>
      <c r="ES27" s="277"/>
      <c r="ET27" s="277"/>
      <c r="EU27" s="277"/>
      <c r="EV27" s="277"/>
      <c r="EW27" s="277"/>
      <c r="EX27" s="277"/>
      <c r="EY27" s="277"/>
      <c r="EZ27" s="277"/>
      <c r="FA27" s="277"/>
      <c r="FB27" s="277"/>
      <c r="FC27" s="277"/>
      <c r="FD27" s="277"/>
      <c r="FE27" s="277"/>
      <c r="FF27" s="277"/>
      <c r="FG27" s="277"/>
      <c r="FH27" s="277"/>
      <c r="FI27" s="277"/>
      <c r="FJ27" s="277"/>
      <c r="FK27" s="277"/>
      <c r="FL27" s="277"/>
      <c r="FM27" s="277"/>
      <c r="FN27" s="277"/>
      <c r="FO27" s="277"/>
      <c r="FP27" s="277"/>
      <c r="FQ27" s="277"/>
      <c r="FR27" s="277"/>
      <c r="FS27" s="277"/>
      <c r="FT27" s="277"/>
      <c r="FU27" s="277"/>
      <c r="FV27" s="277"/>
      <c r="FW27" s="277"/>
      <c r="FX27" s="277"/>
      <c r="FY27" s="277"/>
      <c r="FZ27" s="277"/>
      <c r="GA27" s="277"/>
      <c r="GB27" s="277"/>
      <c r="GC27" s="277"/>
      <c r="GD27" s="277"/>
      <c r="GE27" s="277"/>
      <c r="GF27" s="277"/>
      <c r="GG27" s="277"/>
      <c r="GH27" s="277"/>
      <c r="GI27" s="277"/>
      <c r="GJ27" s="277"/>
      <c r="GK27" s="277"/>
      <c r="GL27" s="277"/>
      <c r="GM27" s="277"/>
      <c r="GN27" s="277"/>
      <c r="GO27" s="277"/>
      <c r="GP27" s="277"/>
      <c r="GQ27" s="277"/>
      <c r="GR27" s="277"/>
      <c r="GS27" s="277"/>
      <c r="GT27" s="277"/>
      <c r="GU27" s="277"/>
      <c r="GV27" s="277"/>
      <c r="GW27" s="277"/>
      <c r="GX27" s="277"/>
      <c r="GY27" s="277"/>
      <c r="GZ27" s="277"/>
      <c r="HA27" s="277"/>
      <c r="HB27" s="277"/>
      <c r="HC27" s="277"/>
      <c r="HD27" s="277"/>
      <c r="HE27" s="277"/>
      <c r="HF27" s="277"/>
      <c r="HG27" s="277"/>
      <c r="HH27" s="277"/>
      <c r="HI27" s="277"/>
      <c r="HJ27" s="277"/>
      <c r="HK27" s="277"/>
      <c r="HL27" s="277"/>
      <c r="HM27" s="277"/>
      <c r="HN27" s="277"/>
      <c r="HO27" s="277"/>
      <c r="HP27" s="277"/>
      <c r="HQ27" s="277"/>
      <c r="HR27" s="277"/>
      <c r="HS27" s="277"/>
      <c r="HT27" s="277"/>
      <c r="HU27" s="277"/>
      <c r="HV27" s="277"/>
      <c r="HW27" s="277"/>
      <c r="HX27" s="277"/>
      <c r="HY27" s="277"/>
    </row>
    <row r="28" spans="1:233" ht="13" x14ac:dyDescent="0.3">
      <c r="A28" s="368"/>
      <c r="B28" s="285" t="s">
        <v>253</v>
      </c>
      <c r="C28" s="1325">
        <f>'Existing Management Practices'!C23-(IF(C12=B417,D12,0)+IF(C11=B417,D11,0))/2*C7</f>
        <v>0.3</v>
      </c>
      <c r="D28" s="1328">
        <f>'Existing Management Practices'!D23</f>
        <v>24</v>
      </c>
      <c r="E28" s="1386">
        <f>'Existing Management Practices'!E23</f>
        <v>5</v>
      </c>
      <c r="F28" s="281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94"/>
      <c r="U28" s="294"/>
      <c r="V28" s="294"/>
      <c r="W28" s="294"/>
      <c r="X28" s="294"/>
      <c r="Y28" s="294"/>
      <c r="Z28" s="294"/>
      <c r="AA28" s="294"/>
      <c r="AB28" s="294"/>
      <c r="AC28" s="277"/>
      <c r="AD28" s="277"/>
      <c r="AE28" s="277"/>
      <c r="AF28" s="277"/>
      <c r="AG28" s="277"/>
      <c r="AH28" s="277"/>
      <c r="AI28" s="277"/>
      <c r="AJ28" s="277"/>
      <c r="AK28" s="277"/>
      <c r="AL28" s="277"/>
      <c r="AM28" s="277"/>
      <c r="AN28" s="277"/>
      <c r="AO28" s="277"/>
      <c r="AP28" s="277"/>
      <c r="AQ28" s="277"/>
      <c r="AR28" s="277"/>
      <c r="AS28" s="277"/>
      <c r="AT28" s="277"/>
      <c r="AU28" s="277"/>
      <c r="AV28" s="277"/>
      <c r="AW28" s="277"/>
      <c r="AX28" s="277"/>
      <c r="AY28" s="277"/>
      <c r="AZ28" s="277"/>
      <c r="BA28" s="277"/>
      <c r="BB28" s="277"/>
      <c r="BC28" s="277"/>
      <c r="BD28" s="277"/>
      <c r="BE28" s="277"/>
      <c r="BF28" s="277"/>
      <c r="BG28" s="277"/>
      <c r="BH28" s="277"/>
      <c r="BI28" s="277"/>
      <c r="BJ28" s="277"/>
      <c r="BK28" s="277"/>
      <c r="BL28" s="277"/>
      <c r="BM28" s="277"/>
      <c r="BN28" s="277"/>
      <c r="BO28" s="277"/>
      <c r="BP28" s="277"/>
      <c r="BQ28" s="277"/>
      <c r="BR28" s="277"/>
      <c r="BS28" s="277"/>
      <c r="BT28" s="277"/>
      <c r="BU28" s="277"/>
      <c r="BV28" s="277"/>
      <c r="BW28" s="277"/>
      <c r="BX28" s="277"/>
      <c r="BY28" s="277"/>
      <c r="BZ28" s="277"/>
      <c r="CA28" s="277"/>
      <c r="CB28" s="277"/>
      <c r="CC28" s="277"/>
      <c r="CD28" s="277"/>
      <c r="CE28" s="277"/>
      <c r="CF28" s="277"/>
      <c r="CG28" s="277"/>
      <c r="CH28" s="277"/>
      <c r="CI28" s="277"/>
      <c r="CJ28" s="277"/>
      <c r="CK28" s="277"/>
      <c r="CL28" s="277"/>
      <c r="CM28" s="277"/>
      <c r="CN28" s="277"/>
      <c r="CO28" s="277"/>
      <c r="CP28" s="277"/>
      <c r="CQ28" s="277"/>
      <c r="CR28" s="277"/>
      <c r="CS28" s="277"/>
      <c r="CT28" s="277"/>
      <c r="CU28" s="277"/>
      <c r="CV28" s="277"/>
      <c r="CW28" s="277"/>
      <c r="CX28" s="277"/>
      <c r="CY28" s="277"/>
      <c r="CZ28" s="277"/>
      <c r="DA28" s="277"/>
      <c r="DB28" s="277"/>
      <c r="DC28" s="277"/>
      <c r="DD28" s="277"/>
      <c r="DE28" s="277"/>
      <c r="DF28" s="277"/>
      <c r="DG28" s="277"/>
      <c r="DH28" s="277"/>
      <c r="DI28" s="277"/>
      <c r="DJ28" s="277"/>
      <c r="DK28" s="277"/>
      <c r="DL28" s="277"/>
      <c r="DM28" s="277"/>
      <c r="DN28" s="277"/>
      <c r="DO28" s="277"/>
      <c r="DP28" s="277"/>
      <c r="DQ28" s="277"/>
      <c r="DR28" s="277"/>
      <c r="DS28" s="277"/>
      <c r="DT28" s="277"/>
      <c r="DU28" s="277"/>
      <c r="DV28" s="277"/>
      <c r="DW28" s="277"/>
      <c r="DX28" s="277"/>
      <c r="DY28" s="277"/>
      <c r="DZ28" s="277"/>
      <c r="EA28" s="277"/>
      <c r="EB28" s="277"/>
      <c r="EC28" s="277"/>
      <c r="ED28" s="277"/>
      <c r="EE28" s="277"/>
      <c r="EF28" s="277"/>
      <c r="EG28" s="277"/>
      <c r="EH28" s="277"/>
      <c r="EI28" s="277"/>
      <c r="EJ28" s="277"/>
      <c r="EK28" s="277"/>
      <c r="EL28" s="277"/>
      <c r="EM28" s="277"/>
      <c r="EN28" s="277"/>
      <c r="EO28" s="277"/>
      <c r="EP28" s="277"/>
      <c r="EQ28" s="277"/>
      <c r="ER28" s="277"/>
      <c r="ES28" s="277"/>
      <c r="ET28" s="277"/>
      <c r="EU28" s="277"/>
      <c r="EV28" s="277"/>
      <c r="EW28" s="277"/>
      <c r="EX28" s="277"/>
      <c r="EY28" s="277"/>
      <c r="EZ28" s="277"/>
      <c r="FA28" s="277"/>
      <c r="FB28" s="277"/>
      <c r="FC28" s="277"/>
      <c r="FD28" s="277"/>
      <c r="FE28" s="277"/>
      <c r="FF28" s="277"/>
      <c r="FG28" s="277"/>
      <c r="FH28" s="277"/>
      <c r="FI28" s="277"/>
      <c r="FJ28" s="277"/>
      <c r="FK28" s="277"/>
      <c r="FL28" s="277"/>
      <c r="FM28" s="277"/>
      <c r="FN28" s="277"/>
      <c r="FO28" s="277"/>
      <c r="FP28" s="277"/>
      <c r="FQ28" s="277"/>
      <c r="FR28" s="277"/>
      <c r="FS28" s="277"/>
      <c r="FT28" s="277"/>
      <c r="FU28" s="277"/>
      <c r="FV28" s="277"/>
      <c r="FW28" s="277"/>
      <c r="FX28" s="277"/>
      <c r="FY28" s="277"/>
      <c r="FZ28" s="277"/>
      <c r="GA28" s="277"/>
      <c r="GB28" s="277"/>
      <c r="GC28" s="277"/>
      <c r="GD28" s="277"/>
      <c r="GE28" s="277"/>
      <c r="GF28" s="277"/>
      <c r="GG28" s="277"/>
      <c r="GH28" s="277"/>
      <c r="GI28" s="277"/>
      <c r="GJ28" s="277"/>
      <c r="GK28" s="277"/>
      <c r="GL28" s="277"/>
      <c r="GM28" s="277"/>
      <c r="GN28" s="277"/>
      <c r="GO28" s="277"/>
      <c r="GP28" s="277"/>
      <c r="GQ28" s="277"/>
      <c r="GR28" s="277"/>
      <c r="GS28" s="277"/>
      <c r="GT28" s="277"/>
      <c r="GU28" s="277"/>
      <c r="GV28" s="277"/>
      <c r="GW28" s="277"/>
      <c r="GX28" s="277"/>
      <c r="GY28" s="277"/>
      <c r="GZ28" s="277"/>
      <c r="HA28" s="277"/>
      <c r="HB28" s="277"/>
      <c r="HC28" s="277"/>
      <c r="HD28" s="277"/>
      <c r="HE28" s="277"/>
      <c r="HF28" s="277"/>
      <c r="HG28" s="277"/>
      <c r="HH28" s="277"/>
      <c r="HI28" s="277"/>
      <c r="HJ28" s="277"/>
      <c r="HK28" s="277"/>
      <c r="HL28" s="277"/>
      <c r="HM28" s="277"/>
      <c r="HN28" s="277"/>
      <c r="HO28" s="277"/>
      <c r="HP28" s="277"/>
      <c r="HQ28" s="277"/>
      <c r="HR28" s="277"/>
      <c r="HS28" s="277"/>
      <c r="HT28" s="277"/>
      <c r="HU28" s="277"/>
      <c r="HV28" s="277"/>
      <c r="HW28" s="277"/>
      <c r="HX28" s="277"/>
    </row>
    <row r="29" spans="1:233" ht="13" x14ac:dyDescent="0.3">
      <c r="A29" s="368"/>
      <c r="B29" s="285" t="s">
        <v>254</v>
      </c>
      <c r="C29" s="1325">
        <f>'Existing Management Practices'!C24+IF(C11=$B417,D11,0)*C7</f>
        <v>0.2</v>
      </c>
      <c r="D29" s="1328">
        <f>'Existing Management Practices'!D24</f>
        <v>10</v>
      </c>
      <c r="E29" s="1386">
        <f>'Existing Management Practices'!E24</f>
        <v>0</v>
      </c>
      <c r="F29" s="281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94"/>
      <c r="U29" s="294"/>
      <c r="V29" s="294"/>
      <c r="W29" s="294"/>
      <c r="X29" s="294"/>
      <c r="Y29" s="294"/>
      <c r="Z29" s="294"/>
      <c r="AA29" s="294"/>
      <c r="AB29" s="294"/>
      <c r="AC29" s="277"/>
      <c r="AD29" s="277"/>
      <c r="AE29" s="277"/>
      <c r="AF29" s="277"/>
      <c r="AG29" s="277"/>
      <c r="AH29" s="277"/>
      <c r="AI29" s="277"/>
      <c r="AJ29" s="277"/>
      <c r="AK29" s="277"/>
      <c r="AL29" s="277"/>
      <c r="AM29" s="277"/>
      <c r="AN29" s="277"/>
      <c r="AO29" s="277"/>
      <c r="AP29" s="277"/>
      <c r="AQ29" s="277"/>
      <c r="AR29" s="277"/>
      <c r="AS29" s="277"/>
      <c r="AT29" s="277"/>
      <c r="AU29" s="277"/>
      <c r="AV29" s="277"/>
      <c r="AW29" s="277"/>
      <c r="AX29" s="277"/>
      <c r="AY29" s="277"/>
      <c r="AZ29" s="277"/>
      <c r="BA29" s="277"/>
      <c r="BB29" s="277"/>
      <c r="BC29" s="277"/>
      <c r="BD29" s="277"/>
      <c r="BE29" s="277"/>
      <c r="BF29" s="277"/>
      <c r="BG29" s="277"/>
      <c r="BH29" s="277"/>
      <c r="BI29" s="277"/>
      <c r="BJ29" s="277"/>
      <c r="BK29" s="277"/>
      <c r="BL29" s="277"/>
      <c r="BM29" s="277"/>
      <c r="BN29" s="277"/>
      <c r="BO29" s="277"/>
      <c r="BP29" s="277"/>
      <c r="BQ29" s="277"/>
      <c r="BR29" s="277"/>
      <c r="BS29" s="277"/>
      <c r="BT29" s="277"/>
      <c r="BU29" s="277"/>
      <c r="BV29" s="277"/>
      <c r="BW29" s="277"/>
      <c r="BX29" s="277"/>
      <c r="BY29" s="277"/>
      <c r="BZ29" s="277"/>
      <c r="CA29" s="277"/>
      <c r="CB29" s="277"/>
      <c r="CC29" s="277"/>
      <c r="CD29" s="277"/>
      <c r="CE29" s="277"/>
      <c r="CF29" s="277"/>
      <c r="CG29" s="277"/>
      <c r="CH29" s="277"/>
      <c r="CI29" s="277"/>
      <c r="CJ29" s="277"/>
      <c r="CK29" s="277"/>
      <c r="CL29" s="277"/>
      <c r="CM29" s="277"/>
      <c r="CN29" s="277"/>
      <c r="CO29" s="277"/>
      <c r="CP29" s="277"/>
      <c r="CQ29" s="277"/>
      <c r="CR29" s="277"/>
      <c r="CS29" s="277"/>
      <c r="CT29" s="277"/>
      <c r="CU29" s="277"/>
      <c r="CV29" s="277"/>
      <c r="CW29" s="277"/>
      <c r="CX29" s="277"/>
      <c r="CY29" s="277"/>
      <c r="CZ29" s="277"/>
      <c r="DA29" s="277"/>
      <c r="DB29" s="277"/>
      <c r="DC29" s="277"/>
      <c r="DD29" s="277"/>
      <c r="DE29" s="277"/>
      <c r="DF29" s="277"/>
      <c r="DG29" s="277"/>
      <c r="DH29" s="277"/>
      <c r="DI29" s="277"/>
      <c r="DJ29" s="277"/>
      <c r="DK29" s="277"/>
      <c r="DL29" s="277"/>
      <c r="DM29" s="277"/>
      <c r="DN29" s="277"/>
      <c r="DO29" s="277"/>
      <c r="DP29" s="277"/>
      <c r="DQ29" s="277"/>
      <c r="DR29" s="277"/>
      <c r="DS29" s="277"/>
      <c r="DT29" s="277"/>
      <c r="DU29" s="277"/>
      <c r="DV29" s="277"/>
      <c r="DW29" s="277"/>
      <c r="DX29" s="277"/>
      <c r="DY29" s="277"/>
      <c r="DZ29" s="277"/>
      <c r="EA29" s="277"/>
      <c r="EB29" s="277"/>
      <c r="EC29" s="277"/>
      <c r="ED29" s="277"/>
      <c r="EE29" s="277"/>
      <c r="EF29" s="277"/>
      <c r="EG29" s="277"/>
      <c r="EH29" s="277"/>
      <c r="EI29" s="277"/>
      <c r="EJ29" s="277"/>
      <c r="EK29" s="277"/>
      <c r="EL29" s="277"/>
      <c r="EM29" s="277"/>
      <c r="EN29" s="277"/>
      <c r="EO29" s="277"/>
      <c r="EP29" s="277"/>
      <c r="EQ29" s="277"/>
      <c r="ER29" s="277"/>
      <c r="ES29" s="277"/>
      <c r="ET29" s="277"/>
      <c r="EU29" s="277"/>
      <c r="EV29" s="277"/>
      <c r="EW29" s="277"/>
      <c r="EX29" s="277"/>
      <c r="EY29" s="277"/>
      <c r="EZ29" s="277"/>
      <c r="FA29" s="277"/>
      <c r="FB29" s="277"/>
      <c r="FC29" s="277"/>
      <c r="FD29" s="277"/>
      <c r="FE29" s="277"/>
      <c r="FF29" s="277"/>
      <c r="FG29" s="277"/>
      <c r="FH29" s="277"/>
      <c r="FI29" s="277"/>
      <c r="FJ29" s="277"/>
      <c r="FK29" s="277"/>
      <c r="FL29" s="277"/>
      <c r="FM29" s="277"/>
      <c r="FN29" s="277"/>
      <c r="FO29" s="277"/>
      <c r="FP29" s="277"/>
      <c r="FQ29" s="277"/>
      <c r="FR29" s="277"/>
      <c r="FS29" s="277"/>
      <c r="FT29" s="277"/>
      <c r="FU29" s="277"/>
      <c r="FV29" s="277"/>
      <c r="FW29" s="277"/>
      <c r="FX29" s="277"/>
      <c r="FY29" s="277"/>
      <c r="FZ29" s="277"/>
      <c r="GA29" s="277"/>
      <c r="GB29" s="277"/>
      <c r="GC29" s="277"/>
      <c r="GD29" s="277"/>
      <c r="GE29" s="277"/>
      <c r="GF29" s="277"/>
      <c r="GG29" s="277"/>
      <c r="GH29" s="277"/>
      <c r="GI29" s="277"/>
      <c r="GJ29" s="277"/>
      <c r="GK29" s="277"/>
      <c r="GL29" s="277"/>
      <c r="GM29" s="277"/>
      <c r="GN29" s="277"/>
      <c r="GO29" s="277"/>
      <c r="GP29" s="277"/>
      <c r="GQ29" s="277"/>
      <c r="GR29" s="277"/>
      <c r="GS29" s="277"/>
      <c r="GT29" s="277"/>
      <c r="GU29" s="277"/>
      <c r="GV29" s="277"/>
      <c r="GW29" s="277"/>
      <c r="GX29" s="277"/>
      <c r="GY29" s="277"/>
      <c r="GZ29" s="277"/>
      <c r="HA29" s="277"/>
      <c r="HB29" s="277"/>
      <c r="HC29" s="277"/>
      <c r="HD29" s="277"/>
      <c r="HE29" s="277"/>
      <c r="HF29" s="277"/>
      <c r="HG29" s="277"/>
      <c r="HH29" s="277"/>
      <c r="HI29" s="277"/>
      <c r="HJ29" s="277"/>
      <c r="HK29" s="277"/>
      <c r="HL29" s="277"/>
      <c r="HM29" s="277"/>
      <c r="HN29" s="277"/>
      <c r="HO29" s="277"/>
      <c r="HP29" s="277"/>
      <c r="HQ29" s="277"/>
      <c r="HR29" s="277"/>
      <c r="HS29" s="277"/>
      <c r="HT29" s="277"/>
      <c r="HU29" s="277"/>
      <c r="HV29" s="277"/>
      <c r="HW29" s="277"/>
      <c r="HX29" s="277"/>
    </row>
    <row r="30" spans="1:233" ht="13" x14ac:dyDescent="0.3">
      <c r="A30" s="368"/>
      <c r="B30" s="285"/>
      <c r="C30" s="286" t="s">
        <v>249</v>
      </c>
      <c r="D30" s="286" t="s">
        <v>250</v>
      </c>
      <c r="E30" s="291"/>
      <c r="F30" s="281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94"/>
      <c r="U30" s="294"/>
      <c r="V30" s="294"/>
      <c r="W30" s="294"/>
      <c r="X30" s="294"/>
      <c r="Y30" s="294"/>
      <c r="Z30" s="294"/>
      <c r="AA30" s="294"/>
      <c r="AB30" s="294"/>
      <c r="AC30" s="277"/>
      <c r="AD30" s="277"/>
      <c r="AE30" s="277"/>
      <c r="AF30" s="277"/>
      <c r="AG30" s="277"/>
      <c r="AH30" s="277"/>
      <c r="AI30" s="277"/>
      <c r="AJ30" s="277"/>
      <c r="AK30" s="277"/>
      <c r="AL30" s="277"/>
      <c r="AM30" s="277"/>
      <c r="AN30" s="277"/>
      <c r="AO30" s="277"/>
      <c r="AP30" s="277"/>
      <c r="AQ30" s="277"/>
      <c r="AR30" s="277"/>
      <c r="AS30" s="277"/>
      <c r="AT30" s="277"/>
      <c r="AU30" s="277"/>
      <c r="AV30" s="277"/>
      <c r="AW30" s="277"/>
      <c r="AX30" s="277"/>
      <c r="AY30" s="277"/>
      <c r="AZ30" s="277"/>
      <c r="BA30" s="277"/>
      <c r="BB30" s="277"/>
      <c r="BC30" s="277"/>
      <c r="BD30" s="277"/>
      <c r="BE30" s="277"/>
      <c r="BF30" s="277"/>
      <c r="BG30" s="277"/>
      <c r="BH30" s="277"/>
      <c r="BI30" s="277"/>
      <c r="BJ30" s="277"/>
      <c r="BK30" s="277"/>
      <c r="BL30" s="277"/>
      <c r="BM30" s="277"/>
      <c r="BN30" s="277"/>
      <c r="BO30" s="277"/>
      <c r="BP30" s="277"/>
      <c r="BQ30" s="277"/>
      <c r="BR30" s="277"/>
      <c r="BS30" s="277"/>
      <c r="BT30" s="277"/>
      <c r="BU30" s="277"/>
      <c r="BV30" s="277"/>
      <c r="BW30" s="277"/>
      <c r="BX30" s="277"/>
      <c r="BY30" s="277"/>
      <c r="BZ30" s="277"/>
      <c r="CA30" s="277"/>
      <c r="CB30" s="277"/>
      <c r="CC30" s="277"/>
      <c r="CD30" s="277"/>
      <c r="CE30" s="277"/>
      <c r="CF30" s="277"/>
      <c r="CG30" s="277"/>
      <c r="CH30" s="277"/>
      <c r="CI30" s="277"/>
      <c r="CJ30" s="277"/>
      <c r="CK30" s="277"/>
      <c r="CL30" s="277"/>
      <c r="CM30" s="277"/>
      <c r="CN30" s="277"/>
      <c r="CO30" s="277"/>
      <c r="CP30" s="277"/>
      <c r="CQ30" s="277"/>
      <c r="CR30" s="277"/>
      <c r="CS30" s="277"/>
      <c r="CT30" s="277"/>
      <c r="CU30" s="277"/>
      <c r="CV30" s="277"/>
      <c r="CW30" s="277"/>
      <c r="CX30" s="277"/>
      <c r="CY30" s="277"/>
      <c r="CZ30" s="277"/>
      <c r="DA30" s="277"/>
      <c r="DB30" s="277"/>
      <c r="DC30" s="277"/>
      <c r="DD30" s="277"/>
      <c r="DE30" s="277"/>
      <c r="DF30" s="277"/>
      <c r="DG30" s="277"/>
      <c r="DH30" s="277"/>
      <c r="DI30" s="277"/>
      <c r="DJ30" s="277"/>
      <c r="DK30" s="277"/>
      <c r="DL30" s="277"/>
      <c r="DM30" s="277"/>
      <c r="DN30" s="277"/>
      <c r="DO30" s="277"/>
      <c r="DP30" s="277"/>
      <c r="DQ30" s="277"/>
      <c r="DR30" s="277"/>
      <c r="DS30" s="277"/>
      <c r="DT30" s="277"/>
      <c r="DU30" s="277"/>
      <c r="DV30" s="277"/>
      <c r="DW30" s="277"/>
      <c r="DX30" s="277"/>
      <c r="DY30" s="277"/>
      <c r="DZ30" s="277"/>
      <c r="EA30" s="277"/>
      <c r="EB30" s="277"/>
      <c r="EC30" s="277"/>
      <c r="ED30" s="277"/>
      <c r="EE30" s="277"/>
      <c r="EF30" s="277"/>
      <c r="EG30" s="277"/>
      <c r="EH30" s="277"/>
      <c r="EI30" s="277"/>
      <c r="EJ30" s="277"/>
      <c r="EK30" s="277"/>
      <c r="EL30" s="277"/>
      <c r="EM30" s="277"/>
      <c r="EN30" s="277"/>
      <c r="EO30" s="277"/>
      <c r="EP30" s="277"/>
      <c r="EQ30" s="277"/>
      <c r="ER30" s="277"/>
      <c r="ES30" s="277"/>
      <c r="ET30" s="277"/>
      <c r="EU30" s="277"/>
      <c r="EV30" s="277"/>
      <c r="EW30" s="277"/>
      <c r="EX30" s="277"/>
      <c r="EY30" s="277"/>
      <c r="EZ30" s="277"/>
      <c r="FA30" s="277"/>
      <c r="FB30" s="277"/>
      <c r="FC30" s="277"/>
      <c r="FD30" s="277"/>
      <c r="FE30" s="277"/>
      <c r="FF30" s="277"/>
      <c r="FG30" s="277"/>
      <c r="FH30" s="277"/>
      <c r="FI30" s="277"/>
      <c r="FJ30" s="277"/>
      <c r="FK30" s="277"/>
      <c r="FL30" s="277"/>
      <c r="FM30" s="277"/>
      <c r="FN30" s="277"/>
      <c r="FO30" s="277"/>
      <c r="FP30" s="277"/>
      <c r="FQ30" s="277"/>
      <c r="FR30" s="277"/>
      <c r="FS30" s="277"/>
      <c r="FT30" s="277"/>
      <c r="FU30" s="277"/>
      <c r="FV30" s="277"/>
      <c r="FW30" s="277"/>
      <c r="FX30" s="277"/>
      <c r="FY30" s="277"/>
      <c r="FZ30" s="277"/>
      <c r="GA30" s="277"/>
      <c r="GB30" s="277"/>
      <c r="GC30" s="277"/>
      <c r="GD30" s="277"/>
      <c r="GE30" s="277"/>
      <c r="GF30" s="277"/>
      <c r="GG30" s="277"/>
      <c r="GH30" s="277"/>
      <c r="GI30" s="277"/>
      <c r="GJ30" s="277"/>
      <c r="GK30" s="277"/>
      <c r="GL30" s="277"/>
      <c r="GM30" s="277"/>
      <c r="GN30" s="277"/>
      <c r="GO30" s="277"/>
      <c r="GP30" s="277"/>
      <c r="GQ30" s="277"/>
      <c r="GR30" s="277"/>
      <c r="GS30" s="277"/>
      <c r="GT30" s="277"/>
      <c r="GU30" s="277"/>
      <c r="GV30" s="277"/>
      <c r="GW30" s="277"/>
      <c r="GX30" s="277"/>
      <c r="GY30" s="277"/>
      <c r="GZ30" s="277"/>
      <c r="HA30" s="277"/>
      <c r="HB30" s="277"/>
      <c r="HC30" s="277"/>
      <c r="HD30" s="277"/>
      <c r="HE30" s="277"/>
      <c r="HF30" s="277"/>
      <c r="HG30" s="277"/>
      <c r="HH30" s="277"/>
      <c r="HI30" s="277"/>
      <c r="HJ30" s="277"/>
      <c r="HK30" s="277"/>
      <c r="HL30" s="277"/>
      <c r="HM30" s="277"/>
      <c r="HN30" s="277"/>
      <c r="HO30" s="277"/>
      <c r="HP30" s="277"/>
      <c r="HQ30" s="277"/>
      <c r="HR30" s="277"/>
      <c r="HS30" s="277"/>
      <c r="HT30" s="277"/>
      <c r="HU30" s="277"/>
      <c r="HV30" s="277"/>
      <c r="HW30" s="277"/>
      <c r="HX30" s="277"/>
    </row>
    <row r="31" spans="1:233" ht="13.5" thickBot="1" x14ac:dyDescent="0.35">
      <c r="A31" s="368"/>
      <c r="B31" s="301" t="s">
        <v>255</v>
      </c>
      <c r="C31" s="302">
        <f>C20*C22</f>
        <v>2518390.8000000003</v>
      </c>
      <c r="D31" s="303">
        <f>SUMPRODUCT(C44:C47,E26:E29)*C20</f>
        <v>411037.3555714286</v>
      </c>
      <c r="E31" s="304"/>
      <c r="F31" s="281"/>
      <c r="G31" s="277"/>
      <c r="H31" s="277"/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94"/>
      <c r="U31" s="294"/>
      <c r="V31" s="294"/>
      <c r="W31" s="294"/>
      <c r="X31" s="294"/>
      <c r="Y31" s="294"/>
      <c r="Z31" s="294"/>
      <c r="AA31" s="294"/>
      <c r="AB31" s="294"/>
      <c r="AC31" s="277"/>
      <c r="AD31" s="277"/>
      <c r="AE31" s="277"/>
      <c r="AF31" s="277"/>
      <c r="AG31" s="277"/>
      <c r="AH31" s="277"/>
      <c r="AI31" s="277"/>
      <c r="AJ31" s="277"/>
      <c r="AK31" s="277"/>
      <c r="AL31" s="277"/>
      <c r="AM31" s="277"/>
      <c r="AN31" s="277"/>
      <c r="AO31" s="277"/>
      <c r="AP31" s="277"/>
      <c r="AQ31" s="277"/>
      <c r="AR31" s="277"/>
      <c r="AS31" s="277"/>
      <c r="AT31" s="277"/>
      <c r="AU31" s="277"/>
      <c r="AV31" s="277"/>
      <c r="AW31" s="277"/>
      <c r="AX31" s="277"/>
      <c r="AY31" s="277"/>
      <c r="AZ31" s="277"/>
      <c r="BA31" s="277"/>
      <c r="BB31" s="277"/>
      <c r="BC31" s="277"/>
      <c r="BD31" s="277"/>
      <c r="BE31" s="277"/>
      <c r="BF31" s="277"/>
      <c r="BG31" s="277"/>
      <c r="BH31" s="277"/>
      <c r="BI31" s="277"/>
      <c r="BJ31" s="277"/>
      <c r="BK31" s="277"/>
      <c r="BL31" s="277"/>
      <c r="BM31" s="277"/>
      <c r="BN31" s="277"/>
      <c r="BO31" s="277"/>
      <c r="BP31" s="277"/>
      <c r="BQ31" s="277"/>
      <c r="BR31" s="277"/>
      <c r="BS31" s="277"/>
      <c r="BT31" s="277"/>
      <c r="BU31" s="277"/>
      <c r="BV31" s="277"/>
      <c r="BW31" s="277"/>
      <c r="BX31" s="277"/>
      <c r="BY31" s="277"/>
      <c r="BZ31" s="277"/>
      <c r="CA31" s="277"/>
      <c r="CB31" s="277"/>
      <c r="CC31" s="277"/>
      <c r="CD31" s="277"/>
      <c r="CE31" s="277"/>
      <c r="CF31" s="277"/>
      <c r="CG31" s="277"/>
      <c r="CH31" s="277"/>
      <c r="CI31" s="277"/>
      <c r="CJ31" s="277"/>
      <c r="CK31" s="277"/>
      <c r="CL31" s="277"/>
      <c r="CM31" s="277"/>
      <c r="CN31" s="277"/>
      <c r="CO31" s="277"/>
      <c r="CP31" s="277"/>
      <c r="CQ31" s="277"/>
      <c r="CR31" s="277"/>
      <c r="CS31" s="277"/>
      <c r="CT31" s="277"/>
      <c r="CU31" s="277"/>
      <c r="CV31" s="277"/>
      <c r="CW31" s="277"/>
      <c r="CX31" s="277"/>
      <c r="CY31" s="277"/>
      <c r="CZ31" s="277"/>
      <c r="DA31" s="277"/>
      <c r="DB31" s="277"/>
      <c r="DC31" s="277"/>
      <c r="DD31" s="277"/>
      <c r="DE31" s="277"/>
      <c r="DF31" s="277"/>
      <c r="DG31" s="277"/>
      <c r="DH31" s="277"/>
      <c r="DI31" s="277"/>
      <c r="DJ31" s="277"/>
      <c r="DK31" s="277"/>
      <c r="DL31" s="277"/>
      <c r="DM31" s="277"/>
      <c r="DN31" s="277"/>
      <c r="DO31" s="277"/>
      <c r="DP31" s="277"/>
      <c r="DQ31" s="277"/>
      <c r="DR31" s="277"/>
      <c r="DS31" s="277"/>
      <c r="DT31" s="277"/>
      <c r="DU31" s="277"/>
      <c r="DV31" s="277"/>
      <c r="DW31" s="277"/>
      <c r="DX31" s="277"/>
      <c r="DY31" s="277"/>
      <c r="DZ31" s="277"/>
      <c r="EA31" s="277"/>
      <c r="EB31" s="277"/>
      <c r="EC31" s="277"/>
      <c r="ED31" s="277"/>
      <c r="EE31" s="277"/>
      <c r="EF31" s="277"/>
      <c r="EG31" s="277"/>
      <c r="EH31" s="277"/>
      <c r="EI31" s="277"/>
      <c r="EJ31" s="277"/>
      <c r="EK31" s="277"/>
      <c r="EL31" s="277"/>
      <c r="EM31" s="277"/>
      <c r="EN31" s="277"/>
      <c r="EO31" s="277"/>
      <c r="EP31" s="277"/>
      <c r="EQ31" s="277"/>
      <c r="ER31" s="277"/>
      <c r="ES31" s="277"/>
      <c r="ET31" s="277"/>
      <c r="EU31" s="277"/>
      <c r="EV31" s="277"/>
      <c r="EW31" s="277"/>
      <c r="EX31" s="277"/>
      <c r="EY31" s="277"/>
      <c r="EZ31" s="277"/>
      <c r="FA31" s="277"/>
      <c r="FB31" s="277"/>
      <c r="FC31" s="277"/>
      <c r="FD31" s="277"/>
      <c r="FE31" s="277"/>
      <c r="FF31" s="277"/>
      <c r="FG31" s="277"/>
      <c r="FH31" s="277"/>
      <c r="FI31" s="277"/>
      <c r="FJ31" s="277"/>
      <c r="FK31" s="277"/>
      <c r="FL31" s="277"/>
      <c r="FM31" s="277"/>
      <c r="FN31" s="277"/>
      <c r="FO31" s="277"/>
      <c r="FP31" s="277"/>
      <c r="FQ31" s="277"/>
      <c r="FR31" s="277"/>
      <c r="FS31" s="277"/>
      <c r="FT31" s="277"/>
      <c r="FU31" s="277"/>
      <c r="FV31" s="277"/>
      <c r="FW31" s="277"/>
      <c r="FX31" s="277"/>
      <c r="FY31" s="277"/>
      <c r="FZ31" s="277"/>
      <c r="GA31" s="277"/>
      <c r="GB31" s="277"/>
      <c r="GC31" s="277"/>
      <c r="GD31" s="277"/>
      <c r="GE31" s="277"/>
      <c r="GF31" s="277"/>
      <c r="GG31" s="277"/>
      <c r="GH31" s="277"/>
      <c r="GI31" s="277"/>
      <c r="GJ31" s="277"/>
      <c r="GK31" s="277"/>
      <c r="GL31" s="277"/>
      <c r="GM31" s="277"/>
      <c r="GN31" s="277"/>
      <c r="GO31" s="277"/>
      <c r="GP31" s="277"/>
      <c r="GQ31" s="277"/>
      <c r="GR31" s="277"/>
      <c r="GS31" s="277"/>
      <c r="GT31" s="277"/>
      <c r="GU31" s="277"/>
      <c r="GV31" s="277"/>
      <c r="GW31" s="277"/>
      <c r="GX31" s="277"/>
      <c r="GY31" s="277"/>
      <c r="GZ31" s="277"/>
      <c r="HA31" s="277"/>
      <c r="HB31" s="277"/>
      <c r="HC31" s="277"/>
      <c r="HD31" s="277"/>
      <c r="HE31" s="277"/>
      <c r="HF31" s="277"/>
      <c r="HG31" s="277"/>
      <c r="HH31" s="277"/>
      <c r="HI31" s="277"/>
      <c r="HJ31" s="277"/>
      <c r="HK31" s="277"/>
      <c r="HL31" s="277"/>
      <c r="HM31" s="277"/>
      <c r="HN31" s="277"/>
      <c r="HO31" s="277"/>
      <c r="HP31" s="277"/>
      <c r="HQ31" s="277"/>
      <c r="HR31" s="277"/>
      <c r="HS31" s="277"/>
      <c r="HT31" s="277"/>
      <c r="HU31" s="277"/>
      <c r="HV31" s="277"/>
      <c r="HW31" s="277"/>
      <c r="HX31" s="277"/>
    </row>
    <row r="32" spans="1:233" ht="13.5" thickTop="1" x14ac:dyDescent="0.3">
      <c r="A32" s="368"/>
      <c r="B32" s="305"/>
      <c r="C32" s="306">
        <f>'Future Management Practices'!C311</f>
        <v>0</v>
      </c>
      <c r="D32" s="307"/>
      <c r="E32" s="308"/>
      <c r="F32" s="281"/>
      <c r="G32" s="277"/>
      <c r="H32" s="277"/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94"/>
      <c r="U32" s="294"/>
      <c r="V32" s="294"/>
      <c r="W32" s="294"/>
      <c r="X32" s="294"/>
      <c r="Y32" s="294"/>
      <c r="Z32" s="294"/>
      <c r="AA32" s="294"/>
      <c r="AB32" s="294"/>
      <c r="AC32" s="277"/>
      <c r="AD32" s="277"/>
      <c r="AE32" s="277"/>
      <c r="AF32" s="277"/>
      <c r="AG32" s="277"/>
      <c r="AH32" s="277"/>
      <c r="AI32" s="277"/>
      <c r="AJ32" s="277"/>
      <c r="AK32" s="277"/>
      <c r="AL32" s="277"/>
      <c r="AM32" s="277"/>
      <c r="AN32" s="277"/>
      <c r="AO32" s="277"/>
      <c r="AP32" s="277"/>
      <c r="AQ32" s="277"/>
      <c r="AR32" s="277"/>
      <c r="AS32" s="277"/>
      <c r="AT32" s="277"/>
      <c r="AU32" s="277"/>
      <c r="AV32" s="277"/>
      <c r="AW32" s="277"/>
      <c r="AX32" s="277"/>
      <c r="AY32" s="277"/>
      <c r="AZ32" s="277"/>
      <c r="BA32" s="277"/>
      <c r="BB32" s="277"/>
      <c r="BC32" s="277"/>
      <c r="BD32" s="277"/>
      <c r="BE32" s="277"/>
      <c r="BF32" s="277"/>
      <c r="BG32" s="277"/>
      <c r="BH32" s="277"/>
      <c r="BI32" s="277"/>
      <c r="BJ32" s="277"/>
      <c r="BK32" s="277"/>
      <c r="BL32" s="277"/>
      <c r="BM32" s="277"/>
      <c r="BN32" s="277"/>
      <c r="BO32" s="277"/>
      <c r="BP32" s="277"/>
      <c r="BQ32" s="277"/>
      <c r="BR32" s="277"/>
      <c r="BS32" s="277"/>
      <c r="BT32" s="277"/>
      <c r="BU32" s="277"/>
      <c r="BV32" s="277"/>
      <c r="BW32" s="277"/>
      <c r="BX32" s="277"/>
      <c r="BY32" s="277"/>
      <c r="BZ32" s="277"/>
      <c r="CA32" s="277"/>
      <c r="CB32" s="277"/>
      <c r="CC32" s="277"/>
      <c r="CD32" s="277"/>
      <c r="CE32" s="277"/>
      <c r="CF32" s="277"/>
      <c r="CG32" s="277"/>
      <c r="CH32" s="277"/>
      <c r="CI32" s="277"/>
      <c r="CJ32" s="277"/>
      <c r="CK32" s="277"/>
      <c r="CL32" s="277"/>
      <c r="CM32" s="277"/>
      <c r="CN32" s="277"/>
      <c r="CO32" s="277"/>
      <c r="CP32" s="277"/>
      <c r="CQ32" s="277"/>
      <c r="CR32" s="277"/>
      <c r="CS32" s="277"/>
      <c r="CT32" s="277"/>
      <c r="CU32" s="277"/>
      <c r="CV32" s="277"/>
      <c r="CW32" s="277"/>
      <c r="CX32" s="277"/>
      <c r="CY32" s="277"/>
      <c r="CZ32" s="277"/>
      <c r="DA32" s="277"/>
      <c r="DB32" s="277"/>
      <c r="DC32" s="277"/>
      <c r="DD32" s="277"/>
      <c r="DE32" s="277"/>
      <c r="DF32" s="277"/>
      <c r="DG32" s="277"/>
      <c r="DH32" s="277"/>
      <c r="DI32" s="277"/>
      <c r="DJ32" s="277"/>
      <c r="DK32" s="277"/>
      <c r="DL32" s="277"/>
      <c r="DM32" s="277"/>
      <c r="DN32" s="277"/>
      <c r="DO32" s="277"/>
      <c r="DP32" s="277"/>
      <c r="DQ32" s="277"/>
      <c r="DR32" s="277"/>
      <c r="DS32" s="277"/>
      <c r="DT32" s="277"/>
      <c r="DU32" s="277"/>
      <c r="DV32" s="277"/>
      <c r="DW32" s="277"/>
      <c r="DX32" s="277"/>
      <c r="DY32" s="277"/>
      <c r="DZ32" s="277"/>
      <c r="EA32" s="277"/>
      <c r="EB32" s="277"/>
      <c r="EC32" s="277"/>
      <c r="ED32" s="277"/>
      <c r="EE32" s="277"/>
      <c r="EF32" s="277"/>
      <c r="EG32" s="277"/>
      <c r="EH32" s="277"/>
      <c r="EI32" s="277"/>
      <c r="EJ32" s="277"/>
      <c r="EK32" s="277"/>
      <c r="EL32" s="277"/>
      <c r="EM32" s="277"/>
      <c r="EN32" s="277"/>
      <c r="EO32" s="277"/>
      <c r="EP32" s="277"/>
      <c r="EQ32" s="277"/>
      <c r="ER32" s="277"/>
      <c r="ES32" s="277"/>
      <c r="ET32" s="277"/>
      <c r="EU32" s="277"/>
      <c r="EV32" s="277"/>
      <c r="EW32" s="277"/>
      <c r="EX32" s="277"/>
      <c r="EY32" s="277"/>
      <c r="EZ32" s="277"/>
      <c r="FA32" s="277"/>
      <c r="FB32" s="277"/>
      <c r="FC32" s="277"/>
      <c r="FD32" s="277"/>
      <c r="FE32" s="277"/>
      <c r="FF32" s="277"/>
      <c r="FG32" s="277"/>
      <c r="FH32" s="277"/>
      <c r="FI32" s="277"/>
      <c r="FJ32" s="277"/>
      <c r="FK32" s="277"/>
      <c r="FL32" s="277"/>
      <c r="FM32" s="277"/>
      <c r="FN32" s="277"/>
      <c r="FO32" s="277"/>
      <c r="FP32" s="277"/>
      <c r="FQ32" s="277"/>
      <c r="FR32" s="277"/>
      <c r="FS32" s="277"/>
      <c r="FT32" s="277"/>
      <c r="FU32" s="277"/>
      <c r="FV32" s="277"/>
      <c r="FW32" s="277"/>
      <c r="FX32" s="277"/>
      <c r="FY32" s="277"/>
      <c r="FZ32" s="277"/>
      <c r="GA32" s="277"/>
      <c r="GB32" s="277"/>
      <c r="GC32" s="277"/>
      <c r="GD32" s="277"/>
      <c r="GE32" s="277"/>
      <c r="GF32" s="277"/>
      <c r="GG32" s="277"/>
      <c r="GH32" s="277"/>
      <c r="GI32" s="277"/>
      <c r="GJ32" s="277"/>
      <c r="GK32" s="277"/>
      <c r="GL32" s="277"/>
      <c r="GM32" s="277"/>
      <c r="GN32" s="277"/>
      <c r="GO32" s="277"/>
      <c r="GP32" s="277"/>
      <c r="GQ32" s="277"/>
      <c r="GR32" s="277"/>
      <c r="GS32" s="277"/>
      <c r="GT32" s="277"/>
      <c r="GU32" s="277"/>
      <c r="GV32" s="277"/>
      <c r="GW32" s="277"/>
      <c r="GX32" s="277"/>
      <c r="GY32" s="277"/>
      <c r="GZ32" s="277"/>
      <c r="HA32" s="277"/>
      <c r="HB32" s="277"/>
      <c r="HC32" s="277"/>
      <c r="HD32" s="277"/>
      <c r="HE32" s="277"/>
      <c r="HF32" s="277"/>
      <c r="HG32" s="277"/>
      <c r="HH32" s="277"/>
      <c r="HI32" s="277"/>
      <c r="HJ32" s="277"/>
      <c r="HK32" s="277"/>
      <c r="HL32" s="277"/>
      <c r="HM32" s="277"/>
      <c r="HN32" s="277"/>
      <c r="HO32" s="277"/>
      <c r="HP32" s="277"/>
      <c r="HQ32" s="277"/>
      <c r="HR32" s="277"/>
      <c r="HS32" s="277"/>
      <c r="HT32" s="277"/>
      <c r="HU32" s="277"/>
      <c r="HV32" s="277"/>
      <c r="HW32" s="277"/>
      <c r="HX32" s="277"/>
    </row>
    <row r="33" spans="1:238" ht="13" x14ac:dyDescent="0.3">
      <c r="A33" s="368"/>
      <c r="B33" s="285" t="s">
        <v>256</v>
      </c>
      <c r="C33" s="286" t="s">
        <v>249</v>
      </c>
      <c r="D33" s="286" t="s">
        <v>250</v>
      </c>
      <c r="E33" s="291"/>
      <c r="F33" s="309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94"/>
      <c r="U33" s="294"/>
      <c r="V33" s="294"/>
      <c r="W33" s="294"/>
      <c r="X33" s="294"/>
      <c r="Y33" s="294"/>
      <c r="Z33" s="294"/>
      <c r="AA33" s="294"/>
      <c r="AB33" s="294"/>
      <c r="AC33" s="277"/>
      <c r="AD33" s="277"/>
      <c r="AE33" s="277"/>
      <c r="AF33" s="277"/>
      <c r="AG33" s="277"/>
      <c r="AH33" s="277"/>
      <c r="AI33" s="277"/>
      <c r="AJ33" s="277"/>
      <c r="AK33" s="277"/>
      <c r="AL33" s="277"/>
      <c r="AM33" s="277"/>
      <c r="AN33" s="277"/>
      <c r="AO33" s="277"/>
      <c r="AP33" s="277"/>
      <c r="AQ33" s="277"/>
      <c r="AR33" s="277"/>
      <c r="AS33" s="277"/>
      <c r="AT33" s="277"/>
      <c r="AU33" s="277"/>
      <c r="AV33" s="277"/>
      <c r="AW33" s="277"/>
      <c r="AX33" s="277"/>
      <c r="AY33" s="277"/>
      <c r="AZ33" s="277"/>
      <c r="BA33" s="277"/>
      <c r="BB33" s="277"/>
      <c r="BC33" s="277"/>
      <c r="BD33" s="277"/>
      <c r="BE33" s="277"/>
      <c r="BF33" s="277"/>
      <c r="BG33" s="277"/>
      <c r="BH33" s="277"/>
      <c r="BI33" s="277"/>
      <c r="BJ33" s="277"/>
      <c r="BK33" s="277"/>
      <c r="BL33" s="277"/>
      <c r="BM33" s="277"/>
      <c r="BN33" s="277"/>
      <c r="BO33" s="277"/>
      <c r="BP33" s="277"/>
      <c r="BQ33" s="277"/>
      <c r="BR33" s="277"/>
      <c r="BS33" s="277"/>
      <c r="BT33" s="277"/>
      <c r="BU33" s="277"/>
      <c r="BV33" s="277"/>
      <c r="BW33" s="277"/>
      <c r="BX33" s="277"/>
      <c r="BY33" s="277"/>
      <c r="BZ33" s="277"/>
      <c r="CA33" s="277"/>
      <c r="CB33" s="277"/>
      <c r="CC33" s="277"/>
      <c r="CD33" s="277"/>
      <c r="CE33" s="277"/>
      <c r="CF33" s="277"/>
      <c r="CG33" s="277"/>
      <c r="CH33" s="277"/>
      <c r="CI33" s="277"/>
      <c r="CJ33" s="277"/>
      <c r="CK33" s="277"/>
      <c r="CL33" s="277"/>
      <c r="CM33" s="277"/>
      <c r="CN33" s="277"/>
      <c r="CO33" s="277"/>
      <c r="CP33" s="277"/>
      <c r="CQ33" s="277"/>
      <c r="CR33" s="277"/>
      <c r="CS33" s="277"/>
      <c r="CT33" s="277"/>
      <c r="CU33" s="277"/>
      <c r="CV33" s="277"/>
      <c r="CW33" s="277"/>
      <c r="CX33" s="277"/>
      <c r="CY33" s="277"/>
      <c r="CZ33" s="277"/>
      <c r="DA33" s="277"/>
      <c r="DB33" s="277"/>
      <c r="DC33" s="277"/>
      <c r="DD33" s="277"/>
      <c r="DE33" s="277"/>
      <c r="DF33" s="277"/>
      <c r="DG33" s="277"/>
      <c r="DH33" s="277"/>
      <c r="DI33" s="277"/>
      <c r="DJ33" s="277"/>
      <c r="DK33" s="277"/>
      <c r="DL33" s="277"/>
      <c r="DM33" s="277"/>
      <c r="DN33" s="277"/>
      <c r="DO33" s="277"/>
      <c r="DP33" s="277"/>
      <c r="DQ33" s="277"/>
      <c r="DR33" s="277"/>
      <c r="DS33" s="277"/>
      <c r="DT33" s="277"/>
      <c r="DU33" s="277"/>
      <c r="DV33" s="277"/>
      <c r="DW33" s="277"/>
      <c r="DX33" s="277"/>
      <c r="DY33" s="277"/>
      <c r="DZ33" s="277"/>
      <c r="EA33" s="277"/>
      <c r="EB33" s="277"/>
      <c r="EC33" s="277"/>
      <c r="ED33" s="277"/>
      <c r="EE33" s="277"/>
      <c r="EF33" s="277"/>
      <c r="EG33" s="277"/>
      <c r="EH33" s="277"/>
      <c r="EI33" s="277"/>
      <c r="EJ33" s="277"/>
      <c r="EK33" s="277"/>
      <c r="EL33" s="277"/>
      <c r="EM33" s="277"/>
      <c r="EN33" s="277"/>
      <c r="EO33" s="277"/>
      <c r="EP33" s="277"/>
      <c r="EQ33" s="277"/>
      <c r="ER33" s="277"/>
      <c r="ES33" s="277"/>
      <c r="ET33" s="277"/>
      <c r="EU33" s="277"/>
      <c r="EV33" s="277"/>
      <c r="EW33" s="277"/>
      <c r="EX33" s="277"/>
      <c r="EY33" s="277"/>
      <c r="EZ33" s="277"/>
      <c r="FA33" s="277"/>
      <c r="FB33" s="277"/>
      <c r="FC33" s="277"/>
      <c r="FD33" s="277"/>
      <c r="FE33" s="277"/>
      <c r="FF33" s="277"/>
      <c r="FG33" s="277"/>
      <c r="FH33" s="277"/>
      <c r="FI33" s="277"/>
      <c r="FJ33" s="277"/>
      <c r="FK33" s="277"/>
      <c r="FL33" s="277"/>
      <c r="FM33" s="277"/>
      <c r="FN33" s="277"/>
      <c r="FO33" s="277"/>
      <c r="FP33" s="277"/>
      <c r="FQ33" s="277"/>
      <c r="FR33" s="277"/>
      <c r="FS33" s="277"/>
      <c r="FT33" s="277"/>
      <c r="FU33" s="277"/>
      <c r="FV33" s="277"/>
      <c r="FW33" s="277"/>
      <c r="FX33" s="277"/>
      <c r="FY33" s="277"/>
      <c r="FZ33" s="277"/>
      <c r="GA33" s="277"/>
      <c r="GB33" s="277"/>
      <c r="GC33" s="277"/>
      <c r="GD33" s="277"/>
      <c r="GE33" s="277"/>
      <c r="GF33" s="277"/>
      <c r="GG33" s="277"/>
      <c r="GH33" s="277"/>
      <c r="GI33" s="277"/>
      <c r="GJ33" s="277"/>
      <c r="GK33" s="277"/>
      <c r="GL33" s="277"/>
      <c r="GM33" s="277"/>
      <c r="GN33" s="277"/>
      <c r="GO33" s="277"/>
      <c r="GP33" s="277"/>
      <c r="GQ33" s="277"/>
      <c r="GR33" s="277"/>
      <c r="GS33" s="277"/>
      <c r="GT33" s="277"/>
      <c r="GU33" s="277"/>
      <c r="GV33" s="277"/>
      <c r="GW33" s="277"/>
      <c r="GX33" s="277"/>
      <c r="GY33" s="277"/>
      <c r="GZ33" s="277"/>
      <c r="HA33" s="277"/>
      <c r="HB33" s="277"/>
      <c r="HC33" s="277"/>
      <c r="HD33" s="277"/>
      <c r="HE33" s="277"/>
      <c r="HF33" s="277"/>
      <c r="HG33" s="277"/>
      <c r="HH33" s="277"/>
      <c r="HI33" s="277"/>
      <c r="HJ33" s="277"/>
      <c r="HK33" s="277"/>
      <c r="HL33" s="277"/>
      <c r="HM33" s="277"/>
      <c r="HN33" s="277"/>
      <c r="HO33" s="277"/>
      <c r="HP33" s="277"/>
      <c r="HQ33" s="277"/>
      <c r="HR33" s="277"/>
      <c r="HS33" s="277"/>
      <c r="HT33" s="277"/>
      <c r="HU33" s="277"/>
      <c r="HV33" s="277"/>
      <c r="HW33" s="277"/>
    </row>
    <row r="34" spans="1:238" ht="13" x14ac:dyDescent="0.3">
      <c r="A34" s="368"/>
      <c r="B34" s="285" t="s">
        <v>257</v>
      </c>
      <c r="C34" s="976">
        <f>C$31*D49</f>
        <v>20451.133878733752</v>
      </c>
      <c r="D34" s="310">
        <f>E49*D31</f>
        <v>3192.1533829950745</v>
      </c>
      <c r="E34" s="291"/>
      <c r="F34" s="311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94"/>
      <c r="U34" s="294"/>
      <c r="V34" s="294"/>
      <c r="W34" s="294"/>
      <c r="X34" s="294"/>
      <c r="Y34" s="294"/>
      <c r="Z34" s="294"/>
      <c r="AA34" s="294"/>
      <c r="AB34" s="294"/>
      <c r="AC34" s="277"/>
      <c r="AD34" s="277"/>
      <c r="AE34" s="277"/>
      <c r="AF34" s="277"/>
      <c r="AG34" s="277"/>
      <c r="AH34" s="277"/>
      <c r="AI34" s="277"/>
      <c r="AJ34" s="277"/>
      <c r="AK34" s="277"/>
      <c r="AL34" s="277"/>
      <c r="AM34" s="277"/>
      <c r="AN34" s="277"/>
      <c r="AO34" s="277"/>
      <c r="AP34" s="277"/>
      <c r="AQ34" s="277"/>
      <c r="AR34" s="277"/>
      <c r="AS34" s="277"/>
      <c r="AT34" s="277"/>
      <c r="AU34" s="277"/>
      <c r="AV34" s="277"/>
      <c r="AW34" s="277"/>
      <c r="AX34" s="277"/>
      <c r="AY34" s="277"/>
      <c r="AZ34" s="277"/>
      <c r="BA34" s="277"/>
      <c r="BB34" s="277"/>
      <c r="BC34" s="277"/>
      <c r="BD34" s="277"/>
      <c r="BE34" s="277"/>
      <c r="BF34" s="277"/>
      <c r="BG34" s="277"/>
      <c r="BH34" s="277"/>
      <c r="BI34" s="277"/>
      <c r="BJ34" s="277"/>
      <c r="BK34" s="277"/>
      <c r="BL34" s="277"/>
      <c r="BM34" s="277"/>
      <c r="BN34" s="277"/>
      <c r="BO34" s="277"/>
      <c r="BP34" s="277"/>
      <c r="BQ34" s="277"/>
      <c r="BR34" s="277"/>
      <c r="BS34" s="277"/>
      <c r="BT34" s="277"/>
      <c r="BU34" s="277"/>
      <c r="BV34" s="277"/>
      <c r="BW34" s="277"/>
      <c r="BX34" s="277"/>
      <c r="BY34" s="277"/>
      <c r="BZ34" s="277"/>
      <c r="CA34" s="277"/>
      <c r="CB34" s="277"/>
      <c r="CC34" s="277"/>
      <c r="CD34" s="277"/>
      <c r="CE34" s="277"/>
      <c r="CF34" s="277"/>
      <c r="CG34" s="277"/>
      <c r="CH34" s="277"/>
      <c r="CI34" s="277"/>
      <c r="CJ34" s="277"/>
      <c r="CK34" s="277"/>
      <c r="CL34" s="277"/>
      <c r="CM34" s="277"/>
      <c r="CN34" s="277"/>
      <c r="CO34" s="277"/>
      <c r="CP34" s="277"/>
      <c r="CQ34" s="277"/>
      <c r="CR34" s="277"/>
      <c r="CS34" s="277"/>
      <c r="CT34" s="277"/>
      <c r="CU34" s="277"/>
      <c r="CV34" s="277"/>
      <c r="CW34" s="277"/>
      <c r="CX34" s="277"/>
      <c r="CY34" s="277"/>
      <c r="CZ34" s="277"/>
      <c r="DA34" s="277"/>
      <c r="DB34" s="277"/>
      <c r="DC34" s="277"/>
      <c r="DD34" s="277"/>
      <c r="DE34" s="277"/>
      <c r="DF34" s="277"/>
      <c r="DG34" s="277"/>
      <c r="DH34" s="277"/>
      <c r="DI34" s="277"/>
      <c r="DJ34" s="277"/>
      <c r="DK34" s="277"/>
      <c r="DL34" s="277"/>
      <c r="DM34" s="277"/>
      <c r="DN34" s="277"/>
      <c r="DO34" s="277"/>
      <c r="DP34" s="277"/>
      <c r="DQ34" s="277"/>
      <c r="DR34" s="277"/>
      <c r="DS34" s="277"/>
      <c r="DT34" s="277"/>
      <c r="DU34" s="277"/>
      <c r="DV34" s="277"/>
      <c r="DW34" s="277"/>
      <c r="DX34" s="277"/>
      <c r="DY34" s="277"/>
      <c r="DZ34" s="277"/>
      <c r="EA34" s="277"/>
      <c r="EB34" s="277"/>
      <c r="EC34" s="277"/>
      <c r="ED34" s="277"/>
      <c r="EE34" s="277"/>
      <c r="EF34" s="277"/>
      <c r="EG34" s="277"/>
      <c r="EH34" s="277"/>
      <c r="EI34" s="277"/>
      <c r="EJ34" s="277"/>
      <c r="EK34" s="277"/>
      <c r="EL34" s="277"/>
      <c r="EM34" s="277"/>
      <c r="EN34" s="277"/>
      <c r="EO34" s="277"/>
      <c r="EP34" s="277"/>
      <c r="EQ34" s="277"/>
      <c r="ER34" s="277"/>
      <c r="ES34" s="277"/>
      <c r="ET34" s="277"/>
      <c r="EU34" s="277"/>
      <c r="EV34" s="277"/>
      <c r="EW34" s="277"/>
      <c r="EX34" s="277"/>
      <c r="EY34" s="277"/>
      <c r="EZ34" s="277"/>
      <c r="FA34" s="277"/>
      <c r="FB34" s="277"/>
      <c r="FC34" s="277"/>
      <c r="FD34" s="277"/>
      <c r="FE34" s="277"/>
      <c r="FF34" s="277"/>
      <c r="FG34" s="277"/>
      <c r="FH34" s="277"/>
      <c r="FI34" s="277"/>
      <c r="FJ34" s="277"/>
      <c r="FK34" s="277"/>
      <c r="FL34" s="277"/>
      <c r="FM34" s="277"/>
      <c r="FN34" s="277"/>
      <c r="FO34" s="277"/>
      <c r="FP34" s="277"/>
      <c r="FQ34" s="277"/>
      <c r="FR34" s="277"/>
      <c r="FS34" s="277"/>
      <c r="FT34" s="277"/>
      <c r="FU34" s="277"/>
      <c r="FV34" s="277"/>
      <c r="FW34" s="277"/>
      <c r="FX34" s="277"/>
      <c r="FY34" s="277"/>
      <c r="FZ34" s="277"/>
      <c r="GA34" s="277"/>
      <c r="GB34" s="277"/>
      <c r="GC34" s="277"/>
      <c r="GD34" s="277"/>
      <c r="GE34" s="277"/>
      <c r="GF34" s="277"/>
      <c r="GG34" s="277"/>
      <c r="GH34" s="277"/>
      <c r="GI34" s="277"/>
      <c r="GJ34" s="277"/>
      <c r="GK34" s="277"/>
      <c r="GL34" s="277"/>
      <c r="GM34" s="277"/>
      <c r="GN34" s="277"/>
      <c r="GO34" s="277"/>
      <c r="GP34" s="277"/>
      <c r="GQ34" s="277"/>
      <c r="GR34" s="277"/>
      <c r="GS34" s="277"/>
      <c r="GT34" s="277"/>
      <c r="GU34" s="277"/>
      <c r="GV34" s="277"/>
      <c r="GW34" s="277"/>
      <c r="GX34" s="277"/>
      <c r="GY34" s="277"/>
      <c r="GZ34" s="277"/>
      <c r="HA34" s="277"/>
      <c r="HB34" s="277"/>
      <c r="HC34" s="277"/>
      <c r="HD34" s="277"/>
      <c r="HE34" s="277"/>
      <c r="HF34" s="277"/>
      <c r="HG34" s="277"/>
      <c r="HH34" s="277"/>
      <c r="HI34" s="277"/>
      <c r="HJ34" s="277"/>
      <c r="HK34" s="277"/>
      <c r="HL34" s="277"/>
      <c r="HM34" s="277"/>
      <c r="HN34" s="277"/>
      <c r="HO34" s="277"/>
      <c r="HP34" s="277"/>
      <c r="HQ34" s="277"/>
      <c r="HR34" s="277"/>
      <c r="HS34" s="277"/>
      <c r="HT34" s="277"/>
      <c r="HU34" s="277"/>
      <c r="HV34" s="277"/>
      <c r="HW34" s="277"/>
      <c r="HX34" s="277"/>
    </row>
    <row r="35" spans="1:238" ht="13" x14ac:dyDescent="0.3">
      <c r="A35" s="368"/>
      <c r="B35" s="285" t="s">
        <v>258</v>
      </c>
      <c r="C35" s="298">
        <f>C$31*F49</f>
        <v>457694.33857691381</v>
      </c>
      <c r="D35" s="310">
        <f>D$31*G49</f>
        <v>18937.802581359607</v>
      </c>
      <c r="E35" s="291"/>
      <c r="F35" s="1020"/>
      <c r="G35" s="1021"/>
      <c r="H35" s="277"/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94"/>
      <c r="U35" s="294"/>
      <c r="V35" s="294"/>
      <c r="W35" s="294"/>
      <c r="X35" s="294"/>
      <c r="Y35" s="294"/>
      <c r="Z35" s="294"/>
      <c r="AA35" s="294"/>
      <c r="AB35" s="294"/>
      <c r="AC35" s="277"/>
      <c r="AD35" s="277"/>
      <c r="AE35" s="277"/>
      <c r="AF35" s="277"/>
      <c r="AG35" s="277"/>
      <c r="AH35" s="277"/>
      <c r="AI35" s="277"/>
      <c r="AJ35" s="277"/>
      <c r="AK35" s="277"/>
      <c r="AL35" s="277"/>
      <c r="AM35" s="277"/>
      <c r="AN35" s="277"/>
      <c r="AO35" s="277"/>
      <c r="AP35" s="277"/>
      <c r="AQ35" s="277"/>
      <c r="AR35" s="277"/>
      <c r="AS35" s="277"/>
      <c r="AT35" s="277"/>
      <c r="AU35" s="277"/>
      <c r="AV35" s="277"/>
      <c r="AW35" s="277"/>
      <c r="AX35" s="277"/>
      <c r="AY35" s="277"/>
      <c r="AZ35" s="277"/>
      <c r="BA35" s="277"/>
      <c r="BB35" s="277"/>
      <c r="BC35" s="277"/>
      <c r="BD35" s="277"/>
      <c r="BE35" s="277"/>
      <c r="BF35" s="277"/>
      <c r="BG35" s="277"/>
      <c r="BH35" s="277"/>
      <c r="BI35" s="277"/>
      <c r="BJ35" s="277"/>
      <c r="BK35" s="277"/>
      <c r="BL35" s="277"/>
      <c r="BM35" s="277"/>
      <c r="BN35" s="277"/>
      <c r="BO35" s="277"/>
      <c r="BP35" s="277"/>
      <c r="BQ35" s="277"/>
      <c r="BR35" s="277"/>
      <c r="BS35" s="277"/>
      <c r="BT35" s="277"/>
      <c r="BU35" s="277"/>
      <c r="BV35" s="277"/>
      <c r="BW35" s="277"/>
      <c r="BX35" s="277"/>
      <c r="BY35" s="277"/>
      <c r="BZ35" s="277"/>
      <c r="CA35" s="277"/>
      <c r="CB35" s="277"/>
      <c r="CC35" s="277"/>
      <c r="CD35" s="277"/>
      <c r="CE35" s="277"/>
      <c r="CF35" s="277"/>
      <c r="CG35" s="277"/>
      <c r="CH35" s="277"/>
      <c r="CI35" s="277"/>
      <c r="CJ35" s="277"/>
      <c r="CK35" s="277"/>
      <c r="CL35" s="277"/>
      <c r="CM35" s="277"/>
      <c r="CN35" s="277"/>
      <c r="CO35" s="277"/>
      <c r="CP35" s="277"/>
      <c r="CQ35" s="277"/>
      <c r="CR35" s="277"/>
      <c r="CS35" s="277"/>
      <c r="CT35" s="277"/>
      <c r="CU35" s="277"/>
      <c r="CV35" s="277"/>
      <c r="CW35" s="277"/>
      <c r="CX35" s="277"/>
      <c r="CY35" s="277"/>
      <c r="CZ35" s="277"/>
      <c r="DA35" s="277"/>
      <c r="DB35" s="277"/>
      <c r="DC35" s="277"/>
      <c r="DD35" s="277"/>
      <c r="DE35" s="277"/>
      <c r="DF35" s="277"/>
      <c r="DG35" s="277"/>
      <c r="DH35" s="277"/>
      <c r="DI35" s="277"/>
      <c r="DJ35" s="277"/>
      <c r="DK35" s="277"/>
      <c r="DL35" s="277"/>
      <c r="DM35" s="277"/>
      <c r="DN35" s="277"/>
      <c r="DO35" s="277"/>
      <c r="DP35" s="277"/>
      <c r="DQ35" s="277"/>
      <c r="DR35" s="277"/>
      <c r="DS35" s="277"/>
      <c r="DT35" s="277"/>
      <c r="DU35" s="277"/>
      <c r="DV35" s="277"/>
      <c r="DW35" s="277"/>
      <c r="DX35" s="277"/>
      <c r="DY35" s="277"/>
      <c r="DZ35" s="277"/>
      <c r="EA35" s="277"/>
      <c r="EB35" s="277"/>
      <c r="EC35" s="277"/>
      <c r="ED35" s="277"/>
      <c r="EE35" s="277"/>
      <c r="EF35" s="277"/>
      <c r="EG35" s="277"/>
      <c r="EH35" s="277"/>
      <c r="EI35" s="277"/>
      <c r="EJ35" s="277"/>
      <c r="EK35" s="277"/>
      <c r="EL35" s="277"/>
      <c r="EM35" s="277"/>
      <c r="EN35" s="277"/>
      <c r="EO35" s="277"/>
      <c r="EP35" s="277"/>
      <c r="EQ35" s="277"/>
      <c r="ER35" s="277"/>
      <c r="ES35" s="277"/>
      <c r="ET35" s="277"/>
      <c r="EU35" s="277"/>
      <c r="EV35" s="277"/>
      <c r="EW35" s="277"/>
      <c r="EX35" s="277"/>
      <c r="EY35" s="277"/>
      <c r="EZ35" s="277"/>
      <c r="FA35" s="277"/>
      <c r="FB35" s="277"/>
      <c r="FC35" s="277"/>
      <c r="FD35" s="277"/>
      <c r="FE35" s="277"/>
      <c r="FF35" s="277"/>
      <c r="FG35" s="277"/>
      <c r="FH35" s="277"/>
      <c r="FI35" s="277"/>
      <c r="FJ35" s="277"/>
      <c r="FK35" s="277"/>
      <c r="FL35" s="277"/>
      <c r="FM35" s="277"/>
      <c r="FN35" s="277"/>
      <c r="FO35" s="277"/>
      <c r="FP35" s="277"/>
      <c r="FQ35" s="277"/>
      <c r="FR35" s="277"/>
      <c r="FS35" s="277"/>
      <c r="FT35" s="277"/>
      <c r="FU35" s="277"/>
      <c r="FV35" s="277"/>
      <c r="FW35" s="277"/>
      <c r="FX35" s="277"/>
      <c r="FY35" s="277"/>
      <c r="FZ35" s="277"/>
      <c r="GA35" s="277"/>
      <c r="GB35" s="277"/>
      <c r="GC35" s="277"/>
      <c r="GD35" s="277"/>
      <c r="GE35" s="277"/>
      <c r="GF35" s="277"/>
      <c r="GG35" s="277"/>
      <c r="GH35" s="277"/>
      <c r="GI35" s="277"/>
      <c r="GJ35" s="277"/>
      <c r="GK35" s="277"/>
      <c r="GL35" s="277"/>
      <c r="GM35" s="277"/>
      <c r="GN35" s="277"/>
      <c r="GO35" s="277"/>
      <c r="GP35" s="277"/>
      <c r="GQ35" s="277"/>
      <c r="GR35" s="277"/>
      <c r="GS35" s="277"/>
      <c r="GT35" s="277"/>
      <c r="GU35" s="277"/>
      <c r="GV35" s="277"/>
      <c r="GW35" s="277"/>
      <c r="GX35" s="277"/>
      <c r="GY35" s="277"/>
      <c r="GZ35" s="277"/>
      <c r="HA35" s="277"/>
      <c r="HB35" s="277"/>
      <c r="HC35" s="277"/>
      <c r="HD35" s="277"/>
      <c r="HE35" s="277"/>
      <c r="HF35" s="277"/>
      <c r="HG35" s="277"/>
      <c r="HH35" s="277"/>
      <c r="HI35" s="277"/>
      <c r="HJ35" s="277"/>
      <c r="HK35" s="277"/>
      <c r="HL35" s="277"/>
      <c r="HM35" s="277"/>
      <c r="HN35" s="277"/>
      <c r="HO35" s="277"/>
      <c r="HP35" s="277"/>
      <c r="HQ35" s="277"/>
      <c r="HR35" s="277"/>
      <c r="HS35" s="277"/>
      <c r="HT35" s="277"/>
      <c r="HU35" s="277"/>
      <c r="HV35" s="277"/>
      <c r="HW35" s="277"/>
      <c r="HX35" s="277"/>
      <c r="HY35" s="277"/>
    </row>
    <row r="36" spans="1:238" ht="13" x14ac:dyDescent="0.3">
      <c r="A36" s="368"/>
      <c r="B36" s="457" t="s">
        <v>624</v>
      </c>
      <c r="C36" s="458">
        <f>$C$21*('Primary Sources'!K$36-1.78*2.5)</f>
        <v>0</v>
      </c>
      <c r="D36" s="458">
        <f>$C$21*('Primary Sources'!L$36-1.78)</f>
        <v>0</v>
      </c>
      <c r="E36" s="459"/>
      <c r="F36" s="277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94"/>
      <c r="U36" s="294"/>
      <c r="V36" s="294"/>
      <c r="W36" s="294"/>
      <c r="X36" s="294"/>
      <c r="Y36" s="294"/>
      <c r="Z36" s="294"/>
      <c r="AA36" s="294"/>
      <c r="AB36" s="294"/>
      <c r="AC36" s="277"/>
      <c r="AD36" s="277"/>
      <c r="AE36" s="277"/>
      <c r="AF36" s="277"/>
      <c r="AG36" s="277"/>
      <c r="AH36" s="277"/>
      <c r="AI36" s="277"/>
      <c r="AJ36" s="277"/>
      <c r="AK36" s="277"/>
      <c r="AL36" s="277"/>
      <c r="AM36" s="277"/>
      <c r="AN36" s="277"/>
      <c r="AO36" s="277"/>
      <c r="AP36" s="277"/>
      <c r="AQ36" s="277"/>
      <c r="AR36" s="277"/>
      <c r="AS36" s="277"/>
      <c r="AT36" s="277"/>
      <c r="AU36" s="277"/>
      <c r="AV36" s="277"/>
      <c r="AW36" s="277"/>
      <c r="AX36" s="277"/>
      <c r="AY36" s="277"/>
      <c r="AZ36" s="277"/>
      <c r="BA36" s="277"/>
      <c r="BB36" s="277"/>
      <c r="BC36" s="277"/>
      <c r="BD36" s="277"/>
      <c r="BE36" s="277"/>
      <c r="BF36" s="277"/>
      <c r="BG36" s="277"/>
      <c r="BH36" s="277"/>
      <c r="BI36" s="277"/>
      <c r="BJ36" s="277"/>
      <c r="BK36" s="277"/>
      <c r="BL36" s="277"/>
      <c r="BM36" s="277"/>
      <c r="BN36" s="277"/>
      <c r="BO36" s="277"/>
      <c r="BP36" s="277"/>
      <c r="BQ36" s="277"/>
      <c r="BR36" s="277"/>
      <c r="BS36" s="277"/>
      <c r="BT36" s="277"/>
      <c r="BU36" s="277"/>
      <c r="BV36" s="277"/>
      <c r="BW36" s="277"/>
      <c r="BX36" s="277"/>
      <c r="BY36" s="277"/>
      <c r="BZ36" s="277"/>
      <c r="CA36" s="277"/>
      <c r="CB36" s="277"/>
      <c r="CC36" s="277"/>
      <c r="CD36" s="277"/>
      <c r="CE36" s="277"/>
      <c r="CF36" s="277"/>
      <c r="CG36" s="277"/>
      <c r="CH36" s="277"/>
      <c r="CI36" s="277"/>
      <c r="CJ36" s="277"/>
      <c r="CK36" s="277"/>
      <c r="CL36" s="277"/>
      <c r="CM36" s="277"/>
      <c r="CN36" s="277"/>
      <c r="CO36" s="277"/>
      <c r="CP36" s="277"/>
      <c r="CQ36" s="277"/>
      <c r="CR36" s="277"/>
      <c r="CS36" s="277"/>
      <c r="CT36" s="277"/>
      <c r="CU36" s="277"/>
      <c r="CV36" s="277"/>
      <c r="CW36" s="277"/>
      <c r="CX36" s="277"/>
      <c r="CY36" s="277"/>
      <c r="CZ36" s="277"/>
      <c r="DA36" s="277"/>
      <c r="DB36" s="277"/>
      <c r="DC36" s="277"/>
      <c r="DD36" s="277"/>
      <c r="DE36" s="277"/>
      <c r="DF36" s="277"/>
      <c r="DG36" s="277"/>
      <c r="DH36" s="277"/>
      <c r="DI36" s="277"/>
      <c r="DJ36" s="277"/>
      <c r="DK36" s="277"/>
      <c r="DL36" s="277"/>
      <c r="DM36" s="277"/>
      <c r="DN36" s="277"/>
      <c r="DO36" s="277"/>
      <c r="DP36" s="277"/>
      <c r="DQ36" s="277"/>
      <c r="DR36" s="277"/>
      <c r="DS36" s="277"/>
      <c r="DT36" s="277"/>
      <c r="DU36" s="277"/>
      <c r="DV36" s="277"/>
      <c r="DW36" s="277"/>
      <c r="DX36" s="277"/>
      <c r="DY36" s="277"/>
      <c r="DZ36" s="277"/>
      <c r="EA36" s="277"/>
      <c r="EB36" s="277"/>
      <c r="EC36" s="277"/>
      <c r="ED36" s="277"/>
      <c r="EE36" s="277"/>
      <c r="EF36" s="277"/>
      <c r="EG36" s="277"/>
      <c r="EH36" s="277"/>
      <c r="EI36" s="277"/>
      <c r="EJ36" s="277"/>
      <c r="EK36" s="277"/>
      <c r="EL36" s="277"/>
      <c r="EM36" s="277"/>
      <c r="EN36" s="277"/>
      <c r="EO36" s="277"/>
      <c r="EP36" s="277"/>
      <c r="EQ36" s="277"/>
      <c r="ER36" s="277"/>
      <c r="ES36" s="277"/>
      <c r="ET36" s="277"/>
      <c r="EU36" s="277"/>
      <c r="EV36" s="277"/>
      <c r="EW36" s="277"/>
      <c r="EX36" s="277"/>
      <c r="EY36" s="277"/>
      <c r="EZ36" s="277"/>
      <c r="FA36" s="277"/>
      <c r="FB36" s="277"/>
      <c r="FC36" s="277"/>
      <c r="FD36" s="277"/>
      <c r="FE36" s="277"/>
      <c r="FF36" s="277"/>
      <c r="FG36" s="277"/>
      <c r="FH36" s="277"/>
      <c r="FI36" s="277"/>
      <c r="FJ36" s="277"/>
      <c r="FK36" s="277"/>
      <c r="FL36" s="277"/>
      <c r="FM36" s="277"/>
      <c r="FN36" s="277"/>
      <c r="FO36" s="277"/>
      <c r="FP36" s="277"/>
      <c r="FQ36" s="277"/>
      <c r="FR36" s="277"/>
      <c r="FS36" s="277"/>
      <c r="FT36" s="277"/>
      <c r="FU36" s="277"/>
      <c r="FV36" s="277"/>
      <c r="FW36" s="277"/>
      <c r="FX36" s="277"/>
      <c r="FY36" s="277"/>
      <c r="FZ36" s="277"/>
      <c r="GA36" s="277"/>
      <c r="GB36" s="277"/>
      <c r="GC36" s="277"/>
      <c r="GD36" s="277"/>
      <c r="GE36" s="277"/>
      <c r="GF36" s="277"/>
      <c r="GG36" s="277"/>
      <c r="GH36" s="277"/>
      <c r="GI36" s="277"/>
      <c r="GJ36" s="277"/>
      <c r="GK36" s="277"/>
      <c r="GL36" s="277"/>
      <c r="GM36" s="277"/>
      <c r="GN36" s="277"/>
      <c r="GO36" s="277"/>
      <c r="GP36" s="277"/>
      <c r="GQ36" s="277"/>
      <c r="GR36" s="277"/>
      <c r="GS36" s="277"/>
      <c r="GT36" s="277"/>
      <c r="GU36" s="277"/>
      <c r="GV36" s="277"/>
      <c r="GW36" s="277"/>
      <c r="GX36" s="277"/>
      <c r="GY36" s="277"/>
      <c r="GZ36" s="277"/>
      <c r="HA36" s="277"/>
      <c r="HB36" s="277"/>
      <c r="HC36" s="277"/>
      <c r="HD36" s="277"/>
      <c r="HE36" s="277"/>
      <c r="HF36" s="277"/>
      <c r="HG36" s="277"/>
      <c r="HH36" s="277"/>
      <c r="HI36" s="277"/>
      <c r="HJ36" s="277"/>
      <c r="HK36" s="277"/>
      <c r="HL36" s="277"/>
      <c r="HM36" s="277"/>
      <c r="HN36" s="277"/>
      <c r="HO36" s="277"/>
      <c r="HP36" s="277"/>
      <c r="HQ36" s="277"/>
      <c r="HR36" s="277"/>
      <c r="HS36" s="277"/>
      <c r="HT36" s="277"/>
      <c r="HU36" s="277"/>
      <c r="HV36" s="277"/>
      <c r="HW36" s="277"/>
      <c r="HX36" s="277"/>
      <c r="HY36" s="277"/>
    </row>
    <row r="37" spans="1:238" ht="13.5" thickBot="1" x14ac:dyDescent="0.35">
      <c r="A37" s="368"/>
      <c r="B37" s="301" t="s">
        <v>41</v>
      </c>
      <c r="C37" s="302">
        <f>SUM(C34:C35)</f>
        <v>478145.47245564754</v>
      </c>
      <c r="D37" s="302">
        <f>SUM(D34:D35)</f>
        <v>22129.955964354682</v>
      </c>
      <c r="E37" s="304"/>
      <c r="F37" s="277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94"/>
      <c r="U37" s="294"/>
      <c r="V37" s="294"/>
      <c r="W37" s="294"/>
      <c r="X37" s="294"/>
      <c r="Y37" s="294"/>
      <c r="Z37" s="294"/>
      <c r="AA37" s="294"/>
      <c r="AB37" s="294"/>
      <c r="AC37" s="277"/>
      <c r="AD37" s="277"/>
      <c r="AE37" s="277"/>
      <c r="AF37" s="277"/>
      <c r="AG37" s="277"/>
      <c r="AH37" s="277"/>
      <c r="AI37" s="277"/>
      <c r="AJ37" s="277"/>
      <c r="AK37" s="277"/>
      <c r="AL37" s="277"/>
      <c r="AM37" s="277"/>
      <c r="AN37" s="277"/>
      <c r="AO37" s="277"/>
      <c r="AP37" s="277"/>
      <c r="AQ37" s="277"/>
      <c r="AR37" s="277"/>
      <c r="AS37" s="277"/>
      <c r="AT37" s="277"/>
      <c r="AU37" s="277"/>
      <c r="AV37" s="277"/>
      <c r="AW37" s="277"/>
      <c r="AX37" s="277"/>
      <c r="AY37" s="277"/>
      <c r="AZ37" s="277"/>
      <c r="BA37" s="277"/>
      <c r="BB37" s="277"/>
      <c r="BC37" s="277"/>
      <c r="BD37" s="277"/>
      <c r="BE37" s="277"/>
      <c r="BF37" s="277"/>
      <c r="BG37" s="277"/>
      <c r="BH37" s="277"/>
      <c r="BI37" s="277"/>
      <c r="BJ37" s="277"/>
      <c r="BK37" s="277"/>
      <c r="BL37" s="277"/>
      <c r="BM37" s="277"/>
      <c r="BN37" s="277"/>
      <c r="BO37" s="277"/>
      <c r="BP37" s="277"/>
      <c r="BQ37" s="277"/>
      <c r="BR37" s="277"/>
      <c r="BS37" s="277"/>
      <c r="BT37" s="277"/>
      <c r="BU37" s="277"/>
      <c r="BV37" s="277"/>
      <c r="BW37" s="277"/>
      <c r="BX37" s="277"/>
      <c r="BY37" s="277"/>
      <c r="BZ37" s="277"/>
      <c r="CA37" s="277"/>
      <c r="CB37" s="277"/>
      <c r="CC37" s="277"/>
      <c r="CD37" s="277"/>
      <c r="CE37" s="277"/>
      <c r="CF37" s="277"/>
      <c r="CG37" s="277"/>
      <c r="CH37" s="277"/>
      <c r="CI37" s="277"/>
      <c r="CJ37" s="277"/>
      <c r="CK37" s="277"/>
      <c r="CL37" s="277"/>
      <c r="CM37" s="277"/>
      <c r="CN37" s="277"/>
      <c r="CO37" s="277"/>
      <c r="CP37" s="277"/>
      <c r="CQ37" s="277"/>
      <c r="CR37" s="277"/>
      <c r="CS37" s="277"/>
      <c r="CT37" s="277"/>
      <c r="CU37" s="277"/>
      <c r="CV37" s="277"/>
      <c r="CW37" s="277"/>
      <c r="CX37" s="277"/>
      <c r="CY37" s="277"/>
      <c r="CZ37" s="277"/>
      <c r="DA37" s="277"/>
      <c r="DB37" s="277"/>
      <c r="DC37" s="277"/>
      <c r="DD37" s="277"/>
      <c r="DE37" s="277"/>
      <c r="DF37" s="277"/>
      <c r="DG37" s="277"/>
      <c r="DH37" s="277"/>
      <c r="DI37" s="277"/>
      <c r="DJ37" s="277"/>
      <c r="DK37" s="277"/>
      <c r="DL37" s="277"/>
      <c r="DM37" s="277"/>
      <c r="DN37" s="277"/>
      <c r="DO37" s="277"/>
      <c r="DP37" s="277"/>
      <c r="DQ37" s="277"/>
      <c r="DR37" s="277"/>
      <c r="DS37" s="277"/>
      <c r="DT37" s="277"/>
      <c r="DU37" s="277"/>
      <c r="DV37" s="277"/>
      <c r="DW37" s="277"/>
      <c r="DX37" s="277"/>
      <c r="DY37" s="277"/>
      <c r="DZ37" s="277"/>
      <c r="EA37" s="277"/>
      <c r="EB37" s="277"/>
      <c r="EC37" s="277"/>
      <c r="ED37" s="277"/>
      <c r="EE37" s="277"/>
      <c r="EF37" s="277"/>
      <c r="EG37" s="277"/>
      <c r="EH37" s="277"/>
      <c r="EI37" s="277"/>
      <c r="EJ37" s="277"/>
      <c r="EK37" s="277"/>
      <c r="EL37" s="277"/>
      <c r="EM37" s="277"/>
      <c r="EN37" s="277"/>
      <c r="EO37" s="277"/>
      <c r="EP37" s="277"/>
      <c r="EQ37" s="277"/>
      <c r="ER37" s="277"/>
      <c r="ES37" s="277"/>
      <c r="ET37" s="277"/>
      <c r="EU37" s="277"/>
      <c r="EV37" s="277"/>
      <c r="EW37" s="277"/>
      <c r="EX37" s="277"/>
      <c r="EY37" s="277"/>
      <c r="EZ37" s="277"/>
      <c r="FA37" s="277"/>
      <c r="FB37" s="277"/>
      <c r="FC37" s="277"/>
      <c r="FD37" s="277"/>
      <c r="FE37" s="277"/>
      <c r="FF37" s="277"/>
      <c r="FG37" s="277"/>
      <c r="FH37" s="277"/>
      <c r="FI37" s="277"/>
      <c r="FJ37" s="277"/>
      <c r="FK37" s="277"/>
      <c r="FL37" s="277"/>
      <c r="FM37" s="277"/>
      <c r="FN37" s="277"/>
      <c r="FO37" s="277"/>
      <c r="FP37" s="277"/>
      <c r="FQ37" s="277"/>
      <c r="FR37" s="277"/>
      <c r="FS37" s="277"/>
      <c r="FT37" s="277"/>
      <c r="FU37" s="277"/>
      <c r="FV37" s="277"/>
      <c r="FW37" s="277"/>
      <c r="FX37" s="277"/>
      <c r="FY37" s="277"/>
      <c r="FZ37" s="277"/>
      <c r="GA37" s="277"/>
      <c r="GB37" s="277"/>
      <c r="GC37" s="277"/>
      <c r="GD37" s="277"/>
      <c r="GE37" s="277"/>
      <c r="GF37" s="277"/>
      <c r="GG37" s="277"/>
      <c r="GH37" s="277"/>
      <c r="GI37" s="277"/>
      <c r="GJ37" s="277"/>
      <c r="GK37" s="277"/>
      <c r="GL37" s="277"/>
      <c r="GM37" s="277"/>
      <c r="GN37" s="277"/>
      <c r="GO37" s="277"/>
      <c r="GP37" s="277"/>
      <c r="GQ37" s="277"/>
      <c r="GR37" s="277"/>
      <c r="GS37" s="277"/>
      <c r="GT37" s="277"/>
      <c r="GU37" s="277"/>
      <c r="GV37" s="277"/>
      <c r="GW37" s="277"/>
      <c r="GX37" s="277"/>
      <c r="GY37" s="277"/>
      <c r="GZ37" s="277"/>
      <c r="HA37" s="277"/>
      <c r="HB37" s="277"/>
      <c r="HC37" s="277"/>
      <c r="HD37" s="277"/>
      <c r="HE37" s="277"/>
      <c r="HF37" s="277"/>
      <c r="HG37" s="277"/>
      <c r="HH37" s="277"/>
      <c r="HI37" s="277"/>
      <c r="HJ37" s="277"/>
      <c r="HK37" s="277"/>
      <c r="HL37" s="277"/>
      <c r="HM37" s="277"/>
      <c r="HN37" s="277"/>
      <c r="HO37" s="277"/>
      <c r="HP37" s="277"/>
      <c r="HQ37" s="277"/>
      <c r="HR37" s="277"/>
      <c r="HS37" s="277"/>
      <c r="HT37" s="277"/>
      <c r="HU37" s="277"/>
      <c r="HV37" s="277"/>
      <c r="HW37" s="277"/>
      <c r="HX37" s="277"/>
      <c r="HY37" s="277"/>
      <c r="HZ37" s="277"/>
    </row>
    <row r="38" spans="1:238" ht="13.5" thickTop="1" x14ac:dyDescent="0.3">
      <c r="A38" s="368"/>
      <c r="B38" s="326"/>
      <c r="C38" s="326"/>
      <c r="D38" s="326"/>
      <c r="E38" s="177"/>
      <c r="F38" s="277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94"/>
      <c r="U38" s="294"/>
      <c r="V38" s="294"/>
      <c r="W38" s="294"/>
      <c r="X38" s="294"/>
      <c r="Y38" s="294"/>
      <c r="Z38" s="294"/>
      <c r="AA38" s="294"/>
      <c r="AB38" s="294"/>
      <c r="AC38" s="277"/>
      <c r="AD38" s="277"/>
      <c r="AE38" s="277"/>
      <c r="AF38" s="277"/>
      <c r="AG38" s="277"/>
      <c r="AH38" s="277"/>
      <c r="AI38" s="277"/>
      <c r="AJ38" s="277"/>
      <c r="AK38" s="277"/>
      <c r="AL38" s="277"/>
      <c r="AM38" s="277"/>
      <c r="AN38" s="277"/>
      <c r="AO38" s="277"/>
      <c r="AP38" s="277"/>
      <c r="AQ38" s="277"/>
      <c r="AR38" s="277"/>
      <c r="AS38" s="277"/>
      <c r="AT38" s="277"/>
      <c r="AU38" s="277"/>
      <c r="AV38" s="277"/>
      <c r="AW38" s="277"/>
      <c r="AX38" s="277"/>
      <c r="AY38" s="277"/>
      <c r="AZ38" s="277"/>
      <c r="BA38" s="277"/>
      <c r="BB38" s="277"/>
      <c r="BC38" s="277"/>
      <c r="BD38" s="277"/>
      <c r="BE38" s="277"/>
      <c r="BF38" s="277"/>
      <c r="BG38" s="277"/>
      <c r="BH38" s="277"/>
      <c r="BI38" s="277"/>
      <c r="BJ38" s="277"/>
      <c r="BK38" s="277"/>
      <c r="BL38" s="277"/>
      <c r="BM38" s="277"/>
      <c r="BN38" s="277"/>
      <c r="BO38" s="277"/>
      <c r="BP38" s="277"/>
      <c r="BQ38" s="277"/>
      <c r="BR38" s="277"/>
      <c r="BS38" s="277"/>
      <c r="BT38" s="277"/>
      <c r="BU38" s="277"/>
      <c r="BV38" s="277"/>
      <c r="BW38" s="277"/>
      <c r="BX38" s="277"/>
      <c r="BY38" s="277"/>
      <c r="BZ38" s="277"/>
      <c r="CA38" s="277"/>
      <c r="CB38" s="277"/>
      <c r="CC38" s="277"/>
      <c r="CD38" s="277"/>
      <c r="CE38" s="277"/>
      <c r="CF38" s="277"/>
      <c r="CG38" s="277"/>
      <c r="CH38" s="277"/>
      <c r="CI38" s="277"/>
      <c r="CJ38" s="277"/>
      <c r="CK38" s="277"/>
      <c r="CL38" s="277"/>
      <c r="CM38" s="277"/>
      <c r="CN38" s="277"/>
      <c r="CO38" s="277"/>
      <c r="CP38" s="277"/>
      <c r="CQ38" s="277"/>
      <c r="CR38" s="277"/>
      <c r="CS38" s="277"/>
      <c r="CT38" s="277"/>
      <c r="CU38" s="277"/>
      <c r="CV38" s="277"/>
      <c r="CW38" s="277"/>
      <c r="CX38" s="277"/>
      <c r="CY38" s="277"/>
      <c r="CZ38" s="277"/>
      <c r="DA38" s="277"/>
      <c r="DB38" s="277"/>
      <c r="DC38" s="277"/>
      <c r="DD38" s="277"/>
      <c r="DE38" s="277"/>
      <c r="DF38" s="277"/>
      <c r="DG38" s="277"/>
      <c r="DH38" s="277"/>
      <c r="DI38" s="277"/>
      <c r="DJ38" s="277"/>
      <c r="DK38" s="277"/>
      <c r="DL38" s="277"/>
      <c r="DM38" s="277"/>
      <c r="DN38" s="277"/>
      <c r="DO38" s="277"/>
      <c r="DP38" s="277"/>
      <c r="DQ38" s="277"/>
      <c r="DR38" s="277"/>
      <c r="DS38" s="277"/>
      <c r="DT38" s="277"/>
      <c r="DU38" s="277"/>
      <c r="DV38" s="277"/>
      <c r="DW38" s="277"/>
      <c r="DX38" s="277"/>
      <c r="DY38" s="277"/>
      <c r="DZ38" s="277"/>
      <c r="EA38" s="277"/>
      <c r="EB38" s="277"/>
      <c r="EC38" s="277"/>
      <c r="ED38" s="277"/>
      <c r="EE38" s="277"/>
      <c r="EF38" s="277"/>
      <c r="EG38" s="277"/>
      <c r="EH38" s="277"/>
      <c r="EI38" s="277"/>
      <c r="EJ38" s="277"/>
      <c r="EK38" s="277"/>
      <c r="EL38" s="277"/>
      <c r="EM38" s="277"/>
      <c r="EN38" s="277"/>
      <c r="EO38" s="277"/>
      <c r="EP38" s="277"/>
      <c r="EQ38" s="277"/>
      <c r="ER38" s="277"/>
      <c r="ES38" s="277"/>
      <c r="ET38" s="277"/>
      <c r="EU38" s="277"/>
      <c r="EV38" s="277"/>
      <c r="EW38" s="277"/>
      <c r="EX38" s="277"/>
      <c r="EY38" s="277"/>
      <c r="EZ38" s="277"/>
      <c r="FA38" s="277"/>
      <c r="FB38" s="277"/>
      <c r="FC38" s="277"/>
      <c r="FD38" s="277"/>
      <c r="FE38" s="277"/>
      <c r="FF38" s="277"/>
      <c r="FG38" s="277"/>
      <c r="FH38" s="277"/>
      <c r="FI38" s="277"/>
      <c r="FJ38" s="277"/>
      <c r="FK38" s="277"/>
      <c r="FL38" s="277"/>
      <c r="FM38" s="277"/>
      <c r="FN38" s="277"/>
      <c r="FO38" s="277"/>
      <c r="FP38" s="277"/>
      <c r="FQ38" s="277"/>
      <c r="FR38" s="277"/>
      <c r="FS38" s="277"/>
      <c r="FT38" s="277"/>
      <c r="FU38" s="277"/>
      <c r="FV38" s="277"/>
      <c r="FW38" s="277"/>
      <c r="FX38" s="277"/>
      <c r="FY38" s="277"/>
      <c r="FZ38" s="277"/>
      <c r="GA38" s="277"/>
      <c r="GB38" s="277"/>
      <c r="GC38" s="277"/>
      <c r="GD38" s="277"/>
      <c r="GE38" s="277"/>
      <c r="GF38" s="277"/>
      <c r="GG38" s="277"/>
      <c r="GH38" s="277"/>
      <c r="GI38" s="277"/>
      <c r="GJ38" s="277"/>
      <c r="GK38" s="277"/>
      <c r="GL38" s="277"/>
      <c r="GM38" s="277"/>
      <c r="GN38" s="277"/>
      <c r="GO38" s="277"/>
      <c r="GP38" s="277"/>
      <c r="GQ38" s="277"/>
      <c r="GR38" s="277"/>
      <c r="GS38" s="277"/>
      <c r="GT38" s="277"/>
      <c r="GU38" s="277"/>
      <c r="GV38" s="277"/>
      <c r="GW38" s="277"/>
      <c r="GX38" s="277"/>
      <c r="GY38" s="277"/>
      <c r="GZ38" s="277"/>
      <c r="HA38" s="277"/>
      <c r="HB38" s="277"/>
      <c r="HC38" s="277"/>
      <c r="HD38" s="277"/>
      <c r="HE38" s="277"/>
      <c r="HF38" s="277"/>
      <c r="HG38" s="277"/>
      <c r="HH38" s="277"/>
      <c r="HI38" s="277"/>
      <c r="HJ38" s="277"/>
      <c r="HK38" s="277"/>
      <c r="HL38" s="277"/>
      <c r="HM38" s="277"/>
      <c r="HN38" s="277"/>
      <c r="HO38" s="277"/>
      <c r="HP38" s="277"/>
      <c r="HQ38" s="277"/>
      <c r="HR38" s="277"/>
      <c r="HS38" s="277"/>
      <c r="HT38" s="277"/>
      <c r="HU38" s="277"/>
      <c r="HV38" s="277"/>
      <c r="HW38" s="277"/>
      <c r="HX38" s="277"/>
      <c r="HY38" s="277"/>
      <c r="HZ38" s="277"/>
    </row>
    <row r="39" spans="1:238" ht="13.5" hidden="1" thickBot="1" x14ac:dyDescent="0.35">
      <c r="A39" s="368"/>
      <c r="B39" s="277"/>
      <c r="C39" s="277"/>
      <c r="E39" s="277"/>
      <c r="F39" s="277"/>
      <c r="G39" s="16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94"/>
      <c r="U39" s="294"/>
      <c r="V39" s="294"/>
      <c r="W39" s="294"/>
      <c r="X39" s="294"/>
      <c r="Y39" s="294"/>
      <c r="Z39" s="294"/>
      <c r="AA39" s="294"/>
      <c r="AB39" s="294"/>
      <c r="AC39" s="277"/>
      <c r="AD39" s="277"/>
      <c r="AE39" s="277"/>
      <c r="AF39" s="277"/>
      <c r="AG39" s="277"/>
      <c r="AH39" s="277"/>
      <c r="AI39" s="277"/>
      <c r="AJ39" s="277"/>
      <c r="AK39" s="277"/>
      <c r="AL39" s="277"/>
      <c r="AM39" s="277"/>
      <c r="AN39" s="277"/>
      <c r="AO39" s="277"/>
      <c r="AP39" s="277"/>
      <c r="AQ39" s="277"/>
      <c r="AR39" s="277"/>
      <c r="AS39" s="277"/>
      <c r="AT39" s="277"/>
      <c r="AU39" s="277"/>
      <c r="AV39" s="277"/>
      <c r="AW39" s="277"/>
      <c r="AX39" s="277"/>
      <c r="AY39" s="277"/>
      <c r="AZ39" s="277"/>
      <c r="BA39" s="277"/>
      <c r="BB39" s="277"/>
      <c r="BC39" s="277"/>
      <c r="BD39" s="277"/>
      <c r="BE39" s="277"/>
      <c r="BF39" s="277"/>
      <c r="BG39" s="277"/>
      <c r="BH39" s="277"/>
      <c r="BI39" s="277"/>
      <c r="BJ39" s="277"/>
      <c r="BK39" s="277"/>
      <c r="BL39" s="277"/>
      <c r="BM39" s="277"/>
      <c r="BN39" s="277"/>
      <c r="BO39" s="277"/>
      <c r="BP39" s="277"/>
      <c r="BQ39" s="277"/>
      <c r="BR39" s="277"/>
      <c r="BS39" s="277"/>
      <c r="BT39" s="277"/>
      <c r="BU39" s="277"/>
      <c r="BV39" s="277"/>
      <c r="BW39" s="277"/>
      <c r="BX39" s="277"/>
      <c r="BY39" s="277"/>
      <c r="BZ39" s="277"/>
      <c r="CA39" s="277"/>
      <c r="CB39" s="277"/>
      <c r="CC39" s="277"/>
      <c r="CD39" s="277"/>
      <c r="CE39" s="277"/>
      <c r="CF39" s="277"/>
      <c r="CG39" s="277"/>
      <c r="CH39" s="277"/>
      <c r="CI39" s="277"/>
      <c r="CJ39" s="277"/>
      <c r="CK39" s="277"/>
      <c r="CL39" s="277"/>
      <c r="CM39" s="277"/>
      <c r="CN39" s="277"/>
      <c r="CO39" s="277"/>
      <c r="CP39" s="277"/>
      <c r="CQ39" s="277"/>
      <c r="CR39" s="277"/>
      <c r="CS39" s="277"/>
      <c r="CT39" s="277"/>
      <c r="CU39" s="277"/>
      <c r="CV39" s="277"/>
      <c r="CW39" s="277"/>
      <c r="CX39" s="277"/>
      <c r="CY39" s="277"/>
      <c r="CZ39" s="277"/>
      <c r="DA39" s="277"/>
      <c r="DB39" s="277"/>
      <c r="DC39" s="277"/>
      <c r="DD39" s="277"/>
      <c r="DE39" s="277"/>
      <c r="DF39" s="277"/>
      <c r="DG39" s="277"/>
      <c r="DH39" s="277"/>
      <c r="DI39" s="277"/>
      <c r="DJ39" s="277"/>
      <c r="DK39" s="277"/>
      <c r="DL39" s="277"/>
      <c r="DM39" s="277"/>
      <c r="DN39" s="277"/>
      <c r="DO39" s="277"/>
      <c r="DP39" s="277"/>
      <c r="DQ39" s="277"/>
      <c r="DR39" s="277"/>
      <c r="DS39" s="277"/>
      <c r="DT39" s="277"/>
      <c r="DU39" s="277"/>
      <c r="DV39" s="277"/>
      <c r="DW39" s="277"/>
      <c r="DX39" s="277"/>
      <c r="DY39" s="277"/>
      <c r="DZ39" s="277"/>
      <c r="EA39" s="277"/>
      <c r="EB39" s="277"/>
      <c r="EC39" s="277"/>
      <c r="ED39" s="277"/>
      <c r="EE39" s="277"/>
      <c r="EF39" s="277"/>
      <c r="EG39" s="277"/>
      <c r="EH39" s="277"/>
      <c r="EI39" s="277"/>
      <c r="EJ39" s="277"/>
      <c r="EK39" s="277"/>
      <c r="EL39" s="277"/>
      <c r="EM39" s="277"/>
      <c r="EN39" s="277"/>
      <c r="EO39" s="277"/>
      <c r="EP39" s="277"/>
      <c r="EQ39" s="277"/>
      <c r="ER39" s="277"/>
      <c r="ES39" s="277"/>
      <c r="ET39" s="277"/>
      <c r="EU39" s="277"/>
      <c r="EV39" s="277"/>
      <c r="EW39" s="277"/>
      <c r="EX39" s="277"/>
      <c r="EY39" s="277"/>
      <c r="EZ39" s="277"/>
      <c r="FA39" s="277"/>
      <c r="FB39" s="277"/>
      <c r="FC39" s="277"/>
      <c r="FD39" s="277"/>
      <c r="FE39" s="277"/>
      <c r="FF39" s="277"/>
      <c r="FG39" s="277"/>
      <c r="FH39" s="277"/>
      <c r="FI39" s="277"/>
      <c r="FJ39" s="277"/>
      <c r="FK39" s="277"/>
      <c r="FL39" s="277"/>
      <c r="FM39" s="277"/>
      <c r="FN39" s="277"/>
      <c r="FO39" s="277"/>
      <c r="FP39" s="277"/>
      <c r="FQ39" s="277"/>
      <c r="FR39" s="277"/>
      <c r="FS39" s="277"/>
      <c r="FT39" s="277"/>
      <c r="FU39" s="277"/>
      <c r="FV39" s="277"/>
      <c r="FW39" s="277"/>
      <c r="FX39" s="277"/>
      <c r="FY39" s="277"/>
      <c r="FZ39" s="277"/>
      <c r="GA39" s="277"/>
      <c r="GB39" s="277"/>
      <c r="GC39" s="277"/>
      <c r="GD39" s="277"/>
      <c r="GE39" s="277"/>
      <c r="GF39" s="277"/>
      <c r="GG39" s="277"/>
      <c r="GH39" s="277"/>
      <c r="GI39" s="277"/>
      <c r="GJ39" s="277"/>
      <c r="GK39" s="277"/>
      <c r="GL39" s="277"/>
      <c r="GM39" s="277"/>
      <c r="GN39" s="277"/>
      <c r="GO39" s="277"/>
      <c r="GP39" s="277"/>
      <c r="GQ39" s="277"/>
      <c r="GR39" s="277"/>
      <c r="GS39" s="277"/>
      <c r="GT39" s="277"/>
      <c r="GU39" s="277"/>
      <c r="GV39" s="277"/>
      <c r="GW39" s="277"/>
      <c r="GX39" s="277"/>
      <c r="GY39" s="277"/>
      <c r="GZ39" s="277"/>
      <c r="HA39" s="277"/>
      <c r="HB39" s="277"/>
      <c r="HC39" s="277"/>
      <c r="HD39" s="277"/>
      <c r="HE39" s="277"/>
      <c r="HF39" s="277"/>
      <c r="HG39" s="277"/>
      <c r="HH39" s="277"/>
      <c r="HI39" s="277"/>
      <c r="HJ39" s="277"/>
      <c r="HK39" s="277"/>
      <c r="HL39" s="277"/>
      <c r="HM39" s="277"/>
      <c r="HN39" s="277"/>
      <c r="HO39" s="277"/>
      <c r="HP39" s="277"/>
      <c r="HQ39" s="277"/>
      <c r="HR39" s="277"/>
      <c r="HS39" s="277"/>
      <c r="HT39" s="277"/>
      <c r="HU39" s="277"/>
      <c r="HV39" s="277"/>
      <c r="HW39" s="277"/>
      <c r="HX39" s="277"/>
      <c r="HY39" s="277"/>
      <c r="HZ39" s="277"/>
      <c r="IA39" s="277"/>
      <c r="IB39" s="277"/>
      <c r="IC39" s="277"/>
    </row>
    <row r="40" spans="1:238" ht="13.5" hidden="1" thickTop="1" x14ac:dyDescent="0.3">
      <c r="A40" s="368"/>
      <c r="B40" s="330"/>
      <c r="C40" s="1834" t="s">
        <v>628</v>
      </c>
      <c r="D40" s="331" t="s">
        <v>273</v>
      </c>
      <c r="E40" s="332"/>
      <c r="F40" s="333"/>
      <c r="G40" s="334"/>
      <c r="H40" s="16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94"/>
      <c r="V40" s="294"/>
      <c r="W40" s="294"/>
      <c r="X40" s="294"/>
      <c r="Y40" s="294"/>
      <c r="Z40" s="294"/>
      <c r="AA40" s="294"/>
      <c r="AB40" s="294"/>
      <c r="AC40" s="294"/>
      <c r="AD40" s="277"/>
      <c r="AE40" s="277"/>
      <c r="AF40" s="277"/>
      <c r="AG40" s="277"/>
      <c r="AH40" s="277"/>
      <c r="AI40" s="277"/>
      <c r="AJ40" s="277"/>
      <c r="AK40" s="277"/>
      <c r="AL40" s="277"/>
      <c r="AM40" s="277"/>
      <c r="AN40" s="277"/>
      <c r="AO40" s="277"/>
      <c r="AP40" s="277"/>
      <c r="AQ40" s="277"/>
      <c r="AR40" s="277"/>
      <c r="AS40" s="277"/>
      <c r="AT40" s="277"/>
      <c r="AU40" s="277"/>
      <c r="AV40" s="277"/>
      <c r="AW40" s="277"/>
      <c r="AX40" s="277"/>
      <c r="AY40" s="277"/>
      <c r="AZ40" s="277"/>
      <c r="BA40" s="277"/>
      <c r="BB40" s="277"/>
      <c r="BC40" s="277"/>
      <c r="BD40" s="277"/>
      <c r="BE40" s="277"/>
      <c r="BF40" s="277"/>
      <c r="BG40" s="277"/>
      <c r="BH40" s="277"/>
      <c r="BI40" s="277"/>
      <c r="BJ40" s="277"/>
      <c r="BK40" s="277"/>
      <c r="BL40" s="277"/>
      <c r="BM40" s="277"/>
      <c r="BN40" s="277"/>
      <c r="BO40" s="277"/>
      <c r="BP40" s="277"/>
      <c r="BQ40" s="277"/>
      <c r="BR40" s="277"/>
      <c r="BS40" s="277"/>
      <c r="BT40" s="277"/>
      <c r="BU40" s="277"/>
      <c r="BV40" s="277"/>
      <c r="BW40" s="277"/>
      <c r="BX40" s="277"/>
      <c r="BY40" s="277"/>
      <c r="BZ40" s="277"/>
      <c r="CA40" s="277"/>
      <c r="CB40" s="277"/>
      <c r="CC40" s="277"/>
      <c r="CD40" s="277"/>
      <c r="CE40" s="277"/>
      <c r="CF40" s="277"/>
      <c r="CG40" s="277"/>
      <c r="CH40" s="277"/>
      <c r="CI40" s="277"/>
      <c r="CJ40" s="277"/>
      <c r="CK40" s="277"/>
      <c r="CL40" s="277"/>
      <c r="CM40" s="277"/>
      <c r="CN40" s="277"/>
      <c r="CO40" s="277"/>
      <c r="CP40" s="277"/>
      <c r="CQ40" s="277"/>
      <c r="CR40" s="277"/>
      <c r="CS40" s="277"/>
      <c r="CT40" s="277"/>
      <c r="CU40" s="277"/>
      <c r="CV40" s="277"/>
      <c r="CW40" s="277"/>
      <c r="CX40" s="277"/>
      <c r="CY40" s="277"/>
      <c r="CZ40" s="277"/>
      <c r="DA40" s="277"/>
      <c r="DB40" s="277"/>
      <c r="DC40" s="277"/>
      <c r="DD40" s="277"/>
      <c r="DE40" s="277"/>
      <c r="DF40" s="277"/>
      <c r="DG40" s="277"/>
      <c r="DH40" s="277"/>
      <c r="DI40" s="277"/>
      <c r="DJ40" s="277"/>
      <c r="DK40" s="277"/>
      <c r="DL40" s="277"/>
      <c r="DM40" s="277"/>
      <c r="DN40" s="277"/>
      <c r="DO40" s="277"/>
      <c r="DP40" s="277"/>
      <c r="DQ40" s="277"/>
      <c r="DR40" s="277"/>
      <c r="DS40" s="277"/>
      <c r="DT40" s="277"/>
      <c r="DU40" s="277"/>
      <c r="DV40" s="277"/>
      <c r="DW40" s="277"/>
      <c r="DX40" s="277"/>
      <c r="DY40" s="277"/>
      <c r="DZ40" s="277"/>
      <c r="EA40" s="277"/>
      <c r="EB40" s="277"/>
      <c r="EC40" s="277"/>
      <c r="ED40" s="277"/>
      <c r="EE40" s="277"/>
      <c r="EF40" s="277"/>
      <c r="EG40" s="277"/>
      <c r="EH40" s="277"/>
      <c r="EI40" s="277"/>
      <c r="EJ40" s="277"/>
      <c r="EK40" s="277"/>
      <c r="EL40" s="277"/>
      <c r="EM40" s="277"/>
      <c r="EN40" s="277"/>
      <c r="EO40" s="277"/>
      <c r="EP40" s="277"/>
      <c r="EQ40" s="277"/>
      <c r="ER40" s="277"/>
      <c r="ES40" s="277"/>
      <c r="ET40" s="277"/>
      <c r="EU40" s="277"/>
      <c r="EV40" s="277"/>
      <c r="EW40" s="277"/>
      <c r="EX40" s="277"/>
      <c r="EY40" s="277"/>
      <c r="EZ40" s="277"/>
      <c r="FA40" s="277"/>
      <c r="FB40" s="277"/>
      <c r="FC40" s="277"/>
      <c r="FD40" s="277"/>
      <c r="FE40" s="277"/>
      <c r="FF40" s="277"/>
      <c r="FG40" s="277"/>
      <c r="FH40" s="277"/>
      <c r="FI40" s="277"/>
      <c r="FJ40" s="277"/>
      <c r="FK40" s="277"/>
      <c r="FL40" s="277"/>
      <c r="FM40" s="277"/>
      <c r="FN40" s="277"/>
      <c r="FO40" s="277"/>
      <c r="FP40" s="277"/>
      <c r="FQ40" s="277"/>
      <c r="FR40" s="277"/>
      <c r="FS40" s="277"/>
      <c r="FT40" s="277"/>
      <c r="FU40" s="277"/>
      <c r="FV40" s="277"/>
      <c r="FW40" s="277"/>
      <c r="FX40" s="277"/>
      <c r="FY40" s="277"/>
      <c r="FZ40" s="277"/>
      <c r="GA40" s="277"/>
      <c r="GB40" s="277"/>
      <c r="GC40" s="277"/>
      <c r="GD40" s="277"/>
      <c r="GE40" s="277"/>
      <c r="GF40" s="277"/>
      <c r="GG40" s="277"/>
      <c r="GH40" s="277"/>
      <c r="GI40" s="277"/>
      <c r="GJ40" s="277"/>
      <c r="GK40" s="277"/>
      <c r="GL40" s="277"/>
      <c r="GM40" s="277"/>
      <c r="GN40" s="277"/>
      <c r="GO40" s="277"/>
      <c r="GP40" s="277"/>
      <c r="GQ40" s="277"/>
      <c r="GR40" s="277"/>
      <c r="GS40" s="277"/>
      <c r="GT40" s="277"/>
      <c r="GU40" s="277"/>
      <c r="GV40" s="277"/>
      <c r="GW40" s="277"/>
      <c r="GX40" s="277"/>
      <c r="GY40" s="277"/>
      <c r="GZ40" s="277"/>
      <c r="HA40" s="277"/>
      <c r="HB40" s="277"/>
      <c r="HC40" s="277"/>
      <c r="HD40" s="277"/>
      <c r="HE40" s="277"/>
      <c r="HF40" s="277"/>
      <c r="HG40" s="277"/>
      <c r="HH40" s="277"/>
      <c r="HI40" s="277"/>
      <c r="HJ40" s="277"/>
      <c r="HK40" s="277"/>
      <c r="HL40" s="277"/>
      <c r="HM40" s="277"/>
      <c r="HN40" s="277"/>
      <c r="HO40" s="277"/>
      <c r="HP40" s="277"/>
      <c r="HQ40" s="277"/>
      <c r="HR40" s="277"/>
      <c r="HS40" s="277"/>
      <c r="HT40" s="277"/>
      <c r="HU40" s="277"/>
      <c r="HV40" s="277"/>
      <c r="HW40" s="277"/>
      <c r="HX40" s="277"/>
      <c r="HY40" s="277"/>
      <c r="HZ40" s="277"/>
      <c r="IA40" s="277"/>
      <c r="IB40" s="277"/>
      <c r="IC40" s="277"/>
      <c r="ID40" s="277"/>
    </row>
    <row r="41" spans="1:238" ht="13" hidden="1" x14ac:dyDescent="0.3">
      <c r="A41" s="368"/>
      <c r="B41" s="335"/>
      <c r="C41" s="1835"/>
      <c r="D41" s="336" t="s">
        <v>274</v>
      </c>
      <c r="E41" s="337"/>
      <c r="F41" s="338" t="s">
        <v>275</v>
      </c>
      <c r="G41" s="339"/>
      <c r="H41" s="16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94"/>
      <c r="V41" s="294"/>
      <c r="W41" s="294"/>
      <c r="X41" s="294"/>
      <c r="Y41" s="294"/>
      <c r="Z41" s="294"/>
      <c r="AA41" s="294"/>
      <c r="AB41" s="294"/>
      <c r="AC41" s="294"/>
      <c r="AD41" s="277"/>
      <c r="AE41" s="277"/>
      <c r="AF41" s="277"/>
      <c r="AG41" s="277"/>
      <c r="AH41" s="277"/>
      <c r="AI41" s="277"/>
      <c r="AJ41" s="277"/>
      <c r="AK41" s="277"/>
      <c r="AL41" s="277"/>
      <c r="AM41" s="277"/>
      <c r="AN41" s="277"/>
      <c r="AO41" s="277"/>
      <c r="AP41" s="277"/>
      <c r="AQ41" s="277"/>
      <c r="AR41" s="277"/>
      <c r="AS41" s="277"/>
      <c r="AT41" s="277"/>
      <c r="AU41" s="277"/>
      <c r="AV41" s="277"/>
      <c r="AW41" s="277"/>
      <c r="AX41" s="277"/>
      <c r="AY41" s="277"/>
      <c r="AZ41" s="277"/>
      <c r="BA41" s="277"/>
      <c r="BB41" s="277"/>
      <c r="BC41" s="277"/>
      <c r="BD41" s="277"/>
      <c r="BE41" s="277"/>
      <c r="BF41" s="277"/>
      <c r="BG41" s="277"/>
      <c r="BH41" s="277"/>
      <c r="BI41" s="277"/>
      <c r="BJ41" s="277"/>
      <c r="BK41" s="277"/>
      <c r="BL41" s="277"/>
      <c r="BM41" s="277"/>
      <c r="BN41" s="277"/>
      <c r="BO41" s="277"/>
      <c r="BP41" s="277"/>
      <c r="BQ41" s="277"/>
      <c r="BR41" s="277"/>
      <c r="BS41" s="277"/>
      <c r="BT41" s="277"/>
      <c r="BU41" s="277"/>
      <c r="BV41" s="277"/>
      <c r="BW41" s="277"/>
      <c r="BX41" s="277"/>
      <c r="BY41" s="277"/>
      <c r="BZ41" s="277"/>
      <c r="CA41" s="277"/>
      <c r="CB41" s="277"/>
      <c r="CC41" s="277"/>
      <c r="CD41" s="277"/>
      <c r="CE41" s="277"/>
      <c r="CF41" s="277"/>
      <c r="CG41" s="277"/>
      <c r="CH41" s="277"/>
      <c r="CI41" s="277"/>
      <c r="CJ41" s="277"/>
      <c r="CK41" s="277"/>
      <c r="CL41" s="277"/>
      <c r="CM41" s="277"/>
      <c r="CN41" s="277"/>
      <c r="CO41" s="277"/>
      <c r="CP41" s="277"/>
      <c r="CQ41" s="277"/>
      <c r="CR41" s="277"/>
      <c r="CS41" s="277"/>
      <c r="CT41" s="277"/>
      <c r="CU41" s="277"/>
      <c r="CV41" s="277"/>
      <c r="CW41" s="277"/>
      <c r="CX41" s="277"/>
      <c r="CY41" s="277"/>
      <c r="CZ41" s="277"/>
      <c r="DA41" s="277"/>
      <c r="DB41" s="277"/>
      <c r="DC41" s="277"/>
      <c r="DD41" s="277"/>
      <c r="DE41" s="277"/>
      <c r="DF41" s="277"/>
      <c r="DG41" s="277"/>
      <c r="DH41" s="277"/>
      <c r="DI41" s="277"/>
      <c r="DJ41" s="277"/>
      <c r="DK41" s="277"/>
      <c r="DL41" s="277"/>
      <c r="DM41" s="277"/>
      <c r="DN41" s="277"/>
      <c r="DO41" s="277"/>
      <c r="DP41" s="277"/>
      <c r="DQ41" s="277"/>
      <c r="DR41" s="277"/>
      <c r="DS41" s="277"/>
      <c r="DT41" s="277"/>
      <c r="DU41" s="277"/>
      <c r="DV41" s="277"/>
      <c r="DW41" s="277"/>
      <c r="DX41" s="277"/>
      <c r="DY41" s="277"/>
      <c r="DZ41" s="277"/>
      <c r="EA41" s="277"/>
      <c r="EB41" s="277"/>
      <c r="EC41" s="277"/>
      <c r="ED41" s="277"/>
      <c r="EE41" s="277"/>
      <c r="EF41" s="277"/>
      <c r="EG41" s="277"/>
      <c r="EH41" s="277"/>
      <c r="EI41" s="277"/>
      <c r="EJ41" s="277"/>
      <c r="EK41" s="277"/>
      <c r="EL41" s="277"/>
      <c r="EM41" s="277"/>
      <c r="EN41" s="277"/>
      <c r="EO41" s="277"/>
      <c r="EP41" s="277"/>
      <c r="EQ41" s="277"/>
      <c r="ER41" s="277"/>
      <c r="ES41" s="277"/>
      <c r="ET41" s="277"/>
      <c r="EU41" s="277"/>
      <c r="EV41" s="277"/>
      <c r="EW41" s="277"/>
      <c r="EX41" s="277"/>
      <c r="EY41" s="277"/>
      <c r="EZ41" s="277"/>
      <c r="FA41" s="277"/>
      <c r="FB41" s="277"/>
      <c r="FC41" s="277"/>
      <c r="FD41" s="277"/>
      <c r="FE41" s="277"/>
      <c r="FF41" s="277"/>
      <c r="FG41" s="277"/>
      <c r="FH41" s="277"/>
      <c r="FI41" s="277"/>
      <c r="FJ41" s="277"/>
      <c r="FK41" s="277"/>
      <c r="FL41" s="277"/>
      <c r="FM41" s="277"/>
      <c r="FN41" s="277"/>
      <c r="FO41" s="277"/>
      <c r="FP41" s="277"/>
      <c r="FQ41" s="277"/>
      <c r="FR41" s="277"/>
      <c r="FS41" s="277"/>
      <c r="FT41" s="277"/>
      <c r="FU41" s="277"/>
      <c r="FV41" s="277"/>
      <c r="FW41" s="277"/>
      <c r="FX41" s="277"/>
      <c r="FY41" s="277"/>
      <c r="FZ41" s="277"/>
      <c r="GA41" s="277"/>
      <c r="GB41" s="277"/>
      <c r="GC41" s="277"/>
      <c r="GD41" s="277"/>
      <c r="GE41" s="277"/>
      <c r="GF41" s="277"/>
      <c r="GG41" s="277"/>
      <c r="GH41" s="277"/>
      <c r="GI41" s="277"/>
      <c r="GJ41" s="277"/>
      <c r="GK41" s="277"/>
      <c r="GL41" s="277"/>
      <c r="GM41" s="277"/>
      <c r="GN41" s="277"/>
      <c r="GO41" s="277"/>
      <c r="GP41" s="277"/>
      <c r="GQ41" s="277"/>
      <c r="GR41" s="277"/>
      <c r="GS41" s="277"/>
      <c r="GT41" s="277"/>
      <c r="GU41" s="277"/>
      <c r="GV41" s="277"/>
      <c r="GW41" s="277"/>
      <c r="GX41" s="277"/>
      <c r="GY41" s="277"/>
      <c r="GZ41" s="277"/>
      <c r="HA41" s="277"/>
      <c r="HB41" s="277"/>
      <c r="HC41" s="277"/>
      <c r="HD41" s="277"/>
      <c r="HE41" s="277"/>
      <c r="HF41" s="277"/>
      <c r="HG41" s="277"/>
      <c r="HH41" s="277"/>
      <c r="HI41" s="277"/>
      <c r="HJ41" s="277"/>
      <c r="HK41" s="277"/>
      <c r="HL41" s="277"/>
      <c r="HM41" s="277"/>
      <c r="HN41" s="277"/>
      <c r="HO41" s="277"/>
      <c r="HP41" s="277"/>
      <c r="HQ41" s="277"/>
      <c r="HR41" s="277"/>
      <c r="HS41" s="277"/>
      <c r="HT41" s="277"/>
      <c r="HU41" s="277"/>
      <c r="HV41" s="277"/>
      <c r="HW41" s="277"/>
      <c r="HX41" s="277"/>
      <c r="HY41" s="277"/>
      <c r="HZ41" s="277"/>
      <c r="IA41" s="277"/>
      <c r="IB41" s="277"/>
      <c r="IC41" s="277"/>
      <c r="ID41" s="277"/>
    </row>
    <row r="42" spans="1:238" ht="13.5" hidden="1" thickBot="1" x14ac:dyDescent="0.35">
      <c r="A42" s="368"/>
      <c r="B42" s="340"/>
      <c r="C42" s="1836"/>
      <c r="D42" s="341"/>
      <c r="E42" s="342"/>
      <c r="F42" s="294"/>
      <c r="G42" s="343"/>
      <c r="H42" s="16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294"/>
      <c r="V42" s="294"/>
      <c r="W42" s="294"/>
      <c r="X42" s="294"/>
      <c r="Y42" s="294"/>
      <c r="Z42" s="294"/>
      <c r="AA42" s="294"/>
      <c r="AB42" s="294"/>
      <c r="AC42" s="294"/>
      <c r="AD42" s="277"/>
      <c r="AE42" s="277"/>
      <c r="AF42" s="277"/>
      <c r="AG42" s="277"/>
      <c r="AH42" s="277"/>
      <c r="AI42" s="277"/>
      <c r="AJ42" s="277"/>
      <c r="AK42" s="277"/>
      <c r="AL42" s="277"/>
      <c r="AM42" s="277"/>
      <c r="AN42" s="277"/>
      <c r="AO42" s="277"/>
      <c r="AP42" s="277"/>
      <c r="AQ42" s="277"/>
      <c r="AR42" s="277"/>
      <c r="AS42" s="277"/>
      <c r="AT42" s="277"/>
      <c r="AU42" s="277"/>
      <c r="AV42" s="277"/>
      <c r="AW42" s="277"/>
      <c r="AX42" s="277"/>
      <c r="AY42" s="277"/>
      <c r="AZ42" s="277"/>
      <c r="BA42" s="277"/>
      <c r="BB42" s="277"/>
      <c r="BC42" s="277"/>
      <c r="BD42" s="277"/>
      <c r="BE42" s="277"/>
      <c r="BF42" s="277"/>
      <c r="BG42" s="277"/>
      <c r="BH42" s="277"/>
      <c r="BI42" s="277"/>
      <c r="BJ42" s="277"/>
      <c r="BK42" s="277"/>
      <c r="BL42" s="277"/>
      <c r="BM42" s="277"/>
      <c r="BN42" s="277"/>
      <c r="BO42" s="277"/>
      <c r="BP42" s="277"/>
      <c r="BQ42" s="277"/>
      <c r="BR42" s="277"/>
      <c r="BS42" s="277"/>
      <c r="BT42" s="277"/>
      <c r="BU42" s="277"/>
      <c r="BV42" s="277"/>
      <c r="BW42" s="277"/>
      <c r="BX42" s="277"/>
      <c r="BY42" s="277"/>
      <c r="BZ42" s="277"/>
      <c r="CA42" s="277"/>
      <c r="CB42" s="277"/>
      <c r="CC42" s="277"/>
      <c r="CD42" s="277"/>
      <c r="CE42" s="277"/>
      <c r="CF42" s="277"/>
      <c r="CG42" s="277"/>
      <c r="CH42" s="277"/>
      <c r="CI42" s="277"/>
      <c r="CJ42" s="277"/>
      <c r="CK42" s="277"/>
      <c r="CL42" s="277"/>
      <c r="CM42" s="277"/>
      <c r="CN42" s="277"/>
      <c r="CO42" s="277"/>
      <c r="CP42" s="277"/>
      <c r="CQ42" s="277"/>
      <c r="CR42" s="277"/>
      <c r="CS42" s="277"/>
      <c r="CT42" s="277"/>
      <c r="CU42" s="277"/>
      <c r="CV42" s="277"/>
      <c r="CW42" s="277"/>
      <c r="CX42" s="277"/>
      <c r="CY42" s="277"/>
      <c r="CZ42" s="277"/>
      <c r="DA42" s="277"/>
      <c r="DB42" s="277"/>
      <c r="DC42" s="277"/>
      <c r="DD42" s="277"/>
      <c r="DE42" s="277"/>
      <c r="DF42" s="277"/>
      <c r="DG42" s="277"/>
      <c r="DH42" s="277"/>
      <c r="DI42" s="277"/>
      <c r="DJ42" s="277"/>
      <c r="DK42" s="277"/>
      <c r="DL42" s="277"/>
      <c r="DM42" s="277"/>
      <c r="DN42" s="277"/>
      <c r="DO42" s="277"/>
      <c r="DP42" s="277"/>
      <c r="DQ42" s="277"/>
      <c r="DR42" s="277"/>
      <c r="DS42" s="277"/>
      <c r="DT42" s="277"/>
      <c r="DU42" s="277"/>
      <c r="DV42" s="277"/>
      <c r="DW42" s="277"/>
      <c r="DX42" s="277"/>
      <c r="DY42" s="277"/>
      <c r="DZ42" s="277"/>
      <c r="EA42" s="277"/>
      <c r="EB42" s="277"/>
      <c r="EC42" s="277"/>
      <c r="ED42" s="277"/>
      <c r="EE42" s="277"/>
      <c r="EF42" s="277"/>
      <c r="EG42" s="277"/>
      <c r="EH42" s="277"/>
      <c r="EI42" s="277"/>
      <c r="EJ42" s="277"/>
      <c r="EK42" s="277"/>
      <c r="EL42" s="277"/>
      <c r="EM42" s="277"/>
      <c r="EN42" s="277"/>
      <c r="EO42" s="277"/>
      <c r="EP42" s="277"/>
      <c r="EQ42" s="277"/>
      <c r="ER42" s="277"/>
      <c r="ES42" s="277"/>
      <c r="ET42" s="277"/>
      <c r="EU42" s="277"/>
      <c r="EV42" s="277"/>
      <c r="EW42" s="277"/>
      <c r="EX42" s="277"/>
      <c r="EY42" s="277"/>
      <c r="EZ42" s="277"/>
      <c r="FA42" s="277"/>
      <c r="FB42" s="277"/>
      <c r="FC42" s="277"/>
      <c r="FD42" s="277"/>
      <c r="FE42" s="277"/>
      <c r="FF42" s="277"/>
      <c r="FG42" s="277"/>
      <c r="FH42" s="277"/>
      <c r="FI42" s="277"/>
      <c r="FJ42" s="277"/>
      <c r="FK42" s="277"/>
      <c r="FL42" s="277"/>
      <c r="FM42" s="277"/>
      <c r="FN42" s="277"/>
      <c r="FO42" s="277"/>
      <c r="FP42" s="277"/>
      <c r="FQ42" s="277"/>
      <c r="FR42" s="277"/>
      <c r="FS42" s="277"/>
      <c r="FT42" s="277"/>
      <c r="FU42" s="277"/>
      <c r="FV42" s="277"/>
      <c r="FW42" s="277"/>
      <c r="FX42" s="277"/>
      <c r="FY42" s="277"/>
      <c r="FZ42" s="277"/>
      <c r="GA42" s="277"/>
      <c r="GB42" s="277"/>
      <c r="GC42" s="277"/>
      <c r="GD42" s="277"/>
      <c r="GE42" s="277"/>
      <c r="GF42" s="277"/>
      <c r="GG42" s="277"/>
      <c r="GH42" s="277"/>
      <c r="GI42" s="277"/>
      <c r="GJ42" s="277"/>
      <c r="GK42" s="277"/>
      <c r="GL42" s="277"/>
      <c r="GM42" s="277"/>
      <c r="GN42" s="277"/>
      <c r="GO42" s="277"/>
      <c r="GP42" s="277"/>
      <c r="GQ42" s="277"/>
      <c r="GR42" s="277"/>
      <c r="GS42" s="277"/>
      <c r="GT42" s="277"/>
      <c r="GU42" s="277"/>
      <c r="GV42" s="277"/>
      <c r="GW42" s="277"/>
      <c r="GX42" s="277"/>
      <c r="GY42" s="277"/>
      <c r="GZ42" s="277"/>
      <c r="HA42" s="277"/>
      <c r="HB42" s="277"/>
      <c r="HC42" s="277"/>
      <c r="HD42" s="277"/>
      <c r="HE42" s="277"/>
      <c r="HF42" s="277"/>
      <c r="HG42" s="277"/>
      <c r="HH42" s="277"/>
      <c r="HI42" s="277"/>
      <c r="HJ42" s="277"/>
      <c r="HK42" s="277"/>
      <c r="HL42" s="277"/>
      <c r="HM42" s="277"/>
      <c r="HN42" s="277"/>
      <c r="HO42" s="277"/>
      <c r="HP42" s="277"/>
      <c r="HQ42" s="277"/>
      <c r="HR42" s="277"/>
      <c r="HS42" s="277"/>
      <c r="HT42" s="277"/>
      <c r="HU42" s="277"/>
      <c r="HV42" s="277"/>
      <c r="HW42" s="277"/>
      <c r="HX42" s="277"/>
      <c r="HY42" s="277"/>
      <c r="HZ42" s="277"/>
      <c r="IA42" s="277"/>
      <c r="IB42" s="277"/>
      <c r="IC42" s="277"/>
      <c r="ID42" s="277"/>
    </row>
    <row r="43" spans="1:238" ht="13" hidden="1" x14ac:dyDescent="0.3">
      <c r="A43" s="368"/>
      <c r="B43" s="344"/>
      <c r="C43" s="969"/>
      <c r="D43" s="92" t="s">
        <v>249</v>
      </c>
      <c r="E43" s="345" t="s">
        <v>250</v>
      </c>
      <c r="F43" s="346" t="s">
        <v>249</v>
      </c>
      <c r="G43" s="347" t="s">
        <v>250</v>
      </c>
      <c r="H43" s="16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94"/>
      <c r="V43" s="294"/>
      <c r="W43" s="294"/>
      <c r="X43" s="294"/>
      <c r="Y43" s="294"/>
      <c r="Z43" s="294"/>
      <c r="AA43" s="294"/>
      <c r="AB43" s="294"/>
      <c r="AC43" s="294"/>
      <c r="AD43" s="277"/>
      <c r="AE43" s="277"/>
      <c r="AF43" s="277"/>
      <c r="AG43" s="277"/>
      <c r="AH43" s="277"/>
      <c r="AI43" s="277"/>
      <c r="AJ43" s="277"/>
      <c r="AK43" s="277"/>
      <c r="AL43" s="277"/>
      <c r="AM43" s="277"/>
      <c r="AN43" s="277"/>
      <c r="AO43" s="277"/>
      <c r="AP43" s="277"/>
      <c r="AQ43" s="277"/>
      <c r="AR43" s="277"/>
      <c r="AS43" s="277"/>
      <c r="AT43" s="277"/>
      <c r="AU43" s="277"/>
      <c r="AV43" s="277"/>
      <c r="AW43" s="277"/>
      <c r="AX43" s="277"/>
      <c r="AY43" s="277"/>
      <c r="AZ43" s="277"/>
      <c r="BA43" s="277"/>
      <c r="BB43" s="277"/>
      <c r="BC43" s="277"/>
      <c r="BD43" s="277"/>
      <c r="BE43" s="277"/>
      <c r="BF43" s="277"/>
      <c r="BG43" s="277"/>
      <c r="BH43" s="277"/>
      <c r="BI43" s="277"/>
      <c r="BJ43" s="277"/>
      <c r="BK43" s="277"/>
      <c r="BL43" s="277"/>
      <c r="BM43" s="277"/>
      <c r="BN43" s="277"/>
      <c r="BO43" s="277"/>
      <c r="BP43" s="277"/>
      <c r="BQ43" s="277"/>
      <c r="BR43" s="277"/>
      <c r="BS43" s="277"/>
      <c r="BT43" s="277"/>
      <c r="BU43" s="277"/>
      <c r="BV43" s="277"/>
      <c r="BW43" s="277"/>
      <c r="BX43" s="277"/>
      <c r="BY43" s="277"/>
      <c r="BZ43" s="277"/>
      <c r="CA43" s="277"/>
      <c r="CB43" s="277"/>
      <c r="CC43" s="277"/>
      <c r="CD43" s="277"/>
      <c r="CE43" s="277"/>
      <c r="CF43" s="277"/>
      <c r="CG43" s="277"/>
      <c r="CH43" s="277"/>
      <c r="CI43" s="277"/>
      <c r="CJ43" s="277"/>
      <c r="CK43" s="277"/>
      <c r="CL43" s="277"/>
      <c r="CM43" s="277"/>
      <c r="CN43" s="277"/>
      <c r="CO43" s="277"/>
      <c r="CP43" s="277"/>
      <c r="CQ43" s="277"/>
      <c r="CR43" s="277"/>
      <c r="CS43" s="277"/>
      <c r="CT43" s="277"/>
      <c r="CU43" s="277"/>
      <c r="CV43" s="277"/>
      <c r="CW43" s="277"/>
      <c r="CX43" s="277"/>
      <c r="CY43" s="277"/>
      <c r="CZ43" s="277"/>
      <c r="DA43" s="277"/>
      <c r="DB43" s="277"/>
      <c r="DC43" s="277"/>
      <c r="DD43" s="277"/>
      <c r="DE43" s="277"/>
      <c r="DF43" s="277"/>
      <c r="DG43" s="277"/>
      <c r="DH43" s="277"/>
      <c r="DI43" s="277"/>
      <c r="DJ43" s="277"/>
      <c r="DK43" s="277"/>
      <c r="DL43" s="277"/>
      <c r="DM43" s="277"/>
      <c r="DN43" s="277"/>
      <c r="DO43" s="277"/>
      <c r="DP43" s="277"/>
      <c r="DQ43" s="277"/>
      <c r="DR43" s="277"/>
      <c r="DS43" s="277"/>
      <c r="DT43" s="277"/>
      <c r="DU43" s="277"/>
      <c r="DV43" s="277"/>
      <c r="DW43" s="277"/>
      <c r="DX43" s="277"/>
      <c r="DY43" s="277"/>
      <c r="DZ43" s="277"/>
      <c r="EA43" s="277"/>
      <c r="EB43" s="277"/>
      <c r="EC43" s="277"/>
      <c r="ED43" s="277"/>
      <c r="EE43" s="277"/>
      <c r="EF43" s="277"/>
      <c r="EG43" s="277"/>
      <c r="EH43" s="277"/>
      <c r="EI43" s="277"/>
      <c r="EJ43" s="277"/>
      <c r="EK43" s="277"/>
      <c r="EL43" s="277"/>
      <c r="EM43" s="277"/>
      <c r="EN43" s="277"/>
      <c r="EO43" s="277"/>
      <c r="EP43" s="277"/>
      <c r="EQ43" s="277"/>
      <c r="ER43" s="277"/>
      <c r="ES43" s="277"/>
      <c r="ET43" s="277"/>
      <c r="EU43" s="277"/>
      <c r="EV43" s="277"/>
      <c r="EW43" s="277"/>
      <c r="EX43" s="277"/>
      <c r="EY43" s="277"/>
      <c r="EZ43" s="277"/>
      <c r="FA43" s="277"/>
      <c r="FB43" s="277"/>
      <c r="FC43" s="277"/>
      <c r="FD43" s="277"/>
      <c r="FE43" s="277"/>
      <c r="FF43" s="277"/>
      <c r="FG43" s="277"/>
      <c r="FH43" s="277"/>
      <c r="FI43" s="277"/>
      <c r="FJ43" s="277"/>
      <c r="FK43" s="277"/>
      <c r="FL43" s="277"/>
      <c r="FM43" s="277"/>
      <c r="FN43" s="277"/>
      <c r="FO43" s="277"/>
      <c r="FP43" s="277"/>
      <c r="FQ43" s="277"/>
      <c r="FR43" s="277"/>
      <c r="FS43" s="277"/>
      <c r="FT43" s="277"/>
      <c r="FU43" s="277"/>
      <c r="FV43" s="277"/>
      <c r="FW43" s="277"/>
      <c r="FX43" s="277"/>
      <c r="FY43" s="277"/>
      <c r="FZ43" s="277"/>
      <c r="GA43" s="277"/>
      <c r="GB43" s="277"/>
      <c r="GC43" s="277"/>
      <c r="GD43" s="277"/>
      <c r="GE43" s="277"/>
      <c r="GF43" s="277"/>
      <c r="GG43" s="277"/>
      <c r="GH43" s="277"/>
      <c r="GI43" s="277"/>
      <c r="GJ43" s="277"/>
      <c r="GK43" s="277"/>
      <c r="GL43" s="277"/>
      <c r="GM43" s="277"/>
      <c r="GN43" s="277"/>
      <c r="GO43" s="277"/>
      <c r="GP43" s="277"/>
      <c r="GQ43" s="277"/>
      <c r="GR43" s="277"/>
      <c r="GS43" s="277"/>
      <c r="GT43" s="277"/>
      <c r="GU43" s="277"/>
      <c r="GV43" s="277"/>
      <c r="GW43" s="277"/>
      <c r="GX43" s="277"/>
      <c r="GY43" s="277"/>
      <c r="GZ43" s="277"/>
      <c r="HA43" s="277"/>
      <c r="HB43" s="277"/>
      <c r="HC43" s="277"/>
      <c r="HD43" s="277"/>
      <c r="HE43" s="277"/>
      <c r="HF43" s="277"/>
      <c r="HG43" s="277"/>
      <c r="HH43" s="277"/>
      <c r="HI43" s="277"/>
      <c r="HJ43" s="277"/>
      <c r="HK43" s="277"/>
      <c r="HL43" s="277"/>
      <c r="HM43" s="277"/>
      <c r="HN43" s="277"/>
      <c r="HO43" s="277"/>
      <c r="HP43" s="277"/>
      <c r="HQ43" s="277"/>
      <c r="HR43" s="277"/>
      <c r="HS43" s="277"/>
      <c r="HT43" s="277"/>
      <c r="HU43" s="277"/>
      <c r="HV43" s="277"/>
      <c r="HW43" s="277"/>
      <c r="HX43" s="277"/>
      <c r="HY43" s="277"/>
      <c r="HZ43" s="277"/>
      <c r="IA43" s="277"/>
      <c r="IB43" s="277"/>
      <c r="IC43" s="277"/>
      <c r="ID43" s="277"/>
    </row>
    <row r="44" spans="1:238" ht="13" hidden="1" x14ac:dyDescent="0.3">
      <c r="A44" s="368"/>
      <c r="B44" s="348" t="s">
        <v>251</v>
      </c>
      <c r="C44" s="383">
        <f>C$22*C26/D26</f>
        <v>37.5</v>
      </c>
      <c r="D44" s="349">
        <f>'Existing Management Practices'!D73</f>
        <v>8.6567164179104461E-4</v>
      </c>
      <c r="E44" s="350">
        <f>'Existing Management Practices'!E73</f>
        <v>9.7142857142857144E-4</v>
      </c>
      <c r="F44" s="351">
        <f>'Existing Management Practices'!F73</f>
        <v>1.082089552238806E-2</v>
      </c>
      <c r="G44" s="352">
        <f>'Existing Management Practices'!G73</f>
        <v>1.1657142857142857E-2</v>
      </c>
      <c r="H44" s="16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294"/>
      <c r="V44" s="294"/>
      <c r="W44" s="294"/>
      <c r="X44" s="294"/>
      <c r="Y44" s="294"/>
      <c r="Z44" s="294"/>
      <c r="AA44" s="294"/>
      <c r="AB44" s="294"/>
      <c r="AC44" s="294"/>
      <c r="AD44" s="277"/>
      <c r="AE44" s="277"/>
      <c r="AF44" s="277"/>
      <c r="AG44" s="277"/>
      <c r="AH44" s="277"/>
      <c r="AI44" s="277"/>
      <c r="AJ44" s="277"/>
      <c r="AK44" s="277"/>
      <c r="AL44" s="277"/>
      <c r="AM44" s="277"/>
      <c r="AN44" s="277"/>
      <c r="AO44" s="277"/>
      <c r="AP44" s="277"/>
      <c r="AQ44" s="277"/>
      <c r="AR44" s="277"/>
      <c r="AS44" s="277"/>
      <c r="AT44" s="277"/>
      <c r="AU44" s="277"/>
      <c r="AV44" s="277"/>
      <c r="AW44" s="277"/>
      <c r="AX44" s="277"/>
      <c r="AY44" s="277"/>
      <c r="AZ44" s="277"/>
      <c r="BA44" s="277"/>
      <c r="BB44" s="277"/>
      <c r="BC44" s="277"/>
      <c r="BD44" s="277"/>
      <c r="BE44" s="277"/>
      <c r="BF44" s="277"/>
      <c r="BG44" s="277"/>
      <c r="BH44" s="277"/>
      <c r="BI44" s="277"/>
      <c r="BJ44" s="277"/>
      <c r="BK44" s="277"/>
      <c r="BL44" s="277"/>
      <c r="BM44" s="277"/>
      <c r="BN44" s="277"/>
      <c r="BO44" s="277"/>
      <c r="BP44" s="277"/>
      <c r="BQ44" s="277"/>
      <c r="BR44" s="277"/>
      <c r="BS44" s="277"/>
      <c r="BT44" s="277"/>
      <c r="BU44" s="277"/>
      <c r="BV44" s="277"/>
      <c r="BW44" s="277"/>
      <c r="BX44" s="277"/>
      <c r="BY44" s="277"/>
      <c r="BZ44" s="277"/>
      <c r="CA44" s="277"/>
      <c r="CB44" s="277"/>
      <c r="CC44" s="277"/>
      <c r="CD44" s="277"/>
      <c r="CE44" s="277"/>
      <c r="CF44" s="277"/>
      <c r="CG44" s="277"/>
      <c r="CH44" s="277"/>
      <c r="CI44" s="277"/>
      <c r="CJ44" s="277"/>
      <c r="CK44" s="277"/>
      <c r="CL44" s="277"/>
      <c r="CM44" s="277"/>
      <c r="CN44" s="277"/>
      <c r="CO44" s="277"/>
      <c r="CP44" s="277"/>
      <c r="CQ44" s="277"/>
      <c r="CR44" s="277"/>
      <c r="CS44" s="277"/>
      <c r="CT44" s="277"/>
      <c r="CU44" s="277"/>
      <c r="CV44" s="277"/>
      <c r="CW44" s="277"/>
      <c r="CX44" s="277"/>
      <c r="CY44" s="277"/>
      <c r="CZ44" s="277"/>
      <c r="DA44" s="277"/>
      <c r="DB44" s="277"/>
      <c r="DC44" s="277"/>
      <c r="DD44" s="277"/>
      <c r="DE44" s="277"/>
      <c r="DF44" s="277"/>
      <c r="DG44" s="277"/>
      <c r="DH44" s="277"/>
      <c r="DI44" s="277"/>
      <c r="DJ44" s="277"/>
      <c r="DK44" s="277"/>
      <c r="DL44" s="277"/>
      <c r="DM44" s="277"/>
      <c r="DN44" s="277"/>
      <c r="DO44" s="277"/>
      <c r="DP44" s="277"/>
      <c r="DQ44" s="277"/>
      <c r="DR44" s="277"/>
      <c r="DS44" s="277"/>
      <c r="DT44" s="277"/>
      <c r="DU44" s="277"/>
      <c r="DV44" s="277"/>
      <c r="DW44" s="277"/>
      <c r="DX44" s="277"/>
      <c r="DY44" s="277"/>
      <c r="DZ44" s="277"/>
      <c r="EA44" s="277"/>
      <c r="EB44" s="277"/>
      <c r="EC44" s="277"/>
      <c r="ED44" s="277"/>
      <c r="EE44" s="277"/>
      <c r="EF44" s="277"/>
      <c r="EG44" s="277"/>
      <c r="EH44" s="277"/>
      <c r="EI44" s="277"/>
      <c r="EJ44" s="277"/>
      <c r="EK44" s="277"/>
      <c r="EL44" s="277"/>
      <c r="EM44" s="277"/>
      <c r="EN44" s="277"/>
      <c r="EO44" s="277"/>
      <c r="EP44" s="277"/>
      <c r="EQ44" s="277"/>
      <c r="ER44" s="277"/>
      <c r="ES44" s="277"/>
      <c r="ET44" s="277"/>
      <c r="EU44" s="277"/>
      <c r="EV44" s="277"/>
      <c r="EW44" s="277"/>
      <c r="EX44" s="277"/>
      <c r="EY44" s="277"/>
      <c r="EZ44" s="277"/>
      <c r="FA44" s="277"/>
      <c r="FB44" s="277"/>
      <c r="FC44" s="277"/>
      <c r="FD44" s="277"/>
      <c r="FE44" s="277"/>
      <c r="FF44" s="277"/>
      <c r="FG44" s="277"/>
      <c r="FH44" s="277"/>
      <c r="FI44" s="277"/>
      <c r="FJ44" s="277"/>
      <c r="FK44" s="277"/>
      <c r="FL44" s="277"/>
      <c r="FM44" s="277"/>
      <c r="FN44" s="277"/>
      <c r="FO44" s="277"/>
      <c r="FP44" s="277"/>
      <c r="FQ44" s="277"/>
      <c r="FR44" s="277"/>
      <c r="FS44" s="277"/>
      <c r="FT44" s="277"/>
      <c r="FU44" s="277"/>
      <c r="FV44" s="277"/>
      <c r="FW44" s="277"/>
      <c r="FX44" s="277"/>
      <c r="FY44" s="277"/>
      <c r="FZ44" s="277"/>
      <c r="GA44" s="277"/>
      <c r="GB44" s="277"/>
      <c r="GC44" s="277"/>
      <c r="GD44" s="277"/>
      <c r="GE44" s="277"/>
      <c r="GF44" s="277"/>
      <c r="GG44" s="277"/>
      <c r="GH44" s="277"/>
      <c r="GI44" s="277"/>
      <c r="GJ44" s="277"/>
      <c r="GK44" s="277"/>
      <c r="GL44" s="277"/>
      <c r="GM44" s="277"/>
      <c r="GN44" s="277"/>
      <c r="GO44" s="277"/>
      <c r="GP44" s="277"/>
      <c r="GQ44" s="277"/>
      <c r="GR44" s="277"/>
      <c r="GS44" s="277"/>
      <c r="GT44" s="277"/>
      <c r="GU44" s="277"/>
      <c r="GV44" s="277"/>
      <c r="GW44" s="277"/>
      <c r="GX44" s="277"/>
      <c r="GY44" s="277"/>
      <c r="GZ44" s="277"/>
      <c r="HA44" s="277"/>
      <c r="HB44" s="277"/>
      <c r="HC44" s="277"/>
      <c r="HD44" s="277"/>
      <c r="HE44" s="277"/>
      <c r="HF44" s="277"/>
      <c r="HG44" s="277"/>
      <c r="HH44" s="277"/>
      <c r="HI44" s="277"/>
      <c r="HJ44" s="277"/>
      <c r="HK44" s="277"/>
      <c r="HL44" s="277"/>
      <c r="HM44" s="277"/>
      <c r="HN44" s="277"/>
      <c r="HO44" s="277"/>
      <c r="HP44" s="277"/>
      <c r="HQ44" s="277"/>
      <c r="HR44" s="277"/>
      <c r="HS44" s="277"/>
      <c r="HT44" s="277"/>
      <c r="HU44" s="277"/>
      <c r="HV44" s="277"/>
      <c r="HW44" s="277"/>
      <c r="HX44" s="277"/>
      <c r="HY44" s="277"/>
      <c r="HZ44" s="277"/>
      <c r="IA44" s="277"/>
      <c r="IB44" s="277"/>
      <c r="IC44" s="277"/>
      <c r="ID44" s="277"/>
    </row>
    <row r="45" spans="1:238" ht="13" hidden="1" x14ac:dyDescent="0.3">
      <c r="A45" s="368"/>
      <c r="B45" s="348" t="s">
        <v>252</v>
      </c>
      <c r="C45" s="383">
        <f>C$22*C27/D27</f>
        <v>1.2857142857142856</v>
      </c>
      <c r="D45" s="349">
        <f>'Existing Management Practices'!D74</f>
        <v>8.2499999999999987E-3</v>
      </c>
      <c r="E45" s="350">
        <f>'Existing Management Practices'!E74</f>
        <v>9.1264367816091957E-3</v>
      </c>
      <c r="F45" s="351">
        <f>'Existing Management Practices'!F74</f>
        <v>0.20624999999999999</v>
      </c>
      <c r="G45" s="352">
        <f>'Existing Management Practices'!G74</f>
        <v>0.12777011494252874</v>
      </c>
      <c r="H45" s="16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294"/>
      <c r="V45" s="294"/>
      <c r="W45" s="294"/>
      <c r="X45" s="294"/>
      <c r="Y45" s="294"/>
      <c r="Z45" s="294"/>
      <c r="AA45" s="294"/>
      <c r="AB45" s="294"/>
      <c r="AC45" s="294"/>
      <c r="AD45" s="277"/>
      <c r="AE45" s="277"/>
      <c r="AF45" s="277"/>
      <c r="AG45" s="277"/>
      <c r="AH45" s="277"/>
      <c r="AI45" s="277"/>
      <c r="AJ45" s="277"/>
      <c r="AK45" s="277"/>
      <c r="AL45" s="277"/>
      <c r="AM45" s="277"/>
      <c r="AN45" s="277"/>
      <c r="AO45" s="277"/>
      <c r="AP45" s="277"/>
      <c r="AQ45" s="277"/>
      <c r="AR45" s="277"/>
      <c r="AS45" s="277"/>
      <c r="AT45" s="277"/>
      <c r="AU45" s="277"/>
      <c r="AV45" s="277"/>
      <c r="AW45" s="277"/>
      <c r="AX45" s="277"/>
      <c r="AY45" s="277"/>
      <c r="AZ45" s="277"/>
      <c r="BA45" s="277"/>
      <c r="BB45" s="277"/>
      <c r="BC45" s="277"/>
      <c r="BD45" s="277"/>
      <c r="BE45" s="277"/>
      <c r="BF45" s="277"/>
      <c r="BG45" s="277"/>
      <c r="BH45" s="277"/>
      <c r="BI45" s="277"/>
      <c r="BJ45" s="277"/>
      <c r="BK45" s="277"/>
      <c r="BL45" s="277"/>
      <c r="BM45" s="277"/>
      <c r="BN45" s="277"/>
      <c r="BO45" s="277"/>
      <c r="BP45" s="277"/>
      <c r="BQ45" s="277"/>
      <c r="BR45" s="277"/>
      <c r="BS45" s="277"/>
      <c r="BT45" s="277"/>
      <c r="BU45" s="277"/>
      <c r="BV45" s="277"/>
      <c r="BW45" s="277"/>
      <c r="BX45" s="277"/>
      <c r="BY45" s="277"/>
      <c r="BZ45" s="277"/>
      <c r="CA45" s="277"/>
      <c r="CB45" s="277"/>
      <c r="CC45" s="277"/>
      <c r="CD45" s="277"/>
      <c r="CE45" s="277"/>
      <c r="CF45" s="277"/>
      <c r="CG45" s="277"/>
      <c r="CH45" s="277"/>
      <c r="CI45" s="277"/>
      <c r="CJ45" s="277"/>
      <c r="CK45" s="277"/>
      <c r="CL45" s="277"/>
      <c r="CM45" s="277"/>
      <c r="CN45" s="277"/>
      <c r="CO45" s="277"/>
      <c r="CP45" s="277"/>
      <c r="CQ45" s="277"/>
      <c r="CR45" s="277"/>
      <c r="CS45" s="277"/>
      <c r="CT45" s="277"/>
      <c r="CU45" s="277"/>
      <c r="CV45" s="277"/>
      <c r="CW45" s="277"/>
      <c r="CX45" s="277"/>
      <c r="CY45" s="277"/>
      <c r="CZ45" s="277"/>
      <c r="DA45" s="277"/>
      <c r="DB45" s="277"/>
      <c r="DC45" s="277"/>
      <c r="DD45" s="277"/>
      <c r="DE45" s="277"/>
      <c r="DF45" s="277"/>
      <c r="DG45" s="277"/>
      <c r="DH45" s="277"/>
      <c r="DI45" s="277"/>
      <c r="DJ45" s="277"/>
      <c r="DK45" s="277"/>
      <c r="DL45" s="277"/>
      <c r="DM45" s="277"/>
      <c r="DN45" s="277"/>
      <c r="DO45" s="277"/>
      <c r="DP45" s="277"/>
      <c r="DQ45" s="277"/>
      <c r="DR45" s="277"/>
      <c r="DS45" s="277"/>
      <c r="DT45" s="277"/>
      <c r="DU45" s="277"/>
      <c r="DV45" s="277"/>
      <c r="DW45" s="277"/>
      <c r="DX45" s="277"/>
      <c r="DY45" s="277"/>
      <c r="DZ45" s="277"/>
      <c r="EA45" s="277"/>
      <c r="EB45" s="277"/>
      <c r="EC45" s="277"/>
      <c r="ED45" s="277"/>
      <c r="EE45" s="277"/>
      <c r="EF45" s="277"/>
      <c r="EG45" s="277"/>
      <c r="EH45" s="277"/>
      <c r="EI45" s="277"/>
      <c r="EJ45" s="277"/>
      <c r="EK45" s="277"/>
      <c r="EL45" s="277"/>
      <c r="EM45" s="277"/>
      <c r="EN45" s="277"/>
      <c r="EO45" s="277"/>
      <c r="EP45" s="277"/>
      <c r="EQ45" s="277"/>
      <c r="ER45" s="277"/>
      <c r="ES45" s="277"/>
      <c r="ET45" s="277"/>
      <c r="EU45" s="277"/>
      <c r="EV45" s="277"/>
      <c r="EW45" s="277"/>
      <c r="EX45" s="277"/>
      <c r="EY45" s="277"/>
      <c r="EZ45" s="277"/>
      <c r="FA45" s="277"/>
      <c r="FB45" s="277"/>
      <c r="FC45" s="277"/>
      <c r="FD45" s="277"/>
      <c r="FE45" s="277"/>
      <c r="FF45" s="277"/>
      <c r="FG45" s="277"/>
      <c r="FH45" s="277"/>
      <c r="FI45" s="277"/>
      <c r="FJ45" s="277"/>
      <c r="FK45" s="277"/>
      <c r="FL45" s="277"/>
      <c r="FM45" s="277"/>
      <c r="FN45" s="277"/>
      <c r="FO45" s="277"/>
      <c r="FP45" s="277"/>
      <c r="FQ45" s="277"/>
      <c r="FR45" s="277"/>
      <c r="FS45" s="277"/>
      <c r="FT45" s="277"/>
      <c r="FU45" s="277"/>
      <c r="FV45" s="277"/>
      <c r="FW45" s="277"/>
      <c r="FX45" s="277"/>
      <c r="FY45" s="277"/>
      <c r="FZ45" s="277"/>
      <c r="GA45" s="277"/>
      <c r="GB45" s="277"/>
      <c r="GC45" s="277"/>
      <c r="GD45" s="277"/>
      <c r="GE45" s="277"/>
      <c r="GF45" s="277"/>
      <c r="GG45" s="277"/>
      <c r="GH45" s="277"/>
      <c r="GI45" s="277"/>
      <c r="GJ45" s="277"/>
      <c r="GK45" s="277"/>
      <c r="GL45" s="277"/>
      <c r="GM45" s="277"/>
      <c r="GN45" s="277"/>
      <c r="GO45" s="277"/>
      <c r="GP45" s="277"/>
      <c r="GQ45" s="277"/>
      <c r="GR45" s="277"/>
      <c r="GS45" s="277"/>
      <c r="GT45" s="277"/>
      <c r="GU45" s="277"/>
      <c r="GV45" s="277"/>
      <c r="GW45" s="277"/>
      <c r="GX45" s="277"/>
      <c r="GY45" s="277"/>
      <c r="GZ45" s="277"/>
      <c r="HA45" s="277"/>
      <c r="HB45" s="277"/>
      <c r="HC45" s="277"/>
      <c r="HD45" s="277"/>
      <c r="HE45" s="277"/>
      <c r="HF45" s="277"/>
      <c r="HG45" s="277"/>
      <c r="HH45" s="277"/>
      <c r="HI45" s="277"/>
      <c r="HJ45" s="277"/>
      <c r="HK45" s="277"/>
      <c r="HL45" s="277"/>
      <c r="HM45" s="277"/>
      <c r="HN45" s="277"/>
      <c r="HO45" s="277"/>
      <c r="HP45" s="277"/>
      <c r="HQ45" s="277"/>
      <c r="HR45" s="277"/>
      <c r="HS45" s="277"/>
      <c r="HT45" s="277"/>
      <c r="HU45" s="277"/>
      <c r="HV45" s="277"/>
      <c r="HW45" s="277"/>
      <c r="HX45" s="277"/>
      <c r="HY45" s="277"/>
      <c r="HZ45" s="277"/>
      <c r="IA45" s="277"/>
      <c r="IB45" s="277"/>
      <c r="IC45" s="277"/>
      <c r="ID45" s="277"/>
    </row>
    <row r="46" spans="1:238" ht="13" hidden="1" x14ac:dyDescent="0.3">
      <c r="A46" s="368"/>
      <c r="B46" s="348" t="s">
        <v>253</v>
      </c>
      <c r="C46" s="383">
        <f>C$22*C28/D28</f>
        <v>1.875</v>
      </c>
      <c r="D46" s="349">
        <f>'Existing Management Practices'!D75</f>
        <v>1.2741935483870969E-2</v>
      </c>
      <c r="E46" s="350">
        <f>'Existing Management Practices'!E75</f>
        <v>1.536E-2</v>
      </c>
      <c r="F46" s="351">
        <f>'Existing Management Practices'!F75</f>
        <v>0.25483870967741934</v>
      </c>
      <c r="G46" s="352">
        <f>'Existing Management Practices'!G75</f>
        <v>5.3760000000000009E-2</v>
      </c>
      <c r="H46" s="16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294"/>
      <c r="V46" s="294"/>
      <c r="W46" s="294"/>
      <c r="X46" s="294"/>
      <c r="Y46" s="294"/>
      <c r="Z46" s="294"/>
      <c r="AA46" s="294"/>
      <c r="AB46" s="294"/>
      <c r="AC46" s="294"/>
      <c r="AD46" s="277"/>
      <c r="AE46" s="277"/>
      <c r="AF46" s="277"/>
      <c r="AG46" s="277"/>
      <c r="AH46" s="277"/>
      <c r="AI46" s="277"/>
      <c r="AJ46" s="277"/>
      <c r="AK46" s="277"/>
      <c r="AL46" s="277"/>
      <c r="AM46" s="277"/>
      <c r="AN46" s="277"/>
      <c r="AO46" s="277"/>
      <c r="AP46" s="277"/>
      <c r="AQ46" s="277"/>
      <c r="AR46" s="277"/>
      <c r="AS46" s="277"/>
      <c r="AT46" s="277"/>
      <c r="AU46" s="277"/>
      <c r="AV46" s="277"/>
      <c r="AW46" s="277"/>
      <c r="AX46" s="277"/>
      <c r="AY46" s="277"/>
      <c r="AZ46" s="277"/>
      <c r="BA46" s="277"/>
      <c r="BB46" s="277"/>
      <c r="BC46" s="277"/>
      <c r="BD46" s="277"/>
      <c r="BE46" s="277"/>
      <c r="BF46" s="277"/>
      <c r="BG46" s="277"/>
      <c r="BH46" s="277"/>
      <c r="BI46" s="277"/>
      <c r="BJ46" s="277"/>
      <c r="BK46" s="277"/>
      <c r="BL46" s="277"/>
      <c r="BM46" s="277"/>
      <c r="BN46" s="277"/>
      <c r="BO46" s="277"/>
      <c r="BP46" s="277"/>
      <c r="BQ46" s="277"/>
      <c r="BR46" s="277"/>
      <c r="BS46" s="277"/>
      <c r="BT46" s="277"/>
      <c r="BU46" s="277"/>
      <c r="BV46" s="277"/>
      <c r="BW46" s="277"/>
      <c r="BX46" s="277"/>
      <c r="BY46" s="277"/>
      <c r="BZ46" s="277"/>
      <c r="CA46" s="277"/>
      <c r="CB46" s="277"/>
      <c r="CC46" s="277"/>
      <c r="CD46" s="277"/>
      <c r="CE46" s="277"/>
      <c r="CF46" s="277"/>
      <c r="CG46" s="277"/>
      <c r="CH46" s="277"/>
      <c r="CI46" s="277"/>
      <c r="CJ46" s="277"/>
      <c r="CK46" s="277"/>
      <c r="CL46" s="277"/>
      <c r="CM46" s="277"/>
      <c r="CN46" s="277"/>
      <c r="CO46" s="277"/>
      <c r="CP46" s="277"/>
      <c r="CQ46" s="277"/>
      <c r="CR46" s="277"/>
      <c r="CS46" s="277"/>
      <c r="CT46" s="277"/>
      <c r="CU46" s="277"/>
      <c r="CV46" s="277"/>
      <c r="CW46" s="277"/>
      <c r="CX46" s="277"/>
      <c r="CY46" s="277"/>
      <c r="CZ46" s="277"/>
      <c r="DA46" s="277"/>
      <c r="DB46" s="277"/>
      <c r="DC46" s="277"/>
      <c r="DD46" s="277"/>
      <c r="DE46" s="277"/>
      <c r="DF46" s="277"/>
      <c r="DG46" s="277"/>
      <c r="DH46" s="277"/>
      <c r="DI46" s="277"/>
      <c r="DJ46" s="277"/>
      <c r="DK46" s="277"/>
      <c r="DL46" s="277"/>
      <c r="DM46" s="277"/>
      <c r="DN46" s="277"/>
      <c r="DO46" s="277"/>
      <c r="DP46" s="277"/>
      <c r="DQ46" s="277"/>
      <c r="DR46" s="277"/>
      <c r="DS46" s="277"/>
      <c r="DT46" s="277"/>
      <c r="DU46" s="277"/>
      <c r="DV46" s="277"/>
      <c r="DW46" s="277"/>
      <c r="DX46" s="277"/>
      <c r="DY46" s="277"/>
      <c r="DZ46" s="277"/>
      <c r="EA46" s="277"/>
      <c r="EB46" s="277"/>
      <c r="EC46" s="277"/>
      <c r="ED46" s="277"/>
      <c r="EE46" s="277"/>
      <c r="EF46" s="277"/>
      <c r="EG46" s="277"/>
      <c r="EH46" s="277"/>
      <c r="EI46" s="277"/>
      <c r="EJ46" s="277"/>
      <c r="EK46" s="277"/>
      <c r="EL46" s="277"/>
      <c r="EM46" s="277"/>
      <c r="EN46" s="277"/>
      <c r="EO46" s="277"/>
      <c r="EP46" s="277"/>
      <c r="EQ46" s="277"/>
      <c r="ER46" s="277"/>
      <c r="ES46" s="277"/>
      <c r="ET46" s="277"/>
      <c r="EU46" s="277"/>
      <c r="EV46" s="277"/>
      <c r="EW46" s="277"/>
      <c r="EX46" s="277"/>
      <c r="EY46" s="277"/>
      <c r="EZ46" s="277"/>
      <c r="FA46" s="277"/>
      <c r="FB46" s="277"/>
      <c r="FC46" s="277"/>
      <c r="FD46" s="277"/>
      <c r="FE46" s="277"/>
      <c r="FF46" s="277"/>
      <c r="FG46" s="277"/>
      <c r="FH46" s="277"/>
      <c r="FI46" s="277"/>
      <c r="FJ46" s="277"/>
      <c r="FK46" s="277"/>
      <c r="FL46" s="277"/>
      <c r="FM46" s="277"/>
      <c r="FN46" s="277"/>
      <c r="FO46" s="277"/>
      <c r="FP46" s="277"/>
      <c r="FQ46" s="277"/>
      <c r="FR46" s="277"/>
      <c r="FS46" s="277"/>
      <c r="FT46" s="277"/>
      <c r="FU46" s="277"/>
      <c r="FV46" s="277"/>
      <c r="FW46" s="277"/>
      <c r="FX46" s="277"/>
      <c r="FY46" s="277"/>
      <c r="FZ46" s="277"/>
      <c r="GA46" s="277"/>
      <c r="GB46" s="277"/>
      <c r="GC46" s="277"/>
      <c r="GD46" s="277"/>
      <c r="GE46" s="277"/>
      <c r="GF46" s="277"/>
      <c r="GG46" s="277"/>
      <c r="GH46" s="277"/>
      <c r="GI46" s="277"/>
      <c r="GJ46" s="277"/>
      <c r="GK46" s="277"/>
      <c r="GL46" s="277"/>
      <c r="GM46" s="277"/>
      <c r="GN46" s="277"/>
      <c r="GO46" s="277"/>
      <c r="GP46" s="277"/>
      <c r="GQ46" s="277"/>
      <c r="GR46" s="277"/>
      <c r="GS46" s="277"/>
      <c r="GT46" s="277"/>
      <c r="GU46" s="277"/>
      <c r="GV46" s="277"/>
      <c r="GW46" s="277"/>
      <c r="GX46" s="277"/>
      <c r="GY46" s="277"/>
      <c r="GZ46" s="277"/>
      <c r="HA46" s="277"/>
      <c r="HB46" s="277"/>
      <c r="HC46" s="277"/>
      <c r="HD46" s="277"/>
      <c r="HE46" s="277"/>
      <c r="HF46" s="277"/>
      <c r="HG46" s="277"/>
      <c r="HH46" s="277"/>
      <c r="HI46" s="277"/>
      <c r="HJ46" s="277"/>
      <c r="HK46" s="277"/>
      <c r="HL46" s="277"/>
      <c r="HM46" s="277"/>
      <c r="HN46" s="277"/>
      <c r="HO46" s="277"/>
      <c r="HP46" s="277"/>
      <c r="HQ46" s="277"/>
      <c r="HR46" s="277"/>
      <c r="HS46" s="277"/>
      <c r="HT46" s="277"/>
      <c r="HU46" s="277"/>
      <c r="HV46" s="277"/>
      <c r="HW46" s="277"/>
      <c r="HX46" s="277"/>
      <c r="HY46" s="277"/>
      <c r="HZ46" s="277"/>
      <c r="IA46" s="277"/>
      <c r="IB46" s="277"/>
      <c r="IC46" s="277"/>
      <c r="ID46" s="277"/>
    </row>
    <row r="47" spans="1:238" ht="13" hidden="1" x14ac:dyDescent="0.3">
      <c r="A47" s="368"/>
      <c r="B47" s="348" t="s">
        <v>254</v>
      </c>
      <c r="C47" s="383">
        <f>C$22*C29/D29</f>
        <v>3</v>
      </c>
      <c r="D47" s="349">
        <f>'Existing Management Practices'!D76</f>
        <v>8.2499999999999987E-3</v>
      </c>
      <c r="E47" s="350">
        <f>'Existing Management Practices'!E76</f>
        <v>0</v>
      </c>
      <c r="F47" s="351">
        <f>'Existing Management Practices'!F76</f>
        <v>0.20624999999999999</v>
      </c>
      <c r="G47" s="352">
        <f>'Existing Management Practices'!G76</f>
        <v>0</v>
      </c>
      <c r="H47" s="16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94"/>
      <c r="V47" s="294"/>
      <c r="W47" s="294"/>
      <c r="X47" s="294"/>
      <c r="Y47" s="294"/>
      <c r="Z47" s="294"/>
      <c r="AA47" s="294"/>
      <c r="AB47" s="294"/>
      <c r="AC47" s="294"/>
      <c r="AD47" s="277"/>
      <c r="AE47" s="277"/>
      <c r="AF47" s="277"/>
      <c r="AG47" s="277"/>
      <c r="AH47" s="277"/>
      <c r="AI47" s="277"/>
      <c r="AJ47" s="277"/>
      <c r="AK47" s="277"/>
      <c r="AL47" s="277"/>
      <c r="AM47" s="277"/>
      <c r="AN47" s="277"/>
      <c r="AO47" s="277"/>
      <c r="AP47" s="277"/>
      <c r="AQ47" s="277"/>
      <c r="AR47" s="277"/>
      <c r="AS47" s="277"/>
      <c r="AT47" s="277"/>
      <c r="AU47" s="277"/>
      <c r="AV47" s="277"/>
      <c r="AW47" s="277"/>
      <c r="AX47" s="277"/>
      <c r="AY47" s="277"/>
      <c r="AZ47" s="277"/>
      <c r="BA47" s="277"/>
      <c r="BB47" s="277"/>
      <c r="BC47" s="277"/>
      <c r="BD47" s="277"/>
      <c r="BE47" s="277"/>
      <c r="BF47" s="277"/>
      <c r="BG47" s="277"/>
      <c r="BH47" s="277"/>
      <c r="BI47" s="277"/>
      <c r="BJ47" s="277"/>
      <c r="BK47" s="277"/>
      <c r="BL47" s="277"/>
      <c r="BM47" s="277"/>
      <c r="BN47" s="277"/>
      <c r="BO47" s="277"/>
      <c r="BP47" s="277"/>
      <c r="BQ47" s="277"/>
      <c r="BR47" s="277"/>
      <c r="BS47" s="277"/>
      <c r="BT47" s="277"/>
      <c r="BU47" s="277"/>
      <c r="BV47" s="277"/>
      <c r="BW47" s="277"/>
      <c r="BX47" s="277"/>
      <c r="BY47" s="277"/>
      <c r="BZ47" s="277"/>
      <c r="CA47" s="277"/>
      <c r="CB47" s="277"/>
      <c r="CC47" s="277"/>
      <c r="CD47" s="277"/>
      <c r="CE47" s="277"/>
      <c r="CF47" s="277"/>
      <c r="CG47" s="277"/>
      <c r="CH47" s="277"/>
      <c r="CI47" s="277"/>
      <c r="CJ47" s="277"/>
      <c r="CK47" s="277"/>
      <c r="CL47" s="277"/>
      <c r="CM47" s="277"/>
      <c r="CN47" s="277"/>
      <c r="CO47" s="277"/>
      <c r="CP47" s="277"/>
      <c r="CQ47" s="277"/>
      <c r="CR47" s="277"/>
      <c r="CS47" s="277"/>
      <c r="CT47" s="277"/>
      <c r="CU47" s="277"/>
      <c r="CV47" s="277"/>
      <c r="CW47" s="277"/>
      <c r="CX47" s="277"/>
      <c r="CY47" s="277"/>
      <c r="CZ47" s="277"/>
      <c r="DA47" s="277"/>
      <c r="DB47" s="277"/>
      <c r="DC47" s="277"/>
      <c r="DD47" s="277"/>
      <c r="DE47" s="277"/>
      <c r="DF47" s="277"/>
      <c r="DG47" s="277"/>
      <c r="DH47" s="277"/>
      <c r="DI47" s="277"/>
      <c r="DJ47" s="277"/>
      <c r="DK47" s="277"/>
      <c r="DL47" s="277"/>
      <c r="DM47" s="277"/>
      <c r="DN47" s="277"/>
      <c r="DO47" s="277"/>
      <c r="DP47" s="277"/>
      <c r="DQ47" s="277"/>
      <c r="DR47" s="277"/>
      <c r="DS47" s="277"/>
      <c r="DT47" s="277"/>
      <c r="DU47" s="277"/>
      <c r="DV47" s="277"/>
      <c r="DW47" s="277"/>
      <c r="DX47" s="277"/>
      <c r="DY47" s="277"/>
      <c r="DZ47" s="277"/>
      <c r="EA47" s="277"/>
      <c r="EB47" s="277"/>
      <c r="EC47" s="277"/>
      <c r="ED47" s="277"/>
      <c r="EE47" s="277"/>
      <c r="EF47" s="277"/>
      <c r="EG47" s="277"/>
      <c r="EH47" s="277"/>
      <c r="EI47" s="277"/>
      <c r="EJ47" s="277"/>
      <c r="EK47" s="277"/>
      <c r="EL47" s="277"/>
      <c r="EM47" s="277"/>
      <c r="EN47" s="277"/>
      <c r="EO47" s="277"/>
      <c r="EP47" s="277"/>
      <c r="EQ47" s="277"/>
      <c r="ER47" s="277"/>
      <c r="ES47" s="277"/>
      <c r="ET47" s="277"/>
      <c r="EU47" s="277"/>
      <c r="EV47" s="277"/>
      <c r="EW47" s="277"/>
      <c r="EX47" s="277"/>
      <c r="EY47" s="277"/>
      <c r="EZ47" s="277"/>
      <c r="FA47" s="277"/>
      <c r="FB47" s="277"/>
      <c r="FC47" s="277"/>
      <c r="FD47" s="277"/>
      <c r="FE47" s="277"/>
      <c r="FF47" s="277"/>
      <c r="FG47" s="277"/>
      <c r="FH47" s="277"/>
      <c r="FI47" s="277"/>
      <c r="FJ47" s="277"/>
      <c r="FK47" s="277"/>
      <c r="FL47" s="277"/>
      <c r="FM47" s="277"/>
      <c r="FN47" s="277"/>
      <c r="FO47" s="277"/>
      <c r="FP47" s="277"/>
      <c r="FQ47" s="277"/>
      <c r="FR47" s="277"/>
      <c r="FS47" s="277"/>
      <c r="FT47" s="277"/>
      <c r="FU47" s="277"/>
      <c r="FV47" s="277"/>
      <c r="FW47" s="277"/>
      <c r="FX47" s="277"/>
      <c r="FY47" s="277"/>
      <c r="FZ47" s="277"/>
      <c r="GA47" s="277"/>
      <c r="GB47" s="277"/>
      <c r="GC47" s="277"/>
      <c r="GD47" s="277"/>
      <c r="GE47" s="277"/>
      <c r="GF47" s="277"/>
      <c r="GG47" s="277"/>
      <c r="GH47" s="277"/>
      <c r="GI47" s="277"/>
      <c r="GJ47" s="277"/>
      <c r="GK47" s="277"/>
      <c r="GL47" s="277"/>
      <c r="GM47" s="277"/>
      <c r="GN47" s="277"/>
      <c r="GO47" s="277"/>
      <c r="GP47" s="277"/>
      <c r="GQ47" s="277"/>
      <c r="GR47" s="277"/>
      <c r="GS47" s="277"/>
      <c r="GT47" s="277"/>
      <c r="GU47" s="277"/>
      <c r="GV47" s="277"/>
      <c r="GW47" s="277"/>
      <c r="GX47" s="277"/>
      <c r="GY47" s="277"/>
      <c r="GZ47" s="277"/>
      <c r="HA47" s="277"/>
      <c r="HB47" s="277"/>
      <c r="HC47" s="277"/>
      <c r="HD47" s="277"/>
      <c r="HE47" s="277"/>
      <c r="HF47" s="277"/>
      <c r="HG47" s="277"/>
      <c r="HH47" s="277"/>
      <c r="HI47" s="277"/>
      <c r="HJ47" s="277"/>
      <c r="HK47" s="277"/>
      <c r="HL47" s="277"/>
      <c r="HM47" s="277"/>
      <c r="HN47" s="277"/>
      <c r="HO47" s="277"/>
      <c r="HP47" s="277"/>
      <c r="HQ47" s="277"/>
      <c r="HR47" s="277"/>
      <c r="HS47" s="277"/>
      <c r="HT47" s="277"/>
      <c r="HU47" s="277"/>
      <c r="HV47" s="277"/>
      <c r="HW47" s="277"/>
      <c r="HX47" s="277"/>
      <c r="HY47" s="277"/>
      <c r="HZ47" s="277"/>
      <c r="IA47" s="277"/>
      <c r="IB47" s="277"/>
      <c r="IC47" s="277"/>
      <c r="ID47" s="277"/>
    </row>
    <row r="48" spans="1:238" ht="13" hidden="1" x14ac:dyDescent="0.3">
      <c r="A48" s="368"/>
      <c r="B48" s="460"/>
      <c r="C48" s="383"/>
      <c r="D48" s="461"/>
      <c r="E48" s="462"/>
      <c r="F48" s="463"/>
      <c r="G48" s="464"/>
      <c r="H48" s="16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94"/>
      <c r="V48" s="294"/>
      <c r="W48" s="294"/>
      <c r="X48" s="294"/>
      <c r="Y48" s="294"/>
      <c r="Z48" s="294"/>
      <c r="AA48" s="294"/>
      <c r="AB48" s="294"/>
      <c r="AC48" s="294"/>
      <c r="AD48" s="277"/>
      <c r="AE48" s="277"/>
      <c r="AF48" s="277"/>
      <c r="AG48" s="277"/>
      <c r="AH48" s="277"/>
      <c r="AI48" s="277"/>
      <c r="AJ48" s="277"/>
      <c r="AK48" s="277"/>
      <c r="AL48" s="277"/>
      <c r="AM48" s="277"/>
      <c r="AN48" s="277"/>
      <c r="AO48" s="277"/>
      <c r="AP48" s="277"/>
      <c r="AQ48" s="277"/>
      <c r="AR48" s="277"/>
      <c r="AS48" s="277"/>
      <c r="AT48" s="277"/>
      <c r="AU48" s="277"/>
      <c r="AV48" s="277"/>
      <c r="AW48" s="277"/>
      <c r="AX48" s="277"/>
      <c r="AY48" s="277"/>
      <c r="AZ48" s="277"/>
      <c r="BA48" s="277"/>
      <c r="BB48" s="277"/>
      <c r="BC48" s="277"/>
      <c r="BD48" s="277"/>
      <c r="BE48" s="277"/>
      <c r="BF48" s="277"/>
      <c r="BG48" s="277"/>
      <c r="BH48" s="277"/>
      <c r="BI48" s="277"/>
      <c r="BJ48" s="277"/>
      <c r="BK48" s="277"/>
      <c r="BL48" s="277"/>
      <c r="BM48" s="277"/>
      <c r="BN48" s="277"/>
      <c r="BO48" s="277"/>
      <c r="BP48" s="277"/>
      <c r="BQ48" s="277"/>
      <c r="BR48" s="277"/>
      <c r="BS48" s="277"/>
      <c r="BT48" s="277"/>
      <c r="BU48" s="277"/>
      <c r="BV48" s="277"/>
      <c r="BW48" s="277"/>
      <c r="BX48" s="277"/>
      <c r="BY48" s="277"/>
      <c r="BZ48" s="277"/>
      <c r="CA48" s="277"/>
      <c r="CB48" s="277"/>
      <c r="CC48" s="277"/>
      <c r="CD48" s="277"/>
      <c r="CE48" s="277"/>
      <c r="CF48" s="277"/>
      <c r="CG48" s="277"/>
      <c r="CH48" s="277"/>
      <c r="CI48" s="277"/>
      <c r="CJ48" s="277"/>
      <c r="CK48" s="277"/>
      <c r="CL48" s="277"/>
      <c r="CM48" s="277"/>
      <c r="CN48" s="277"/>
      <c r="CO48" s="277"/>
      <c r="CP48" s="277"/>
      <c r="CQ48" s="277"/>
      <c r="CR48" s="277"/>
      <c r="CS48" s="277"/>
      <c r="CT48" s="277"/>
      <c r="CU48" s="277"/>
      <c r="CV48" s="277"/>
      <c r="CW48" s="277"/>
      <c r="CX48" s="277"/>
      <c r="CY48" s="277"/>
      <c r="CZ48" s="277"/>
      <c r="DA48" s="277"/>
      <c r="DB48" s="277"/>
      <c r="DC48" s="277"/>
      <c r="DD48" s="277"/>
      <c r="DE48" s="277"/>
      <c r="DF48" s="277"/>
      <c r="DG48" s="277"/>
      <c r="DH48" s="277"/>
      <c r="DI48" s="277"/>
      <c r="DJ48" s="277"/>
      <c r="DK48" s="277"/>
      <c r="DL48" s="277"/>
      <c r="DM48" s="277"/>
      <c r="DN48" s="277"/>
      <c r="DO48" s="277"/>
      <c r="DP48" s="277"/>
      <c r="DQ48" s="277"/>
      <c r="DR48" s="277"/>
      <c r="DS48" s="277"/>
      <c r="DT48" s="277"/>
      <c r="DU48" s="277"/>
      <c r="DV48" s="277"/>
      <c r="DW48" s="277"/>
      <c r="DX48" s="277"/>
      <c r="DY48" s="277"/>
      <c r="DZ48" s="277"/>
      <c r="EA48" s="277"/>
      <c r="EB48" s="277"/>
      <c r="EC48" s="277"/>
      <c r="ED48" s="277"/>
      <c r="EE48" s="277"/>
      <c r="EF48" s="277"/>
      <c r="EG48" s="277"/>
      <c r="EH48" s="277"/>
      <c r="EI48" s="277"/>
      <c r="EJ48" s="277"/>
      <c r="EK48" s="277"/>
      <c r="EL48" s="277"/>
      <c r="EM48" s="277"/>
      <c r="EN48" s="277"/>
      <c r="EO48" s="277"/>
      <c r="EP48" s="277"/>
      <c r="EQ48" s="277"/>
      <c r="ER48" s="277"/>
      <c r="ES48" s="277"/>
      <c r="ET48" s="277"/>
      <c r="EU48" s="277"/>
      <c r="EV48" s="277"/>
      <c r="EW48" s="277"/>
      <c r="EX48" s="277"/>
      <c r="EY48" s="277"/>
      <c r="EZ48" s="277"/>
      <c r="FA48" s="277"/>
      <c r="FB48" s="277"/>
      <c r="FC48" s="277"/>
      <c r="FD48" s="277"/>
      <c r="FE48" s="277"/>
      <c r="FF48" s="277"/>
      <c r="FG48" s="277"/>
      <c r="FH48" s="277"/>
      <c r="FI48" s="277"/>
      <c r="FJ48" s="277"/>
      <c r="FK48" s="277"/>
      <c r="FL48" s="277"/>
      <c r="FM48" s="277"/>
      <c r="FN48" s="277"/>
      <c r="FO48" s="277"/>
      <c r="FP48" s="277"/>
      <c r="FQ48" s="277"/>
      <c r="FR48" s="277"/>
      <c r="FS48" s="277"/>
      <c r="FT48" s="277"/>
      <c r="FU48" s="277"/>
      <c r="FV48" s="277"/>
      <c r="FW48" s="277"/>
      <c r="FX48" s="277"/>
      <c r="FY48" s="277"/>
      <c r="FZ48" s="277"/>
      <c r="GA48" s="277"/>
      <c r="GB48" s="277"/>
      <c r="GC48" s="277"/>
      <c r="GD48" s="277"/>
      <c r="GE48" s="277"/>
      <c r="GF48" s="277"/>
      <c r="GG48" s="277"/>
      <c r="GH48" s="277"/>
      <c r="GI48" s="277"/>
      <c r="GJ48" s="277"/>
      <c r="GK48" s="277"/>
      <c r="GL48" s="277"/>
      <c r="GM48" s="277"/>
      <c r="GN48" s="277"/>
      <c r="GO48" s="277"/>
      <c r="GP48" s="277"/>
      <c r="GQ48" s="277"/>
      <c r="GR48" s="277"/>
      <c r="GS48" s="277"/>
      <c r="GT48" s="277"/>
      <c r="GU48" s="277"/>
      <c r="GV48" s="277"/>
      <c r="GW48" s="277"/>
      <c r="GX48" s="277"/>
      <c r="GY48" s="277"/>
      <c r="GZ48" s="277"/>
      <c r="HA48" s="277"/>
      <c r="HB48" s="277"/>
      <c r="HC48" s="277"/>
      <c r="HD48" s="277"/>
      <c r="HE48" s="277"/>
      <c r="HF48" s="277"/>
      <c r="HG48" s="277"/>
      <c r="HH48" s="277"/>
      <c r="HI48" s="277"/>
      <c r="HJ48" s="277"/>
      <c r="HK48" s="277"/>
      <c r="HL48" s="277"/>
      <c r="HM48" s="277"/>
      <c r="HN48" s="277"/>
      <c r="HO48" s="277"/>
      <c r="HP48" s="277"/>
      <c r="HQ48" s="277"/>
      <c r="HR48" s="277"/>
      <c r="HS48" s="277"/>
      <c r="HT48" s="277"/>
      <c r="HU48" s="277"/>
      <c r="HV48" s="277"/>
      <c r="HW48" s="277"/>
      <c r="HX48" s="277"/>
      <c r="HY48" s="277"/>
      <c r="HZ48" s="277"/>
      <c r="IA48" s="277"/>
      <c r="IB48" s="277"/>
      <c r="IC48" s="277"/>
      <c r="ID48" s="277"/>
    </row>
    <row r="49" spans="1:238" ht="13.5" hidden="1" thickBot="1" x14ac:dyDescent="0.35">
      <c r="A49" s="368"/>
      <c r="B49" s="465" t="s">
        <v>375</v>
      </c>
      <c r="C49" s="383"/>
      <c r="D49" s="466">
        <f>SUMPRODUCT(D44:D47,C26:C29)</f>
        <v>8.1207149735194988E-3</v>
      </c>
      <c r="E49" s="466">
        <f>SUMPRODUCT(E26:E29,C44:C47,E44:E47)/SUMPRODUCT(E26:E29,C44:C47)</f>
        <v>7.7660906964460881E-3</v>
      </c>
      <c r="F49" s="467">
        <f>SUMPRODUCT(F44:F47,$C26:$C29)</f>
        <v>0.18174079200770341</v>
      </c>
      <c r="G49" s="468">
        <f>SUMPRODUCT(G44:G47,E26:E29,C$44:$C47)/SUMPRODUCT(C44:C47,E26:E29)</f>
        <v>4.6073190975628162E-2</v>
      </c>
      <c r="H49" s="16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77"/>
      <c r="AE49" s="277"/>
      <c r="AF49" s="277"/>
      <c r="AG49" s="277"/>
      <c r="AH49" s="277"/>
      <c r="AI49" s="277"/>
      <c r="AJ49" s="277"/>
      <c r="AK49" s="277"/>
      <c r="AL49" s="277"/>
      <c r="AM49" s="277"/>
      <c r="AN49" s="277"/>
      <c r="AO49" s="277"/>
      <c r="AP49" s="277"/>
      <c r="AQ49" s="277"/>
      <c r="AR49" s="277"/>
      <c r="AS49" s="277"/>
      <c r="AT49" s="277"/>
      <c r="AU49" s="277"/>
      <c r="AV49" s="277"/>
      <c r="AW49" s="277"/>
      <c r="AX49" s="277"/>
      <c r="AY49" s="277"/>
      <c r="AZ49" s="277"/>
      <c r="BA49" s="277"/>
      <c r="BB49" s="277"/>
      <c r="BC49" s="277"/>
      <c r="BD49" s="277"/>
      <c r="BE49" s="277"/>
      <c r="BF49" s="277"/>
      <c r="BG49" s="277"/>
      <c r="BH49" s="277"/>
      <c r="BI49" s="277"/>
      <c r="BJ49" s="277"/>
      <c r="BK49" s="277"/>
      <c r="BL49" s="277"/>
      <c r="BM49" s="277"/>
      <c r="BN49" s="277"/>
      <c r="BO49" s="277"/>
      <c r="BP49" s="277"/>
      <c r="BQ49" s="277"/>
      <c r="BR49" s="277"/>
      <c r="BS49" s="277"/>
      <c r="BT49" s="277"/>
      <c r="BU49" s="277"/>
      <c r="BV49" s="277"/>
      <c r="BW49" s="277"/>
      <c r="BX49" s="277"/>
      <c r="BY49" s="277"/>
      <c r="BZ49" s="277"/>
      <c r="CA49" s="277"/>
      <c r="CB49" s="277"/>
      <c r="CC49" s="277"/>
      <c r="CD49" s="277"/>
      <c r="CE49" s="277"/>
      <c r="CF49" s="277"/>
      <c r="CG49" s="277"/>
      <c r="CH49" s="277"/>
      <c r="CI49" s="277"/>
      <c r="CJ49" s="277"/>
      <c r="CK49" s="277"/>
      <c r="CL49" s="277"/>
      <c r="CM49" s="277"/>
      <c r="CN49" s="277"/>
      <c r="CO49" s="277"/>
      <c r="CP49" s="277"/>
      <c r="CQ49" s="277"/>
      <c r="CR49" s="277"/>
      <c r="CS49" s="277"/>
      <c r="CT49" s="277"/>
      <c r="CU49" s="277"/>
      <c r="CV49" s="277"/>
      <c r="CW49" s="277"/>
      <c r="CX49" s="277"/>
      <c r="CY49" s="277"/>
      <c r="CZ49" s="277"/>
      <c r="DA49" s="277"/>
      <c r="DB49" s="277"/>
      <c r="DC49" s="277"/>
      <c r="DD49" s="277"/>
      <c r="DE49" s="277"/>
      <c r="DF49" s="277"/>
      <c r="DG49" s="277"/>
      <c r="DH49" s="277"/>
      <c r="DI49" s="277"/>
      <c r="DJ49" s="277"/>
      <c r="DK49" s="277"/>
      <c r="DL49" s="277"/>
      <c r="DM49" s="277"/>
      <c r="DN49" s="277"/>
      <c r="DO49" s="277"/>
      <c r="DP49" s="277"/>
      <c r="DQ49" s="277"/>
      <c r="DR49" s="277"/>
      <c r="DS49" s="277"/>
      <c r="DT49" s="277"/>
      <c r="DU49" s="277"/>
      <c r="DV49" s="277"/>
      <c r="DW49" s="277"/>
      <c r="DX49" s="277"/>
      <c r="DY49" s="277"/>
      <c r="DZ49" s="277"/>
      <c r="EA49" s="277"/>
      <c r="EB49" s="277"/>
      <c r="EC49" s="277"/>
      <c r="ED49" s="277"/>
      <c r="EE49" s="277"/>
      <c r="EF49" s="277"/>
      <c r="EG49" s="277"/>
      <c r="EH49" s="277"/>
      <c r="EI49" s="277"/>
      <c r="EJ49" s="277"/>
      <c r="EK49" s="277"/>
      <c r="EL49" s="277"/>
      <c r="EM49" s="277"/>
      <c r="EN49" s="277"/>
      <c r="EO49" s="277"/>
      <c r="EP49" s="277"/>
      <c r="EQ49" s="277"/>
      <c r="ER49" s="277"/>
      <c r="ES49" s="277"/>
      <c r="ET49" s="277"/>
      <c r="EU49" s="277"/>
      <c r="EV49" s="277"/>
      <c r="EW49" s="277"/>
      <c r="EX49" s="277"/>
      <c r="EY49" s="277"/>
      <c r="EZ49" s="277"/>
      <c r="FA49" s="277"/>
      <c r="FB49" s="277"/>
      <c r="FC49" s="277"/>
      <c r="FD49" s="277"/>
      <c r="FE49" s="277"/>
      <c r="FF49" s="277"/>
      <c r="FG49" s="277"/>
      <c r="FH49" s="277"/>
      <c r="FI49" s="277"/>
      <c r="FJ49" s="277"/>
      <c r="FK49" s="277"/>
      <c r="FL49" s="277"/>
      <c r="FM49" s="277"/>
      <c r="FN49" s="277"/>
      <c r="FO49" s="277"/>
      <c r="FP49" s="277"/>
      <c r="FQ49" s="277"/>
      <c r="FR49" s="277"/>
      <c r="FS49" s="277"/>
      <c r="FT49" s="277"/>
      <c r="FU49" s="277"/>
      <c r="FV49" s="277"/>
      <c r="FW49" s="277"/>
      <c r="FX49" s="277"/>
      <c r="FY49" s="277"/>
      <c r="FZ49" s="277"/>
      <c r="GA49" s="277"/>
      <c r="GB49" s="277"/>
      <c r="GC49" s="277"/>
      <c r="GD49" s="277"/>
      <c r="GE49" s="277"/>
      <c r="GF49" s="277"/>
      <c r="GG49" s="277"/>
      <c r="GH49" s="277"/>
      <c r="GI49" s="277"/>
      <c r="GJ49" s="277"/>
      <c r="GK49" s="277"/>
      <c r="GL49" s="277"/>
      <c r="GM49" s="277"/>
      <c r="GN49" s="277"/>
      <c r="GO49" s="277"/>
      <c r="GP49" s="277"/>
      <c r="GQ49" s="277"/>
      <c r="GR49" s="277"/>
      <c r="GS49" s="277"/>
      <c r="GT49" s="277"/>
      <c r="GU49" s="277"/>
      <c r="GV49" s="277"/>
      <c r="GW49" s="277"/>
      <c r="GX49" s="277"/>
      <c r="GY49" s="277"/>
      <c r="GZ49" s="277"/>
      <c r="HA49" s="277"/>
      <c r="HB49" s="277"/>
      <c r="HC49" s="277"/>
      <c r="HD49" s="277"/>
      <c r="HE49" s="277"/>
      <c r="HF49" s="277"/>
      <c r="HG49" s="277"/>
      <c r="HH49" s="277"/>
      <c r="HI49" s="277"/>
      <c r="HJ49" s="277"/>
      <c r="HK49" s="277"/>
      <c r="HL49" s="277"/>
      <c r="HM49" s="277"/>
      <c r="HN49" s="277"/>
      <c r="HO49" s="277"/>
      <c r="HP49" s="277"/>
      <c r="HQ49" s="277"/>
      <c r="HR49" s="277"/>
      <c r="HS49" s="277"/>
      <c r="HT49" s="277"/>
      <c r="HU49" s="277"/>
      <c r="HV49" s="277"/>
      <c r="HW49" s="277"/>
      <c r="HX49" s="277"/>
      <c r="HY49" s="277"/>
      <c r="HZ49" s="277"/>
      <c r="IA49" s="277"/>
      <c r="IB49" s="277"/>
      <c r="IC49" s="277"/>
      <c r="ID49" s="277"/>
    </row>
    <row r="50" spans="1:238" ht="13.5" thickBot="1" x14ac:dyDescent="0.35">
      <c r="A50" s="368"/>
      <c r="B50" s="277"/>
      <c r="C50" s="277"/>
      <c r="D50" s="277"/>
      <c r="E50" s="277"/>
      <c r="F50" s="277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94"/>
      <c r="U50" s="294"/>
      <c r="V50" s="294"/>
      <c r="W50" s="294"/>
      <c r="X50" s="294"/>
      <c r="Y50" s="294"/>
      <c r="Z50" s="294"/>
      <c r="AA50" s="294"/>
      <c r="AB50" s="294"/>
      <c r="AC50" s="277"/>
      <c r="AD50" s="277"/>
      <c r="AE50" s="277"/>
      <c r="AF50" s="277"/>
      <c r="AG50" s="277"/>
      <c r="AH50" s="277"/>
      <c r="AI50" s="277"/>
      <c r="AJ50" s="277"/>
      <c r="AK50" s="277"/>
      <c r="AL50" s="277"/>
      <c r="AM50" s="277"/>
      <c r="AN50" s="277"/>
      <c r="AO50" s="277"/>
      <c r="AP50" s="277"/>
      <c r="AQ50" s="277"/>
      <c r="AR50" s="277"/>
      <c r="AS50" s="277"/>
      <c r="AT50" s="277"/>
      <c r="AU50" s="277"/>
      <c r="AV50" s="277"/>
      <c r="AW50" s="277"/>
      <c r="AX50" s="277"/>
      <c r="AY50" s="277"/>
      <c r="AZ50" s="277"/>
      <c r="BA50" s="277"/>
      <c r="BB50" s="277"/>
      <c r="BC50" s="277"/>
      <c r="BD50" s="277"/>
      <c r="BE50" s="277"/>
      <c r="BF50" s="277"/>
      <c r="BG50" s="277"/>
      <c r="BH50" s="277"/>
      <c r="BI50" s="277"/>
      <c r="BJ50" s="277"/>
      <c r="BK50" s="277"/>
      <c r="BL50" s="277"/>
      <c r="BM50" s="277"/>
      <c r="BN50" s="277"/>
      <c r="BO50" s="277"/>
      <c r="BP50" s="277"/>
      <c r="BQ50" s="277"/>
      <c r="BR50" s="277"/>
      <c r="BS50" s="277"/>
      <c r="BT50" s="277"/>
      <c r="BU50" s="277"/>
      <c r="BV50" s="277"/>
      <c r="BW50" s="277"/>
      <c r="BX50" s="277"/>
      <c r="BY50" s="277"/>
      <c r="BZ50" s="277"/>
      <c r="CA50" s="277"/>
      <c r="CB50" s="277"/>
      <c r="CC50" s="277"/>
      <c r="CD50" s="277"/>
      <c r="CE50" s="277"/>
      <c r="CF50" s="277"/>
      <c r="CG50" s="277"/>
      <c r="CH50" s="277"/>
      <c r="CI50" s="277"/>
      <c r="CJ50" s="277"/>
      <c r="CK50" s="277"/>
      <c r="CL50" s="277"/>
      <c r="CM50" s="277"/>
      <c r="CN50" s="277"/>
      <c r="CO50" s="277"/>
      <c r="CP50" s="277"/>
      <c r="CQ50" s="277"/>
      <c r="CR50" s="277"/>
      <c r="CS50" s="277"/>
      <c r="CT50" s="277"/>
      <c r="CU50" s="277"/>
      <c r="CV50" s="277"/>
      <c r="CW50" s="277"/>
      <c r="CX50" s="277"/>
      <c r="CY50" s="277"/>
      <c r="CZ50" s="277"/>
      <c r="DA50" s="277"/>
      <c r="DB50" s="277"/>
      <c r="DC50" s="277"/>
      <c r="DD50" s="277"/>
      <c r="DE50" s="277"/>
      <c r="DF50" s="277"/>
      <c r="DG50" s="277"/>
      <c r="DH50" s="277"/>
      <c r="DI50" s="277"/>
      <c r="DJ50" s="277"/>
      <c r="DK50" s="277"/>
      <c r="DL50" s="277"/>
      <c r="DM50" s="277"/>
      <c r="DN50" s="277"/>
      <c r="DO50" s="277"/>
      <c r="DP50" s="277"/>
      <c r="DQ50" s="277"/>
      <c r="DR50" s="277"/>
      <c r="DS50" s="277"/>
      <c r="DT50" s="277"/>
      <c r="DU50" s="277"/>
      <c r="DV50" s="277"/>
      <c r="DW50" s="277"/>
      <c r="DX50" s="277"/>
      <c r="DY50" s="277"/>
      <c r="DZ50" s="277"/>
      <c r="EA50" s="277"/>
      <c r="EB50" s="277"/>
      <c r="EC50" s="277"/>
      <c r="ED50" s="277"/>
      <c r="EE50" s="277"/>
      <c r="EF50" s="277"/>
      <c r="EG50" s="277"/>
      <c r="EH50" s="277"/>
      <c r="EI50" s="277"/>
      <c r="EJ50" s="277"/>
      <c r="EK50" s="277"/>
      <c r="EL50" s="277"/>
      <c r="EM50" s="277"/>
      <c r="EN50" s="277"/>
      <c r="EO50" s="277"/>
      <c r="EP50" s="277"/>
      <c r="EQ50" s="277"/>
      <c r="ER50" s="277"/>
      <c r="ES50" s="277"/>
      <c r="ET50" s="277"/>
      <c r="EU50" s="277"/>
      <c r="EV50" s="277"/>
      <c r="EW50" s="277"/>
      <c r="EX50" s="277"/>
      <c r="EY50" s="277"/>
      <c r="EZ50" s="277"/>
      <c r="FA50" s="277"/>
      <c r="FB50" s="277"/>
      <c r="FC50" s="277"/>
      <c r="FD50" s="277"/>
      <c r="FE50" s="277"/>
      <c r="FF50" s="277"/>
      <c r="FG50" s="277"/>
      <c r="FH50" s="277"/>
      <c r="FI50" s="277"/>
      <c r="FJ50" s="277"/>
      <c r="FK50" s="277"/>
      <c r="FL50" s="277"/>
      <c r="FM50" s="277"/>
      <c r="FN50" s="277"/>
      <c r="FO50" s="277"/>
      <c r="FP50" s="277"/>
      <c r="FQ50" s="277"/>
      <c r="FR50" s="277"/>
      <c r="FS50" s="277"/>
      <c r="FT50" s="277"/>
      <c r="FU50" s="277"/>
      <c r="FV50" s="277"/>
      <c r="FW50" s="277"/>
      <c r="FX50" s="277"/>
      <c r="FY50" s="277"/>
      <c r="FZ50" s="277"/>
      <c r="GA50" s="277"/>
      <c r="GB50" s="277"/>
      <c r="GC50" s="277"/>
      <c r="GD50" s="277"/>
      <c r="GE50" s="277"/>
      <c r="GF50" s="277"/>
      <c r="GG50" s="277"/>
      <c r="GH50" s="277"/>
      <c r="GI50" s="277"/>
      <c r="GJ50" s="277"/>
      <c r="GK50" s="277"/>
      <c r="GL50" s="277"/>
      <c r="GM50" s="277"/>
      <c r="GN50" s="277"/>
      <c r="GO50" s="277"/>
      <c r="GP50" s="277"/>
      <c r="GQ50" s="277"/>
      <c r="GR50" s="277"/>
      <c r="GS50" s="277"/>
      <c r="GT50" s="277"/>
      <c r="GU50" s="277"/>
      <c r="GV50" s="277"/>
      <c r="GW50" s="277"/>
      <c r="GX50" s="277"/>
      <c r="GY50" s="277"/>
      <c r="GZ50" s="277"/>
      <c r="HA50" s="277"/>
      <c r="HB50" s="277"/>
      <c r="HC50" s="277"/>
      <c r="HD50" s="277"/>
      <c r="HE50" s="277"/>
      <c r="HF50" s="277"/>
      <c r="HG50" s="277"/>
      <c r="HH50" s="277"/>
      <c r="HI50" s="277"/>
      <c r="HJ50" s="277"/>
      <c r="HK50" s="277"/>
      <c r="HL50" s="277"/>
      <c r="HM50" s="277"/>
      <c r="HN50" s="277"/>
      <c r="HO50" s="277"/>
      <c r="HP50" s="277"/>
      <c r="HQ50" s="277"/>
      <c r="HR50" s="277"/>
      <c r="HS50" s="277"/>
      <c r="HT50" s="277"/>
      <c r="HU50" s="277"/>
      <c r="HV50" s="277"/>
      <c r="HW50" s="277"/>
      <c r="HX50" s="277"/>
      <c r="HY50" s="277"/>
    </row>
    <row r="51" spans="1:238" customFormat="1" ht="21" thickTop="1" thickBot="1" x14ac:dyDescent="0.45">
      <c r="A51" s="368"/>
      <c r="B51" s="1864" t="s">
        <v>278</v>
      </c>
      <c r="C51" s="1801"/>
      <c r="D51" s="1801"/>
      <c r="E51" s="1802"/>
      <c r="F51" s="277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94"/>
      <c r="U51" s="294"/>
      <c r="V51" s="294"/>
      <c r="W51" s="294"/>
      <c r="X51" s="294"/>
      <c r="Y51" s="294"/>
      <c r="Z51" s="294"/>
      <c r="AA51" s="294"/>
      <c r="AB51" s="294"/>
      <c r="AC51" s="277"/>
      <c r="AD51" s="261"/>
      <c r="AE51" s="261"/>
      <c r="AF51" s="261"/>
      <c r="AG51" s="261"/>
      <c r="AH51" s="261"/>
      <c r="AI51" s="261"/>
      <c r="AJ51" s="261"/>
      <c r="AK51" s="261"/>
      <c r="AL51" s="261"/>
      <c r="AM51" s="261"/>
      <c r="AN51" s="261"/>
      <c r="AO51" s="261"/>
      <c r="AP51" s="261"/>
      <c r="AQ51" s="261"/>
      <c r="AR51" s="261"/>
      <c r="AS51" s="261"/>
      <c r="AT51" s="261"/>
      <c r="AU51" s="261"/>
      <c r="AV51" s="261"/>
      <c r="AW51" s="261"/>
      <c r="AX51" s="261"/>
      <c r="AY51" s="261"/>
      <c r="AZ51" s="261"/>
      <c r="BA51" s="261"/>
      <c r="BB51" s="261"/>
      <c r="BC51" s="261"/>
      <c r="BD51" s="261"/>
      <c r="BE51" s="261"/>
      <c r="BF51" s="261"/>
      <c r="BG51" s="261"/>
      <c r="BH51" s="261"/>
      <c r="BI51" s="261"/>
      <c r="BJ51" s="261"/>
      <c r="BK51" s="261"/>
      <c r="BL51" s="261"/>
      <c r="BM51" s="261"/>
      <c r="BN51" s="261"/>
      <c r="BO51" s="261"/>
      <c r="BP51" s="261"/>
      <c r="BQ51" s="261"/>
      <c r="BR51" s="261"/>
      <c r="BS51" s="261"/>
      <c r="BT51" s="261"/>
      <c r="BU51" s="261"/>
      <c r="BV51" s="261"/>
      <c r="BW51" s="261"/>
      <c r="BX51" s="261"/>
      <c r="BY51" s="261"/>
      <c r="BZ51" s="261"/>
      <c r="CA51" s="261"/>
      <c r="CB51" s="261"/>
      <c r="CC51" s="261"/>
      <c r="CD51" s="261"/>
      <c r="CE51" s="261"/>
      <c r="CF51" s="261"/>
      <c r="CG51" s="261"/>
      <c r="CH51" s="261"/>
      <c r="CI51" s="261"/>
      <c r="CJ51" s="261"/>
      <c r="CK51" s="261"/>
      <c r="CL51" s="261"/>
      <c r="CM51" s="261"/>
      <c r="CN51" s="261"/>
      <c r="CO51" s="261"/>
      <c r="CP51" s="261"/>
      <c r="CQ51" s="261"/>
      <c r="CR51" s="261"/>
      <c r="CS51" s="261"/>
      <c r="CT51" s="261"/>
      <c r="CU51" s="261"/>
      <c r="CV51" s="261"/>
      <c r="CW51" s="261"/>
      <c r="CX51" s="261"/>
      <c r="CY51" s="261"/>
      <c r="CZ51" s="261"/>
      <c r="DA51" s="261"/>
      <c r="DB51" s="261"/>
      <c r="DC51" s="261"/>
      <c r="DD51" s="261"/>
      <c r="DE51" s="261"/>
      <c r="DF51" s="261"/>
      <c r="DG51" s="261"/>
      <c r="DH51" s="261"/>
      <c r="DI51" s="261"/>
      <c r="DJ51" s="261"/>
      <c r="DK51" s="261"/>
      <c r="DL51" s="261"/>
      <c r="DM51" s="261"/>
      <c r="DN51" s="261"/>
      <c r="DO51" s="261"/>
      <c r="DP51" s="261"/>
      <c r="DQ51" s="261"/>
      <c r="DR51" s="261"/>
      <c r="DS51" s="261"/>
      <c r="DT51" s="261"/>
      <c r="DU51" s="261"/>
      <c r="DV51" s="261"/>
      <c r="DW51" s="261"/>
      <c r="DX51" s="261"/>
      <c r="DY51" s="261"/>
      <c r="DZ51" s="261"/>
      <c r="EA51" s="261"/>
      <c r="EB51" s="261"/>
      <c r="EC51" s="261"/>
      <c r="ED51" s="261"/>
      <c r="EE51" s="261"/>
      <c r="EF51" s="261"/>
      <c r="EG51" s="261"/>
      <c r="EH51" s="261"/>
      <c r="EI51" s="261"/>
      <c r="EJ51" s="261"/>
      <c r="EK51" s="261"/>
      <c r="EL51" s="261"/>
      <c r="EM51" s="261"/>
      <c r="EN51" s="261"/>
      <c r="EO51" s="261"/>
      <c r="EP51" s="261"/>
      <c r="EQ51" s="261"/>
      <c r="ER51" s="261"/>
      <c r="ES51" s="261"/>
      <c r="ET51" s="261"/>
      <c r="EU51" s="261"/>
      <c r="EV51" s="261"/>
      <c r="EW51" s="261"/>
      <c r="EX51" s="261"/>
      <c r="EY51" s="261"/>
      <c r="EZ51" s="261"/>
      <c r="FA51" s="261"/>
      <c r="FB51" s="261"/>
      <c r="FC51" s="261"/>
      <c r="FD51" s="261"/>
      <c r="FE51" s="261"/>
      <c r="FF51" s="261"/>
      <c r="FG51" s="261"/>
      <c r="FH51" s="261"/>
      <c r="FI51" s="261"/>
      <c r="FJ51" s="261"/>
      <c r="FK51" s="261"/>
      <c r="FL51" s="261"/>
      <c r="FM51" s="261"/>
      <c r="FN51" s="261"/>
      <c r="FO51" s="261"/>
      <c r="FP51" s="261"/>
      <c r="FQ51" s="261"/>
      <c r="FR51" s="261"/>
      <c r="FS51" s="261"/>
      <c r="FT51" s="261"/>
      <c r="FU51" s="261"/>
      <c r="FV51" s="261"/>
      <c r="FW51" s="261"/>
      <c r="FX51" s="261"/>
      <c r="FY51" s="261"/>
      <c r="FZ51" s="261"/>
      <c r="GA51" s="261"/>
      <c r="GB51" s="261"/>
      <c r="GC51" s="261"/>
      <c r="GD51" s="261"/>
      <c r="GE51" s="261"/>
      <c r="GF51" s="261"/>
      <c r="GG51" s="261"/>
      <c r="GH51" s="261"/>
      <c r="GI51" s="261"/>
      <c r="GJ51" s="261"/>
      <c r="GK51" s="261"/>
      <c r="GL51" s="261"/>
      <c r="GM51" s="261"/>
      <c r="GN51" s="261"/>
      <c r="GO51" s="261"/>
      <c r="GP51" s="261"/>
      <c r="GQ51" s="261"/>
      <c r="GR51" s="261"/>
      <c r="GS51" s="261"/>
      <c r="GT51" s="261"/>
      <c r="GU51" s="261"/>
      <c r="GV51" s="261"/>
      <c r="GW51" s="261"/>
      <c r="GX51" s="261"/>
      <c r="GY51" s="261"/>
      <c r="GZ51" s="261"/>
      <c r="HA51" s="261"/>
      <c r="HB51" s="261"/>
      <c r="HC51" s="261"/>
      <c r="HD51" s="261"/>
      <c r="HE51" s="261"/>
      <c r="HF51" s="261"/>
      <c r="HG51" s="261"/>
      <c r="HH51" s="261"/>
      <c r="HI51" s="261"/>
      <c r="HJ51" s="261"/>
      <c r="HK51" s="261"/>
      <c r="HL51" s="261"/>
      <c r="HM51" s="261"/>
      <c r="HN51" s="261"/>
      <c r="HO51" s="261"/>
      <c r="HP51" s="261"/>
      <c r="HQ51" s="261"/>
      <c r="HR51" s="261"/>
      <c r="HS51" s="261"/>
      <c r="HT51" s="261"/>
      <c r="HU51" s="261"/>
      <c r="HV51" s="261"/>
      <c r="HW51" s="261"/>
      <c r="HX51" s="261"/>
      <c r="HY51" s="261"/>
    </row>
    <row r="52" spans="1:238" customFormat="1" ht="13" x14ac:dyDescent="0.3">
      <c r="A52" s="368"/>
      <c r="B52" s="469"/>
      <c r="C52" s="239"/>
      <c r="D52" s="16"/>
      <c r="E52" s="400"/>
      <c r="F52" s="290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94"/>
      <c r="U52" s="294"/>
      <c r="V52" s="294"/>
      <c r="W52" s="294"/>
      <c r="X52" s="294"/>
      <c r="Y52" s="294"/>
      <c r="Z52" s="294"/>
      <c r="AA52" s="294"/>
      <c r="AB52" s="294"/>
      <c r="AC52" s="277"/>
      <c r="AD52" s="261"/>
      <c r="AE52" s="261"/>
      <c r="AF52" s="261"/>
      <c r="AG52" s="261"/>
      <c r="AH52" s="261"/>
      <c r="AI52" s="261"/>
      <c r="AJ52" s="261"/>
      <c r="AK52" s="261"/>
      <c r="AL52" s="261"/>
      <c r="AM52" s="261"/>
      <c r="AN52" s="261"/>
      <c r="AO52" s="261"/>
      <c r="AP52" s="261"/>
      <c r="AQ52" s="261"/>
      <c r="AR52" s="261"/>
      <c r="AS52" s="261"/>
      <c r="AT52" s="261"/>
      <c r="AU52" s="261"/>
      <c r="AV52" s="261"/>
      <c r="AW52" s="261"/>
      <c r="AX52" s="261"/>
      <c r="AY52" s="261"/>
      <c r="AZ52" s="261"/>
      <c r="BA52" s="261"/>
      <c r="BB52" s="261"/>
      <c r="BC52" s="261"/>
      <c r="BD52" s="261"/>
      <c r="BE52" s="261"/>
      <c r="BF52" s="261"/>
      <c r="BG52" s="261"/>
      <c r="BH52" s="261"/>
      <c r="BI52" s="261"/>
      <c r="BJ52" s="261"/>
      <c r="BK52" s="261"/>
      <c r="BL52" s="261"/>
      <c r="BM52" s="261"/>
      <c r="BN52" s="261"/>
      <c r="BO52" s="261"/>
      <c r="BP52" s="261"/>
      <c r="BQ52" s="261"/>
      <c r="BR52" s="261"/>
      <c r="BS52" s="261"/>
      <c r="BT52" s="261"/>
      <c r="BU52" s="261"/>
      <c r="BV52" s="261"/>
      <c r="BW52" s="261"/>
      <c r="BX52" s="261"/>
      <c r="BY52" s="261"/>
      <c r="BZ52" s="261"/>
      <c r="CA52" s="261"/>
      <c r="CB52" s="261"/>
      <c r="CC52" s="261"/>
      <c r="CD52" s="261"/>
      <c r="CE52" s="261"/>
      <c r="CF52" s="261"/>
      <c r="CG52" s="261"/>
      <c r="CH52" s="261"/>
      <c r="CI52" s="261"/>
      <c r="CJ52" s="261"/>
      <c r="CK52" s="261"/>
      <c r="CL52" s="261"/>
      <c r="CM52" s="261"/>
      <c r="CN52" s="261"/>
      <c r="CO52" s="261"/>
      <c r="CP52" s="261"/>
      <c r="CQ52" s="261"/>
      <c r="CR52" s="261"/>
      <c r="CS52" s="261"/>
      <c r="CT52" s="261"/>
      <c r="CU52" s="261"/>
      <c r="CV52" s="261"/>
      <c r="CW52" s="261"/>
      <c r="CX52" s="261"/>
      <c r="CY52" s="261"/>
      <c r="CZ52" s="261"/>
      <c r="DA52" s="261"/>
      <c r="DB52" s="261"/>
      <c r="DC52" s="261"/>
      <c r="DD52" s="261"/>
      <c r="DE52" s="261"/>
      <c r="DF52" s="261"/>
      <c r="DG52" s="261"/>
      <c r="DH52" s="261"/>
      <c r="DI52" s="261"/>
      <c r="DJ52" s="261"/>
      <c r="DK52" s="261"/>
      <c r="DL52" s="261"/>
      <c r="DM52" s="261"/>
      <c r="DN52" s="261"/>
      <c r="DO52" s="261"/>
      <c r="DP52" s="261"/>
      <c r="DQ52" s="261"/>
      <c r="DR52" s="261"/>
      <c r="DS52" s="261"/>
      <c r="DT52" s="261"/>
      <c r="DU52" s="261"/>
      <c r="DV52" s="261"/>
      <c r="DW52" s="261"/>
      <c r="DX52" s="261"/>
      <c r="DY52" s="261"/>
      <c r="DZ52" s="261"/>
      <c r="EA52" s="261"/>
      <c r="EB52" s="261"/>
      <c r="EC52" s="261"/>
      <c r="ED52" s="261"/>
      <c r="EE52" s="261"/>
      <c r="EF52" s="261"/>
      <c r="EG52" s="261"/>
      <c r="EH52" s="261"/>
      <c r="EI52" s="261"/>
      <c r="EJ52" s="261"/>
      <c r="EK52" s="261"/>
      <c r="EL52" s="261"/>
      <c r="EM52" s="261"/>
      <c r="EN52" s="261"/>
      <c r="EO52" s="261"/>
      <c r="EP52" s="261"/>
      <c r="EQ52" s="261"/>
      <c r="ER52" s="261"/>
      <c r="ES52" s="261"/>
      <c r="ET52" s="261"/>
      <c r="EU52" s="261"/>
      <c r="EV52" s="261"/>
      <c r="EW52" s="261"/>
      <c r="EX52" s="261"/>
      <c r="EY52" s="261"/>
      <c r="EZ52" s="261"/>
      <c r="FA52" s="261"/>
      <c r="FB52" s="261"/>
      <c r="FC52" s="261"/>
      <c r="FD52" s="261"/>
      <c r="FE52" s="261"/>
      <c r="FF52" s="261"/>
      <c r="FG52" s="261"/>
      <c r="FH52" s="261"/>
      <c r="FI52" s="261"/>
      <c r="FJ52" s="261"/>
      <c r="FK52" s="261"/>
      <c r="FL52" s="261"/>
      <c r="FM52" s="261"/>
      <c r="FN52" s="261"/>
      <c r="FO52" s="261"/>
      <c r="FP52" s="261"/>
      <c r="FQ52" s="261"/>
      <c r="FR52" s="261"/>
      <c r="FS52" s="261"/>
      <c r="FT52" s="261"/>
      <c r="FU52" s="261"/>
      <c r="FV52" s="261"/>
      <c r="FW52" s="261"/>
      <c r="FX52" s="261"/>
      <c r="FY52" s="261"/>
      <c r="FZ52" s="261"/>
      <c r="GA52" s="261"/>
      <c r="GB52" s="261"/>
      <c r="GC52" s="261"/>
      <c r="GD52" s="261"/>
      <c r="GE52" s="261"/>
      <c r="GF52" s="261"/>
      <c r="GG52" s="261"/>
      <c r="GH52" s="261"/>
      <c r="GI52" s="261"/>
      <c r="GJ52" s="261"/>
      <c r="GK52" s="261"/>
      <c r="GL52" s="261"/>
      <c r="GM52" s="261"/>
      <c r="GN52" s="261"/>
      <c r="GO52" s="261"/>
      <c r="GP52" s="261"/>
      <c r="GQ52" s="261"/>
      <c r="GR52" s="261"/>
      <c r="GS52" s="261"/>
      <c r="GT52" s="261"/>
      <c r="GU52" s="261"/>
      <c r="GV52" s="261"/>
      <c r="GW52" s="261"/>
      <c r="GX52" s="261"/>
      <c r="GY52" s="261"/>
      <c r="GZ52" s="261"/>
      <c r="HA52" s="261"/>
      <c r="HB52" s="261"/>
      <c r="HC52" s="261"/>
      <c r="HD52" s="261"/>
      <c r="HE52" s="261"/>
      <c r="HF52" s="261"/>
      <c r="HG52" s="261"/>
      <c r="HH52" s="261"/>
      <c r="HI52" s="261"/>
      <c r="HJ52" s="261"/>
      <c r="HK52" s="261"/>
      <c r="HL52" s="261"/>
      <c r="HM52" s="261"/>
      <c r="HN52" s="261"/>
      <c r="HO52" s="261"/>
      <c r="HP52" s="261"/>
      <c r="HQ52" s="261"/>
      <c r="HR52" s="261"/>
      <c r="HS52" s="261"/>
      <c r="HT52" s="261"/>
      <c r="HU52" s="261"/>
      <c r="HV52" s="261"/>
      <c r="HW52" s="261"/>
      <c r="HX52" s="261"/>
      <c r="HY52" s="261"/>
    </row>
    <row r="53" spans="1:238" customFormat="1" ht="13" x14ac:dyDescent="0.3">
      <c r="A53" s="470"/>
      <c r="B53" s="39" t="s">
        <v>376</v>
      </c>
      <c r="C53" s="1210" t="s">
        <v>280</v>
      </c>
      <c r="D53" s="16"/>
      <c r="E53" s="400"/>
      <c r="F53" s="290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94"/>
      <c r="U53" s="294"/>
      <c r="V53" s="294"/>
      <c r="W53" s="294"/>
      <c r="X53" s="294"/>
      <c r="Y53" s="294"/>
      <c r="Z53" s="294"/>
      <c r="AA53" s="294"/>
      <c r="AB53" s="294"/>
      <c r="AC53" s="277"/>
      <c r="AD53" s="261"/>
      <c r="AE53" s="261"/>
      <c r="AF53" s="261"/>
      <c r="AG53" s="261"/>
      <c r="AH53" s="261"/>
      <c r="AI53" s="261"/>
      <c r="AJ53" s="261"/>
      <c r="AK53" s="261"/>
      <c r="AL53" s="261"/>
      <c r="AM53" s="261"/>
      <c r="AN53" s="261"/>
      <c r="AO53" s="261"/>
      <c r="AP53" s="261"/>
      <c r="AQ53" s="261"/>
      <c r="AR53" s="261"/>
      <c r="AS53" s="261"/>
      <c r="AT53" s="261"/>
      <c r="AU53" s="261"/>
      <c r="AV53" s="261"/>
      <c r="AW53" s="261"/>
      <c r="AX53" s="261"/>
      <c r="AY53" s="261"/>
      <c r="AZ53" s="261"/>
      <c r="BA53" s="261"/>
      <c r="BB53" s="261"/>
      <c r="BC53" s="261"/>
      <c r="BD53" s="261"/>
      <c r="BE53" s="261"/>
      <c r="BF53" s="261"/>
      <c r="BG53" s="261"/>
      <c r="BH53" s="261"/>
      <c r="BI53" s="261"/>
      <c r="BJ53" s="261"/>
      <c r="BK53" s="261"/>
      <c r="BL53" s="261"/>
      <c r="BM53" s="261"/>
      <c r="BN53" s="261"/>
      <c r="BO53" s="261"/>
      <c r="BP53" s="261"/>
      <c r="BQ53" s="261"/>
      <c r="BR53" s="261"/>
      <c r="BS53" s="261"/>
      <c r="BT53" s="261"/>
      <c r="BU53" s="261"/>
      <c r="BV53" s="261"/>
      <c r="BW53" s="261"/>
      <c r="BX53" s="261"/>
      <c r="BY53" s="261"/>
      <c r="BZ53" s="261"/>
      <c r="CA53" s="261"/>
      <c r="CB53" s="261"/>
      <c r="CC53" s="261"/>
      <c r="CD53" s="261"/>
      <c r="CE53" s="261"/>
      <c r="CF53" s="261"/>
      <c r="CG53" s="261"/>
      <c r="CH53" s="261"/>
      <c r="CI53" s="261"/>
      <c r="CJ53" s="261"/>
      <c r="CK53" s="261"/>
      <c r="CL53" s="261"/>
      <c r="CM53" s="261"/>
      <c r="CN53" s="261"/>
      <c r="CO53" s="261"/>
      <c r="CP53" s="261"/>
      <c r="CQ53" s="261"/>
      <c r="CR53" s="261"/>
      <c r="CS53" s="261"/>
      <c r="CT53" s="261"/>
      <c r="CU53" s="261"/>
      <c r="CV53" s="261"/>
      <c r="CW53" s="261"/>
      <c r="CX53" s="261"/>
      <c r="CY53" s="261"/>
      <c r="CZ53" s="261"/>
      <c r="DA53" s="261"/>
      <c r="DB53" s="261"/>
      <c r="DC53" s="261"/>
      <c r="DD53" s="261"/>
      <c r="DE53" s="261"/>
      <c r="DF53" s="261"/>
      <c r="DG53" s="261"/>
      <c r="DH53" s="261"/>
      <c r="DI53" s="261"/>
      <c r="DJ53" s="261"/>
      <c r="DK53" s="261"/>
      <c r="DL53" s="261"/>
      <c r="DM53" s="261"/>
      <c r="DN53" s="261"/>
      <c r="DO53" s="261"/>
      <c r="DP53" s="261"/>
      <c r="DQ53" s="261"/>
      <c r="DR53" s="261"/>
      <c r="DS53" s="261"/>
      <c r="DT53" s="261"/>
      <c r="DU53" s="261"/>
      <c r="DV53" s="261"/>
      <c r="DW53" s="261"/>
      <c r="DX53" s="261"/>
      <c r="DY53" s="261"/>
      <c r="DZ53" s="261"/>
      <c r="EA53" s="261"/>
      <c r="EB53" s="261"/>
      <c r="EC53" s="261"/>
      <c r="ED53" s="261"/>
      <c r="EE53" s="261"/>
      <c r="EF53" s="261"/>
      <c r="EG53" s="261"/>
      <c r="EH53" s="261"/>
      <c r="EI53" s="261"/>
      <c r="EJ53" s="261"/>
      <c r="EK53" s="261"/>
      <c r="EL53" s="261"/>
      <c r="EM53" s="261"/>
      <c r="EN53" s="261"/>
      <c r="EO53" s="261"/>
      <c r="EP53" s="261"/>
      <c r="EQ53" s="261"/>
      <c r="ER53" s="261"/>
      <c r="ES53" s="261"/>
      <c r="ET53" s="261"/>
      <c r="EU53" s="261"/>
      <c r="EV53" s="261"/>
      <c r="EW53" s="261"/>
      <c r="EX53" s="261"/>
      <c r="EY53" s="261"/>
      <c r="EZ53" s="261"/>
      <c r="FA53" s="261"/>
      <c r="FB53" s="261"/>
      <c r="FC53" s="261"/>
      <c r="FD53" s="261"/>
      <c r="FE53" s="261"/>
      <c r="FF53" s="261"/>
      <c r="FG53" s="261"/>
      <c r="FH53" s="261"/>
      <c r="FI53" s="261"/>
      <c r="FJ53" s="261"/>
      <c r="FK53" s="261"/>
      <c r="FL53" s="261"/>
      <c r="FM53" s="261"/>
      <c r="FN53" s="261"/>
      <c r="FO53" s="261"/>
      <c r="FP53" s="261"/>
      <c r="FQ53" s="261"/>
      <c r="FR53" s="261"/>
      <c r="FS53" s="261"/>
      <c r="FT53" s="261"/>
      <c r="FU53" s="261"/>
      <c r="FV53" s="261"/>
      <c r="FW53" s="261"/>
      <c r="FX53" s="261"/>
      <c r="FY53" s="261"/>
      <c r="FZ53" s="261"/>
      <c r="GA53" s="261"/>
      <c r="GB53" s="261"/>
      <c r="GC53" s="261"/>
      <c r="GD53" s="261"/>
      <c r="GE53" s="261"/>
      <c r="GF53" s="261"/>
      <c r="GG53" s="261"/>
      <c r="GH53" s="261"/>
      <c r="GI53" s="261"/>
      <c r="GJ53" s="261"/>
      <c r="GK53" s="261"/>
      <c r="GL53" s="261"/>
      <c r="GM53" s="261"/>
      <c r="GN53" s="261"/>
      <c r="GO53" s="261"/>
      <c r="GP53" s="261"/>
      <c r="GQ53" s="261"/>
      <c r="GR53" s="261"/>
      <c r="GS53" s="261"/>
      <c r="GT53" s="261"/>
      <c r="GU53" s="261"/>
      <c r="GV53" s="261"/>
      <c r="GW53" s="261"/>
      <c r="GX53" s="261"/>
      <c r="GY53" s="261"/>
      <c r="GZ53" s="261"/>
      <c r="HA53" s="261"/>
      <c r="HB53" s="261"/>
      <c r="HC53" s="261"/>
      <c r="HD53" s="261"/>
      <c r="HE53" s="261"/>
      <c r="HF53" s="261"/>
      <c r="HG53" s="261"/>
      <c r="HH53" s="261"/>
      <c r="HI53" s="261"/>
      <c r="HJ53" s="261"/>
      <c r="HK53" s="261"/>
      <c r="HL53" s="261"/>
      <c r="HM53" s="261"/>
      <c r="HN53" s="261"/>
      <c r="HO53" s="261"/>
      <c r="HP53" s="261"/>
      <c r="HQ53" s="261"/>
      <c r="HR53" s="261"/>
      <c r="HS53" s="261"/>
      <c r="HT53" s="261"/>
      <c r="HU53" s="261"/>
      <c r="HV53" s="261"/>
      <c r="HW53" s="261"/>
      <c r="HX53" s="261"/>
      <c r="HY53" s="261"/>
    </row>
    <row r="54" spans="1:238" customFormat="1" ht="13.5" thickBot="1" x14ac:dyDescent="0.35">
      <c r="A54" s="470"/>
      <c r="B54" s="1940" t="s">
        <v>378</v>
      </c>
      <c r="C54" s="1941"/>
      <c r="D54" s="734"/>
      <c r="E54" s="742"/>
      <c r="F54" s="290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94"/>
      <c r="U54" s="294"/>
      <c r="V54" s="294"/>
      <c r="W54" s="294"/>
      <c r="X54" s="294"/>
      <c r="Y54" s="294"/>
      <c r="Z54" s="294"/>
      <c r="AA54" s="294"/>
      <c r="AB54" s="294"/>
      <c r="AC54" s="277"/>
      <c r="AD54" s="261"/>
      <c r="AE54" s="261"/>
      <c r="AF54" s="261"/>
      <c r="AG54" s="261"/>
      <c r="AH54" s="261"/>
      <c r="AI54" s="261"/>
      <c r="AJ54" s="261"/>
      <c r="AK54" s="261"/>
      <c r="AL54" s="261"/>
      <c r="AM54" s="261"/>
      <c r="AN54" s="261"/>
      <c r="AO54" s="261"/>
      <c r="AP54" s="261"/>
      <c r="AQ54" s="261"/>
      <c r="AR54" s="261"/>
      <c r="AS54" s="261"/>
      <c r="AT54" s="261"/>
      <c r="AU54" s="261"/>
      <c r="AV54" s="261"/>
      <c r="AW54" s="261"/>
      <c r="AX54" s="261"/>
      <c r="AY54" s="261"/>
      <c r="AZ54" s="261"/>
      <c r="BA54" s="261"/>
      <c r="BB54" s="261"/>
      <c r="BC54" s="261"/>
      <c r="BD54" s="261"/>
      <c r="BE54" s="261"/>
      <c r="BF54" s="261"/>
      <c r="BG54" s="261"/>
      <c r="BH54" s="261"/>
      <c r="BI54" s="261"/>
      <c r="BJ54" s="261"/>
      <c r="BK54" s="261"/>
      <c r="BL54" s="261"/>
      <c r="BM54" s="261"/>
      <c r="BN54" s="261"/>
      <c r="BO54" s="261"/>
      <c r="BP54" s="261"/>
      <c r="BQ54" s="261"/>
      <c r="BR54" s="261"/>
      <c r="BS54" s="261"/>
      <c r="BT54" s="261"/>
      <c r="BU54" s="261"/>
      <c r="BV54" s="261"/>
      <c r="BW54" s="261"/>
      <c r="BX54" s="261"/>
      <c r="BY54" s="261"/>
      <c r="BZ54" s="261"/>
      <c r="CA54" s="261"/>
      <c r="CB54" s="261"/>
      <c r="CC54" s="261"/>
      <c r="CD54" s="261"/>
      <c r="CE54" s="261"/>
      <c r="CF54" s="261"/>
      <c r="CG54" s="261"/>
      <c r="CH54" s="261"/>
      <c r="CI54" s="261"/>
      <c r="CJ54" s="261"/>
      <c r="CK54" s="261"/>
      <c r="CL54" s="261"/>
      <c r="CM54" s="261"/>
      <c r="CN54" s="261"/>
      <c r="CO54" s="261"/>
      <c r="CP54" s="261"/>
      <c r="CQ54" s="261"/>
      <c r="CR54" s="261"/>
      <c r="CS54" s="261"/>
      <c r="CT54" s="261"/>
      <c r="CU54" s="261"/>
      <c r="CV54" s="261"/>
      <c r="CW54" s="261"/>
      <c r="CX54" s="261"/>
      <c r="CY54" s="261"/>
      <c r="CZ54" s="261"/>
      <c r="DA54" s="261"/>
      <c r="DB54" s="261"/>
      <c r="DC54" s="261"/>
      <c r="DD54" s="261"/>
      <c r="DE54" s="261"/>
      <c r="DF54" s="261"/>
      <c r="DG54" s="261"/>
      <c r="DH54" s="261"/>
      <c r="DI54" s="261"/>
      <c r="DJ54" s="261"/>
      <c r="DK54" s="261"/>
      <c r="DL54" s="261"/>
      <c r="DM54" s="261"/>
      <c r="DN54" s="261"/>
      <c r="DO54" s="261"/>
      <c r="DP54" s="261"/>
      <c r="DQ54" s="261"/>
      <c r="DR54" s="261"/>
      <c r="DS54" s="261"/>
      <c r="DT54" s="261"/>
      <c r="DU54" s="261"/>
      <c r="DV54" s="261"/>
      <c r="DW54" s="261"/>
      <c r="DX54" s="261"/>
      <c r="DY54" s="261"/>
      <c r="DZ54" s="261"/>
      <c r="EA54" s="261"/>
      <c r="EB54" s="261"/>
      <c r="EC54" s="261"/>
      <c r="ED54" s="261"/>
      <c r="EE54" s="261"/>
      <c r="EF54" s="261"/>
      <c r="EG54" s="261"/>
      <c r="EH54" s="261"/>
      <c r="EI54" s="261"/>
      <c r="EJ54" s="261"/>
      <c r="EK54" s="261"/>
      <c r="EL54" s="261"/>
      <c r="EM54" s="261"/>
      <c r="EN54" s="261"/>
      <c r="EO54" s="261"/>
      <c r="EP54" s="261"/>
      <c r="EQ54" s="261"/>
      <c r="ER54" s="261"/>
      <c r="ES54" s="261"/>
      <c r="ET54" s="261"/>
      <c r="EU54" s="261"/>
      <c r="EV54" s="261"/>
      <c r="EW54" s="261"/>
      <c r="EX54" s="261"/>
      <c r="EY54" s="261"/>
      <c r="EZ54" s="261"/>
      <c r="FA54" s="261"/>
      <c r="FB54" s="261"/>
      <c r="FC54" s="261"/>
      <c r="FD54" s="261"/>
      <c r="FE54" s="261"/>
      <c r="FF54" s="261"/>
      <c r="FG54" s="261"/>
      <c r="FH54" s="261"/>
      <c r="FI54" s="261"/>
      <c r="FJ54" s="261"/>
      <c r="FK54" s="261"/>
      <c r="FL54" s="261"/>
      <c r="FM54" s="261"/>
      <c r="FN54" s="261"/>
      <c r="FO54" s="261"/>
      <c r="FP54" s="261"/>
      <c r="FQ54" s="261"/>
      <c r="FR54" s="261"/>
      <c r="FS54" s="261"/>
      <c r="FT54" s="261"/>
      <c r="FU54" s="261"/>
      <c r="FV54" s="261"/>
      <c r="FW54" s="261"/>
      <c r="FX54" s="261"/>
      <c r="FY54" s="261"/>
      <c r="FZ54" s="261"/>
      <c r="GA54" s="261"/>
      <c r="GB54" s="261"/>
      <c r="GC54" s="261"/>
      <c r="GD54" s="261"/>
      <c r="GE54" s="261"/>
      <c r="GF54" s="261"/>
      <c r="GG54" s="261"/>
      <c r="GH54" s="261"/>
      <c r="GI54" s="261"/>
      <c r="GJ54" s="261"/>
      <c r="GK54" s="261"/>
      <c r="GL54" s="261"/>
      <c r="GM54" s="261"/>
      <c r="GN54" s="261"/>
      <c r="GO54" s="261"/>
      <c r="GP54" s="261"/>
      <c r="GQ54" s="261"/>
      <c r="GR54" s="261"/>
      <c r="GS54" s="261"/>
      <c r="GT54" s="261"/>
      <c r="GU54" s="261"/>
      <c r="GV54" s="261"/>
      <c r="GW54" s="261"/>
      <c r="GX54" s="261"/>
      <c r="GY54" s="261"/>
      <c r="GZ54" s="261"/>
      <c r="HA54" s="261"/>
      <c r="HB54" s="261"/>
      <c r="HC54" s="261"/>
      <c r="HD54" s="261"/>
      <c r="HE54" s="261"/>
      <c r="HF54" s="261"/>
      <c r="HG54" s="261"/>
      <c r="HH54" s="261"/>
      <c r="HI54" s="261"/>
      <c r="HJ54" s="261"/>
      <c r="HK54" s="261"/>
      <c r="HL54" s="261"/>
      <c r="HM54" s="261"/>
      <c r="HN54" s="261"/>
      <c r="HO54" s="261"/>
      <c r="HP54" s="261"/>
      <c r="HQ54" s="261"/>
      <c r="HR54" s="261"/>
      <c r="HS54" s="261"/>
      <c r="HT54" s="261"/>
      <c r="HU54" s="261"/>
      <c r="HV54" s="261"/>
      <c r="HW54" s="261"/>
      <c r="HX54" s="261"/>
      <c r="HY54" s="261"/>
    </row>
    <row r="55" spans="1:238" customFormat="1" ht="13.5" thickBot="1" x14ac:dyDescent="0.35">
      <c r="A55" s="470"/>
      <c r="B55" s="1942"/>
      <c r="C55" s="1943"/>
      <c r="D55" s="1938" t="s">
        <v>379</v>
      </c>
      <c r="E55" s="1939"/>
      <c r="F55" s="290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94"/>
      <c r="U55" s="294"/>
      <c r="V55" s="294"/>
      <c r="W55" s="294"/>
      <c r="X55" s="294"/>
      <c r="Y55" s="294"/>
      <c r="Z55" s="294"/>
      <c r="AA55" s="294"/>
      <c r="AB55" s="294"/>
      <c r="AC55" s="277"/>
      <c r="AD55" s="261"/>
      <c r="AE55" s="261"/>
      <c r="AF55" s="261"/>
      <c r="AG55" s="261"/>
      <c r="AH55" s="261"/>
      <c r="AI55" s="261"/>
      <c r="AJ55" s="261"/>
      <c r="AK55" s="261"/>
      <c r="AL55" s="261"/>
      <c r="AM55" s="261"/>
      <c r="AN55" s="261"/>
      <c r="AO55" s="261"/>
      <c r="AP55" s="261"/>
      <c r="AQ55" s="261"/>
      <c r="AR55" s="261"/>
      <c r="AS55" s="261"/>
      <c r="AT55" s="261"/>
      <c r="AU55" s="261"/>
      <c r="AV55" s="261"/>
      <c r="AW55" s="261"/>
      <c r="AX55" s="261"/>
      <c r="AY55" s="261"/>
      <c r="AZ55" s="261"/>
      <c r="BA55" s="261"/>
      <c r="BB55" s="261"/>
      <c r="BC55" s="261"/>
      <c r="BD55" s="261"/>
      <c r="BE55" s="261"/>
      <c r="BF55" s="261"/>
      <c r="BG55" s="261"/>
      <c r="BH55" s="261"/>
      <c r="BI55" s="261"/>
      <c r="BJ55" s="261"/>
      <c r="BK55" s="261"/>
      <c r="BL55" s="261"/>
      <c r="BM55" s="261"/>
      <c r="BN55" s="261"/>
      <c r="BO55" s="261"/>
      <c r="BP55" s="261"/>
      <c r="BQ55" s="261"/>
      <c r="BR55" s="261"/>
      <c r="BS55" s="261"/>
      <c r="BT55" s="261"/>
      <c r="BU55" s="261"/>
      <c r="BV55" s="261"/>
      <c r="BW55" s="261"/>
      <c r="BX55" s="261"/>
      <c r="BY55" s="261"/>
      <c r="BZ55" s="261"/>
      <c r="CA55" s="261"/>
      <c r="CB55" s="261"/>
      <c r="CC55" s="261"/>
      <c r="CD55" s="261"/>
      <c r="CE55" s="261"/>
      <c r="CF55" s="261"/>
      <c r="CG55" s="261"/>
      <c r="CH55" s="261"/>
      <c r="CI55" s="261"/>
      <c r="CJ55" s="261"/>
      <c r="CK55" s="261"/>
      <c r="CL55" s="261"/>
      <c r="CM55" s="261"/>
      <c r="CN55" s="261"/>
      <c r="CO55" s="261"/>
      <c r="CP55" s="261"/>
      <c r="CQ55" s="261"/>
      <c r="CR55" s="261"/>
      <c r="CS55" s="261"/>
      <c r="CT55" s="261"/>
      <c r="CU55" s="261"/>
      <c r="CV55" s="261"/>
      <c r="CW55" s="261"/>
      <c r="CX55" s="261"/>
      <c r="CY55" s="261"/>
      <c r="CZ55" s="261"/>
      <c r="DA55" s="261"/>
      <c r="DB55" s="261"/>
      <c r="DC55" s="261"/>
      <c r="DD55" s="261"/>
      <c r="DE55" s="261"/>
      <c r="DF55" s="261"/>
      <c r="DG55" s="261"/>
      <c r="DH55" s="261"/>
      <c r="DI55" s="261"/>
      <c r="DJ55" s="261"/>
      <c r="DK55" s="261"/>
      <c r="DL55" s="261"/>
      <c r="DM55" s="261"/>
      <c r="DN55" s="261"/>
      <c r="DO55" s="261"/>
      <c r="DP55" s="261"/>
      <c r="DQ55" s="261"/>
      <c r="DR55" s="261"/>
      <c r="DS55" s="261"/>
      <c r="DT55" s="261"/>
      <c r="DU55" s="261"/>
      <c r="DV55" s="261"/>
      <c r="DW55" s="261"/>
      <c r="DX55" s="261"/>
      <c r="DY55" s="261"/>
      <c r="DZ55" s="261"/>
      <c r="EA55" s="261"/>
      <c r="EB55" s="261"/>
      <c r="EC55" s="261"/>
      <c r="ED55" s="261"/>
      <c r="EE55" s="261"/>
      <c r="EF55" s="261"/>
      <c r="EG55" s="261"/>
      <c r="EH55" s="261"/>
      <c r="EI55" s="261"/>
      <c r="EJ55" s="261"/>
      <c r="EK55" s="261"/>
      <c r="EL55" s="261"/>
      <c r="EM55" s="261"/>
      <c r="EN55" s="261"/>
      <c r="EO55" s="261"/>
      <c r="EP55" s="261"/>
      <c r="EQ55" s="261"/>
      <c r="ER55" s="261"/>
      <c r="ES55" s="261"/>
      <c r="ET55" s="261"/>
      <c r="EU55" s="261"/>
      <c r="EV55" s="261"/>
      <c r="EW55" s="261"/>
      <c r="EX55" s="261"/>
      <c r="EY55" s="261"/>
      <c r="EZ55" s="261"/>
      <c r="FA55" s="261"/>
      <c r="FB55" s="261"/>
      <c r="FC55" s="261"/>
      <c r="FD55" s="261"/>
      <c r="FE55" s="261"/>
      <c r="FF55" s="261"/>
      <c r="FG55" s="261"/>
      <c r="FH55" s="261"/>
      <c r="FI55" s="261"/>
      <c r="FJ55" s="261"/>
      <c r="FK55" s="261"/>
      <c r="FL55" s="261"/>
      <c r="FM55" s="261"/>
      <c r="FN55" s="261"/>
      <c r="FO55" s="261"/>
      <c r="FP55" s="261"/>
      <c r="FQ55" s="261"/>
      <c r="FR55" s="261"/>
      <c r="FS55" s="261"/>
      <c r="FT55" s="261"/>
      <c r="FU55" s="261"/>
      <c r="FV55" s="261"/>
      <c r="FW55" s="261"/>
      <c r="FX55" s="261"/>
      <c r="FY55" s="261"/>
      <c r="FZ55" s="261"/>
      <c r="GA55" s="261"/>
      <c r="GB55" s="261"/>
      <c r="GC55" s="261"/>
      <c r="GD55" s="261"/>
      <c r="GE55" s="261"/>
      <c r="GF55" s="261"/>
      <c r="GG55" s="261"/>
      <c r="GH55" s="261"/>
      <c r="GI55" s="261"/>
      <c r="GJ55" s="261"/>
      <c r="GK55" s="261"/>
      <c r="GL55" s="261"/>
      <c r="GM55" s="261"/>
      <c r="GN55" s="261"/>
      <c r="GO55" s="261"/>
      <c r="GP55" s="261"/>
      <c r="GQ55" s="261"/>
      <c r="GR55" s="261"/>
      <c r="GS55" s="261"/>
      <c r="GT55" s="261"/>
      <c r="GU55" s="261"/>
      <c r="GV55" s="261"/>
      <c r="GW55" s="261"/>
      <c r="GX55" s="261"/>
      <c r="GY55" s="261"/>
      <c r="GZ55" s="261"/>
      <c r="HA55" s="261"/>
      <c r="HB55" s="261"/>
      <c r="HC55" s="261"/>
      <c r="HD55" s="261"/>
      <c r="HE55" s="261"/>
      <c r="HF55" s="261"/>
      <c r="HG55" s="261"/>
      <c r="HH55" s="261"/>
      <c r="HI55" s="261"/>
      <c r="HJ55" s="261"/>
      <c r="HK55" s="261"/>
      <c r="HL55" s="261"/>
      <c r="HM55" s="261"/>
      <c r="HN55" s="261"/>
      <c r="HO55" s="261"/>
      <c r="HP55" s="261"/>
      <c r="HQ55" s="261"/>
      <c r="HR55" s="261"/>
      <c r="HS55" s="261"/>
      <c r="HT55" s="261"/>
      <c r="HU55" s="261"/>
      <c r="HV55" s="261"/>
      <c r="HW55" s="261"/>
      <c r="HX55" s="261"/>
      <c r="HY55" s="261"/>
    </row>
    <row r="56" spans="1:238" customFormat="1" ht="13" x14ac:dyDescent="0.3">
      <c r="A56" s="470"/>
      <c r="B56" s="743" t="s">
        <v>380</v>
      </c>
      <c r="C56" s="1714">
        <f>'Retrofit Worksheet'!AZ74</f>
        <v>0</v>
      </c>
      <c r="D56" s="744"/>
      <c r="E56" s="745"/>
      <c r="F56" s="294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94"/>
      <c r="U56" s="294"/>
      <c r="V56" s="294"/>
      <c r="W56" s="294"/>
      <c r="X56" s="294"/>
      <c r="Y56" s="294"/>
      <c r="Z56" s="294"/>
      <c r="AA56" s="294"/>
      <c r="AB56" s="294"/>
      <c r="AC56" s="277"/>
      <c r="AD56" s="261"/>
      <c r="AE56" s="261"/>
      <c r="AF56" s="261"/>
      <c r="AG56" s="261"/>
      <c r="AH56" s="261"/>
      <c r="AI56" s="261"/>
      <c r="AJ56" s="261"/>
      <c r="AK56" s="261"/>
      <c r="AL56" s="261"/>
      <c r="AM56" s="261"/>
      <c r="AN56" s="261"/>
      <c r="AO56" s="261"/>
      <c r="AP56" s="261"/>
      <c r="AQ56" s="261"/>
      <c r="AR56" s="261"/>
      <c r="AS56" s="261"/>
      <c r="AT56" s="261"/>
      <c r="AU56" s="261"/>
      <c r="AV56" s="261"/>
      <c r="AW56" s="261"/>
      <c r="AX56" s="261"/>
      <c r="AY56" s="261"/>
      <c r="AZ56" s="261"/>
      <c r="BA56" s="261"/>
      <c r="BB56" s="261"/>
      <c r="BC56" s="261"/>
      <c r="BD56" s="261"/>
      <c r="BE56" s="261"/>
      <c r="BF56" s="261"/>
      <c r="BG56" s="261"/>
      <c r="BH56" s="261"/>
      <c r="BI56" s="261"/>
      <c r="BJ56" s="261"/>
      <c r="BK56" s="261"/>
      <c r="BL56" s="261"/>
      <c r="BM56" s="261"/>
      <c r="BN56" s="261"/>
      <c r="BO56" s="261"/>
      <c r="BP56" s="261"/>
      <c r="BQ56" s="261"/>
      <c r="BR56" s="261"/>
      <c r="BS56" s="261"/>
      <c r="BT56" s="261"/>
      <c r="BU56" s="261"/>
      <c r="BV56" s="261"/>
      <c r="BW56" s="261"/>
      <c r="BX56" s="261"/>
      <c r="BY56" s="261"/>
      <c r="BZ56" s="261"/>
      <c r="CA56" s="261"/>
      <c r="CB56" s="261"/>
      <c r="CC56" s="261"/>
      <c r="CD56" s="261"/>
      <c r="CE56" s="261"/>
      <c r="CF56" s="261"/>
      <c r="CG56" s="261"/>
      <c r="CH56" s="261"/>
      <c r="CI56" s="261"/>
      <c r="CJ56" s="261"/>
      <c r="CK56" s="261"/>
      <c r="CL56" s="261"/>
      <c r="CM56" s="261"/>
      <c r="CN56" s="261"/>
      <c r="CO56" s="261"/>
      <c r="CP56" s="261"/>
      <c r="CQ56" s="261"/>
      <c r="CR56" s="261"/>
      <c r="CS56" s="261"/>
      <c r="CT56" s="261"/>
      <c r="CU56" s="261"/>
      <c r="CV56" s="261"/>
      <c r="CW56" s="261"/>
      <c r="CX56" s="261"/>
      <c r="CY56" s="261"/>
      <c r="CZ56" s="261"/>
      <c r="DA56" s="261"/>
      <c r="DB56" s="261"/>
      <c r="DC56" s="261"/>
      <c r="DD56" s="261"/>
      <c r="DE56" s="261"/>
      <c r="DF56" s="261"/>
      <c r="DG56" s="261"/>
      <c r="DH56" s="261"/>
      <c r="DI56" s="261"/>
      <c r="DJ56" s="261"/>
      <c r="DK56" s="261"/>
      <c r="DL56" s="261"/>
      <c r="DM56" s="261"/>
      <c r="DN56" s="261"/>
      <c r="DO56" s="261"/>
      <c r="DP56" s="261"/>
      <c r="DQ56" s="261"/>
      <c r="DR56" s="261"/>
      <c r="DS56" s="261"/>
      <c r="DT56" s="261"/>
      <c r="DU56" s="261"/>
      <c r="DV56" s="261"/>
      <c r="DW56" s="261"/>
      <c r="DX56" s="261"/>
      <c r="DY56" s="261"/>
      <c r="DZ56" s="261"/>
      <c r="EA56" s="261"/>
      <c r="EB56" s="261"/>
      <c r="EC56" s="261"/>
      <c r="ED56" s="261"/>
      <c r="EE56" s="261"/>
      <c r="EF56" s="261"/>
      <c r="EG56" s="261"/>
      <c r="EH56" s="261"/>
      <c r="EI56" s="261"/>
      <c r="EJ56" s="261"/>
      <c r="EK56" s="261"/>
      <c r="EL56" s="261"/>
      <c r="EM56" s="261"/>
      <c r="EN56" s="261"/>
      <c r="EO56" s="261"/>
      <c r="EP56" s="261"/>
      <c r="EQ56" s="261"/>
      <c r="ER56" s="261"/>
      <c r="ES56" s="261"/>
      <c r="ET56" s="261"/>
      <c r="EU56" s="261"/>
      <c r="EV56" s="261"/>
      <c r="EW56" s="261"/>
      <c r="EX56" s="261"/>
      <c r="EY56" s="261"/>
      <c r="EZ56" s="261"/>
      <c r="FA56" s="261"/>
      <c r="FB56" s="261"/>
      <c r="FC56" s="261"/>
      <c r="FD56" s="261"/>
      <c r="FE56" s="261"/>
      <c r="FF56" s="261"/>
      <c r="FG56" s="261"/>
      <c r="FH56" s="261"/>
      <c r="FI56" s="261"/>
      <c r="FJ56" s="261"/>
      <c r="FK56" s="261"/>
      <c r="FL56" s="261"/>
      <c r="FM56" s="261"/>
      <c r="FN56" s="261"/>
      <c r="FO56" s="261"/>
      <c r="FP56" s="261"/>
      <c r="FQ56" s="261"/>
      <c r="FR56" s="261"/>
      <c r="FS56" s="261"/>
      <c r="FT56" s="261"/>
      <c r="FU56" s="261"/>
      <c r="FV56" s="261"/>
      <c r="FW56" s="261"/>
      <c r="FX56" s="261"/>
      <c r="FY56" s="261"/>
      <c r="FZ56" s="261"/>
      <c r="GA56" s="261"/>
      <c r="GB56" s="261"/>
      <c r="GC56" s="261"/>
      <c r="GD56" s="261"/>
      <c r="GE56" s="261"/>
      <c r="GF56" s="261"/>
      <c r="GG56" s="261"/>
      <c r="GH56" s="261"/>
      <c r="GI56" s="261"/>
      <c r="GJ56" s="261"/>
      <c r="GK56" s="261"/>
      <c r="GL56" s="261"/>
      <c r="GM56" s="261"/>
      <c r="GN56" s="261"/>
      <c r="GO56" s="261"/>
      <c r="GP56" s="261"/>
      <c r="GQ56" s="261"/>
      <c r="GR56" s="261"/>
      <c r="GS56" s="261"/>
      <c r="GT56" s="261"/>
      <c r="GU56" s="261"/>
      <c r="GV56" s="261"/>
      <c r="GW56" s="261"/>
      <c r="GX56" s="261"/>
      <c r="GY56" s="261"/>
      <c r="GZ56" s="261"/>
      <c r="HA56" s="261"/>
      <c r="HB56" s="261"/>
      <c r="HC56" s="261"/>
      <c r="HD56" s="261"/>
      <c r="HE56" s="261"/>
      <c r="HF56" s="261"/>
      <c r="HG56" s="261"/>
      <c r="HH56" s="261"/>
      <c r="HI56" s="261"/>
      <c r="HJ56" s="261"/>
      <c r="HK56" s="261"/>
      <c r="HL56" s="261"/>
      <c r="HM56" s="261"/>
      <c r="HN56" s="261"/>
      <c r="HO56" s="261"/>
      <c r="HP56" s="261"/>
      <c r="HQ56" s="261"/>
      <c r="HR56" s="261"/>
      <c r="HS56" s="261"/>
      <c r="HT56" s="261"/>
      <c r="HU56" s="261"/>
      <c r="HV56" s="261"/>
      <c r="HW56" s="261"/>
      <c r="HX56" s="261"/>
      <c r="HY56" s="261"/>
    </row>
    <row r="57" spans="1:238" customFormat="1" ht="21.75" customHeight="1" x14ac:dyDescent="0.3">
      <c r="A57" s="470"/>
      <c r="B57" s="39" t="s">
        <v>283</v>
      </c>
      <c r="C57" s="1326">
        <f>'Existing Management Practices'!C86</f>
        <v>0.4</v>
      </c>
      <c r="D57" s="216" t="s">
        <v>381</v>
      </c>
      <c r="E57" s="1386">
        <f>'Existing Management Practices'!E86</f>
        <v>0.32</v>
      </c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94"/>
      <c r="U57" s="294"/>
      <c r="V57" s="294"/>
      <c r="W57" s="294"/>
      <c r="X57" s="294"/>
      <c r="Y57" s="294"/>
      <c r="Z57" s="294"/>
      <c r="AA57" s="294"/>
      <c r="AB57" s="294"/>
      <c r="AC57" s="277"/>
      <c r="AD57" s="261"/>
      <c r="AE57" s="261"/>
      <c r="AF57" s="261"/>
      <c r="AG57" s="261"/>
      <c r="AH57" s="261"/>
      <c r="AI57" s="261"/>
      <c r="AJ57" s="261"/>
      <c r="AK57" s="261"/>
      <c r="AL57" s="261"/>
      <c r="AM57" s="261"/>
      <c r="AN57" s="261"/>
      <c r="AO57" s="261"/>
      <c r="AP57" s="261"/>
      <c r="AQ57" s="261"/>
      <c r="AR57" s="261"/>
      <c r="AS57" s="261"/>
      <c r="AT57" s="261"/>
      <c r="AU57" s="261"/>
      <c r="AV57" s="261"/>
      <c r="AW57" s="261"/>
      <c r="AX57" s="261"/>
      <c r="AY57" s="261"/>
      <c r="AZ57" s="261"/>
      <c r="BA57" s="261"/>
      <c r="BB57" s="261"/>
      <c r="BC57" s="261"/>
      <c r="BD57" s="261"/>
      <c r="BE57" s="261"/>
      <c r="BF57" s="261"/>
      <c r="BG57" s="261"/>
      <c r="BH57" s="261"/>
      <c r="BI57" s="261"/>
      <c r="BJ57" s="261"/>
      <c r="BK57" s="261"/>
      <c r="BL57" s="261"/>
      <c r="BM57" s="261"/>
      <c r="BN57" s="261"/>
      <c r="BO57" s="261"/>
      <c r="BP57" s="261"/>
      <c r="BQ57" s="261"/>
      <c r="BR57" s="261"/>
      <c r="BS57" s="261"/>
      <c r="BT57" s="261"/>
      <c r="BU57" s="261"/>
      <c r="BV57" s="261"/>
      <c r="BW57" s="261"/>
      <c r="BX57" s="261"/>
      <c r="BY57" s="261"/>
      <c r="BZ57" s="261"/>
      <c r="CA57" s="261"/>
      <c r="CB57" s="261"/>
      <c r="CC57" s="261"/>
      <c r="CD57" s="261"/>
      <c r="CE57" s="261"/>
      <c r="CF57" s="261"/>
      <c r="CG57" s="261"/>
      <c r="CH57" s="261"/>
      <c r="CI57" s="261"/>
      <c r="CJ57" s="261"/>
      <c r="CK57" s="261"/>
      <c r="CL57" s="261"/>
      <c r="CM57" s="261"/>
      <c r="CN57" s="261"/>
      <c r="CO57" s="261"/>
      <c r="CP57" s="261"/>
      <c r="CQ57" s="261"/>
      <c r="CR57" s="261"/>
      <c r="CS57" s="261"/>
      <c r="CT57" s="261"/>
      <c r="CU57" s="261"/>
      <c r="CV57" s="261"/>
      <c r="CW57" s="261"/>
      <c r="CX57" s="261"/>
      <c r="CY57" s="261"/>
      <c r="CZ57" s="261"/>
      <c r="DA57" s="261"/>
      <c r="DB57" s="261"/>
      <c r="DC57" s="261"/>
      <c r="DD57" s="261"/>
      <c r="DE57" s="261"/>
      <c r="DF57" s="261"/>
      <c r="DG57" s="261"/>
      <c r="DH57" s="261"/>
      <c r="DI57" s="261"/>
      <c r="DJ57" s="261"/>
      <c r="DK57" s="261"/>
      <c r="DL57" s="261"/>
      <c r="DM57" s="261"/>
      <c r="DN57" s="261"/>
      <c r="DO57" s="261"/>
      <c r="DP57" s="261"/>
      <c r="DQ57" s="261"/>
      <c r="DR57" s="261"/>
      <c r="DS57" s="261"/>
      <c r="DT57" s="261"/>
      <c r="DU57" s="261"/>
      <c r="DV57" s="261"/>
      <c r="DW57" s="261"/>
      <c r="DX57" s="261"/>
      <c r="DY57" s="261"/>
      <c r="DZ57" s="261"/>
      <c r="EA57" s="261"/>
      <c r="EB57" s="261"/>
      <c r="EC57" s="261"/>
      <c r="ED57" s="261"/>
      <c r="EE57" s="261"/>
      <c r="EF57" s="261"/>
      <c r="EG57" s="261"/>
      <c r="EH57" s="261"/>
      <c r="EI57" s="261"/>
      <c r="EJ57" s="261"/>
      <c r="EK57" s="261"/>
      <c r="EL57" s="261"/>
      <c r="EM57" s="261"/>
      <c r="EN57" s="261"/>
      <c r="EO57" s="261"/>
      <c r="EP57" s="261"/>
      <c r="EQ57" s="261"/>
      <c r="ER57" s="261"/>
      <c r="ES57" s="261"/>
      <c r="ET57" s="261"/>
      <c r="EU57" s="261"/>
      <c r="EV57" s="261"/>
      <c r="EW57" s="261"/>
      <c r="EX57" s="261"/>
      <c r="EY57" s="261"/>
      <c r="EZ57" s="261"/>
      <c r="FA57" s="261"/>
      <c r="FB57" s="261"/>
      <c r="FC57" s="261"/>
      <c r="FD57" s="261"/>
      <c r="FE57" s="261"/>
      <c r="FF57" s="261"/>
      <c r="FG57" s="261"/>
      <c r="FH57" s="261"/>
      <c r="FI57" s="261"/>
      <c r="FJ57" s="261"/>
      <c r="FK57" s="261"/>
      <c r="FL57" s="261"/>
      <c r="FM57" s="261"/>
      <c r="FN57" s="261"/>
      <c r="FO57" s="261"/>
      <c r="FP57" s="261"/>
      <c r="FQ57" s="261"/>
      <c r="FR57" s="261"/>
      <c r="FS57" s="261"/>
      <c r="FT57" s="261"/>
      <c r="FU57" s="261"/>
      <c r="FV57" s="261"/>
      <c r="FW57" s="261"/>
      <c r="FX57" s="261"/>
      <c r="FY57" s="261"/>
      <c r="FZ57" s="261"/>
      <c r="GA57" s="261"/>
      <c r="GB57" s="261"/>
      <c r="GC57" s="261"/>
      <c r="GD57" s="261"/>
      <c r="GE57" s="261"/>
      <c r="GF57" s="261"/>
      <c r="GG57" s="261"/>
      <c r="GH57" s="261"/>
      <c r="GI57" s="261"/>
      <c r="GJ57" s="261"/>
      <c r="GK57" s="261"/>
      <c r="GL57" s="261"/>
      <c r="GM57" s="261"/>
      <c r="GN57" s="261"/>
      <c r="GO57" s="261"/>
      <c r="GP57" s="261"/>
      <c r="GQ57" s="261"/>
      <c r="GR57" s="261"/>
      <c r="GS57" s="261"/>
      <c r="GT57" s="261"/>
      <c r="GU57" s="261"/>
      <c r="GV57" s="261"/>
      <c r="GW57" s="261"/>
      <c r="GX57" s="261"/>
      <c r="GY57" s="261"/>
      <c r="GZ57" s="261"/>
      <c r="HA57" s="261"/>
      <c r="HB57" s="261"/>
      <c r="HC57" s="261"/>
      <c r="HD57" s="261"/>
      <c r="HE57" s="261"/>
      <c r="HF57" s="261"/>
      <c r="HG57" s="261"/>
      <c r="HH57" s="261"/>
      <c r="HI57" s="261"/>
      <c r="HJ57" s="261"/>
      <c r="HK57" s="261"/>
      <c r="HL57" s="261"/>
      <c r="HM57" s="261"/>
      <c r="HN57" s="261"/>
      <c r="HO57" s="261"/>
      <c r="HP57" s="261"/>
      <c r="HQ57" s="261"/>
      <c r="HR57" s="261"/>
      <c r="HS57" s="261"/>
      <c r="HT57" s="261"/>
      <c r="HU57" s="261"/>
      <c r="HV57" s="261"/>
      <c r="HW57" s="261"/>
      <c r="HX57" s="261"/>
      <c r="HY57" s="261"/>
    </row>
    <row r="58" spans="1:238" customFormat="1" ht="13" x14ac:dyDescent="0.3">
      <c r="A58" s="470"/>
      <c r="B58" s="39" t="s">
        <v>285</v>
      </c>
      <c r="C58" s="1326">
        <f>'Existing Management Practices'!C87</f>
        <v>0.5</v>
      </c>
      <c r="D58" s="216" t="s">
        <v>286</v>
      </c>
      <c r="E58" s="1386">
        <f>'Existing Management Practices'!E87</f>
        <v>0.23</v>
      </c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94"/>
      <c r="U58" s="294"/>
      <c r="V58" s="294"/>
      <c r="W58" s="294"/>
      <c r="X58" s="294"/>
      <c r="Y58" s="294"/>
      <c r="Z58" s="294"/>
      <c r="AA58" s="294"/>
      <c r="AB58" s="294"/>
      <c r="AC58" s="277"/>
      <c r="AD58" s="261"/>
      <c r="AE58" s="261"/>
      <c r="AF58" s="261"/>
      <c r="AG58" s="261"/>
      <c r="AH58" s="261"/>
      <c r="AI58" s="261"/>
      <c r="AJ58" s="261"/>
      <c r="AK58" s="261"/>
      <c r="AL58" s="261"/>
      <c r="AM58" s="261"/>
      <c r="AN58" s="261"/>
      <c r="AO58" s="261"/>
      <c r="AP58" s="261"/>
      <c r="AQ58" s="261"/>
      <c r="AR58" s="261"/>
      <c r="AS58" s="261"/>
      <c r="AT58" s="261"/>
      <c r="AU58" s="261"/>
      <c r="AV58" s="261"/>
      <c r="AW58" s="261"/>
      <c r="AX58" s="261"/>
      <c r="AY58" s="261"/>
      <c r="AZ58" s="261"/>
      <c r="BA58" s="261"/>
      <c r="BB58" s="261"/>
      <c r="BC58" s="261"/>
      <c r="BD58" s="261"/>
      <c r="BE58" s="261"/>
      <c r="BF58" s="261"/>
      <c r="BG58" s="261"/>
      <c r="BH58" s="261"/>
      <c r="BI58" s="261"/>
      <c r="BJ58" s="261"/>
      <c r="BK58" s="261"/>
      <c r="BL58" s="261"/>
      <c r="BM58" s="261"/>
      <c r="BN58" s="261"/>
      <c r="BO58" s="261"/>
      <c r="BP58" s="261"/>
      <c r="BQ58" s="261"/>
      <c r="BR58" s="261"/>
      <c r="BS58" s="261"/>
      <c r="BT58" s="261"/>
      <c r="BU58" s="261"/>
      <c r="BV58" s="261"/>
      <c r="BW58" s="261"/>
      <c r="BX58" s="261"/>
      <c r="BY58" s="261"/>
      <c r="BZ58" s="261"/>
      <c r="CA58" s="261"/>
      <c r="CB58" s="261"/>
      <c r="CC58" s="261"/>
      <c r="CD58" s="261"/>
      <c r="CE58" s="261"/>
      <c r="CF58" s="261"/>
      <c r="CG58" s="261"/>
      <c r="CH58" s="261"/>
      <c r="CI58" s="261"/>
      <c r="CJ58" s="261"/>
      <c r="CK58" s="261"/>
      <c r="CL58" s="261"/>
      <c r="CM58" s="261"/>
      <c r="CN58" s="261"/>
      <c r="CO58" s="261"/>
      <c r="CP58" s="261"/>
      <c r="CQ58" s="261"/>
      <c r="CR58" s="261"/>
      <c r="CS58" s="261"/>
      <c r="CT58" s="261"/>
      <c r="CU58" s="261"/>
      <c r="CV58" s="261"/>
      <c r="CW58" s="261"/>
      <c r="CX58" s="261"/>
      <c r="CY58" s="261"/>
      <c r="CZ58" s="261"/>
      <c r="DA58" s="261"/>
      <c r="DB58" s="261"/>
      <c r="DC58" s="261"/>
      <c r="DD58" s="261"/>
      <c r="DE58" s="261"/>
      <c r="DF58" s="261"/>
      <c r="DG58" s="261"/>
      <c r="DH58" s="261"/>
      <c r="DI58" s="261"/>
      <c r="DJ58" s="261"/>
      <c r="DK58" s="261"/>
      <c r="DL58" s="261"/>
      <c r="DM58" s="261"/>
      <c r="DN58" s="261"/>
      <c r="DO58" s="261"/>
      <c r="DP58" s="261"/>
      <c r="DQ58" s="261"/>
      <c r="DR58" s="261"/>
      <c r="DS58" s="261"/>
      <c r="DT58" s="261"/>
      <c r="DU58" s="261"/>
      <c r="DV58" s="261"/>
      <c r="DW58" s="261"/>
      <c r="DX58" s="261"/>
      <c r="DY58" s="261"/>
      <c r="DZ58" s="261"/>
      <c r="EA58" s="261"/>
      <c r="EB58" s="261"/>
      <c r="EC58" s="261"/>
      <c r="ED58" s="261"/>
      <c r="EE58" s="261"/>
      <c r="EF58" s="261"/>
      <c r="EG58" s="261"/>
      <c r="EH58" s="261"/>
      <c r="EI58" s="261"/>
      <c r="EJ58" s="261"/>
      <c r="EK58" s="261"/>
      <c r="EL58" s="261"/>
      <c r="EM58" s="261"/>
      <c r="EN58" s="261"/>
      <c r="EO58" s="261"/>
      <c r="EP58" s="261"/>
      <c r="EQ58" s="261"/>
      <c r="ER58" s="261"/>
      <c r="ES58" s="261"/>
      <c r="ET58" s="261"/>
      <c r="EU58" s="261"/>
      <c r="EV58" s="261"/>
      <c r="EW58" s="261"/>
      <c r="EX58" s="261"/>
      <c r="EY58" s="261"/>
      <c r="EZ58" s="261"/>
      <c r="FA58" s="261"/>
      <c r="FB58" s="261"/>
      <c r="FC58" s="261"/>
      <c r="FD58" s="261"/>
      <c r="FE58" s="261"/>
      <c r="FF58" s="261"/>
      <c r="FG58" s="261"/>
      <c r="FH58" s="261"/>
      <c r="FI58" s="261"/>
      <c r="FJ58" s="261"/>
      <c r="FK58" s="261"/>
      <c r="FL58" s="261"/>
      <c r="FM58" s="261"/>
      <c r="FN58" s="261"/>
      <c r="FO58" s="261"/>
      <c r="FP58" s="261"/>
      <c r="FQ58" s="261"/>
      <c r="FR58" s="261"/>
      <c r="FS58" s="261"/>
      <c r="FT58" s="261"/>
      <c r="FU58" s="261"/>
      <c r="FV58" s="261"/>
      <c r="FW58" s="261"/>
      <c r="FX58" s="261"/>
      <c r="FY58" s="261"/>
      <c r="FZ58" s="261"/>
      <c r="GA58" s="261"/>
      <c r="GB58" s="261"/>
      <c r="GC58" s="261"/>
      <c r="GD58" s="261"/>
      <c r="GE58" s="261"/>
      <c r="GF58" s="261"/>
      <c r="GG58" s="261"/>
      <c r="GH58" s="261"/>
      <c r="GI58" s="261"/>
      <c r="GJ58" s="261"/>
      <c r="GK58" s="261"/>
      <c r="GL58" s="261"/>
      <c r="GM58" s="261"/>
      <c r="GN58" s="261"/>
      <c r="GO58" s="261"/>
      <c r="GP58" s="261"/>
      <c r="GQ58" s="261"/>
      <c r="GR58" s="261"/>
      <c r="GS58" s="261"/>
      <c r="GT58" s="261"/>
      <c r="GU58" s="261"/>
      <c r="GV58" s="261"/>
      <c r="GW58" s="261"/>
      <c r="GX58" s="261"/>
      <c r="GY58" s="261"/>
      <c r="GZ58" s="261"/>
      <c r="HA58" s="261"/>
      <c r="HB58" s="261"/>
      <c r="HC58" s="261"/>
      <c r="HD58" s="261"/>
      <c r="HE58" s="261"/>
      <c r="HF58" s="261"/>
      <c r="HG58" s="261"/>
      <c r="HH58" s="261"/>
      <c r="HI58" s="261"/>
      <c r="HJ58" s="261"/>
      <c r="HK58" s="261"/>
      <c r="HL58" s="261"/>
      <c r="HM58" s="261"/>
      <c r="HN58" s="261"/>
      <c r="HO58" s="261"/>
      <c r="HP58" s="261"/>
      <c r="HQ58" s="261"/>
      <c r="HR58" s="261"/>
      <c r="HS58" s="261"/>
      <c r="HT58" s="261"/>
      <c r="HU58" s="261"/>
      <c r="HV58" s="261"/>
      <c r="HW58" s="261"/>
      <c r="HX58" s="261"/>
      <c r="HY58" s="261"/>
    </row>
    <row r="59" spans="1:238" customFormat="1" ht="12" customHeight="1" x14ac:dyDescent="0.3">
      <c r="A59" s="470"/>
      <c r="B59" s="39" t="s">
        <v>287</v>
      </c>
      <c r="C59" s="1326">
        <f>'Existing Management Practices'!C88</f>
        <v>0.6</v>
      </c>
      <c r="D59" s="216" t="s">
        <v>288</v>
      </c>
      <c r="E59" s="1386">
        <f>'Existing Management Practices'!E88</f>
        <v>0.25</v>
      </c>
      <c r="F59" s="277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94"/>
      <c r="U59" s="294"/>
      <c r="V59" s="294"/>
      <c r="W59" s="294"/>
      <c r="X59" s="294"/>
      <c r="Y59" s="294"/>
      <c r="Z59" s="294"/>
      <c r="AA59" s="294"/>
      <c r="AB59" s="294"/>
      <c r="AC59" s="277"/>
      <c r="AD59" s="261"/>
      <c r="AE59" s="261"/>
      <c r="AF59" s="261"/>
      <c r="AG59" s="261"/>
      <c r="AH59" s="261"/>
      <c r="AI59" s="261"/>
      <c r="AJ59" s="261"/>
      <c r="AK59" s="261"/>
      <c r="AL59" s="261"/>
      <c r="AM59" s="261"/>
      <c r="AN59" s="261"/>
      <c r="AO59" s="261"/>
      <c r="AP59" s="261"/>
      <c r="AQ59" s="261"/>
      <c r="AR59" s="261"/>
      <c r="AS59" s="261"/>
      <c r="AT59" s="261"/>
      <c r="AU59" s="261"/>
      <c r="AV59" s="261"/>
      <c r="AW59" s="261"/>
      <c r="AX59" s="261"/>
      <c r="AY59" s="261"/>
      <c r="AZ59" s="261"/>
      <c r="BA59" s="261"/>
      <c r="BB59" s="261"/>
      <c r="BC59" s="261"/>
      <c r="BD59" s="261"/>
      <c r="BE59" s="261"/>
      <c r="BF59" s="261"/>
      <c r="BG59" s="261"/>
      <c r="BH59" s="261"/>
      <c r="BI59" s="261"/>
      <c r="BJ59" s="261"/>
      <c r="BK59" s="261"/>
      <c r="BL59" s="261"/>
      <c r="BM59" s="261"/>
      <c r="BN59" s="261"/>
      <c r="BO59" s="261"/>
      <c r="BP59" s="261"/>
      <c r="BQ59" s="261"/>
      <c r="BR59" s="261"/>
      <c r="BS59" s="261"/>
      <c r="BT59" s="261"/>
      <c r="BU59" s="261"/>
      <c r="BV59" s="261"/>
      <c r="BW59" s="261"/>
      <c r="BX59" s="261"/>
      <c r="BY59" s="261"/>
      <c r="BZ59" s="261"/>
      <c r="CA59" s="261"/>
      <c r="CB59" s="261"/>
      <c r="CC59" s="261"/>
      <c r="CD59" s="261"/>
      <c r="CE59" s="261"/>
      <c r="CF59" s="261"/>
      <c r="CG59" s="261"/>
      <c r="CH59" s="261"/>
      <c r="CI59" s="261"/>
      <c r="CJ59" s="261"/>
      <c r="CK59" s="261"/>
      <c r="CL59" s="261"/>
      <c r="CM59" s="261"/>
      <c r="CN59" s="261"/>
      <c r="CO59" s="261"/>
      <c r="CP59" s="261"/>
      <c r="CQ59" s="261"/>
      <c r="CR59" s="261"/>
      <c r="CS59" s="261"/>
      <c r="CT59" s="261"/>
      <c r="CU59" s="261"/>
      <c r="CV59" s="261"/>
      <c r="CW59" s="261"/>
      <c r="CX59" s="261"/>
      <c r="CY59" s="261"/>
      <c r="CZ59" s="261"/>
      <c r="DA59" s="261"/>
      <c r="DB59" s="261"/>
      <c r="DC59" s="261"/>
      <c r="DD59" s="261"/>
      <c r="DE59" s="261"/>
      <c r="DF59" s="261"/>
      <c r="DG59" s="261"/>
      <c r="DH59" s="261"/>
      <c r="DI59" s="261"/>
      <c r="DJ59" s="261"/>
      <c r="DK59" s="261"/>
      <c r="DL59" s="261"/>
      <c r="DM59" s="261"/>
      <c r="DN59" s="261"/>
      <c r="DO59" s="261"/>
      <c r="DP59" s="261"/>
      <c r="DQ59" s="261"/>
      <c r="DR59" s="261"/>
      <c r="DS59" s="261"/>
      <c r="DT59" s="261"/>
      <c r="DU59" s="261"/>
      <c r="DV59" s="261"/>
      <c r="DW59" s="261"/>
      <c r="DX59" s="261"/>
      <c r="DY59" s="261"/>
      <c r="DZ59" s="261"/>
      <c r="EA59" s="261"/>
      <c r="EB59" s="261"/>
      <c r="EC59" s="261"/>
      <c r="ED59" s="261"/>
      <c r="EE59" s="261"/>
      <c r="EF59" s="261"/>
      <c r="EG59" s="261"/>
      <c r="EH59" s="261"/>
      <c r="EI59" s="261"/>
      <c r="EJ59" s="261"/>
      <c r="EK59" s="261"/>
      <c r="EL59" s="261"/>
      <c r="EM59" s="261"/>
      <c r="EN59" s="261"/>
      <c r="EO59" s="261"/>
      <c r="EP59" s="261"/>
      <c r="EQ59" s="261"/>
      <c r="ER59" s="261"/>
      <c r="ES59" s="261"/>
      <c r="ET59" s="261"/>
      <c r="EU59" s="261"/>
      <c r="EV59" s="261"/>
      <c r="EW59" s="261"/>
      <c r="EX59" s="261"/>
      <c r="EY59" s="261"/>
      <c r="EZ59" s="261"/>
      <c r="FA59" s="261"/>
      <c r="FB59" s="261"/>
      <c r="FC59" s="261"/>
      <c r="FD59" s="261"/>
      <c r="FE59" s="261"/>
      <c r="FF59" s="261"/>
      <c r="FG59" s="261"/>
      <c r="FH59" s="261"/>
      <c r="FI59" s="261"/>
      <c r="FJ59" s="261"/>
      <c r="FK59" s="261"/>
      <c r="FL59" s="261"/>
      <c r="FM59" s="261"/>
      <c r="FN59" s="261"/>
      <c r="FO59" s="261"/>
      <c r="FP59" s="261"/>
      <c r="FQ59" s="261"/>
      <c r="FR59" s="261"/>
      <c r="FS59" s="261"/>
      <c r="FT59" s="261"/>
      <c r="FU59" s="261"/>
      <c r="FV59" s="261"/>
      <c r="FW59" s="261"/>
      <c r="FX59" s="261"/>
      <c r="FY59" s="261"/>
      <c r="FZ59" s="261"/>
      <c r="GA59" s="261"/>
      <c r="GB59" s="261"/>
      <c r="GC59" s="261"/>
      <c r="GD59" s="261"/>
      <c r="GE59" s="261"/>
      <c r="GF59" s="261"/>
      <c r="GG59" s="261"/>
      <c r="GH59" s="261"/>
      <c r="GI59" s="261"/>
      <c r="GJ59" s="261"/>
      <c r="GK59" s="261"/>
      <c r="GL59" s="261"/>
      <c r="GM59" s="261"/>
      <c r="GN59" s="261"/>
      <c r="GO59" s="261"/>
      <c r="GP59" s="261"/>
      <c r="GQ59" s="261"/>
      <c r="GR59" s="261"/>
      <c r="GS59" s="261"/>
      <c r="GT59" s="261"/>
      <c r="GU59" s="261"/>
      <c r="GV59" s="261"/>
      <c r="GW59" s="261"/>
      <c r="GX59" s="261"/>
      <c r="GY59" s="261"/>
      <c r="GZ59" s="261"/>
      <c r="HA59" s="261"/>
      <c r="HB59" s="261"/>
      <c r="HC59" s="261"/>
      <c r="HD59" s="261"/>
      <c r="HE59" s="261"/>
      <c r="HF59" s="261"/>
      <c r="HG59" s="261"/>
      <c r="HH59" s="261"/>
      <c r="HI59" s="261"/>
      <c r="HJ59" s="261"/>
      <c r="HK59" s="261"/>
      <c r="HL59" s="261"/>
      <c r="HM59" s="261"/>
      <c r="HN59" s="261"/>
      <c r="HO59" s="261"/>
      <c r="HP59" s="261"/>
      <c r="HQ59" s="261"/>
      <c r="HR59" s="261"/>
      <c r="HS59" s="261"/>
      <c r="HT59" s="261"/>
      <c r="HU59" s="261"/>
      <c r="HV59" s="261"/>
      <c r="HW59" s="261"/>
      <c r="HX59" s="261"/>
      <c r="HY59" s="261"/>
    </row>
    <row r="60" spans="1:238" customFormat="1" ht="12" customHeight="1" x14ac:dyDescent="0.3">
      <c r="A60" s="470"/>
      <c r="B60" s="39" t="s">
        <v>289</v>
      </c>
      <c r="C60" s="1326">
        <f>'Existing Management Practices'!C89</f>
        <v>0.6</v>
      </c>
      <c r="D60" s="216" t="s">
        <v>290</v>
      </c>
      <c r="E60" s="1386">
        <f>'Existing Management Practices'!E89</f>
        <v>0.01</v>
      </c>
      <c r="F60" s="277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94"/>
      <c r="U60" s="294"/>
      <c r="V60" s="294"/>
      <c r="W60" s="294"/>
      <c r="X60" s="294"/>
      <c r="Y60" s="294"/>
      <c r="Z60" s="294"/>
      <c r="AA60" s="294"/>
      <c r="AB60" s="294"/>
      <c r="AC60" s="277"/>
      <c r="AD60" s="261"/>
      <c r="AE60" s="261"/>
      <c r="AF60" s="261"/>
      <c r="AG60" s="261"/>
      <c r="AH60" s="261"/>
      <c r="AI60" s="261"/>
      <c r="AJ60" s="261"/>
      <c r="AK60" s="261"/>
      <c r="AL60" s="261"/>
      <c r="AM60" s="261"/>
      <c r="AN60" s="261"/>
      <c r="AO60" s="261"/>
      <c r="AP60" s="261"/>
      <c r="AQ60" s="261"/>
      <c r="AR60" s="261"/>
      <c r="AS60" s="261"/>
      <c r="AT60" s="261"/>
      <c r="AU60" s="261"/>
      <c r="AV60" s="261"/>
      <c r="AW60" s="261"/>
      <c r="AX60" s="261"/>
      <c r="AY60" s="261"/>
      <c r="AZ60" s="261"/>
      <c r="BA60" s="261"/>
      <c r="BB60" s="261"/>
      <c r="BC60" s="261"/>
      <c r="BD60" s="261"/>
      <c r="BE60" s="261"/>
      <c r="BF60" s="261"/>
      <c r="BG60" s="261"/>
      <c r="BH60" s="261"/>
      <c r="BI60" s="261"/>
      <c r="BJ60" s="261"/>
      <c r="BK60" s="261"/>
      <c r="BL60" s="261"/>
      <c r="BM60" s="261"/>
      <c r="BN60" s="261"/>
      <c r="BO60" s="261"/>
      <c r="BP60" s="261"/>
      <c r="BQ60" s="261"/>
      <c r="BR60" s="261"/>
      <c r="BS60" s="261"/>
      <c r="BT60" s="261"/>
      <c r="BU60" s="261"/>
      <c r="BV60" s="261"/>
      <c r="BW60" s="261"/>
      <c r="BX60" s="261"/>
      <c r="BY60" s="261"/>
      <c r="BZ60" s="261"/>
      <c r="CA60" s="261"/>
      <c r="CB60" s="261"/>
      <c r="CC60" s="261"/>
      <c r="CD60" s="261"/>
      <c r="CE60" s="261"/>
      <c r="CF60" s="261"/>
      <c r="CG60" s="261"/>
      <c r="CH60" s="261"/>
      <c r="CI60" s="261"/>
      <c r="CJ60" s="261"/>
      <c r="CK60" s="261"/>
      <c r="CL60" s="261"/>
      <c r="CM60" s="261"/>
      <c r="CN60" s="261"/>
      <c r="CO60" s="261"/>
      <c r="CP60" s="261"/>
      <c r="CQ60" s="261"/>
      <c r="CR60" s="261"/>
      <c r="CS60" s="261"/>
      <c r="CT60" s="261"/>
      <c r="CU60" s="261"/>
      <c r="CV60" s="261"/>
      <c r="CW60" s="261"/>
      <c r="CX60" s="261"/>
      <c r="CY60" s="261"/>
      <c r="CZ60" s="261"/>
      <c r="DA60" s="261"/>
      <c r="DB60" s="261"/>
      <c r="DC60" s="261"/>
      <c r="DD60" s="261"/>
      <c r="DE60" s="261"/>
      <c r="DF60" s="261"/>
      <c r="DG60" s="261"/>
      <c r="DH60" s="261"/>
      <c r="DI60" s="261"/>
      <c r="DJ60" s="261"/>
      <c r="DK60" s="261"/>
      <c r="DL60" s="261"/>
      <c r="DM60" s="261"/>
      <c r="DN60" s="261"/>
      <c r="DO60" s="261"/>
      <c r="DP60" s="261"/>
      <c r="DQ60" s="261"/>
      <c r="DR60" s="261"/>
      <c r="DS60" s="261"/>
      <c r="DT60" s="261"/>
      <c r="DU60" s="261"/>
      <c r="DV60" s="261"/>
      <c r="DW60" s="261"/>
      <c r="DX60" s="261"/>
      <c r="DY60" s="261"/>
      <c r="DZ60" s="261"/>
      <c r="EA60" s="261"/>
      <c r="EB60" s="261"/>
      <c r="EC60" s="261"/>
      <c r="ED60" s="261"/>
      <c r="EE60" s="261"/>
      <c r="EF60" s="261"/>
      <c r="EG60" s="261"/>
      <c r="EH60" s="261"/>
      <c r="EI60" s="261"/>
      <c r="EJ60" s="261"/>
      <c r="EK60" s="261"/>
      <c r="EL60" s="261"/>
      <c r="EM60" s="261"/>
      <c r="EN60" s="261"/>
      <c r="EO60" s="261"/>
      <c r="EP60" s="261"/>
      <c r="EQ60" s="261"/>
      <c r="ER60" s="261"/>
      <c r="ES60" s="261"/>
      <c r="ET60" s="261"/>
      <c r="EU60" s="261"/>
      <c r="EV60" s="261"/>
      <c r="EW60" s="261"/>
      <c r="EX60" s="261"/>
      <c r="EY60" s="261"/>
      <c r="EZ60" s="261"/>
      <c r="FA60" s="261"/>
      <c r="FB60" s="261"/>
      <c r="FC60" s="261"/>
      <c r="FD60" s="261"/>
      <c r="FE60" s="261"/>
      <c r="FF60" s="261"/>
      <c r="FG60" s="261"/>
      <c r="FH60" s="261"/>
      <c r="FI60" s="261"/>
      <c r="FJ60" s="261"/>
      <c r="FK60" s="261"/>
      <c r="FL60" s="261"/>
      <c r="FM60" s="261"/>
      <c r="FN60" s="261"/>
      <c r="FO60" s="261"/>
      <c r="FP60" s="261"/>
      <c r="FQ60" s="261"/>
      <c r="FR60" s="261"/>
      <c r="FS60" s="261"/>
      <c r="FT60" s="261"/>
      <c r="FU60" s="261"/>
      <c r="FV60" s="261"/>
      <c r="FW60" s="261"/>
      <c r="FX60" s="261"/>
      <c r="FY60" s="261"/>
      <c r="FZ60" s="261"/>
      <c r="GA60" s="261"/>
      <c r="GB60" s="261"/>
      <c r="GC60" s="261"/>
      <c r="GD60" s="261"/>
      <c r="GE60" s="261"/>
      <c r="GF60" s="261"/>
      <c r="GG60" s="261"/>
      <c r="GH60" s="261"/>
      <c r="GI60" s="261"/>
      <c r="GJ60" s="261"/>
      <c r="GK60" s="261"/>
      <c r="GL60" s="261"/>
      <c r="GM60" s="261"/>
      <c r="GN60" s="261"/>
      <c r="GO60" s="261"/>
      <c r="GP60" s="261"/>
      <c r="GQ60" s="261"/>
      <c r="GR60" s="261"/>
      <c r="GS60" s="261"/>
      <c r="GT60" s="261"/>
      <c r="GU60" s="261"/>
      <c r="GV60" s="261"/>
      <c r="GW60" s="261"/>
      <c r="GX60" s="261"/>
      <c r="GY60" s="261"/>
      <c r="GZ60" s="261"/>
      <c r="HA60" s="261"/>
      <c r="HB60" s="261"/>
      <c r="HC60" s="261"/>
      <c r="HD60" s="261"/>
      <c r="HE60" s="261"/>
      <c r="HF60" s="261"/>
      <c r="HG60" s="261"/>
      <c r="HH60" s="261"/>
      <c r="HI60" s="261"/>
      <c r="HJ60" s="261"/>
      <c r="HK60" s="261"/>
      <c r="HL60" s="261"/>
      <c r="HM60" s="261"/>
      <c r="HN60" s="261"/>
      <c r="HO60" s="261"/>
      <c r="HP60" s="261"/>
      <c r="HQ60" s="261"/>
      <c r="HR60" s="261"/>
      <c r="HS60" s="261"/>
      <c r="HT60" s="261"/>
      <c r="HU60" s="261"/>
      <c r="HV60" s="261"/>
      <c r="HW60" s="261"/>
      <c r="HX60" s="261"/>
      <c r="HY60" s="261"/>
    </row>
    <row r="61" spans="1:238" customFormat="1" ht="13" x14ac:dyDescent="0.3">
      <c r="A61" s="470"/>
      <c r="B61" s="39" t="s">
        <v>291</v>
      </c>
      <c r="C61" s="1213">
        <f>'Existing Management Practices'!C90</f>
        <v>0.45</v>
      </c>
      <c r="D61" s="216" t="s">
        <v>292</v>
      </c>
      <c r="E61" s="1386">
        <f>'Existing Management Practices'!E90</f>
        <v>0.75</v>
      </c>
      <c r="F61" s="277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94"/>
      <c r="U61" s="294"/>
      <c r="V61" s="294"/>
      <c r="W61" s="294"/>
      <c r="X61" s="294"/>
      <c r="Y61" s="294"/>
      <c r="Z61" s="294"/>
      <c r="AA61" s="294"/>
      <c r="AB61" s="294"/>
      <c r="AC61" s="277"/>
      <c r="AD61" s="261"/>
      <c r="AE61" s="261"/>
      <c r="AF61" s="261"/>
      <c r="AG61" s="261"/>
      <c r="AH61" s="261"/>
      <c r="AI61" s="261"/>
      <c r="AJ61" s="261"/>
      <c r="AK61" s="261"/>
      <c r="AL61" s="261"/>
      <c r="AM61" s="261"/>
      <c r="AN61" s="261"/>
      <c r="AO61" s="261"/>
      <c r="AP61" s="261"/>
      <c r="AQ61" s="261"/>
      <c r="AR61" s="261"/>
      <c r="AS61" s="261"/>
      <c r="AT61" s="261"/>
      <c r="AU61" s="261"/>
      <c r="AV61" s="261"/>
      <c r="AW61" s="261"/>
      <c r="AX61" s="261"/>
      <c r="AY61" s="261"/>
      <c r="AZ61" s="261"/>
      <c r="BA61" s="261"/>
      <c r="BB61" s="261"/>
      <c r="BC61" s="261"/>
      <c r="BD61" s="261"/>
      <c r="BE61" s="261"/>
      <c r="BF61" s="261"/>
      <c r="BG61" s="261"/>
      <c r="BH61" s="261"/>
      <c r="BI61" s="261"/>
      <c r="BJ61" s="261"/>
      <c r="BK61" s="261"/>
      <c r="BL61" s="261"/>
      <c r="BM61" s="261"/>
      <c r="BN61" s="261"/>
      <c r="BO61" s="261"/>
      <c r="BP61" s="261"/>
      <c r="BQ61" s="261"/>
      <c r="BR61" s="261"/>
      <c r="BS61" s="261"/>
      <c r="BT61" s="261"/>
      <c r="BU61" s="261"/>
      <c r="BV61" s="261"/>
      <c r="BW61" s="261"/>
      <c r="BX61" s="261"/>
      <c r="BY61" s="261"/>
      <c r="BZ61" s="261"/>
      <c r="CA61" s="261"/>
      <c r="CB61" s="261"/>
      <c r="CC61" s="261"/>
      <c r="CD61" s="261"/>
      <c r="CE61" s="261"/>
      <c r="CF61" s="261"/>
      <c r="CG61" s="261"/>
      <c r="CH61" s="261"/>
      <c r="CI61" s="261"/>
      <c r="CJ61" s="261"/>
      <c r="CK61" s="261"/>
      <c r="CL61" s="261"/>
      <c r="CM61" s="261"/>
      <c r="CN61" s="261"/>
      <c r="CO61" s="261"/>
      <c r="CP61" s="261"/>
      <c r="CQ61" s="261"/>
      <c r="CR61" s="261"/>
      <c r="CS61" s="261"/>
      <c r="CT61" s="261"/>
      <c r="CU61" s="261"/>
      <c r="CV61" s="261"/>
      <c r="CW61" s="261"/>
      <c r="CX61" s="261"/>
      <c r="CY61" s="261"/>
      <c r="CZ61" s="261"/>
      <c r="DA61" s="261"/>
      <c r="DB61" s="261"/>
      <c r="DC61" s="261"/>
      <c r="DD61" s="261"/>
      <c r="DE61" s="261"/>
      <c r="DF61" s="261"/>
      <c r="DG61" s="261"/>
      <c r="DH61" s="261"/>
      <c r="DI61" s="261"/>
      <c r="DJ61" s="261"/>
      <c r="DK61" s="261"/>
      <c r="DL61" s="261"/>
      <c r="DM61" s="261"/>
      <c r="DN61" s="261"/>
      <c r="DO61" s="261"/>
      <c r="DP61" s="261"/>
      <c r="DQ61" s="261"/>
      <c r="DR61" s="261"/>
      <c r="DS61" s="261"/>
      <c r="DT61" s="261"/>
      <c r="DU61" s="261"/>
      <c r="DV61" s="261"/>
      <c r="DW61" s="261"/>
      <c r="DX61" s="261"/>
      <c r="DY61" s="261"/>
      <c r="DZ61" s="261"/>
      <c r="EA61" s="261"/>
      <c r="EB61" s="261"/>
      <c r="EC61" s="261"/>
      <c r="ED61" s="261"/>
      <c r="EE61" s="261"/>
      <c r="EF61" s="261"/>
      <c r="EG61" s="261"/>
      <c r="EH61" s="261"/>
      <c r="EI61" s="261"/>
      <c r="EJ61" s="261"/>
      <c r="EK61" s="261"/>
      <c r="EL61" s="261"/>
      <c r="EM61" s="261"/>
      <c r="EN61" s="261"/>
      <c r="EO61" s="261"/>
      <c r="EP61" s="261"/>
      <c r="EQ61" s="261"/>
      <c r="ER61" s="261"/>
      <c r="ES61" s="261"/>
      <c r="ET61" s="261"/>
      <c r="EU61" s="261"/>
      <c r="EV61" s="261"/>
      <c r="EW61" s="261"/>
      <c r="EX61" s="261"/>
      <c r="EY61" s="261"/>
      <c r="EZ61" s="261"/>
      <c r="FA61" s="261"/>
      <c r="FB61" s="261"/>
      <c r="FC61" s="261"/>
      <c r="FD61" s="261"/>
      <c r="FE61" s="261"/>
      <c r="FF61" s="261"/>
      <c r="FG61" s="261"/>
      <c r="FH61" s="261"/>
      <c r="FI61" s="261"/>
      <c r="FJ61" s="261"/>
      <c r="FK61" s="261"/>
      <c r="FL61" s="261"/>
      <c r="FM61" s="261"/>
      <c r="FN61" s="261"/>
      <c r="FO61" s="261"/>
      <c r="FP61" s="261"/>
      <c r="FQ61" s="261"/>
      <c r="FR61" s="261"/>
      <c r="FS61" s="261"/>
      <c r="FT61" s="261"/>
      <c r="FU61" s="261"/>
      <c r="FV61" s="261"/>
      <c r="FW61" s="261"/>
      <c r="FX61" s="261"/>
      <c r="FY61" s="261"/>
      <c r="FZ61" s="261"/>
      <c r="GA61" s="261"/>
      <c r="GB61" s="261"/>
      <c r="GC61" s="261"/>
      <c r="GD61" s="261"/>
      <c r="GE61" s="261"/>
      <c r="GF61" s="261"/>
      <c r="GG61" s="261"/>
      <c r="GH61" s="261"/>
      <c r="GI61" s="261"/>
      <c r="GJ61" s="261"/>
      <c r="GK61" s="261"/>
      <c r="GL61" s="261"/>
      <c r="GM61" s="261"/>
      <c r="GN61" s="261"/>
      <c r="GO61" s="261"/>
      <c r="GP61" s="261"/>
      <c r="GQ61" s="261"/>
      <c r="GR61" s="261"/>
      <c r="GS61" s="261"/>
      <c r="GT61" s="261"/>
      <c r="GU61" s="261"/>
      <c r="GV61" s="261"/>
      <c r="GW61" s="261"/>
      <c r="GX61" s="261"/>
      <c r="GY61" s="261"/>
      <c r="GZ61" s="261"/>
      <c r="HA61" s="261"/>
      <c r="HB61" s="261"/>
      <c r="HC61" s="261"/>
      <c r="HD61" s="261"/>
      <c r="HE61" s="261"/>
      <c r="HF61" s="261"/>
      <c r="HG61" s="261"/>
      <c r="HH61" s="261"/>
      <c r="HI61" s="261"/>
      <c r="HJ61" s="261"/>
      <c r="HK61" s="261"/>
      <c r="HL61" s="261"/>
      <c r="HM61" s="261"/>
      <c r="HN61" s="261"/>
      <c r="HO61" s="261"/>
      <c r="HP61" s="261"/>
      <c r="HQ61" s="261"/>
      <c r="HR61" s="261"/>
      <c r="HS61" s="261"/>
      <c r="HT61" s="261"/>
      <c r="HU61" s="261"/>
      <c r="HV61" s="261"/>
      <c r="HW61" s="261"/>
      <c r="HX61" s="261"/>
      <c r="HY61" s="261"/>
    </row>
    <row r="62" spans="1:238" customFormat="1" ht="26" x14ac:dyDescent="0.3">
      <c r="A62" s="470"/>
      <c r="B62" s="15"/>
      <c r="C62" s="16"/>
      <c r="D62" s="216" t="s">
        <v>293</v>
      </c>
      <c r="E62" s="1386">
        <f>'Existing Management Practices'!E91</f>
        <v>10</v>
      </c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94"/>
      <c r="U62" s="294"/>
      <c r="V62" s="294"/>
      <c r="W62" s="294"/>
      <c r="X62" s="294"/>
      <c r="Y62" s="294"/>
      <c r="Z62" s="294"/>
      <c r="AA62" s="294"/>
      <c r="AB62" s="294"/>
      <c r="AC62" s="277"/>
      <c r="AD62" s="261"/>
      <c r="AE62" s="261"/>
      <c r="AF62" s="261"/>
      <c r="AG62" s="261"/>
      <c r="AH62" s="261"/>
      <c r="AI62" s="261"/>
      <c r="AJ62" s="261"/>
      <c r="AK62" s="261"/>
      <c r="AL62" s="261"/>
      <c r="AM62" s="261"/>
      <c r="AN62" s="261"/>
      <c r="AO62" s="261"/>
      <c r="AP62" s="261"/>
      <c r="AQ62" s="261"/>
      <c r="AR62" s="261"/>
      <c r="AS62" s="261"/>
      <c r="AT62" s="261"/>
      <c r="AU62" s="261"/>
      <c r="AV62" s="261"/>
      <c r="AW62" s="261"/>
      <c r="AX62" s="261"/>
      <c r="AY62" s="261"/>
      <c r="AZ62" s="261"/>
      <c r="BA62" s="261"/>
      <c r="BB62" s="261"/>
      <c r="BC62" s="261"/>
      <c r="BD62" s="261"/>
      <c r="BE62" s="261"/>
      <c r="BF62" s="261"/>
      <c r="BG62" s="261"/>
      <c r="BH62" s="261"/>
      <c r="BI62" s="261"/>
      <c r="BJ62" s="261"/>
      <c r="BK62" s="261"/>
      <c r="BL62" s="261"/>
      <c r="BM62" s="261"/>
      <c r="BN62" s="261"/>
      <c r="BO62" s="261"/>
      <c r="BP62" s="261"/>
      <c r="BQ62" s="261"/>
      <c r="BR62" s="261"/>
      <c r="BS62" s="261"/>
      <c r="BT62" s="261"/>
      <c r="BU62" s="261"/>
      <c r="BV62" s="261"/>
      <c r="BW62" s="261"/>
      <c r="BX62" s="261"/>
      <c r="BY62" s="261"/>
      <c r="BZ62" s="261"/>
      <c r="CA62" s="261"/>
      <c r="CB62" s="261"/>
      <c r="CC62" s="261"/>
      <c r="CD62" s="261"/>
      <c r="CE62" s="261"/>
      <c r="CF62" s="261"/>
      <c r="CG62" s="261"/>
      <c r="CH62" s="261"/>
      <c r="CI62" s="261"/>
      <c r="CJ62" s="261"/>
      <c r="CK62" s="261"/>
      <c r="CL62" s="261"/>
      <c r="CM62" s="261"/>
      <c r="CN62" s="261"/>
      <c r="CO62" s="261"/>
      <c r="CP62" s="261"/>
      <c r="CQ62" s="261"/>
      <c r="CR62" s="261"/>
      <c r="CS62" s="261"/>
      <c r="CT62" s="261"/>
      <c r="CU62" s="261"/>
      <c r="CV62" s="261"/>
      <c r="CW62" s="261"/>
      <c r="CX62" s="261"/>
      <c r="CY62" s="261"/>
      <c r="CZ62" s="261"/>
      <c r="DA62" s="261"/>
      <c r="DB62" s="261"/>
      <c r="DC62" s="261"/>
      <c r="DD62" s="261"/>
      <c r="DE62" s="261"/>
      <c r="DF62" s="261"/>
      <c r="DG62" s="261"/>
      <c r="DH62" s="261"/>
      <c r="DI62" s="261"/>
      <c r="DJ62" s="261"/>
      <c r="DK62" s="261"/>
      <c r="DL62" s="261"/>
      <c r="DM62" s="261"/>
      <c r="DN62" s="261"/>
      <c r="DO62" s="261"/>
      <c r="DP62" s="261"/>
      <c r="DQ62" s="261"/>
      <c r="DR62" s="261"/>
      <c r="DS62" s="261"/>
      <c r="DT62" s="261"/>
      <c r="DU62" s="261"/>
      <c r="DV62" s="261"/>
      <c r="DW62" s="261"/>
      <c r="DX62" s="261"/>
      <c r="DY62" s="261"/>
      <c r="DZ62" s="261"/>
      <c r="EA62" s="261"/>
      <c r="EB62" s="261"/>
      <c r="EC62" s="261"/>
      <c r="ED62" s="261"/>
      <c r="EE62" s="261"/>
      <c r="EF62" s="261"/>
      <c r="EG62" s="261"/>
      <c r="EH62" s="261"/>
      <c r="EI62" s="261"/>
      <c r="EJ62" s="261"/>
      <c r="EK62" s="261"/>
      <c r="EL62" s="261"/>
      <c r="EM62" s="261"/>
      <c r="EN62" s="261"/>
      <c r="EO62" s="261"/>
      <c r="EP62" s="261"/>
      <c r="EQ62" s="261"/>
      <c r="ER62" s="261"/>
      <c r="ES62" s="261"/>
      <c r="ET62" s="261"/>
      <c r="EU62" s="261"/>
      <c r="EV62" s="261"/>
      <c r="EW62" s="261"/>
      <c r="EX62" s="261"/>
      <c r="EY62" s="261"/>
      <c r="EZ62" s="261"/>
      <c r="FA62" s="261"/>
      <c r="FB62" s="261"/>
      <c r="FC62" s="261"/>
      <c r="FD62" s="261"/>
      <c r="FE62" s="261"/>
      <c r="FF62" s="261"/>
      <c r="FG62" s="261"/>
      <c r="FH62" s="261"/>
      <c r="FI62" s="261"/>
      <c r="FJ62" s="261"/>
      <c r="FK62" s="261"/>
      <c r="FL62" s="261"/>
      <c r="FM62" s="261"/>
      <c r="FN62" s="261"/>
      <c r="FO62" s="261"/>
      <c r="FP62" s="261"/>
      <c r="FQ62" s="261"/>
      <c r="FR62" s="261"/>
      <c r="FS62" s="261"/>
      <c r="FT62" s="261"/>
      <c r="FU62" s="261"/>
      <c r="FV62" s="261"/>
      <c r="FW62" s="261"/>
      <c r="FX62" s="261"/>
      <c r="FY62" s="261"/>
      <c r="FZ62" s="261"/>
      <c r="GA62" s="261"/>
      <c r="GB62" s="261"/>
      <c r="GC62" s="261"/>
      <c r="GD62" s="261"/>
      <c r="GE62" s="261"/>
      <c r="GF62" s="261"/>
      <c r="GG62" s="261"/>
      <c r="GH62" s="261"/>
      <c r="GI62" s="261"/>
      <c r="GJ62" s="261"/>
      <c r="GK62" s="261"/>
      <c r="GL62" s="261"/>
      <c r="GM62" s="261"/>
      <c r="GN62" s="261"/>
      <c r="GO62" s="261"/>
      <c r="GP62" s="261"/>
      <c r="GQ62" s="261"/>
      <c r="GR62" s="261"/>
      <c r="GS62" s="261"/>
      <c r="GT62" s="261"/>
      <c r="GU62" s="261"/>
      <c r="GV62" s="261"/>
      <c r="GW62" s="261"/>
      <c r="GX62" s="261"/>
      <c r="GY62" s="261"/>
      <c r="GZ62" s="261"/>
      <c r="HA62" s="261"/>
      <c r="HB62" s="261"/>
      <c r="HC62" s="261"/>
      <c r="HD62" s="261"/>
      <c r="HE62" s="261"/>
      <c r="HF62" s="261"/>
      <c r="HG62" s="261"/>
      <c r="HH62" s="261"/>
      <c r="HI62" s="261"/>
      <c r="HJ62" s="261"/>
      <c r="HK62" s="261"/>
      <c r="HL62" s="261"/>
      <c r="HM62" s="261"/>
      <c r="HN62" s="261"/>
      <c r="HO62" s="261"/>
      <c r="HP62" s="261"/>
      <c r="HQ62" s="261"/>
      <c r="HR62" s="261"/>
      <c r="HS62" s="261"/>
      <c r="HT62" s="261"/>
      <c r="HU62" s="261"/>
      <c r="HV62" s="261"/>
      <c r="HW62" s="261"/>
      <c r="HX62" s="261"/>
      <c r="HY62" s="261"/>
    </row>
    <row r="63" spans="1:238" customFormat="1" ht="13.5" thickBot="1" x14ac:dyDescent="0.35">
      <c r="A63" s="368"/>
      <c r="B63" s="471"/>
      <c r="C63" s="472"/>
      <c r="D63" s="249" t="s">
        <v>294</v>
      </c>
      <c r="E63" s="1426">
        <f>'Existing Management Practices'!E92</f>
        <v>0.05</v>
      </c>
      <c r="F63" s="277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94"/>
      <c r="U63" s="294"/>
      <c r="V63" s="294"/>
      <c r="W63" s="294"/>
      <c r="X63" s="294"/>
      <c r="Y63" s="294"/>
      <c r="Z63" s="294"/>
      <c r="AA63" s="294"/>
      <c r="AB63" s="294"/>
      <c r="AC63" s="277"/>
      <c r="AD63" s="261"/>
      <c r="AE63" s="261"/>
      <c r="AF63" s="261"/>
      <c r="AG63" s="261"/>
      <c r="AH63" s="261"/>
      <c r="AI63" s="261"/>
      <c r="AJ63" s="261"/>
      <c r="AK63" s="261"/>
      <c r="AL63" s="261"/>
      <c r="AM63" s="261"/>
      <c r="AN63" s="261"/>
      <c r="AO63" s="261"/>
      <c r="AP63" s="261"/>
      <c r="AQ63" s="261"/>
      <c r="AR63" s="261"/>
      <c r="AS63" s="261"/>
      <c r="AT63" s="261"/>
      <c r="AU63" s="261"/>
      <c r="AV63" s="261"/>
      <c r="AW63" s="261"/>
      <c r="AX63" s="261"/>
      <c r="AY63" s="261"/>
      <c r="AZ63" s="261"/>
      <c r="BA63" s="261"/>
      <c r="BB63" s="261"/>
      <c r="BC63" s="261"/>
      <c r="BD63" s="261"/>
      <c r="BE63" s="261"/>
      <c r="BF63" s="261"/>
      <c r="BG63" s="261"/>
      <c r="BH63" s="261"/>
      <c r="BI63" s="261"/>
      <c r="BJ63" s="261"/>
      <c r="BK63" s="261"/>
      <c r="BL63" s="261"/>
      <c r="BM63" s="261"/>
      <c r="BN63" s="261"/>
      <c r="BO63" s="261"/>
      <c r="BP63" s="261"/>
      <c r="BQ63" s="261"/>
      <c r="BR63" s="261"/>
      <c r="BS63" s="261"/>
      <c r="BT63" s="261"/>
      <c r="BU63" s="261"/>
      <c r="BV63" s="261"/>
      <c r="BW63" s="261"/>
      <c r="BX63" s="261"/>
      <c r="BY63" s="261"/>
      <c r="BZ63" s="261"/>
      <c r="CA63" s="261"/>
      <c r="CB63" s="261"/>
      <c r="CC63" s="261"/>
      <c r="CD63" s="261"/>
      <c r="CE63" s="261"/>
      <c r="CF63" s="261"/>
      <c r="CG63" s="261"/>
      <c r="CH63" s="261"/>
      <c r="CI63" s="261"/>
      <c r="CJ63" s="261"/>
      <c r="CK63" s="261"/>
      <c r="CL63" s="261"/>
      <c r="CM63" s="261"/>
      <c r="CN63" s="261"/>
      <c r="CO63" s="261"/>
      <c r="CP63" s="261"/>
      <c r="CQ63" s="261"/>
      <c r="CR63" s="261"/>
      <c r="CS63" s="261"/>
      <c r="CT63" s="261"/>
      <c r="CU63" s="261"/>
      <c r="CV63" s="261"/>
      <c r="CW63" s="261"/>
      <c r="CX63" s="261"/>
      <c r="CY63" s="261"/>
      <c r="CZ63" s="261"/>
      <c r="DA63" s="261"/>
      <c r="DB63" s="261"/>
      <c r="DC63" s="261"/>
      <c r="DD63" s="261"/>
      <c r="DE63" s="261"/>
      <c r="DF63" s="261"/>
      <c r="DG63" s="261"/>
      <c r="DH63" s="261"/>
      <c r="DI63" s="261"/>
      <c r="DJ63" s="261"/>
      <c r="DK63" s="261"/>
      <c r="DL63" s="261"/>
      <c r="DM63" s="261"/>
      <c r="DN63" s="261"/>
      <c r="DO63" s="261"/>
      <c r="DP63" s="261"/>
      <c r="DQ63" s="261"/>
      <c r="DR63" s="261"/>
      <c r="DS63" s="261"/>
      <c r="DT63" s="261"/>
      <c r="DU63" s="261"/>
      <c r="DV63" s="261"/>
      <c r="DW63" s="261"/>
      <c r="DX63" s="261"/>
      <c r="DY63" s="261"/>
      <c r="DZ63" s="261"/>
      <c r="EA63" s="261"/>
      <c r="EB63" s="261"/>
      <c r="EC63" s="261"/>
      <c r="ED63" s="261"/>
      <c r="EE63" s="261"/>
      <c r="EF63" s="261"/>
      <c r="EG63" s="261"/>
      <c r="EH63" s="261"/>
      <c r="EI63" s="261"/>
      <c r="EJ63" s="261"/>
      <c r="EK63" s="261"/>
      <c r="EL63" s="261"/>
      <c r="EM63" s="261"/>
      <c r="EN63" s="261"/>
      <c r="EO63" s="261"/>
      <c r="EP63" s="261"/>
      <c r="EQ63" s="261"/>
      <c r="ER63" s="261"/>
      <c r="ES63" s="261"/>
      <c r="ET63" s="261"/>
      <c r="EU63" s="261"/>
      <c r="EV63" s="261"/>
      <c r="EW63" s="261"/>
      <c r="EX63" s="261"/>
      <c r="EY63" s="261"/>
      <c r="EZ63" s="261"/>
      <c r="FA63" s="261"/>
      <c r="FB63" s="261"/>
      <c r="FC63" s="261"/>
      <c r="FD63" s="261"/>
      <c r="FE63" s="261"/>
      <c r="FF63" s="261"/>
      <c r="FG63" s="261"/>
      <c r="FH63" s="261"/>
      <c r="FI63" s="261"/>
      <c r="FJ63" s="261"/>
      <c r="FK63" s="261"/>
      <c r="FL63" s="261"/>
      <c r="FM63" s="261"/>
      <c r="FN63" s="261"/>
      <c r="FO63" s="261"/>
      <c r="FP63" s="261"/>
      <c r="FQ63" s="261"/>
      <c r="FR63" s="261"/>
      <c r="FS63" s="261"/>
      <c r="FT63" s="261"/>
      <c r="FU63" s="261"/>
      <c r="FV63" s="261"/>
      <c r="FW63" s="261"/>
      <c r="FX63" s="261"/>
      <c r="FY63" s="261"/>
      <c r="FZ63" s="261"/>
      <c r="GA63" s="261"/>
      <c r="GB63" s="261"/>
      <c r="GC63" s="261"/>
      <c r="GD63" s="261"/>
      <c r="GE63" s="261"/>
      <c r="GF63" s="261"/>
      <c r="GG63" s="261"/>
      <c r="GH63" s="261"/>
      <c r="GI63" s="261"/>
      <c r="GJ63" s="261"/>
      <c r="GK63" s="261"/>
      <c r="GL63" s="261"/>
      <c r="GM63" s="261"/>
      <c r="GN63" s="261"/>
      <c r="GO63" s="261"/>
      <c r="GP63" s="261"/>
      <c r="GQ63" s="261"/>
      <c r="GR63" s="261"/>
      <c r="GS63" s="261"/>
      <c r="GT63" s="261"/>
      <c r="GU63" s="261"/>
      <c r="GV63" s="261"/>
      <c r="GW63" s="261"/>
      <c r="GX63" s="261"/>
      <c r="GY63" s="261"/>
      <c r="GZ63" s="261"/>
      <c r="HA63" s="261"/>
      <c r="HB63" s="261"/>
      <c r="HC63" s="261"/>
      <c r="HD63" s="261"/>
      <c r="HE63" s="261"/>
      <c r="HF63" s="261"/>
      <c r="HG63" s="261"/>
      <c r="HH63" s="261"/>
      <c r="HI63" s="261"/>
      <c r="HJ63" s="261"/>
      <c r="HK63" s="261"/>
      <c r="HL63" s="261"/>
      <c r="HM63" s="261"/>
      <c r="HN63" s="261"/>
      <c r="HO63" s="261"/>
      <c r="HP63" s="261"/>
      <c r="HQ63" s="261"/>
      <c r="HR63" s="261"/>
      <c r="HS63" s="261"/>
      <c r="HT63" s="261"/>
      <c r="HU63" s="261"/>
      <c r="HV63" s="261"/>
      <c r="HW63" s="261"/>
      <c r="HX63" s="261"/>
      <c r="HY63" s="261"/>
    </row>
    <row r="64" spans="1:238" s="261" customFormat="1" ht="14" thickTop="1" thickBot="1" x14ac:dyDescent="0.35">
      <c r="A64" s="368"/>
      <c r="B64" s="114"/>
      <c r="C64" s="114"/>
      <c r="D64" s="277"/>
      <c r="E64" s="277"/>
      <c r="F64" s="277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94"/>
      <c r="U64" s="294"/>
      <c r="V64" s="294"/>
      <c r="W64" s="294"/>
      <c r="X64" s="294"/>
      <c r="Y64" s="294"/>
      <c r="Z64" s="294"/>
      <c r="AA64" s="294"/>
      <c r="AB64" s="294"/>
      <c r="AC64" s="277"/>
    </row>
    <row r="65" spans="1:233" customFormat="1" ht="21" thickTop="1" thickBot="1" x14ac:dyDescent="0.45">
      <c r="A65" s="368"/>
      <c r="B65" s="1864" t="s">
        <v>295</v>
      </c>
      <c r="C65" s="1802"/>
      <c r="D65" s="277"/>
      <c r="E65" s="277"/>
      <c r="F65" s="277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94"/>
      <c r="U65" s="294"/>
      <c r="V65" s="294"/>
      <c r="W65" s="294"/>
      <c r="X65" s="294"/>
      <c r="Y65" s="294"/>
      <c r="Z65" s="294"/>
      <c r="AA65" s="294"/>
      <c r="AB65" s="294"/>
      <c r="AC65" s="277"/>
      <c r="AD65" s="261"/>
      <c r="AE65" s="261"/>
      <c r="AF65" s="261"/>
      <c r="AG65" s="261"/>
      <c r="AH65" s="261"/>
      <c r="AI65" s="261"/>
      <c r="AJ65" s="261"/>
      <c r="AK65" s="261"/>
      <c r="AL65" s="261"/>
      <c r="AM65" s="261"/>
      <c r="AN65" s="261"/>
      <c r="AO65" s="261"/>
      <c r="AP65" s="261"/>
      <c r="AQ65" s="261"/>
      <c r="AR65" s="261"/>
      <c r="AS65" s="261"/>
      <c r="AT65" s="261"/>
      <c r="AU65" s="261"/>
      <c r="AV65" s="261"/>
      <c r="AW65" s="261"/>
      <c r="AX65" s="261"/>
      <c r="AY65" s="261"/>
      <c r="AZ65" s="261"/>
      <c r="BA65" s="261"/>
      <c r="BB65" s="261"/>
      <c r="BC65" s="261"/>
      <c r="BD65" s="261"/>
      <c r="BE65" s="261"/>
      <c r="BF65" s="261"/>
      <c r="BG65" s="261"/>
      <c r="BH65" s="261"/>
      <c r="BI65" s="261"/>
      <c r="BJ65" s="261"/>
      <c r="BK65" s="261"/>
      <c r="BL65" s="261"/>
      <c r="BM65" s="261"/>
      <c r="BN65" s="261"/>
      <c r="BO65" s="261"/>
      <c r="BP65" s="261"/>
      <c r="BQ65" s="261"/>
      <c r="BR65" s="261"/>
      <c r="BS65" s="261"/>
      <c r="BT65" s="261"/>
      <c r="BU65" s="261"/>
      <c r="BV65" s="261"/>
      <c r="BW65" s="261"/>
      <c r="BX65" s="261"/>
      <c r="BY65" s="261"/>
      <c r="BZ65" s="261"/>
      <c r="CA65" s="261"/>
      <c r="CB65" s="261"/>
      <c r="CC65" s="261"/>
      <c r="CD65" s="261"/>
      <c r="CE65" s="261"/>
      <c r="CF65" s="261"/>
      <c r="CG65" s="261"/>
      <c r="CH65" s="261"/>
      <c r="CI65" s="261"/>
      <c r="CJ65" s="261"/>
      <c r="CK65" s="261"/>
      <c r="CL65" s="261"/>
      <c r="CM65" s="261"/>
      <c r="CN65" s="261"/>
      <c r="CO65" s="261"/>
      <c r="CP65" s="261"/>
      <c r="CQ65" s="261"/>
      <c r="CR65" s="261"/>
      <c r="CS65" s="261"/>
      <c r="CT65" s="261"/>
      <c r="CU65" s="261"/>
      <c r="CV65" s="261"/>
      <c r="CW65" s="261"/>
      <c r="CX65" s="261"/>
      <c r="CY65" s="261"/>
      <c r="CZ65" s="261"/>
      <c r="DA65" s="261"/>
      <c r="DB65" s="261"/>
      <c r="DC65" s="261"/>
      <c r="DD65" s="261"/>
      <c r="DE65" s="261"/>
      <c r="DF65" s="261"/>
      <c r="DG65" s="261"/>
      <c r="DH65" s="261"/>
      <c r="DI65" s="261"/>
      <c r="DJ65" s="261"/>
      <c r="DK65" s="261"/>
      <c r="DL65" s="261"/>
      <c r="DM65" s="261"/>
      <c r="DN65" s="261"/>
      <c r="DO65" s="261"/>
      <c r="DP65" s="261"/>
      <c r="DQ65" s="261"/>
      <c r="DR65" s="261"/>
      <c r="DS65" s="261"/>
      <c r="DT65" s="261"/>
      <c r="DU65" s="261"/>
      <c r="DV65" s="261"/>
      <c r="DW65" s="261"/>
      <c r="DX65" s="261"/>
      <c r="DY65" s="261"/>
      <c r="DZ65" s="261"/>
      <c r="EA65" s="261"/>
      <c r="EB65" s="261"/>
      <c r="EC65" s="261"/>
      <c r="ED65" s="261"/>
      <c r="EE65" s="261"/>
      <c r="EF65" s="261"/>
      <c r="EG65" s="261"/>
      <c r="EH65" s="261"/>
      <c r="EI65" s="261"/>
      <c r="EJ65" s="261"/>
      <c r="EK65" s="261"/>
      <c r="EL65" s="261"/>
      <c r="EM65" s="261"/>
      <c r="EN65" s="261"/>
      <c r="EO65" s="261"/>
      <c r="EP65" s="261"/>
      <c r="EQ65" s="261"/>
      <c r="ER65" s="261"/>
      <c r="ES65" s="261"/>
      <c r="ET65" s="261"/>
      <c r="EU65" s="261"/>
      <c r="EV65" s="261"/>
      <c r="EW65" s="261"/>
      <c r="EX65" s="261"/>
      <c r="EY65" s="261"/>
      <c r="EZ65" s="261"/>
      <c r="FA65" s="261"/>
      <c r="FB65" s="261"/>
      <c r="FC65" s="261"/>
      <c r="FD65" s="261"/>
      <c r="FE65" s="261"/>
      <c r="FF65" s="261"/>
      <c r="FG65" s="261"/>
      <c r="FH65" s="261"/>
      <c r="FI65" s="261"/>
      <c r="FJ65" s="261"/>
      <c r="FK65" s="261"/>
      <c r="FL65" s="261"/>
      <c r="FM65" s="261"/>
      <c r="FN65" s="261"/>
      <c r="FO65" s="261"/>
      <c r="FP65" s="261"/>
      <c r="FQ65" s="261"/>
      <c r="FR65" s="261"/>
      <c r="FS65" s="261"/>
      <c r="FT65" s="261"/>
      <c r="FU65" s="261"/>
      <c r="FV65" s="261"/>
      <c r="FW65" s="261"/>
      <c r="FX65" s="261"/>
      <c r="FY65" s="261"/>
      <c r="FZ65" s="261"/>
      <c r="GA65" s="261"/>
      <c r="GB65" s="261"/>
      <c r="GC65" s="261"/>
      <c r="GD65" s="261"/>
      <c r="GE65" s="261"/>
      <c r="GF65" s="261"/>
      <c r="GG65" s="261"/>
      <c r="GH65" s="261"/>
      <c r="GI65" s="261"/>
      <c r="GJ65" s="261"/>
      <c r="GK65" s="261"/>
      <c r="GL65" s="261"/>
      <c r="GM65" s="261"/>
      <c r="GN65" s="261"/>
      <c r="GO65" s="261"/>
      <c r="GP65" s="261"/>
      <c r="GQ65" s="261"/>
      <c r="GR65" s="261"/>
      <c r="GS65" s="261"/>
      <c r="GT65" s="261"/>
      <c r="GU65" s="261"/>
      <c r="GV65" s="261"/>
      <c r="GW65" s="261"/>
      <c r="GX65" s="261"/>
      <c r="GY65" s="261"/>
      <c r="GZ65" s="261"/>
      <c r="HA65" s="261"/>
      <c r="HB65" s="261"/>
      <c r="HC65" s="261"/>
      <c r="HD65" s="261"/>
      <c r="HE65" s="261"/>
      <c r="HF65" s="261"/>
      <c r="HG65" s="261"/>
      <c r="HH65" s="261"/>
      <c r="HI65" s="261"/>
      <c r="HJ65" s="261"/>
      <c r="HK65" s="261"/>
      <c r="HL65" s="261"/>
      <c r="HM65" s="261"/>
      <c r="HN65" s="261"/>
      <c r="HO65" s="261"/>
      <c r="HP65" s="261"/>
      <c r="HQ65" s="261"/>
      <c r="HR65" s="261"/>
      <c r="HS65" s="261"/>
      <c r="HT65" s="261"/>
      <c r="HU65" s="261"/>
      <c r="HV65" s="261"/>
      <c r="HW65" s="261"/>
      <c r="HX65" s="261"/>
      <c r="HY65" s="261"/>
    </row>
    <row r="66" spans="1:233" customFormat="1" ht="13" x14ac:dyDescent="0.3">
      <c r="A66" s="368"/>
      <c r="B66" s="469"/>
      <c r="C66" s="94"/>
      <c r="D66" s="277"/>
      <c r="E66" s="277"/>
      <c r="F66" s="277"/>
      <c r="G66" s="277"/>
      <c r="H66" s="277"/>
      <c r="I66" s="277"/>
      <c r="J66" s="277"/>
      <c r="K66" s="277"/>
      <c r="L66" s="277"/>
      <c r="M66" s="277"/>
      <c r="N66" s="277"/>
      <c r="O66" s="277"/>
      <c r="P66" s="277"/>
      <c r="Q66" s="277"/>
      <c r="R66" s="277"/>
      <c r="S66" s="277"/>
      <c r="T66" s="294"/>
      <c r="U66" s="294"/>
      <c r="V66" s="294"/>
      <c r="W66" s="294"/>
      <c r="X66" s="294"/>
      <c r="Y66" s="294"/>
      <c r="Z66" s="294"/>
      <c r="AA66" s="294"/>
      <c r="AB66" s="294"/>
      <c r="AC66" s="277"/>
      <c r="AD66" s="277"/>
      <c r="AE66" s="277"/>
      <c r="AF66" s="277"/>
      <c r="AG66" s="277"/>
      <c r="AH66" s="277"/>
      <c r="AI66" s="277"/>
      <c r="AJ66" s="277"/>
      <c r="AK66" s="277"/>
      <c r="AL66" s="277"/>
      <c r="AM66" s="277"/>
      <c r="AN66" s="277"/>
      <c r="AO66" s="277"/>
      <c r="AP66" s="277"/>
      <c r="AQ66" s="277"/>
      <c r="AR66" s="277"/>
      <c r="AS66" s="277"/>
      <c r="AT66" s="277"/>
      <c r="AU66" s="277"/>
      <c r="AV66" s="277"/>
      <c r="AW66" s="277"/>
      <c r="AX66" s="277"/>
      <c r="AY66" s="277"/>
      <c r="AZ66" s="277"/>
      <c r="BA66" s="277"/>
      <c r="BB66" s="277"/>
      <c r="BC66" s="261"/>
      <c r="BD66" s="261"/>
      <c r="BE66" s="261"/>
      <c r="BF66" s="261"/>
      <c r="BG66" s="261"/>
      <c r="BH66" s="261"/>
      <c r="BI66" s="261"/>
      <c r="BJ66" s="261"/>
      <c r="BK66" s="261"/>
      <c r="BL66" s="261"/>
      <c r="BM66" s="261"/>
      <c r="BN66" s="261"/>
      <c r="BO66" s="261"/>
      <c r="BP66" s="261"/>
      <c r="BQ66" s="261"/>
      <c r="BR66" s="261"/>
      <c r="BS66" s="261"/>
      <c r="BT66" s="261"/>
      <c r="BU66" s="261"/>
      <c r="BV66" s="261"/>
      <c r="BW66" s="261"/>
      <c r="BX66" s="261"/>
      <c r="BY66" s="261"/>
      <c r="BZ66" s="261"/>
      <c r="CA66" s="261"/>
      <c r="CB66" s="261"/>
      <c r="CC66" s="261"/>
      <c r="CD66" s="261"/>
      <c r="CE66" s="261"/>
      <c r="CF66" s="261"/>
      <c r="CG66" s="261"/>
      <c r="CH66" s="261"/>
      <c r="CI66" s="261"/>
      <c r="CJ66" s="261"/>
      <c r="CK66" s="261"/>
      <c r="CL66" s="261"/>
      <c r="CM66" s="261"/>
      <c r="CN66" s="261"/>
      <c r="CO66" s="261"/>
      <c r="CP66" s="261"/>
      <c r="CQ66" s="261"/>
      <c r="CR66" s="261"/>
      <c r="CS66" s="261"/>
      <c r="CT66" s="261"/>
      <c r="CU66" s="261"/>
      <c r="CV66" s="261"/>
      <c r="CW66" s="261"/>
      <c r="CX66" s="261"/>
      <c r="CY66" s="261"/>
      <c r="CZ66" s="261"/>
      <c r="DA66" s="261"/>
      <c r="DB66" s="261"/>
      <c r="DC66" s="261"/>
      <c r="DD66" s="261"/>
      <c r="DE66" s="261"/>
      <c r="DF66" s="261"/>
      <c r="DG66" s="261"/>
      <c r="DH66" s="261"/>
      <c r="DI66" s="261"/>
      <c r="DJ66" s="261"/>
      <c r="DK66" s="261"/>
      <c r="DL66" s="261"/>
      <c r="DM66" s="261"/>
      <c r="DN66" s="261"/>
      <c r="DO66" s="261"/>
      <c r="DP66" s="261"/>
      <c r="DQ66" s="261"/>
      <c r="DR66" s="261"/>
      <c r="DS66" s="261"/>
      <c r="DT66" s="261"/>
      <c r="DU66" s="261"/>
      <c r="DV66" s="261"/>
      <c r="DW66" s="261"/>
      <c r="DX66" s="261"/>
      <c r="DY66" s="261"/>
      <c r="DZ66" s="261"/>
      <c r="EA66" s="261"/>
      <c r="EB66" s="261"/>
      <c r="EC66" s="261"/>
      <c r="ED66" s="261"/>
      <c r="EE66" s="261"/>
      <c r="EF66" s="261"/>
      <c r="EG66" s="261"/>
      <c r="EH66" s="261"/>
      <c r="EI66" s="261"/>
      <c r="EJ66" s="261"/>
      <c r="EK66" s="261"/>
      <c r="EL66" s="261"/>
      <c r="EM66" s="261"/>
      <c r="EN66" s="261"/>
      <c r="EO66" s="261"/>
      <c r="EP66" s="261"/>
      <c r="EQ66" s="261"/>
      <c r="ER66" s="261"/>
      <c r="ES66" s="261"/>
      <c r="ET66" s="261"/>
      <c r="EU66" s="261"/>
      <c r="EV66" s="261"/>
      <c r="EW66" s="261"/>
      <c r="EX66" s="261"/>
      <c r="EY66" s="261"/>
      <c r="EZ66" s="261"/>
      <c r="FA66" s="261"/>
      <c r="FB66" s="261"/>
      <c r="FC66" s="261"/>
      <c r="FD66" s="261"/>
      <c r="FE66" s="261"/>
      <c r="FF66" s="261"/>
      <c r="FG66" s="261"/>
      <c r="FH66" s="261"/>
      <c r="FI66" s="261"/>
      <c r="FJ66" s="261"/>
      <c r="FK66" s="261"/>
      <c r="FL66" s="261"/>
      <c r="FM66" s="261"/>
      <c r="FN66" s="261"/>
      <c r="FO66" s="261"/>
      <c r="FP66" s="261"/>
      <c r="FQ66" s="261"/>
      <c r="FR66" s="261"/>
      <c r="FS66" s="261"/>
      <c r="FT66" s="261"/>
      <c r="FU66" s="261"/>
      <c r="FV66" s="261"/>
      <c r="FW66" s="261"/>
      <c r="FX66" s="261"/>
      <c r="FY66" s="261"/>
      <c r="FZ66" s="261"/>
      <c r="GA66" s="261"/>
      <c r="GB66" s="261"/>
      <c r="GC66" s="261"/>
      <c r="GD66" s="261"/>
      <c r="GE66" s="261"/>
      <c r="GF66" s="261"/>
      <c r="GG66" s="261"/>
      <c r="GH66" s="261"/>
      <c r="GI66" s="261"/>
      <c r="GJ66" s="261"/>
      <c r="GK66" s="261"/>
      <c r="GL66" s="261"/>
      <c r="GM66" s="261"/>
      <c r="GN66" s="261"/>
      <c r="GO66" s="261"/>
      <c r="GP66" s="261"/>
      <c r="GQ66" s="261"/>
      <c r="GR66" s="261"/>
      <c r="GS66" s="261"/>
      <c r="GT66" s="261"/>
      <c r="GU66" s="261"/>
      <c r="GV66" s="261"/>
      <c r="GW66" s="261"/>
      <c r="GX66" s="261"/>
      <c r="GY66" s="261"/>
      <c r="GZ66" s="261"/>
      <c r="HA66" s="261"/>
      <c r="HB66" s="261"/>
      <c r="HC66" s="261"/>
      <c r="HD66" s="261"/>
      <c r="HE66" s="261"/>
      <c r="HF66" s="261"/>
      <c r="HG66" s="261"/>
      <c r="HH66" s="261"/>
      <c r="HI66" s="261"/>
      <c r="HJ66" s="261"/>
      <c r="HK66" s="261"/>
      <c r="HL66" s="261"/>
      <c r="HM66" s="261"/>
      <c r="HN66" s="261"/>
      <c r="HO66" s="261"/>
      <c r="HP66" s="261"/>
      <c r="HQ66" s="261"/>
      <c r="HR66" s="261"/>
      <c r="HS66" s="261"/>
      <c r="HT66" s="261"/>
      <c r="HU66" s="261"/>
      <c r="HV66" s="261"/>
      <c r="HW66" s="261"/>
      <c r="HX66" s="261"/>
      <c r="HY66" s="261"/>
    </row>
    <row r="67" spans="1:233" customFormat="1" ht="13" x14ac:dyDescent="0.3">
      <c r="A67" s="368"/>
      <c r="B67" s="39" t="s">
        <v>296</v>
      </c>
      <c r="C67" s="1412">
        <f>'Existing Management Practices'!C97</f>
        <v>0.7</v>
      </c>
      <c r="D67" s="277"/>
      <c r="E67" s="277"/>
      <c r="F67" s="277"/>
      <c r="G67" s="277"/>
      <c r="H67" s="277"/>
      <c r="I67" s="277"/>
      <c r="J67" s="277"/>
      <c r="K67" s="277"/>
      <c r="L67" s="277"/>
      <c r="M67" s="277"/>
      <c r="N67" s="277"/>
      <c r="O67" s="277"/>
      <c r="P67" s="277"/>
      <c r="Q67" s="277"/>
      <c r="R67" s="277"/>
      <c r="S67" s="277"/>
      <c r="T67" s="294"/>
      <c r="U67" s="294"/>
      <c r="V67" s="294"/>
      <c r="W67" s="294"/>
      <c r="X67" s="294"/>
      <c r="Y67" s="294"/>
      <c r="Z67" s="294"/>
      <c r="AA67" s="294"/>
      <c r="AB67" s="294"/>
      <c r="AC67" s="277"/>
      <c r="AD67" s="277"/>
      <c r="AE67" s="277"/>
      <c r="AF67" s="277"/>
      <c r="AG67" s="277"/>
      <c r="AH67" s="277"/>
      <c r="AI67" s="277"/>
      <c r="AJ67" s="277"/>
      <c r="AK67" s="277"/>
      <c r="AL67" s="277"/>
      <c r="AM67" s="277"/>
      <c r="AN67" s="277"/>
      <c r="AO67" s="277"/>
      <c r="AP67" s="277"/>
      <c r="AQ67" s="277"/>
      <c r="AR67" s="277"/>
      <c r="AS67" s="277"/>
      <c r="AT67" s="277"/>
      <c r="AU67" s="277"/>
      <c r="AV67" s="277"/>
      <c r="AW67" s="277"/>
      <c r="AX67" s="277"/>
      <c r="AY67" s="277"/>
      <c r="AZ67" s="277"/>
      <c r="BA67" s="277"/>
      <c r="BB67" s="277"/>
      <c r="BC67" s="261"/>
      <c r="BD67" s="261"/>
      <c r="BE67" s="261"/>
      <c r="BF67" s="261"/>
      <c r="BG67" s="261"/>
      <c r="BH67" s="261"/>
      <c r="BI67" s="261"/>
      <c r="BJ67" s="261"/>
      <c r="BK67" s="261"/>
      <c r="BL67" s="261"/>
      <c r="BM67" s="261"/>
      <c r="BN67" s="261"/>
      <c r="BO67" s="261"/>
      <c r="BP67" s="261"/>
      <c r="BQ67" s="261"/>
      <c r="BR67" s="261"/>
      <c r="BS67" s="261"/>
      <c r="BT67" s="261"/>
      <c r="BU67" s="261"/>
      <c r="BV67" s="261"/>
      <c r="BW67" s="261"/>
      <c r="BX67" s="261"/>
      <c r="BY67" s="261"/>
      <c r="BZ67" s="261"/>
      <c r="CA67" s="261"/>
      <c r="CB67" s="261"/>
      <c r="CC67" s="261"/>
      <c r="CD67" s="261"/>
      <c r="CE67" s="261"/>
      <c r="CF67" s="261"/>
      <c r="CG67" s="261"/>
      <c r="CH67" s="261"/>
      <c r="CI67" s="261"/>
      <c r="CJ67" s="261"/>
      <c r="CK67" s="261"/>
      <c r="CL67" s="261"/>
      <c r="CM67" s="261"/>
      <c r="CN67" s="261"/>
      <c r="CO67" s="261"/>
      <c r="CP67" s="261"/>
      <c r="CQ67" s="261"/>
      <c r="CR67" s="261"/>
      <c r="CS67" s="261"/>
      <c r="CT67" s="261"/>
      <c r="CU67" s="261"/>
      <c r="CV67" s="261"/>
      <c r="CW67" s="261"/>
      <c r="CX67" s="261"/>
      <c r="CY67" s="261"/>
      <c r="CZ67" s="261"/>
      <c r="DA67" s="261"/>
      <c r="DB67" s="261"/>
      <c r="DC67" s="261"/>
      <c r="DD67" s="261"/>
      <c r="DE67" s="261"/>
      <c r="DF67" s="261"/>
      <c r="DG67" s="261"/>
      <c r="DH67" s="261"/>
      <c r="DI67" s="261"/>
      <c r="DJ67" s="261"/>
      <c r="DK67" s="261"/>
      <c r="DL67" s="261"/>
      <c r="DM67" s="261"/>
      <c r="DN67" s="261"/>
      <c r="DO67" s="261"/>
      <c r="DP67" s="261"/>
      <c r="DQ67" s="261"/>
      <c r="DR67" s="261"/>
      <c r="DS67" s="261"/>
      <c r="DT67" s="261"/>
      <c r="DU67" s="261"/>
      <c r="DV67" s="261"/>
      <c r="DW67" s="261"/>
      <c r="DX67" s="261"/>
      <c r="DY67" s="261"/>
      <c r="DZ67" s="261"/>
      <c r="EA67" s="261"/>
      <c r="EB67" s="261"/>
      <c r="EC67" s="261"/>
      <c r="ED67" s="261"/>
      <c r="EE67" s="261"/>
      <c r="EF67" s="261"/>
      <c r="EG67" s="261"/>
      <c r="EH67" s="261"/>
      <c r="EI67" s="261"/>
      <c r="EJ67" s="261"/>
      <c r="EK67" s="261"/>
      <c r="EL67" s="261"/>
      <c r="EM67" s="261"/>
      <c r="EN67" s="261"/>
      <c r="EO67" s="261"/>
      <c r="EP67" s="261"/>
      <c r="EQ67" s="261"/>
      <c r="ER67" s="261"/>
      <c r="ES67" s="261"/>
      <c r="ET67" s="261"/>
      <c r="EU67" s="261"/>
      <c r="EV67" s="261"/>
      <c r="EW67" s="261"/>
      <c r="EX67" s="261"/>
      <c r="EY67" s="261"/>
      <c r="EZ67" s="261"/>
      <c r="FA67" s="261"/>
      <c r="FB67" s="261"/>
      <c r="FC67" s="261"/>
      <c r="FD67" s="261"/>
      <c r="FE67" s="261"/>
      <c r="FF67" s="261"/>
      <c r="FG67" s="261"/>
      <c r="FH67" s="261"/>
      <c r="FI67" s="261"/>
      <c r="FJ67" s="261"/>
      <c r="FK67" s="261"/>
      <c r="FL67" s="261"/>
      <c r="FM67" s="261"/>
      <c r="FN67" s="261"/>
      <c r="FO67" s="261"/>
      <c r="FP67" s="261"/>
      <c r="FQ67" s="261"/>
      <c r="FR67" s="261"/>
      <c r="FS67" s="261"/>
      <c r="FT67" s="261"/>
      <c r="FU67" s="261"/>
      <c r="FV67" s="261"/>
      <c r="FW67" s="261"/>
      <c r="FX67" s="261"/>
      <c r="FY67" s="261"/>
      <c r="FZ67" s="261"/>
      <c r="GA67" s="261"/>
      <c r="GB67" s="261"/>
      <c r="GC67" s="261"/>
      <c r="GD67" s="261"/>
      <c r="GE67" s="261"/>
      <c r="GF67" s="261"/>
      <c r="GG67" s="261"/>
      <c r="GH67" s="261"/>
      <c r="GI67" s="261"/>
      <c r="GJ67" s="261"/>
      <c r="GK67" s="261"/>
      <c r="GL67" s="261"/>
      <c r="GM67" s="261"/>
      <c r="GN67" s="261"/>
      <c r="GO67" s="261"/>
      <c r="GP67" s="261"/>
      <c r="GQ67" s="261"/>
      <c r="GR67" s="261"/>
      <c r="GS67" s="261"/>
      <c r="GT67" s="261"/>
      <c r="GU67" s="261"/>
      <c r="GV67" s="261"/>
      <c r="GW67" s="261"/>
      <c r="GX67" s="261"/>
      <c r="GY67" s="261"/>
      <c r="GZ67" s="261"/>
      <c r="HA67" s="261"/>
      <c r="HB67" s="261"/>
      <c r="HC67" s="261"/>
      <c r="HD67" s="261"/>
      <c r="HE67" s="261"/>
      <c r="HF67" s="261"/>
      <c r="HG67" s="261"/>
      <c r="HH67" s="261"/>
      <c r="HI67" s="261"/>
      <c r="HJ67" s="261"/>
      <c r="HK67" s="261"/>
      <c r="HL67" s="261"/>
      <c r="HM67" s="261"/>
      <c r="HN67" s="261"/>
      <c r="HO67" s="261"/>
      <c r="HP67" s="261"/>
      <c r="HQ67" s="261"/>
      <c r="HR67" s="261"/>
      <c r="HS67" s="261"/>
      <c r="HT67" s="261"/>
      <c r="HU67" s="261"/>
      <c r="HV67" s="261"/>
      <c r="HW67" s="261"/>
      <c r="HX67" s="261"/>
      <c r="HY67" s="261"/>
    </row>
    <row r="68" spans="1:233" customFormat="1" ht="13" x14ac:dyDescent="0.3">
      <c r="A68" s="368"/>
      <c r="B68" s="39"/>
      <c r="C68" s="367"/>
      <c r="D68" s="277"/>
      <c r="E68" s="277"/>
      <c r="F68" s="277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94"/>
      <c r="U68" s="294"/>
      <c r="V68" s="294"/>
      <c r="W68" s="294"/>
      <c r="X68" s="294"/>
      <c r="Y68" s="294"/>
      <c r="Z68" s="294"/>
      <c r="AA68" s="294"/>
      <c r="AB68" s="294"/>
      <c r="AC68" s="277"/>
      <c r="AD68" s="277"/>
      <c r="AE68" s="277"/>
      <c r="AF68" s="277"/>
      <c r="AG68" s="277"/>
      <c r="AH68" s="277"/>
      <c r="AI68" s="277"/>
      <c r="AJ68" s="277"/>
      <c r="AK68" s="277"/>
      <c r="AL68" s="277"/>
      <c r="AM68" s="277"/>
      <c r="AN68" s="277"/>
      <c r="AO68" s="277"/>
      <c r="AP68" s="277"/>
      <c r="AQ68" s="277"/>
      <c r="AR68" s="277"/>
      <c r="AS68" s="277"/>
      <c r="AT68" s="277"/>
      <c r="AU68" s="277"/>
      <c r="AV68" s="277"/>
      <c r="AW68" s="277"/>
      <c r="AX68" s="277"/>
      <c r="AY68" s="277"/>
      <c r="AZ68" s="277"/>
      <c r="BA68" s="277"/>
      <c r="BB68" s="277"/>
      <c r="BC68" s="261"/>
      <c r="BD68" s="261"/>
      <c r="BE68" s="261"/>
      <c r="BF68" s="261"/>
      <c r="BG68" s="261"/>
      <c r="BH68" s="261"/>
      <c r="BI68" s="261"/>
      <c r="BJ68" s="261"/>
      <c r="BK68" s="261"/>
      <c r="BL68" s="261"/>
      <c r="BM68" s="261"/>
      <c r="BN68" s="261"/>
      <c r="BO68" s="261"/>
      <c r="BP68" s="261"/>
      <c r="BQ68" s="261"/>
      <c r="BR68" s="261"/>
      <c r="BS68" s="261"/>
      <c r="BT68" s="261"/>
      <c r="BU68" s="261"/>
      <c r="BV68" s="261"/>
      <c r="BW68" s="261"/>
      <c r="BX68" s="261"/>
      <c r="BY68" s="261"/>
      <c r="BZ68" s="261"/>
      <c r="CA68" s="261"/>
      <c r="CB68" s="261"/>
      <c r="CC68" s="261"/>
      <c r="CD68" s="261"/>
      <c r="CE68" s="261"/>
      <c r="CF68" s="261"/>
      <c r="CG68" s="261"/>
      <c r="CH68" s="261"/>
      <c r="CI68" s="261"/>
      <c r="CJ68" s="261"/>
      <c r="CK68" s="261"/>
      <c r="CL68" s="261"/>
      <c r="CM68" s="261"/>
      <c r="CN68" s="261"/>
      <c r="CO68" s="261"/>
      <c r="CP68" s="261"/>
      <c r="CQ68" s="261"/>
      <c r="CR68" s="261"/>
      <c r="CS68" s="261"/>
      <c r="CT68" s="261"/>
      <c r="CU68" s="261"/>
      <c r="CV68" s="261"/>
      <c r="CW68" s="261"/>
      <c r="CX68" s="261"/>
      <c r="CY68" s="261"/>
      <c r="CZ68" s="261"/>
      <c r="DA68" s="261"/>
      <c r="DB68" s="261"/>
      <c r="DC68" s="261"/>
      <c r="DD68" s="261"/>
      <c r="DE68" s="261"/>
      <c r="DF68" s="261"/>
      <c r="DG68" s="261"/>
      <c r="DH68" s="261"/>
      <c r="DI68" s="261"/>
      <c r="DJ68" s="261"/>
      <c r="DK68" s="261"/>
      <c r="DL68" s="261"/>
      <c r="DM68" s="261"/>
      <c r="DN68" s="261"/>
      <c r="DO68" s="261"/>
      <c r="DP68" s="261"/>
      <c r="DQ68" s="261"/>
      <c r="DR68" s="261"/>
      <c r="DS68" s="261"/>
      <c r="DT68" s="261"/>
      <c r="DU68" s="261"/>
      <c r="DV68" s="261"/>
      <c r="DW68" s="261"/>
      <c r="DX68" s="261"/>
      <c r="DY68" s="261"/>
      <c r="DZ68" s="261"/>
      <c r="EA68" s="261"/>
      <c r="EB68" s="261"/>
      <c r="EC68" s="261"/>
      <c r="ED68" s="261"/>
      <c r="EE68" s="261"/>
      <c r="EF68" s="261"/>
      <c r="EG68" s="261"/>
      <c r="EH68" s="261"/>
      <c r="EI68" s="261"/>
      <c r="EJ68" s="261"/>
      <c r="EK68" s="261"/>
      <c r="EL68" s="261"/>
      <c r="EM68" s="261"/>
      <c r="EN68" s="261"/>
      <c r="EO68" s="261"/>
      <c r="EP68" s="261"/>
      <c r="EQ68" s="261"/>
      <c r="ER68" s="261"/>
      <c r="ES68" s="261"/>
      <c r="ET68" s="261"/>
      <c r="EU68" s="261"/>
      <c r="EV68" s="261"/>
      <c r="EW68" s="261"/>
      <c r="EX68" s="261"/>
      <c r="EY68" s="261"/>
      <c r="EZ68" s="261"/>
      <c r="FA68" s="261"/>
      <c r="FB68" s="261"/>
      <c r="FC68" s="261"/>
      <c r="FD68" s="261"/>
      <c r="FE68" s="261"/>
      <c r="FF68" s="261"/>
      <c r="FG68" s="261"/>
      <c r="FH68" s="261"/>
      <c r="FI68" s="261"/>
      <c r="FJ68" s="261"/>
      <c r="FK68" s="261"/>
      <c r="FL68" s="261"/>
      <c r="FM68" s="261"/>
      <c r="FN68" s="261"/>
      <c r="FO68" s="261"/>
      <c r="FP68" s="261"/>
      <c r="FQ68" s="261"/>
      <c r="FR68" s="261"/>
      <c r="FS68" s="261"/>
      <c r="FT68" s="261"/>
      <c r="FU68" s="261"/>
      <c r="FV68" s="261"/>
      <c r="FW68" s="261"/>
      <c r="FX68" s="261"/>
      <c r="FY68" s="261"/>
      <c r="FZ68" s="261"/>
      <c r="GA68" s="261"/>
      <c r="GB68" s="261"/>
      <c r="GC68" s="261"/>
      <c r="GD68" s="261"/>
      <c r="GE68" s="261"/>
      <c r="GF68" s="261"/>
      <c r="GG68" s="261"/>
      <c r="GH68" s="261"/>
      <c r="GI68" s="261"/>
      <c r="GJ68" s="261"/>
      <c r="GK68" s="261"/>
      <c r="GL68" s="261"/>
      <c r="GM68" s="261"/>
      <c r="GN68" s="261"/>
      <c r="GO68" s="261"/>
      <c r="GP68" s="261"/>
      <c r="GQ68" s="261"/>
      <c r="GR68" s="261"/>
      <c r="GS68" s="261"/>
      <c r="GT68" s="261"/>
      <c r="GU68" s="261"/>
      <c r="GV68" s="261"/>
      <c r="GW68" s="261"/>
      <c r="GX68" s="261"/>
      <c r="GY68" s="261"/>
      <c r="GZ68" s="261"/>
      <c r="HA68" s="261"/>
      <c r="HB68" s="261"/>
      <c r="HC68" s="261"/>
      <c r="HD68" s="261"/>
      <c r="HE68" s="261"/>
      <c r="HF68" s="261"/>
      <c r="HG68" s="261"/>
      <c r="HH68" s="261"/>
      <c r="HI68" s="261"/>
      <c r="HJ68" s="261"/>
      <c r="HK68" s="261"/>
      <c r="HL68" s="261"/>
      <c r="HM68" s="261"/>
      <c r="HN68" s="261"/>
      <c r="HO68" s="261"/>
      <c r="HP68" s="261"/>
      <c r="HQ68" s="261"/>
      <c r="HR68" s="261"/>
      <c r="HS68" s="261"/>
      <c r="HT68" s="261"/>
      <c r="HU68" s="261"/>
      <c r="HV68" s="261"/>
      <c r="HW68" s="261"/>
      <c r="HX68" s="261"/>
      <c r="HY68" s="261"/>
    </row>
    <row r="69" spans="1:233" customFormat="1" ht="13" x14ac:dyDescent="0.3">
      <c r="A69" s="368"/>
      <c r="B69" s="39" t="s">
        <v>297</v>
      </c>
      <c r="C69" s="1412">
        <f>'Existing Management Practices'!C99</f>
        <v>1</v>
      </c>
      <c r="D69" s="277"/>
      <c r="E69" s="277"/>
      <c r="F69" s="277"/>
      <c r="G69" s="277"/>
      <c r="H69" s="277"/>
      <c r="I69" s="277"/>
      <c r="J69" s="277"/>
      <c r="K69" s="277"/>
      <c r="L69" s="277"/>
      <c r="M69" s="277"/>
      <c r="N69" s="277"/>
      <c r="O69" s="277"/>
      <c r="P69" s="277"/>
      <c r="Q69" s="277"/>
      <c r="R69" s="277"/>
      <c r="S69" s="277"/>
      <c r="T69" s="294"/>
      <c r="U69" s="294"/>
      <c r="V69" s="294"/>
      <c r="W69" s="294"/>
      <c r="X69" s="294"/>
      <c r="Y69" s="294"/>
      <c r="Z69" s="294"/>
      <c r="AA69" s="294"/>
      <c r="AB69" s="294"/>
      <c r="AC69" s="277"/>
      <c r="AD69" s="277"/>
      <c r="AE69" s="277"/>
      <c r="AF69" s="277"/>
      <c r="AG69" s="277"/>
      <c r="AH69" s="277"/>
      <c r="AI69" s="277"/>
      <c r="AJ69" s="277"/>
      <c r="AK69" s="277"/>
      <c r="AL69" s="277"/>
      <c r="AM69" s="277"/>
      <c r="AN69" s="277"/>
      <c r="AO69" s="277"/>
      <c r="AP69" s="277"/>
      <c r="AQ69" s="277"/>
      <c r="AR69" s="277"/>
      <c r="AS69" s="277"/>
      <c r="AT69" s="277"/>
      <c r="AU69" s="277"/>
      <c r="AV69" s="277"/>
      <c r="AW69" s="277"/>
      <c r="AX69" s="277"/>
      <c r="AY69" s="277"/>
      <c r="AZ69" s="277"/>
      <c r="BA69" s="277"/>
      <c r="BB69" s="277"/>
      <c r="BC69" s="261"/>
      <c r="BD69" s="261"/>
      <c r="BE69" s="261"/>
      <c r="BF69" s="261"/>
      <c r="BG69" s="261"/>
      <c r="BH69" s="261"/>
      <c r="BI69" s="261"/>
      <c r="BJ69" s="261"/>
      <c r="BK69" s="261"/>
      <c r="BL69" s="261"/>
      <c r="BM69" s="261"/>
      <c r="BN69" s="261"/>
      <c r="BO69" s="261"/>
      <c r="BP69" s="261"/>
      <c r="BQ69" s="261"/>
      <c r="BR69" s="261"/>
      <c r="BS69" s="261"/>
      <c r="BT69" s="261"/>
      <c r="BU69" s="261"/>
      <c r="BV69" s="261"/>
      <c r="BW69" s="261"/>
      <c r="BX69" s="261"/>
      <c r="BY69" s="261"/>
      <c r="BZ69" s="261"/>
      <c r="CA69" s="261"/>
      <c r="CB69" s="261"/>
      <c r="CC69" s="261"/>
      <c r="CD69" s="261"/>
      <c r="CE69" s="261"/>
      <c r="CF69" s="261"/>
      <c r="CG69" s="261"/>
      <c r="CH69" s="261"/>
      <c r="CI69" s="261"/>
      <c r="CJ69" s="261"/>
      <c r="CK69" s="261"/>
      <c r="CL69" s="261"/>
      <c r="CM69" s="261"/>
      <c r="CN69" s="261"/>
      <c r="CO69" s="261"/>
      <c r="CP69" s="261"/>
      <c r="CQ69" s="261"/>
      <c r="CR69" s="261"/>
      <c r="CS69" s="261"/>
      <c r="CT69" s="261"/>
      <c r="CU69" s="261"/>
      <c r="CV69" s="261"/>
      <c r="CW69" s="261"/>
      <c r="CX69" s="261"/>
      <c r="CY69" s="261"/>
      <c r="CZ69" s="261"/>
      <c r="DA69" s="261"/>
      <c r="DB69" s="261"/>
      <c r="DC69" s="261"/>
      <c r="DD69" s="261"/>
      <c r="DE69" s="261"/>
      <c r="DF69" s="261"/>
      <c r="DG69" s="261"/>
      <c r="DH69" s="261"/>
      <c r="DI69" s="261"/>
      <c r="DJ69" s="261"/>
      <c r="DK69" s="261"/>
      <c r="DL69" s="261"/>
      <c r="DM69" s="261"/>
      <c r="DN69" s="261"/>
      <c r="DO69" s="261"/>
      <c r="DP69" s="261"/>
      <c r="DQ69" s="261"/>
      <c r="DR69" s="261"/>
      <c r="DS69" s="261"/>
      <c r="DT69" s="261"/>
      <c r="DU69" s="261"/>
      <c r="DV69" s="261"/>
      <c r="DW69" s="261"/>
      <c r="DX69" s="261"/>
      <c r="DY69" s="261"/>
      <c r="DZ69" s="261"/>
      <c r="EA69" s="261"/>
      <c r="EB69" s="261"/>
      <c r="EC69" s="261"/>
      <c r="ED69" s="261"/>
      <c r="EE69" s="261"/>
      <c r="EF69" s="261"/>
      <c r="EG69" s="261"/>
      <c r="EH69" s="261"/>
      <c r="EI69" s="261"/>
      <c r="EJ69" s="261"/>
      <c r="EK69" s="261"/>
      <c r="EL69" s="261"/>
      <c r="EM69" s="261"/>
      <c r="EN69" s="261"/>
      <c r="EO69" s="261"/>
      <c r="EP69" s="261"/>
      <c r="EQ69" s="261"/>
      <c r="ER69" s="261"/>
      <c r="ES69" s="261"/>
      <c r="ET69" s="261"/>
      <c r="EU69" s="261"/>
      <c r="EV69" s="261"/>
      <c r="EW69" s="261"/>
      <c r="EX69" s="261"/>
      <c r="EY69" s="261"/>
      <c r="EZ69" s="261"/>
      <c r="FA69" s="261"/>
      <c r="FB69" s="261"/>
      <c r="FC69" s="261"/>
      <c r="FD69" s="261"/>
      <c r="FE69" s="261"/>
      <c r="FF69" s="261"/>
      <c r="FG69" s="261"/>
      <c r="FH69" s="261"/>
      <c r="FI69" s="261"/>
      <c r="FJ69" s="261"/>
      <c r="FK69" s="261"/>
      <c r="FL69" s="261"/>
      <c r="FM69" s="261"/>
      <c r="FN69" s="261"/>
      <c r="FO69" s="261"/>
      <c r="FP69" s="261"/>
      <c r="FQ69" s="261"/>
      <c r="FR69" s="261"/>
      <c r="FS69" s="261"/>
      <c r="FT69" s="261"/>
      <c r="FU69" s="261"/>
      <c r="FV69" s="261"/>
      <c r="FW69" s="261"/>
      <c r="FX69" s="261"/>
      <c r="FY69" s="261"/>
      <c r="FZ69" s="261"/>
      <c r="GA69" s="261"/>
      <c r="GB69" s="261"/>
      <c r="GC69" s="261"/>
      <c r="GD69" s="261"/>
      <c r="GE69" s="261"/>
      <c r="GF69" s="261"/>
      <c r="GG69" s="261"/>
      <c r="GH69" s="261"/>
      <c r="GI69" s="261"/>
      <c r="GJ69" s="261"/>
      <c r="GK69" s="261"/>
      <c r="GL69" s="261"/>
      <c r="GM69" s="261"/>
      <c r="GN69" s="261"/>
      <c r="GO69" s="261"/>
      <c r="GP69" s="261"/>
      <c r="GQ69" s="261"/>
      <c r="GR69" s="261"/>
      <c r="GS69" s="261"/>
      <c r="GT69" s="261"/>
      <c r="GU69" s="261"/>
      <c r="GV69" s="261"/>
      <c r="GW69" s="261"/>
      <c r="GX69" s="261"/>
      <c r="GY69" s="261"/>
      <c r="GZ69" s="261"/>
      <c r="HA69" s="261"/>
      <c r="HB69" s="261"/>
      <c r="HC69" s="261"/>
      <c r="HD69" s="261"/>
      <c r="HE69" s="261"/>
      <c r="HF69" s="261"/>
      <c r="HG69" s="261"/>
      <c r="HH69" s="261"/>
      <c r="HI69" s="261"/>
      <c r="HJ69" s="261"/>
      <c r="HK69" s="261"/>
      <c r="HL69" s="261"/>
      <c r="HM69" s="261"/>
      <c r="HN69" s="261"/>
      <c r="HO69" s="261"/>
      <c r="HP69" s="261"/>
      <c r="HQ69" s="261"/>
      <c r="HR69" s="261"/>
      <c r="HS69" s="261"/>
      <c r="HT69" s="261"/>
      <c r="HU69" s="261"/>
      <c r="HV69" s="261"/>
      <c r="HW69" s="261"/>
      <c r="HX69" s="261"/>
      <c r="HY69" s="261"/>
    </row>
    <row r="70" spans="1:233" s="261" customFormat="1" ht="13.5" thickBot="1" x14ac:dyDescent="0.35">
      <c r="A70" s="368"/>
      <c r="B70" s="97" t="s">
        <v>298</v>
      </c>
      <c r="C70" s="1380">
        <f>'Existing Management Practices'!C100</f>
        <v>0.6</v>
      </c>
      <c r="D70" s="277"/>
      <c r="E70" s="277"/>
      <c r="F70" s="277"/>
      <c r="G70" s="277"/>
      <c r="H70" s="277"/>
      <c r="I70" s="277"/>
      <c r="J70" s="277"/>
      <c r="K70" s="277"/>
      <c r="L70" s="277"/>
      <c r="M70" s="277"/>
      <c r="N70" s="277"/>
      <c r="O70" s="277"/>
      <c r="P70" s="277"/>
      <c r="Q70" s="277"/>
      <c r="R70" s="277"/>
      <c r="S70" s="277"/>
      <c r="T70" s="294"/>
      <c r="U70" s="294"/>
      <c r="V70" s="294"/>
      <c r="W70" s="294"/>
      <c r="X70" s="294"/>
      <c r="Y70" s="294"/>
      <c r="Z70" s="294"/>
      <c r="AA70" s="294"/>
      <c r="AB70" s="294"/>
      <c r="AC70" s="277"/>
      <c r="AD70" s="277"/>
      <c r="AE70" s="277"/>
      <c r="AF70" s="277"/>
      <c r="AG70" s="277"/>
      <c r="AH70" s="277"/>
      <c r="AI70" s="277"/>
      <c r="AJ70" s="277"/>
      <c r="AK70" s="277"/>
      <c r="AL70" s="277"/>
      <c r="AM70" s="277"/>
      <c r="AN70" s="277"/>
      <c r="AO70" s="277"/>
      <c r="AP70" s="277"/>
      <c r="AQ70" s="277"/>
      <c r="AR70" s="277"/>
      <c r="AS70" s="277"/>
      <c r="AT70" s="277"/>
      <c r="AU70" s="277"/>
      <c r="AV70" s="277"/>
      <c r="AW70" s="277"/>
      <c r="AX70" s="277"/>
      <c r="AY70" s="277"/>
      <c r="AZ70" s="277"/>
      <c r="BA70" s="277"/>
      <c r="BB70" s="277"/>
    </row>
    <row r="71" spans="1:233" s="261" customFormat="1" ht="14" thickTop="1" thickBot="1" x14ac:dyDescent="0.35">
      <c r="A71" s="368"/>
      <c r="C71" s="1089"/>
      <c r="D71" s="277"/>
      <c r="E71" s="277"/>
      <c r="F71" s="277"/>
      <c r="G71" s="277"/>
      <c r="H71" s="277"/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94"/>
      <c r="U71" s="294"/>
      <c r="V71" s="294"/>
      <c r="W71" s="294"/>
      <c r="X71" s="294"/>
      <c r="Y71" s="294"/>
      <c r="Z71" s="294"/>
      <c r="AA71" s="294"/>
      <c r="AB71" s="294"/>
      <c r="AC71" s="277"/>
      <c r="AD71" s="277"/>
      <c r="AE71" s="277"/>
      <c r="AF71" s="277"/>
      <c r="AG71" s="277"/>
      <c r="AH71" s="277"/>
      <c r="AI71" s="277"/>
      <c r="AJ71" s="277"/>
      <c r="AK71" s="277"/>
      <c r="AL71" s="277"/>
      <c r="AM71" s="277"/>
      <c r="AN71" s="277"/>
      <c r="AO71" s="277"/>
      <c r="AP71" s="277"/>
      <c r="AQ71" s="277"/>
      <c r="AR71" s="277"/>
      <c r="AS71" s="277"/>
      <c r="AT71" s="277"/>
      <c r="AU71" s="277"/>
      <c r="AV71" s="277"/>
      <c r="AW71" s="277"/>
      <c r="AX71" s="277"/>
      <c r="AY71" s="277"/>
      <c r="AZ71" s="277"/>
      <c r="BA71" s="277"/>
      <c r="BB71" s="277"/>
    </row>
    <row r="72" spans="1:233" customFormat="1" ht="21" thickTop="1" thickBot="1" x14ac:dyDescent="0.45">
      <c r="A72" s="368"/>
      <c r="B72" s="7" t="s">
        <v>299</v>
      </c>
      <c r="C72" s="473"/>
      <c r="D72" s="473"/>
      <c r="E72" s="473"/>
      <c r="F72" s="473"/>
      <c r="G72" s="237"/>
      <c r="H72" s="237"/>
      <c r="I72" s="238"/>
      <c r="J72" s="277"/>
      <c r="K72" s="277"/>
      <c r="L72" s="277"/>
      <c r="M72" s="277"/>
      <c r="N72" s="277"/>
      <c r="O72" s="277"/>
      <c r="P72" s="277"/>
      <c r="Q72" s="277"/>
      <c r="R72" s="277"/>
      <c r="S72" s="277"/>
      <c r="T72" s="294"/>
      <c r="U72" s="294"/>
      <c r="V72" s="294"/>
      <c r="W72" s="294"/>
      <c r="X72" s="294"/>
      <c r="Y72" s="294"/>
      <c r="Z72" s="294"/>
      <c r="AA72" s="294"/>
      <c r="AB72" s="294"/>
      <c r="AC72" s="277"/>
      <c r="AD72" s="277"/>
      <c r="AE72" s="277"/>
      <c r="AF72" s="277"/>
      <c r="AG72" s="277"/>
      <c r="AH72" s="277"/>
      <c r="AI72" s="277"/>
      <c r="AJ72" s="277"/>
      <c r="AK72" s="277"/>
      <c r="AL72" s="277"/>
      <c r="AM72" s="277"/>
      <c r="AN72" s="277"/>
      <c r="AO72" s="277"/>
      <c r="AP72" s="277"/>
      <c r="AQ72" s="277"/>
      <c r="AR72" s="277"/>
      <c r="AS72" s="277"/>
      <c r="AT72" s="277"/>
      <c r="AU72" s="277"/>
      <c r="AV72" s="277"/>
      <c r="AW72" s="277"/>
      <c r="AX72" s="277"/>
      <c r="AY72" s="277"/>
      <c r="AZ72" s="277"/>
      <c r="BA72" s="277"/>
      <c r="BB72" s="277"/>
      <c r="BC72" s="261"/>
      <c r="BD72" s="261"/>
      <c r="BE72" s="261"/>
      <c r="BF72" s="261"/>
      <c r="BG72" s="261"/>
      <c r="BH72" s="261"/>
      <c r="BI72" s="261"/>
      <c r="BJ72" s="261"/>
      <c r="BK72" s="261"/>
      <c r="BL72" s="261"/>
      <c r="BM72" s="261"/>
      <c r="BN72" s="261"/>
      <c r="BO72" s="261"/>
      <c r="BP72" s="261"/>
      <c r="BQ72" s="261"/>
      <c r="BR72" s="261"/>
      <c r="BS72" s="261"/>
      <c r="BT72" s="261"/>
      <c r="BU72" s="261"/>
      <c r="BV72" s="261"/>
      <c r="BW72" s="261"/>
      <c r="BX72" s="261"/>
      <c r="BY72" s="261"/>
      <c r="BZ72" s="261"/>
      <c r="CA72" s="261"/>
      <c r="CB72" s="261"/>
      <c r="CC72" s="261"/>
      <c r="CD72" s="261"/>
      <c r="CE72" s="261"/>
      <c r="CF72" s="261"/>
      <c r="CG72" s="261"/>
      <c r="CH72" s="261"/>
      <c r="CI72" s="261"/>
      <c r="CJ72" s="261"/>
      <c r="CK72" s="261"/>
      <c r="CL72" s="261"/>
      <c r="CM72" s="261"/>
      <c r="CN72" s="261"/>
      <c r="CO72" s="261"/>
      <c r="CP72" s="261"/>
      <c r="CQ72" s="261"/>
      <c r="CR72" s="261"/>
      <c r="CS72" s="261"/>
      <c r="CT72" s="261"/>
      <c r="CU72" s="261"/>
      <c r="CV72" s="261"/>
      <c r="CW72" s="261"/>
      <c r="CX72" s="261"/>
      <c r="CY72" s="261"/>
      <c r="CZ72" s="261"/>
      <c r="DA72" s="261"/>
      <c r="DB72" s="261"/>
      <c r="DC72" s="261"/>
      <c r="DD72" s="261"/>
      <c r="DE72" s="261"/>
      <c r="DF72" s="261"/>
      <c r="DG72" s="261"/>
      <c r="DH72" s="261"/>
      <c r="DI72" s="261"/>
      <c r="DJ72" s="261"/>
      <c r="DK72" s="261"/>
      <c r="DL72" s="261"/>
      <c r="DM72" s="261"/>
      <c r="DN72" s="261"/>
      <c r="DO72" s="261"/>
      <c r="DP72" s="261"/>
      <c r="DQ72" s="261"/>
      <c r="DR72" s="261"/>
      <c r="DS72" s="261"/>
      <c r="DT72" s="261"/>
      <c r="DU72" s="261"/>
      <c r="DV72" s="261"/>
      <c r="DW72" s="261"/>
      <c r="DX72" s="261"/>
      <c r="DY72" s="261"/>
      <c r="DZ72" s="261"/>
      <c r="EA72" s="261"/>
      <c r="EB72" s="261"/>
      <c r="EC72" s="261"/>
      <c r="ED72" s="261"/>
      <c r="EE72" s="261"/>
      <c r="EF72" s="261"/>
      <c r="EG72" s="261"/>
      <c r="EH72" s="261"/>
      <c r="EI72" s="261"/>
      <c r="EJ72" s="261"/>
      <c r="EK72" s="261"/>
      <c r="EL72" s="261"/>
      <c r="EM72" s="261"/>
      <c r="EN72" s="261"/>
      <c r="EO72" s="261"/>
      <c r="EP72" s="261"/>
      <c r="EQ72" s="261"/>
      <c r="ER72" s="261"/>
      <c r="ES72" s="261"/>
      <c r="ET72" s="261"/>
      <c r="EU72" s="261"/>
      <c r="EV72" s="261"/>
      <c r="EW72" s="261"/>
      <c r="EX72" s="261"/>
      <c r="EY72" s="261"/>
      <c r="EZ72" s="261"/>
      <c r="FA72" s="261"/>
      <c r="FB72" s="261"/>
      <c r="FC72" s="261"/>
      <c r="FD72" s="261"/>
      <c r="FE72" s="261"/>
      <c r="FF72" s="261"/>
      <c r="FG72" s="261"/>
      <c r="FH72" s="261"/>
      <c r="FI72" s="261"/>
      <c r="FJ72" s="261"/>
      <c r="FK72" s="261"/>
      <c r="FL72" s="261"/>
      <c r="FM72" s="261"/>
      <c r="FN72" s="261"/>
      <c r="FO72" s="261"/>
      <c r="FP72" s="261"/>
      <c r="FQ72" s="261"/>
      <c r="FR72" s="261"/>
      <c r="FS72" s="261"/>
      <c r="FT72" s="261"/>
      <c r="FU72" s="261"/>
      <c r="FV72" s="261"/>
      <c r="FW72" s="261"/>
      <c r="FX72" s="261"/>
      <c r="FY72" s="261"/>
      <c r="FZ72" s="261"/>
      <c r="GA72" s="261"/>
      <c r="GB72" s="261"/>
      <c r="GC72" s="261"/>
      <c r="GD72" s="261"/>
      <c r="GE72" s="261"/>
      <c r="GF72" s="261"/>
      <c r="GG72" s="261"/>
      <c r="GH72" s="261"/>
      <c r="GI72" s="261"/>
      <c r="GJ72" s="261"/>
      <c r="GK72" s="261"/>
      <c r="GL72" s="261"/>
      <c r="GM72" s="261"/>
      <c r="GN72" s="261"/>
      <c r="GO72" s="261"/>
      <c r="GP72" s="261"/>
      <c r="GQ72" s="261"/>
      <c r="GR72" s="261"/>
      <c r="GS72" s="261"/>
      <c r="GT72" s="261"/>
      <c r="GU72" s="261"/>
      <c r="GV72" s="261"/>
      <c r="GW72" s="261"/>
      <c r="GX72" s="261"/>
      <c r="GY72" s="261"/>
      <c r="GZ72" s="261"/>
      <c r="HA72" s="261"/>
      <c r="HB72" s="261"/>
      <c r="HC72" s="261"/>
      <c r="HD72" s="261"/>
      <c r="HE72" s="261"/>
      <c r="HF72" s="261"/>
      <c r="HG72" s="261"/>
      <c r="HH72" s="261"/>
      <c r="HI72" s="261"/>
      <c r="HJ72" s="261"/>
      <c r="HK72" s="261"/>
      <c r="HL72" s="261"/>
      <c r="HM72" s="261"/>
      <c r="HN72" s="261"/>
      <c r="HO72" s="261"/>
      <c r="HP72" s="261"/>
      <c r="HQ72" s="261"/>
      <c r="HR72" s="261"/>
      <c r="HS72" s="261"/>
      <c r="HT72" s="261"/>
      <c r="HU72" s="261"/>
      <c r="HV72" s="261"/>
      <c r="HW72" s="261"/>
      <c r="HX72" s="261"/>
      <c r="HY72" s="261"/>
    </row>
    <row r="73" spans="1:233" customFormat="1" ht="13" x14ac:dyDescent="0.3">
      <c r="A73" s="368"/>
      <c r="B73" s="250"/>
      <c r="C73" s="474" t="s">
        <v>300</v>
      </c>
      <c r="D73" s="102"/>
      <c r="E73" s="102" t="s">
        <v>301</v>
      </c>
      <c r="F73" s="475" t="s">
        <v>302</v>
      </c>
      <c r="G73" s="102"/>
      <c r="H73" s="475" t="s">
        <v>303</v>
      </c>
      <c r="I73" s="103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94"/>
      <c r="U73" s="294"/>
      <c r="V73" s="294"/>
      <c r="W73" s="294"/>
      <c r="X73" s="294"/>
      <c r="Y73" s="294"/>
      <c r="Z73" s="294"/>
      <c r="AA73" s="294"/>
      <c r="AB73" s="294"/>
      <c r="AC73" s="277"/>
      <c r="AD73" s="277"/>
      <c r="AE73" s="277"/>
      <c r="AF73" s="277"/>
      <c r="AG73" s="277"/>
      <c r="AH73" s="277"/>
      <c r="AI73" s="277"/>
      <c r="AJ73" s="277"/>
      <c r="AK73" s="277"/>
      <c r="AL73" s="277"/>
      <c r="AM73" s="277"/>
      <c r="AN73" s="277"/>
      <c r="AO73" s="277"/>
      <c r="AP73" s="277"/>
      <c r="AQ73" s="277"/>
      <c r="AR73" s="277"/>
      <c r="AS73" s="277"/>
      <c r="AT73" s="277"/>
      <c r="AU73" s="277"/>
      <c r="AV73" s="277"/>
      <c r="AW73" s="277"/>
      <c r="AX73" s="277"/>
      <c r="AY73" s="277"/>
      <c r="AZ73" s="277"/>
      <c r="BA73" s="277"/>
      <c r="BB73" s="277"/>
      <c r="BC73" s="261"/>
      <c r="BD73" s="261"/>
      <c r="BE73" s="261"/>
      <c r="BF73" s="261"/>
      <c r="BG73" s="261"/>
      <c r="BH73" s="261"/>
      <c r="BI73" s="261"/>
      <c r="BJ73" s="261"/>
      <c r="BK73" s="261"/>
      <c r="BL73" s="261"/>
      <c r="BM73" s="261"/>
      <c r="BN73" s="261"/>
      <c r="BO73" s="261"/>
      <c r="BP73" s="261"/>
      <c r="BQ73" s="261"/>
      <c r="BR73" s="261"/>
      <c r="BS73" s="261"/>
      <c r="BT73" s="261"/>
      <c r="BU73" s="261"/>
      <c r="BV73" s="261"/>
      <c r="BW73" s="261"/>
      <c r="BX73" s="261"/>
      <c r="BY73" s="261"/>
      <c r="BZ73" s="261"/>
      <c r="CA73" s="261"/>
      <c r="CB73" s="261"/>
      <c r="CC73" s="261"/>
      <c r="CD73" s="261"/>
      <c r="CE73" s="261"/>
      <c r="CF73" s="261"/>
      <c r="CG73" s="261"/>
      <c r="CH73" s="261"/>
      <c r="CI73" s="261"/>
      <c r="CJ73" s="261"/>
      <c r="CK73" s="261"/>
      <c r="CL73" s="261"/>
      <c r="CM73" s="261"/>
      <c r="CN73" s="261"/>
      <c r="CO73" s="261"/>
      <c r="CP73" s="261"/>
      <c r="CQ73" s="261"/>
      <c r="CR73" s="261"/>
      <c r="CS73" s="261"/>
      <c r="CT73" s="261"/>
      <c r="CU73" s="261"/>
      <c r="CV73" s="261"/>
      <c r="CW73" s="261"/>
      <c r="CX73" s="261"/>
      <c r="CY73" s="261"/>
      <c r="CZ73" s="261"/>
      <c r="DA73" s="261"/>
      <c r="DB73" s="261"/>
      <c r="DC73" s="261"/>
      <c r="DD73" s="261"/>
      <c r="DE73" s="261"/>
      <c r="DF73" s="261"/>
      <c r="DG73" s="261"/>
      <c r="DH73" s="261"/>
      <c r="DI73" s="261"/>
      <c r="DJ73" s="261"/>
      <c r="DK73" s="261"/>
      <c r="DL73" s="261"/>
      <c r="DM73" s="261"/>
      <c r="DN73" s="261"/>
      <c r="DO73" s="261"/>
      <c r="DP73" s="261"/>
      <c r="DQ73" s="261"/>
      <c r="DR73" s="261"/>
      <c r="DS73" s="261"/>
      <c r="DT73" s="261"/>
      <c r="DU73" s="261"/>
      <c r="DV73" s="261"/>
      <c r="DW73" s="261"/>
      <c r="DX73" s="261"/>
      <c r="DY73" s="261"/>
      <c r="DZ73" s="261"/>
      <c r="EA73" s="261"/>
      <c r="EB73" s="261"/>
      <c r="EC73" s="261"/>
      <c r="ED73" s="261"/>
      <c r="EE73" s="261"/>
      <c r="EF73" s="261"/>
      <c r="EG73" s="261"/>
      <c r="EH73" s="261"/>
      <c r="EI73" s="261"/>
      <c r="EJ73" s="261"/>
      <c r="EK73" s="261"/>
      <c r="EL73" s="261"/>
      <c r="EM73" s="261"/>
      <c r="EN73" s="261"/>
      <c r="EO73" s="261"/>
      <c r="EP73" s="261"/>
      <c r="EQ73" s="261"/>
      <c r="ER73" s="261"/>
      <c r="ES73" s="261"/>
      <c r="ET73" s="261"/>
      <c r="EU73" s="261"/>
      <c r="EV73" s="261"/>
      <c r="EW73" s="261"/>
      <c r="EX73" s="261"/>
      <c r="EY73" s="261"/>
      <c r="EZ73" s="261"/>
      <c r="FA73" s="261"/>
      <c r="FB73" s="261"/>
      <c r="FC73" s="261"/>
      <c r="FD73" s="261"/>
      <c r="FE73" s="261"/>
      <c r="FF73" s="261"/>
      <c r="FG73" s="261"/>
      <c r="FH73" s="261"/>
      <c r="FI73" s="261"/>
      <c r="FJ73" s="261"/>
      <c r="FK73" s="261"/>
      <c r="FL73" s="261"/>
      <c r="FM73" s="261"/>
      <c r="FN73" s="261"/>
      <c r="FO73" s="261"/>
      <c r="FP73" s="261"/>
      <c r="FQ73" s="261"/>
      <c r="FR73" s="261"/>
      <c r="FS73" s="261"/>
      <c r="FT73" s="261"/>
      <c r="FU73" s="261"/>
      <c r="FV73" s="261"/>
      <c r="FW73" s="261"/>
      <c r="FX73" s="261"/>
      <c r="FY73" s="261"/>
      <c r="FZ73" s="261"/>
      <c r="GA73" s="261"/>
      <c r="GB73" s="261"/>
      <c r="GC73" s="261"/>
      <c r="GD73" s="261"/>
      <c r="GE73" s="261"/>
      <c r="GF73" s="261"/>
      <c r="GG73" s="261"/>
      <c r="GH73" s="261"/>
      <c r="GI73" s="261"/>
      <c r="GJ73" s="261"/>
      <c r="GK73" s="261"/>
      <c r="GL73" s="261"/>
      <c r="GM73" s="261"/>
      <c r="GN73" s="261"/>
      <c r="GO73" s="261"/>
      <c r="GP73" s="261"/>
      <c r="GQ73" s="261"/>
      <c r="GR73" s="261"/>
      <c r="GS73" s="261"/>
      <c r="GT73" s="261"/>
      <c r="GU73" s="261"/>
      <c r="GV73" s="261"/>
      <c r="GW73" s="261"/>
      <c r="GX73" s="261"/>
      <c r="GY73" s="261"/>
      <c r="GZ73" s="261"/>
      <c r="HA73" s="261"/>
      <c r="HB73" s="261"/>
      <c r="HC73" s="261"/>
      <c r="HD73" s="261"/>
      <c r="HE73" s="261"/>
      <c r="HF73" s="261"/>
      <c r="HG73" s="261"/>
      <c r="HH73" s="261"/>
      <c r="HI73" s="261"/>
      <c r="HJ73" s="261"/>
      <c r="HK73" s="261"/>
      <c r="HL73" s="261"/>
      <c r="HM73" s="261"/>
      <c r="HN73" s="261"/>
      <c r="HO73" s="261"/>
      <c r="HP73" s="261"/>
      <c r="HQ73" s="261"/>
      <c r="HR73" s="261"/>
      <c r="HS73" s="261"/>
      <c r="HT73" s="261"/>
      <c r="HU73" s="261"/>
      <c r="HV73" s="261"/>
      <c r="HW73" s="261"/>
      <c r="HX73" s="261"/>
      <c r="HY73" s="261"/>
    </row>
    <row r="74" spans="1:233" customFormat="1" ht="13" x14ac:dyDescent="0.3">
      <c r="A74" s="368"/>
      <c r="B74" s="150" t="s">
        <v>304</v>
      </c>
      <c r="C74" s="371" t="s">
        <v>29</v>
      </c>
      <c r="D74" s="371" t="s">
        <v>305</v>
      </c>
      <c r="E74" s="371" t="s">
        <v>306</v>
      </c>
      <c r="F74" s="371" t="s">
        <v>307</v>
      </c>
      <c r="G74" s="371" t="s">
        <v>12</v>
      </c>
      <c r="H74" s="371" t="s">
        <v>307</v>
      </c>
      <c r="I74" s="372" t="s">
        <v>12</v>
      </c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94"/>
      <c r="U74" s="294"/>
      <c r="V74" s="294"/>
      <c r="W74" s="294"/>
      <c r="X74" s="294"/>
      <c r="Y74" s="294"/>
      <c r="Z74" s="294"/>
      <c r="AA74" s="294"/>
      <c r="AB74" s="294"/>
      <c r="AC74" s="277"/>
      <c r="AD74" s="277"/>
      <c r="AE74" s="277"/>
      <c r="AF74" s="277"/>
      <c r="AG74" s="277"/>
      <c r="AH74" s="277"/>
      <c r="AI74" s="277"/>
      <c r="AJ74" s="277"/>
      <c r="AK74" s="277"/>
      <c r="AL74" s="277"/>
      <c r="AM74" s="277"/>
      <c r="AN74" s="277"/>
      <c r="AO74" s="277"/>
      <c r="AP74" s="277"/>
      <c r="AQ74" s="277"/>
      <c r="AR74" s="277"/>
      <c r="AS74" s="277"/>
      <c r="AT74" s="277"/>
      <c r="AU74" s="277"/>
      <c r="AV74" s="277"/>
      <c r="AW74" s="277"/>
      <c r="AX74" s="277"/>
      <c r="AY74" s="277"/>
      <c r="AZ74" s="277"/>
      <c r="BA74" s="277"/>
      <c r="BB74" s="277"/>
      <c r="BC74" s="261"/>
      <c r="BD74" s="261"/>
      <c r="BE74" s="261"/>
      <c r="BF74" s="261"/>
      <c r="BG74" s="261"/>
      <c r="BH74" s="261"/>
      <c r="BI74" s="261"/>
      <c r="BJ74" s="261"/>
      <c r="BK74" s="261"/>
      <c r="BL74" s="261"/>
      <c r="BM74" s="261"/>
      <c r="BN74" s="261"/>
      <c r="BO74" s="261"/>
      <c r="BP74" s="261"/>
      <c r="BQ74" s="261"/>
      <c r="BR74" s="261"/>
      <c r="BS74" s="261"/>
      <c r="BT74" s="261"/>
      <c r="BU74" s="261"/>
      <c r="BV74" s="261"/>
      <c r="BW74" s="261"/>
      <c r="BX74" s="261"/>
      <c r="BY74" s="261"/>
      <c r="BZ74" s="261"/>
      <c r="CA74" s="261"/>
      <c r="CB74" s="261"/>
      <c r="CC74" s="261"/>
      <c r="CD74" s="261"/>
      <c r="CE74" s="261"/>
      <c r="CF74" s="261"/>
      <c r="CG74" s="261"/>
      <c r="CH74" s="261"/>
      <c r="CI74" s="261"/>
      <c r="CJ74" s="261"/>
      <c r="CK74" s="261"/>
      <c r="CL74" s="261"/>
      <c r="CM74" s="261"/>
      <c r="CN74" s="261"/>
      <c r="CO74" s="261"/>
      <c r="CP74" s="261"/>
      <c r="CQ74" s="261"/>
      <c r="CR74" s="261"/>
      <c r="CS74" s="261"/>
      <c r="CT74" s="261"/>
      <c r="CU74" s="261"/>
      <c r="CV74" s="261"/>
      <c r="CW74" s="261"/>
      <c r="CX74" s="261"/>
      <c r="CY74" s="261"/>
      <c r="CZ74" s="261"/>
      <c r="DA74" s="261"/>
      <c r="DB74" s="261"/>
      <c r="DC74" s="261"/>
      <c r="DD74" s="261"/>
      <c r="DE74" s="261"/>
      <c r="DF74" s="261"/>
      <c r="DG74" s="261"/>
      <c r="DH74" s="261"/>
      <c r="DI74" s="261"/>
      <c r="DJ74" s="261"/>
      <c r="DK74" s="261"/>
      <c r="DL74" s="261"/>
      <c r="DM74" s="261"/>
      <c r="DN74" s="261"/>
      <c r="DO74" s="261"/>
      <c r="DP74" s="261"/>
      <c r="DQ74" s="261"/>
      <c r="DR74" s="261"/>
      <c r="DS74" s="261"/>
      <c r="DT74" s="261"/>
      <c r="DU74" s="261"/>
      <c r="DV74" s="261"/>
      <c r="DW74" s="261"/>
      <c r="DX74" s="261"/>
      <c r="DY74" s="261"/>
      <c r="DZ74" s="261"/>
      <c r="EA74" s="261"/>
      <c r="EB74" s="261"/>
      <c r="EC74" s="261"/>
      <c r="ED74" s="261"/>
      <c r="EE74" s="261"/>
      <c r="EF74" s="261"/>
      <c r="EG74" s="261"/>
      <c r="EH74" s="261"/>
      <c r="EI74" s="261"/>
      <c r="EJ74" s="261"/>
      <c r="EK74" s="261"/>
      <c r="EL74" s="261"/>
      <c r="EM74" s="261"/>
      <c r="EN74" s="261"/>
      <c r="EO74" s="261"/>
      <c r="EP74" s="261"/>
      <c r="EQ74" s="261"/>
      <c r="ER74" s="261"/>
      <c r="ES74" s="261"/>
      <c r="ET74" s="261"/>
      <c r="EU74" s="261"/>
      <c r="EV74" s="261"/>
      <c r="EW74" s="261"/>
      <c r="EX74" s="261"/>
      <c r="EY74" s="261"/>
      <c r="EZ74" s="261"/>
      <c r="FA74" s="261"/>
      <c r="FB74" s="261"/>
      <c r="FC74" s="261"/>
      <c r="FD74" s="261"/>
      <c r="FE74" s="261"/>
      <c r="FF74" s="261"/>
      <c r="FG74" s="261"/>
      <c r="FH74" s="261"/>
      <c r="FI74" s="261"/>
      <c r="FJ74" s="261"/>
      <c r="FK74" s="261"/>
      <c r="FL74" s="261"/>
      <c r="FM74" s="261"/>
      <c r="FN74" s="261"/>
      <c r="FO74" s="261"/>
      <c r="FP74" s="261"/>
      <c r="FQ74" s="261"/>
      <c r="FR74" s="261"/>
      <c r="FS74" s="261"/>
      <c r="FT74" s="261"/>
      <c r="FU74" s="261"/>
      <c r="FV74" s="261"/>
      <c r="FW74" s="261"/>
      <c r="FX74" s="261"/>
      <c r="FY74" s="261"/>
      <c r="FZ74" s="261"/>
      <c r="GA74" s="261"/>
      <c r="GB74" s="261"/>
      <c r="GC74" s="261"/>
      <c r="GD74" s="261"/>
      <c r="GE74" s="261"/>
      <c r="GF74" s="261"/>
      <c r="GG74" s="261"/>
      <c r="GH74" s="261"/>
      <c r="GI74" s="261"/>
      <c r="GJ74" s="261"/>
      <c r="GK74" s="261"/>
      <c r="GL74" s="261"/>
      <c r="GM74" s="261"/>
      <c r="GN74" s="261"/>
      <c r="GO74" s="261"/>
      <c r="GP74" s="261"/>
      <c r="GQ74" s="261"/>
      <c r="GR74" s="261"/>
      <c r="GS74" s="261"/>
      <c r="GT74" s="261"/>
      <c r="GU74" s="261"/>
      <c r="GV74" s="261"/>
      <c r="GW74" s="261"/>
      <c r="GX74" s="261"/>
      <c r="GY74" s="261"/>
      <c r="GZ74" s="261"/>
      <c r="HA74" s="261"/>
      <c r="HB74" s="261"/>
      <c r="HC74" s="261"/>
      <c r="HD74" s="261"/>
      <c r="HE74" s="261"/>
      <c r="HF74" s="261"/>
      <c r="HG74" s="261"/>
      <c r="HH74" s="261"/>
      <c r="HI74" s="261"/>
      <c r="HJ74" s="261"/>
      <c r="HK74" s="261"/>
      <c r="HL74" s="261"/>
      <c r="HM74" s="261"/>
      <c r="HN74" s="261"/>
      <c r="HO74" s="261"/>
      <c r="HP74" s="261"/>
      <c r="HQ74" s="261"/>
      <c r="HR74" s="261"/>
      <c r="HS74" s="261"/>
      <c r="HT74" s="261"/>
      <c r="HU74" s="261"/>
      <c r="HV74" s="261"/>
      <c r="HW74" s="261"/>
      <c r="HX74" s="261"/>
      <c r="HY74" s="261"/>
    </row>
    <row r="75" spans="1:233" s="123" customFormat="1" ht="13" x14ac:dyDescent="0.3">
      <c r="A75" s="368"/>
      <c r="B75" s="373" t="s">
        <v>308</v>
      </c>
      <c r="C75" s="1214">
        <f>'Existing Management Practices'!C105</f>
        <v>0</v>
      </c>
      <c r="D75" s="1214">
        <f>'Existing Management Practices'!D105</f>
        <v>0</v>
      </c>
      <c r="E75" s="1209">
        <f>'Existing Management Practices'!E105</f>
        <v>0</v>
      </c>
      <c r="F75" s="1325">
        <f>'Existing Management Practices'!F105</f>
        <v>0.24</v>
      </c>
      <c r="G75" s="1325">
        <f>'Existing Management Practices'!G105</f>
        <v>0.3</v>
      </c>
      <c r="H75" s="1325">
        <f>'Existing Management Practices'!H105</f>
        <v>0.04</v>
      </c>
      <c r="I75" s="1416">
        <f>'Existing Management Practices'!I105</f>
        <v>0.05</v>
      </c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94"/>
      <c r="U75" s="294"/>
      <c r="V75" s="294"/>
      <c r="W75" s="294"/>
      <c r="X75" s="294"/>
      <c r="Y75" s="294"/>
      <c r="Z75" s="294"/>
      <c r="AA75" s="294"/>
      <c r="AB75" s="294"/>
      <c r="AC75" s="277"/>
      <c r="AD75" s="277"/>
      <c r="AE75" s="277"/>
      <c r="AF75" s="277"/>
      <c r="AG75" s="277"/>
      <c r="AH75" s="277"/>
      <c r="AI75" s="277"/>
      <c r="AJ75" s="277"/>
      <c r="AK75" s="277"/>
      <c r="AL75" s="277"/>
      <c r="AM75" s="277"/>
      <c r="AN75" s="277"/>
      <c r="AO75" s="277"/>
      <c r="AP75" s="277"/>
      <c r="AQ75" s="277"/>
      <c r="AR75" s="277"/>
      <c r="AS75" s="277"/>
      <c r="AT75" s="277"/>
      <c r="AU75" s="277"/>
      <c r="AV75" s="277"/>
      <c r="AW75" s="277"/>
      <c r="AX75" s="277"/>
      <c r="AY75" s="277"/>
      <c r="AZ75" s="277"/>
      <c r="BA75" s="277"/>
      <c r="BB75" s="277"/>
      <c r="BC75" s="476"/>
      <c r="BD75" s="476"/>
      <c r="BE75" s="476"/>
      <c r="BF75" s="476"/>
      <c r="BG75" s="476"/>
      <c r="BH75" s="476"/>
      <c r="BI75" s="476"/>
      <c r="BJ75" s="476"/>
      <c r="BK75" s="476"/>
      <c r="BL75" s="476"/>
      <c r="BM75" s="476"/>
      <c r="BN75" s="476"/>
      <c r="BO75" s="476"/>
      <c r="BP75" s="476"/>
      <c r="BQ75" s="476"/>
      <c r="BR75" s="476"/>
      <c r="BS75" s="476"/>
      <c r="BT75" s="476"/>
      <c r="BU75" s="476"/>
      <c r="BV75" s="476"/>
      <c r="BW75" s="476"/>
      <c r="BX75" s="476"/>
      <c r="BY75" s="476"/>
      <c r="BZ75" s="476"/>
      <c r="CA75" s="476"/>
      <c r="CB75" s="476"/>
      <c r="CC75" s="476"/>
      <c r="CD75" s="476"/>
      <c r="CE75" s="476"/>
      <c r="CF75" s="476"/>
      <c r="CG75" s="476"/>
      <c r="CH75" s="476"/>
      <c r="CI75" s="476"/>
      <c r="CJ75" s="476"/>
      <c r="CK75" s="476"/>
      <c r="CL75" s="476"/>
      <c r="CM75" s="476"/>
      <c r="CN75" s="476"/>
      <c r="CO75" s="476"/>
      <c r="CP75" s="476"/>
      <c r="CQ75" s="476"/>
      <c r="CR75" s="476"/>
      <c r="CS75" s="476"/>
      <c r="CT75" s="476"/>
      <c r="CU75" s="476"/>
      <c r="CV75" s="476"/>
      <c r="CW75" s="476"/>
      <c r="CX75" s="476"/>
      <c r="CY75" s="476"/>
      <c r="CZ75" s="476"/>
      <c r="DA75" s="476"/>
      <c r="DB75" s="476"/>
      <c r="DC75" s="476"/>
      <c r="DD75" s="476"/>
      <c r="DE75" s="476"/>
      <c r="DF75" s="476"/>
      <c r="DG75" s="476"/>
      <c r="DH75" s="476"/>
      <c r="DI75" s="476"/>
      <c r="DJ75" s="476"/>
      <c r="DK75" s="476"/>
      <c r="DL75" s="476"/>
      <c r="DM75" s="476"/>
      <c r="DN75" s="476"/>
      <c r="DO75" s="476"/>
      <c r="DP75" s="476"/>
      <c r="DQ75" s="476"/>
      <c r="DR75" s="476"/>
      <c r="DS75" s="476"/>
      <c r="DT75" s="476"/>
      <c r="DU75" s="476"/>
      <c r="DV75" s="476"/>
      <c r="DW75" s="476"/>
      <c r="DX75" s="476"/>
      <c r="DY75" s="476"/>
      <c r="DZ75" s="476"/>
      <c r="EA75" s="476"/>
      <c r="EB75" s="476"/>
      <c r="EC75" s="476"/>
      <c r="ED75" s="476"/>
      <c r="EE75" s="476"/>
      <c r="EF75" s="476"/>
      <c r="EG75" s="476"/>
      <c r="EH75" s="476"/>
      <c r="EI75" s="476"/>
      <c r="EJ75" s="476"/>
      <c r="EK75" s="476"/>
      <c r="EL75" s="476"/>
      <c r="EM75" s="476"/>
      <c r="EN75" s="476"/>
      <c r="EO75" s="476"/>
      <c r="EP75" s="476"/>
      <c r="EQ75" s="476"/>
      <c r="ER75" s="476"/>
      <c r="ES75" s="476"/>
      <c r="ET75" s="476"/>
      <c r="EU75" s="476"/>
      <c r="EV75" s="476"/>
      <c r="EW75" s="476"/>
      <c r="EX75" s="476"/>
      <c r="EY75" s="476"/>
      <c r="EZ75" s="476"/>
      <c r="FA75" s="476"/>
      <c r="FB75" s="476"/>
      <c r="FC75" s="476"/>
      <c r="FD75" s="476"/>
      <c r="FE75" s="476"/>
      <c r="FF75" s="476"/>
      <c r="FG75" s="476"/>
      <c r="FH75" s="476"/>
      <c r="FI75" s="476"/>
      <c r="FJ75" s="476"/>
      <c r="FK75" s="476"/>
      <c r="FL75" s="476"/>
      <c r="FM75" s="476"/>
      <c r="FN75" s="476"/>
      <c r="FO75" s="476"/>
      <c r="FP75" s="476"/>
      <c r="FQ75" s="476"/>
      <c r="FR75" s="476"/>
      <c r="FS75" s="476"/>
      <c r="FT75" s="476"/>
      <c r="FU75" s="476"/>
      <c r="FV75" s="476"/>
      <c r="FW75" s="476"/>
      <c r="FX75" s="476"/>
      <c r="FY75" s="476"/>
      <c r="FZ75" s="476"/>
      <c r="GA75" s="476"/>
      <c r="GB75" s="476"/>
      <c r="GC75" s="476"/>
      <c r="GD75" s="476"/>
      <c r="GE75" s="476"/>
      <c r="GF75" s="476"/>
      <c r="GG75" s="476"/>
      <c r="GH75" s="476"/>
      <c r="GI75" s="476"/>
      <c r="GJ75" s="476"/>
      <c r="GK75" s="476"/>
      <c r="GL75" s="476"/>
      <c r="GM75" s="476"/>
      <c r="GN75" s="476"/>
      <c r="GO75" s="476"/>
      <c r="GP75" s="476"/>
      <c r="GQ75" s="476"/>
      <c r="GR75" s="476"/>
      <c r="GS75" s="476"/>
      <c r="GT75" s="476"/>
      <c r="GU75" s="476"/>
      <c r="GV75" s="476"/>
      <c r="GW75" s="476"/>
      <c r="GX75" s="476"/>
      <c r="GY75" s="476"/>
      <c r="GZ75" s="476"/>
      <c r="HA75" s="476"/>
      <c r="HB75" s="476"/>
      <c r="HC75" s="476"/>
      <c r="HD75" s="476"/>
      <c r="HE75" s="476"/>
      <c r="HF75" s="476"/>
      <c r="HG75" s="476"/>
      <c r="HH75" s="476"/>
      <c r="HI75" s="476"/>
      <c r="HJ75" s="476"/>
      <c r="HK75" s="476"/>
      <c r="HL75" s="476"/>
      <c r="HM75" s="476"/>
      <c r="HN75" s="476"/>
      <c r="HO75" s="476"/>
      <c r="HP75" s="476"/>
      <c r="HQ75" s="476"/>
      <c r="HR75" s="476"/>
      <c r="HS75" s="476"/>
      <c r="HT75" s="476"/>
      <c r="HU75" s="476"/>
      <c r="HV75" s="476"/>
      <c r="HW75" s="476"/>
      <c r="HX75" s="476"/>
      <c r="HY75" s="476"/>
    </row>
    <row r="76" spans="1:233" s="123" customFormat="1" ht="13" x14ac:dyDescent="0.3">
      <c r="A76" s="368"/>
      <c r="B76" s="373" t="s">
        <v>309</v>
      </c>
      <c r="C76" s="1214">
        <f>'Existing Management Practices'!C106</f>
        <v>0</v>
      </c>
      <c r="D76" s="1214">
        <f>'Existing Management Practices'!D106</f>
        <v>0</v>
      </c>
      <c r="E76" s="1209">
        <f>'Existing Management Practices'!E106</f>
        <v>0</v>
      </c>
      <c r="F76" s="1325">
        <f>'Existing Management Practices'!F106</f>
        <v>0.51</v>
      </c>
      <c r="G76" s="1325">
        <f>'Existing Management Practices'!G106</f>
        <v>0.64</v>
      </c>
      <c r="H76" s="1325">
        <f>'Existing Management Practices'!H106</f>
        <v>0.18</v>
      </c>
      <c r="I76" s="1416">
        <f>'Existing Management Practices'!I106</f>
        <v>0.22</v>
      </c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94"/>
      <c r="U76" s="294"/>
      <c r="V76" s="294"/>
      <c r="W76" s="294"/>
      <c r="X76" s="294"/>
      <c r="Y76" s="294"/>
      <c r="Z76" s="294"/>
      <c r="AA76" s="294"/>
      <c r="AB76" s="294"/>
      <c r="AC76" s="277"/>
      <c r="AD76" s="277"/>
      <c r="AE76" s="277"/>
      <c r="AF76" s="277"/>
      <c r="AG76" s="277"/>
      <c r="AH76" s="277"/>
      <c r="AI76" s="277"/>
      <c r="AJ76" s="277"/>
      <c r="AK76" s="277"/>
      <c r="AL76" s="277"/>
      <c r="AM76" s="277"/>
      <c r="AN76" s="277"/>
      <c r="AO76" s="277"/>
      <c r="AP76" s="277"/>
      <c r="AQ76" s="277"/>
      <c r="AR76" s="277"/>
      <c r="AS76" s="277"/>
      <c r="AT76" s="277"/>
      <c r="AU76" s="277"/>
      <c r="AV76" s="277"/>
      <c r="AW76" s="277"/>
      <c r="AX76" s="277"/>
      <c r="AY76" s="277"/>
      <c r="AZ76" s="277"/>
      <c r="BA76" s="277"/>
      <c r="BB76" s="277"/>
      <c r="BC76" s="476"/>
      <c r="BD76" s="476"/>
      <c r="BE76" s="476"/>
      <c r="BF76" s="476"/>
      <c r="BG76" s="476"/>
      <c r="BH76" s="476"/>
      <c r="BI76" s="476"/>
      <c r="BJ76" s="476"/>
      <c r="BK76" s="476"/>
      <c r="BL76" s="476"/>
      <c r="BM76" s="476"/>
      <c r="BN76" s="476"/>
      <c r="BO76" s="476"/>
      <c r="BP76" s="476"/>
      <c r="BQ76" s="476"/>
      <c r="BR76" s="476"/>
      <c r="BS76" s="476"/>
      <c r="BT76" s="476"/>
      <c r="BU76" s="476"/>
      <c r="BV76" s="476"/>
      <c r="BW76" s="476"/>
      <c r="BX76" s="476"/>
      <c r="BY76" s="476"/>
      <c r="BZ76" s="476"/>
      <c r="CA76" s="476"/>
      <c r="CB76" s="476"/>
      <c r="CC76" s="476"/>
      <c r="CD76" s="476"/>
      <c r="CE76" s="476"/>
      <c r="CF76" s="476"/>
      <c r="CG76" s="476"/>
      <c r="CH76" s="476"/>
      <c r="CI76" s="476"/>
      <c r="CJ76" s="476"/>
      <c r="CK76" s="476"/>
      <c r="CL76" s="476"/>
      <c r="CM76" s="476"/>
      <c r="CN76" s="476"/>
      <c r="CO76" s="476"/>
      <c r="CP76" s="476"/>
      <c r="CQ76" s="476"/>
      <c r="CR76" s="476"/>
      <c r="CS76" s="476"/>
      <c r="CT76" s="476"/>
      <c r="CU76" s="476"/>
      <c r="CV76" s="476"/>
      <c r="CW76" s="476"/>
      <c r="CX76" s="476"/>
      <c r="CY76" s="476"/>
      <c r="CZ76" s="476"/>
      <c r="DA76" s="476"/>
      <c r="DB76" s="476"/>
      <c r="DC76" s="476"/>
      <c r="DD76" s="476"/>
      <c r="DE76" s="476"/>
      <c r="DF76" s="476"/>
      <c r="DG76" s="476"/>
      <c r="DH76" s="476"/>
      <c r="DI76" s="476"/>
      <c r="DJ76" s="476"/>
      <c r="DK76" s="476"/>
      <c r="DL76" s="476"/>
      <c r="DM76" s="476"/>
      <c r="DN76" s="476"/>
      <c r="DO76" s="476"/>
      <c r="DP76" s="476"/>
      <c r="DQ76" s="476"/>
      <c r="DR76" s="476"/>
      <c r="DS76" s="476"/>
      <c r="DT76" s="476"/>
      <c r="DU76" s="476"/>
      <c r="DV76" s="476"/>
      <c r="DW76" s="476"/>
      <c r="DX76" s="476"/>
      <c r="DY76" s="476"/>
      <c r="DZ76" s="476"/>
      <c r="EA76" s="476"/>
      <c r="EB76" s="476"/>
      <c r="EC76" s="476"/>
      <c r="ED76" s="476"/>
      <c r="EE76" s="476"/>
      <c r="EF76" s="476"/>
      <c r="EG76" s="476"/>
      <c r="EH76" s="476"/>
      <c r="EI76" s="476"/>
      <c r="EJ76" s="476"/>
      <c r="EK76" s="476"/>
      <c r="EL76" s="476"/>
      <c r="EM76" s="476"/>
      <c r="EN76" s="476"/>
      <c r="EO76" s="476"/>
      <c r="EP76" s="476"/>
      <c r="EQ76" s="476"/>
      <c r="ER76" s="476"/>
      <c r="ES76" s="476"/>
      <c r="ET76" s="476"/>
      <c r="EU76" s="476"/>
      <c r="EV76" s="476"/>
      <c r="EW76" s="476"/>
      <c r="EX76" s="476"/>
      <c r="EY76" s="476"/>
      <c r="EZ76" s="476"/>
      <c r="FA76" s="476"/>
      <c r="FB76" s="476"/>
      <c r="FC76" s="476"/>
      <c r="FD76" s="476"/>
      <c r="FE76" s="476"/>
      <c r="FF76" s="476"/>
      <c r="FG76" s="476"/>
      <c r="FH76" s="476"/>
      <c r="FI76" s="476"/>
      <c r="FJ76" s="476"/>
      <c r="FK76" s="476"/>
      <c r="FL76" s="476"/>
      <c r="FM76" s="476"/>
      <c r="FN76" s="476"/>
      <c r="FO76" s="476"/>
      <c r="FP76" s="476"/>
      <c r="FQ76" s="476"/>
      <c r="FR76" s="476"/>
      <c r="FS76" s="476"/>
      <c r="FT76" s="476"/>
      <c r="FU76" s="476"/>
      <c r="FV76" s="476"/>
      <c r="FW76" s="476"/>
      <c r="FX76" s="476"/>
      <c r="FY76" s="476"/>
      <c r="FZ76" s="476"/>
      <c r="GA76" s="476"/>
      <c r="GB76" s="476"/>
      <c r="GC76" s="476"/>
      <c r="GD76" s="476"/>
      <c r="GE76" s="476"/>
      <c r="GF76" s="476"/>
      <c r="GG76" s="476"/>
      <c r="GH76" s="476"/>
      <c r="GI76" s="476"/>
      <c r="GJ76" s="476"/>
      <c r="GK76" s="476"/>
      <c r="GL76" s="476"/>
      <c r="GM76" s="476"/>
      <c r="GN76" s="476"/>
      <c r="GO76" s="476"/>
      <c r="GP76" s="476"/>
      <c r="GQ76" s="476"/>
      <c r="GR76" s="476"/>
      <c r="GS76" s="476"/>
      <c r="GT76" s="476"/>
      <c r="GU76" s="476"/>
      <c r="GV76" s="476"/>
      <c r="GW76" s="476"/>
      <c r="GX76" s="476"/>
      <c r="GY76" s="476"/>
      <c r="GZ76" s="476"/>
      <c r="HA76" s="476"/>
      <c r="HB76" s="476"/>
      <c r="HC76" s="476"/>
      <c r="HD76" s="476"/>
      <c r="HE76" s="476"/>
      <c r="HF76" s="476"/>
      <c r="HG76" s="476"/>
      <c r="HH76" s="476"/>
      <c r="HI76" s="476"/>
      <c r="HJ76" s="476"/>
      <c r="HK76" s="476"/>
      <c r="HL76" s="476"/>
      <c r="HM76" s="476"/>
      <c r="HN76" s="476"/>
      <c r="HO76" s="476"/>
      <c r="HP76" s="476"/>
      <c r="HQ76" s="476"/>
      <c r="HR76" s="476"/>
      <c r="HS76" s="476"/>
      <c r="HT76" s="476"/>
      <c r="HU76" s="476"/>
      <c r="HV76" s="476"/>
      <c r="HW76" s="476"/>
      <c r="HX76" s="476"/>
      <c r="HY76" s="476"/>
    </row>
    <row r="77" spans="1:233" s="123" customFormat="1" ht="13" x14ac:dyDescent="0.3">
      <c r="A77" s="368"/>
      <c r="B77" s="373" t="s">
        <v>310</v>
      </c>
      <c r="C77" s="1214">
        <f>'Existing Management Practices'!C107</f>
        <v>0</v>
      </c>
      <c r="D77" s="1214">
        <f>'Existing Management Practices'!D107</f>
        <v>0</v>
      </c>
      <c r="E77" s="1209">
        <f>'Existing Management Practices'!E107</f>
        <v>0</v>
      </c>
      <c r="F77" s="1325">
        <f>'Existing Management Practices'!F107</f>
        <v>0.62</v>
      </c>
      <c r="G77" s="1325">
        <f>'Existing Management Practices'!G107</f>
        <v>0.78</v>
      </c>
      <c r="H77" s="1325">
        <f>'Existing Management Practices'!H107</f>
        <v>0.63</v>
      </c>
      <c r="I77" s="1416">
        <f>'Existing Management Practices'!I107</f>
        <v>0.79</v>
      </c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94"/>
      <c r="U77" s="294"/>
      <c r="V77" s="294"/>
      <c r="W77" s="294"/>
      <c r="X77" s="294"/>
      <c r="Y77" s="294"/>
      <c r="Z77" s="294"/>
      <c r="AA77" s="294"/>
      <c r="AB77" s="294"/>
      <c r="AC77" s="277"/>
      <c r="AD77" s="277"/>
      <c r="AE77" s="277"/>
      <c r="AF77" s="277"/>
      <c r="AG77" s="277"/>
      <c r="AH77" s="277"/>
      <c r="AI77" s="277"/>
      <c r="AJ77" s="277"/>
      <c r="AK77" s="277"/>
      <c r="AL77" s="277"/>
      <c r="AM77" s="277"/>
      <c r="AN77" s="277"/>
      <c r="AO77" s="277"/>
      <c r="AP77" s="277"/>
      <c r="AQ77" s="277"/>
      <c r="AR77" s="277"/>
      <c r="AS77" s="277"/>
      <c r="AT77" s="277"/>
      <c r="AU77" s="277"/>
      <c r="AV77" s="277"/>
      <c r="AW77" s="277"/>
      <c r="AX77" s="277"/>
      <c r="AY77" s="277"/>
      <c r="AZ77" s="277"/>
      <c r="BA77" s="277"/>
      <c r="BB77" s="277"/>
      <c r="BC77" s="476"/>
      <c r="BD77" s="476"/>
      <c r="BE77" s="476"/>
      <c r="BF77" s="476"/>
      <c r="BG77" s="476"/>
      <c r="BH77" s="476"/>
      <c r="BI77" s="476"/>
      <c r="BJ77" s="476"/>
      <c r="BK77" s="476"/>
      <c r="BL77" s="476"/>
      <c r="BM77" s="476"/>
      <c r="BN77" s="476"/>
      <c r="BO77" s="476"/>
      <c r="BP77" s="476"/>
      <c r="BQ77" s="476"/>
      <c r="BR77" s="476"/>
      <c r="BS77" s="476"/>
      <c r="BT77" s="476"/>
      <c r="BU77" s="476"/>
      <c r="BV77" s="476"/>
      <c r="BW77" s="476"/>
      <c r="BX77" s="476"/>
      <c r="BY77" s="476"/>
      <c r="BZ77" s="476"/>
      <c r="CA77" s="476"/>
      <c r="CB77" s="476"/>
      <c r="CC77" s="476"/>
      <c r="CD77" s="476"/>
      <c r="CE77" s="476"/>
      <c r="CF77" s="476"/>
      <c r="CG77" s="476"/>
      <c r="CH77" s="476"/>
      <c r="CI77" s="476"/>
      <c r="CJ77" s="476"/>
      <c r="CK77" s="476"/>
      <c r="CL77" s="476"/>
      <c r="CM77" s="476"/>
      <c r="CN77" s="476"/>
      <c r="CO77" s="476"/>
      <c r="CP77" s="476"/>
      <c r="CQ77" s="476"/>
      <c r="CR77" s="476"/>
      <c r="CS77" s="476"/>
      <c r="CT77" s="476"/>
      <c r="CU77" s="476"/>
      <c r="CV77" s="476"/>
      <c r="CW77" s="476"/>
      <c r="CX77" s="476"/>
      <c r="CY77" s="476"/>
      <c r="CZ77" s="476"/>
      <c r="DA77" s="476"/>
      <c r="DB77" s="476"/>
      <c r="DC77" s="476"/>
      <c r="DD77" s="476"/>
      <c r="DE77" s="476"/>
      <c r="DF77" s="476"/>
      <c r="DG77" s="476"/>
      <c r="DH77" s="476"/>
      <c r="DI77" s="476"/>
      <c r="DJ77" s="476"/>
      <c r="DK77" s="476"/>
      <c r="DL77" s="476"/>
      <c r="DM77" s="476"/>
      <c r="DN77" s="476"/>
      <c r="DO77" s="476"/>
      <c r="DP77" s="476"/>
      <c r="DQ77" s="476"/>
      <c r="DR77" s="476"/>
      <c r="DS77" s="476"/>
      <c r="DT77" s="476"/>
      <c r="DU77" s="476"/>
      <c r="DV77" s="476"/>
      <c r="DW77" s="476"/>
      <c r="DX77" s="476"/>
      <c r="DY77" s="476"/>
      <c r="DZ77" s="476"/>
      <c r="EA77" s="476"/>
      <c r="EB77" s="476"/>
      <c r="EC77" s="476"/>
      <c r="ED77" s="476"/>
      <c r="EE77" s="476"/>
      <c r="EF77" s="476"/>
      <c r="EG77" s="476"/>
      <c r="EH77" s="476"/>
      <c r="EI77" s="476"/>
      <c r="EJ77" s="476"/>
      <c r="EK77" s="476"/>
      <c r="EL77" s="476"/>
      <c r="EM77" s="476"/>
      <c r="EN77" s="476"/>
      <c r="EO77" s="476"/>
      <c r="EP77" s="476"/>
      <c r="EQ77" s="476"/>
      <c r="ER77" s="476"/>
      <c r="ES77" s="476"/>
      <c r="ET77" s="476"/>
      <c r="EU77" s="476"/>
      <c r="EV77" s="476"/>
      <c r="EW77" s="476"/>
      <c r="EX77" s="476"/>
      <c r="EY77" s="476"/>
      <c r="EZ77" s="476"/>
      <c r="FA77" s="476"/>
      <c r="FB77" s="476"/>
      <c r="FC77" s="476"/>
      <c r="FD77" s="476"/>
      <c r="FE77" s="476"/>
      <c r="FF77" s="476"/>
      <c r="FG77" s="476"/>
      <c r="FH77" s="476"/>
      <c r="FI77" s="476"/>
      <c r="FJ77" s="476"/>
      <c r="FK77" s="476"/>
      <c r="FL77" s="476"/>
      <c r="FM77" s="476"/>
      <c r="FN77" s="476"/>
      <c r="FO77" s="476"/>
      <c r="FP77" s="476"/>
      <c r="FQ77" s="476"/>
      <c r="FR77" s="476"/>
      <c r="FS77" s="476"/>
      <c r="FT77" s="476"/>
      <c r="FU77" s="476"/>
      <c r="FV77" s="476"/>
      <c r="FW77" s="476"/>
      <c r="FX77" s="476"/>
      <c r="FY77" s="476"/>
      <c r="FZ77" s="476"/>
      <c r="GA77" s="476"/>
      <c r="GB77" s="476"/>
      <c r="GC77" s="476"/>
      <c r="GD77" s="476"/>
      <c r="GE77" s="476"/>
      <c r="GF77" s="476"/>
      <c r="GG77" s="476"/>
      <c r="GH77" s="476"/>
      <c r="GI77" s="476"/>
      <c r="GJ77" s="476"/>
      <c r="GK77" s="476"/>
      <c r="GL77" s="476"/>
      <c r="GM77" s="476"/>
      <c r="GN77" s="476"/>
      <c r="GO77" s="476"/>
      <c r="GP77" s="476"/>
      <c r="GQ77" s="476"/>
      <c r="GR77" s="476"/>
      <c r="GS77" s="476"/>
      <c r="GT77" s="476"/>
      <c r="GU77" s="476"/>
      <c r="GV77" s="476"/>
      <c r="GW77" s="476"/>
      <c r="GX77" s="476"/>
      <c r="GY77" s="476"/>
      <c r="GZ77" s="476"/>
      <c r="HA77" s="476"/>
      <c r="HB77" s="476"/>
      <c r="HC77" s="476"/>
      <c r="HD77" s="476"/>
      <c r="HE77" s="476"/>
      <c r="HF77" s="476"/>
      <c r="HG77" s="476"/>
      <c r="HH77" s="476"/>
      <c r="HI77" s="476"/>
      <c r="HJ77" s="476"/>
      <c r="HK77" s="476"/>
      <c r="HL77" s="476"/>
      <c r="HM77" s="476"/>
      <c r="HN77" s="476"/>
      <c r="HO77" s="476"/>
      <c r="HP77" s="476"/>
      <c r="HQ77" s="476"/>
      <c r="HR77" s="476"/>
      <c r="HS77" s="476"/>
      <c r="HT77" s="476"/>
      <c r="HU77" s="476"/>
      <c r="HV77" s="476"/>
      <c r="HW77" s="476"/>
      <c r="HX77" s="476"/>
      <c r="HY77" s="476"/>
    </row>
    <row r="78" spans="1:233" s="123" customFormat="1" ht="13.5" thickBot="1" x14ac:dyDescent="0.35">
      <c r="A78" s="368"/>
      <c r="B78" s="374" t="s">
        <v>382</v>
      </c>
      <c r="C78" s="1215" t="str">
        <f>'Existing Management Practices'!C108</f>
        <v>monthly</v>
      </c>
      <c r="D78" s="1215" t="str">
        <f>'Existing Management Practices'!D108</f>
        <v>monthly</v>
      </c>
      <c r="E78" s="1215" t="s">
        <v>312</v>
      </c>
      <c r="F78" s="1325">
        <f>'Existing Management Practices'!F108</f>
        <v>0</v>
      </c>
      <c r="G78" s="1325">
        <f>'Existing Management Practices'!G108</f>
        <v>0</v>
      </c>
      <c r="H78" s="1325">
        <f>'Existing Management Practices'!H108</f>
        <v>0</v>
      </c>
      <c r="I78" s="1416">
        <f>'Existing Management Practices'!I108</f>
        <v>0</v>
      </c>
      <c r="J78" s="277"/>
      <c r="K78" s="277"/>
      <c r="L78" s="277"/>
      <c r="M78" s="277"/>
      <c r="N78" s="277"/>
      <c r="O78" s="277"/>
      <c r="P78" s="277"/>
      <c r="Q78" s="277"/>
      <c r="R78" s="277"/>
      <c r="S78" s="277"/>
      <c r="T78" s="294"/>
      <c r="U78" s="294"/>
      <c r="V78" s="294"/>
      <c r="W78" s="294"/>
      <c r="X78" s="294"/>
      <c r="Y78" s="294"/>
      <c r="Z78" s="294"/>
      <c r="AA78" s="294"/>
      <c r="AB78" s="294"/>
      <c r="AC78" s="277"/>
      <c r="AD78" s="277"/>
      <c r="AE78" s="277"/>
      <c r="AF78" s="277"/>
      <c r="AG78" s="277"/>
      <c r="AH78" s="277"/>
      <c r="AI78" s="277"/>
      <c r="AJ78" s="277"/>
      <c r="AK78" s="277"/>
      <c r="AL78" s="277"/>
      <c r="AM78" s="277"/>
      <c r="AN78" s="277"/>
      <c r="AO78" s="277"/>
      <c r="AP78" s="277"/>
      <c r="AQ78" s="277"/>
      <c r="AR78" s="277"/>
      <c r="AS78" s="277"/>
      <c r="AT78" s="277"/>
      <c r="AU78" s="277"/>
      <c r="AV78" s="277"/>
      <c r="AW78" s="277"/>
      <c r="AX78" s="277"/>
      <c r="AY78" s="277"/>
      <c r="AZ78" s="277"/>
      <c r="BA78" s="277"/>
      <c r="BB78" s="277"/>
      <c r="BC78" s="476"/>
      <c r="BD78" s="476"/>
      <c r="BE78" s="476"/>
      <c r="BF78" s="476"/>
      <c r="BG78" s="476"/>
      <c r="BH78" s="476"/>
      <c r="BI78" s="476"/>
      <c r="BJ78" s="476"/>
      <c r="BK78" s="476"/>
      <c r="BL78" s="476"/>
      <c r="BM78" s="476"/>
      <c r="BN78" s="476"/>
      <c r="BO78" s="476"/>
      <c r="BP78" s="476"/>
      <c r="BQ78" s="476"/>
      <c r="BR78" s="476"/>
      <c r="BS78" s="476"/>
      <c r="BT78" s="476"/>
      <c r="BU78" s="476"/>
      <c r="BV78" s="476"/>
      <c r="BW78" s="476"/>
      <c r="BX78" s="476"/>
      <c r="BY78" s="476"/>
      <c r="BZ78" s="476"/>
      <c r="CA78" s="476"/>
      <c r="CB78" s="476"/>
      <c r="CC78" s="476"/>
      <c r="CD78" s="476"/>
      <c r="CE78" s="476"/>
      <c r="CF78" s="476"/>
      <c r="CG78" s="476"/>
      <c r="CH78" s="476"/>
      <c r="CI78" s="476"/>
      <c r="CJ78" s="476"/>
      <c r="CK78" s="476"/>
      <c r="CL78" s="476"/>
      <c r="CM78" s="476"/>
      <c r="CN78" s="476"/>
      <c r="CO78" s="476"/>
      <c r="CP78" s="476"/>
      <c r="CQ78" s="476"/>
      <c r="CR78" s="476"/>
      <c r="CS78" s="476"/>
      <c r="CT78" s="476"/>
      <c r="CU78" s="476"/>
      <c r="CV78" s="476"/>
      <c r="CW78" s="476"/>
      <c r="CX78" s="476"/>
      <c r="CY78" s="476"/>
      <c r="CZ78" s="476"/>
      <c r="DA78" s="476"/>
      <c r="DB78" s="476"/>
      <c r="DC78" s="476"/>
      <c r="DD78" s="476"/>
      <c r="DE78" s="476"/>
      <c r="DF78" s="476"/>
      <c r="DG78" s="476"/>
      <c r="DH78" s="476"/>
      <c r="DI78" s="476"/>
      <c r="DJ78" s="476"/>
      <c r="DK78" s="476"/>
      <c r="DL78" s="476"/>
      <c r="DM78" s="476"/>
      <c r="DN78" s="476"/>
      <c r="DO78" s="476"/>
      <c r="DP78" s="476"/>
      <c r="DQ78" s="476"/>
      <c r="DR78" s="476"/>
      <c r="DS78" s="476"/>
      <c r="DT78" s="476"/>
      <c r="DU78" s="476"/>
      <c r="DV78" s="476"/>
      <c r="DW78" s="476"/>
      <c r="DX78" s="476"/>
      <c r="DY78" s="476"/>
      <c r="DZ78" s="476"/>
      <c r="EA78" s="476"/>
      <c r="EB78" s="476"/>
      <c r="EC78" s="476"/>
      <c r="ED78" s="476"/>
      <c r="EE78" s="476"/>
      <c r="EF78" s="476"/>
      <c r="EG78" s="476"/>
      <c r="EH78" s="476"/>
      <c r="EI78" s="476"/>
      <c r="EJ78" s="476"/>
      <c r="EK78" s="476"/>
      <c r="EL78" s="476"/>
      <c r="EM78" s="476"/>
      <c r="EN78" s="476"/>
      <c r="EO78" s="476"/>
      <c r="EP78" s="476"/>
      <c r="EQ78" s="476"/>
      <c r="ER78" s="476"/>
      <c r="ES78" s="476"/>
      <c r="ET78" s="476"/>
      <c r="EU78" s="476"/>
      <c r="EV78" s="476"/>
      <c r="EW78" s="476"/>
      <c r="EX78" s="476"/>
      <c r="EY78" s="476"/>
      <c r="EZ78" s="476"/>
      <c r="FA78" s="476"/>
      <c r="FB78" s="476"/>
      <c r="FC78" s="476"/>
      <c r="FD78" s="476"/>
      <c r="FE78" s="476"/>
      <c r="FF78" s="476"/>
      <c r="FG78" s="476"/>
      <c r="FH78" s="476"/>
      <c r="FI78" s="476"/>
      <c r="FJ78" s="476"/>
      <c r="FK78" s="476"/>
      <c r="FL78" s="476"/>
      <c r="FM78" s="476"/>
      <c r="FN78" s="476"/>
      <c r="FO78" s="476"/>
      <c r="FP78" s="476"/>
      <c r="FQ78" s="476"/>
      <c r="FR78" s="476"/>
      <c r="FS78" s="476"/>
      <c r="FT78" s="476"/>
      <c r="FU78" s="476"/>
      <c r="FV78" s="476"/>
      <c r="FW78" s="476"/>
      <c r="FX78" s="476"/>
      <c r="FY78" s="476"/>
      <c r="FZ78" s="476"/>
      <c r="GA78" s="476"/>
      <c r="GB78" s="476"/>
      <c r="GC78" s="476"/>
      <c r="GD78" s="476"/>
      <c r="GE78" s="476"/>
      <c r="GF78" s="476"/>
      <c r="GG78" s="476"/>
      <c r="GH78" s="476"/>
      <c r="GI78" s="476"/>
      <c r="GJ78" s="476"/>
      <c r="GK78" s="476"/>
      <c r="GL78" s="476"/>
      <c r="GM78" s="476"/>
      <c r="GN78" s="476"/>
      <c r="GO78" s="476"/>
      <c r="GP78" s="476"/>
      <c r="GQ78" s="476"/>
      <c r="GR78" s="476"/>
      <c r="GS78" s="476"/>
      <c r="GT78" s="476"/>
      <c r="GU78" s="476"/>
      <c r="GV78" s="476"/>
      <c r="GW78" s="476"/>
      <c r="GX78" s="476"/>
      <c r="GY78" s="476"/>
      <c r="GZ78" s="476"/>
      <c r="HA78" s="476"/>
      <c r="HB78" s="476"/>
      <c r="HC78" s="476"/>
      <c r="HD78" s="476"/>
      <c r="HE78" s="476"/>
      <c r="HF78" s="476"/>
      <c r="HG78" s="476"/>
      <c r="HH78" s="476"/>
      <c r="HI78" s="476"/>
      <c r="HJ78" s="476"/>
      <c r="HK78" s="476"/>
      <c r="HL78" s="476"/>
      <c r="HM78" s="476"/>
      <c r="HN78" s="476"/>
      <c r="HO78" s="476"/>
      <c r="HP78" s="476"/>
      <c r="HQ78" s="476"/>
      <c r="HR78" s="476"/>
      <c r="HS78" s="476"/>
      <c r="HT78" s="476"/>
      <c r="HU78" s="476"/>
      <c r="HV78" s="476"/>
      <c r="HW78" s="476"/>
      <c r="HX78" s="476"/>
      <c r="HY78" s="476"/>
    </row>
    <row r="79" spans="1:233" customFormat="1" ht="15" hidden="1" customHeight="1" thickBot="1" x14ac:dyDescent="0.35">
      <c r="A79" s="368"/>
      <c r="B79" s="76" t="s">
        <v>314</v>
      </c>
      <c r="C79" s="56">
        <f>'Existing Management Practices'!C109</f>
        <v>1165.9059999999997</v>
      </c>
      <c r="D79" s="56">
        <f>'Existing Management Practices'!D109</f>
        <v>140.79500000000002</v>
      </c>
      <c r="E79" s="56">
        <f>'Existing Management Practices'!E109</f>
        <v>831.96900000000005</v>
      </c>
      <c r="F79" s="378"/>
      <c r="G79" s="378"/>
      <c r="H79" s="378"/>
      <c r="I79" s="477"/>
      <c r="J79" s="277"/>
      <c r="K79" s="277"/>
      <c r="L79" s="277"/>
      <c r="M79" s="277"/>
      <c r="N79" s="277"/>
      <c r="O79" s="277"/>
      <c r="P79" s="277"/>
      <c r="Q79" s="277"/>
      <c r="R79" s="277"/>
      <c r="S79" s="277"/>
      <c r="T79" s="294"/>
      <c r="U79" s="294"/>
      <c r="V79" s="294"/>
      <c r="W79" s="294"/>
      <c r="X79" s="294"/>
      <c r="Y79" s="294"/>
      <c r="Z79" s="294"/>
      <c r="AA79" s="294"/>
      <c r="AB79" s="294"/>
      <c r="AC79" s="277"/>
      <c r="AD79" s="277"/>
      <c r="AE79" s="277"/>
      <c r="AF79" s="277"/>
      <c r="AG79" s="277"/>
      <c r="AH79" s="277"/>
      <c r="AI79" s="277"/>
      <c r="AJ79" s="277"/>
      <c r="AK79" s="277"/>
      <c r="AL79" s="277"/>
      <c r="AM79" s="277"/>
      <c r="AN79" s="277"/>
      <c r="AO79" s="277"/>
      <c r="AP79" s="277"/>
      <c r="AQ79" s="277"/>
      <c r="AR79" s="277"/>
      <c r="AS79" s="277"/>
      <c r="AT79" s="277"/>
      <c r="AU79" s="277"/>
      <c r="AV79" s="277"/>
      <c r="AW79" s="277"/>
      <c r="AX79" s="277"/>
      <c r="AY79" s="277"/>
      <c r="AZ79" s="277"/>
      <c r="BA79" s="277"/>
      <c r="BB79" s="277"/>
      <c r="BC79" s="261"/>
      <c r="BD79" s="261"/>
      <c r="BE79" s="261"/>
      <c r="BF79" s="261"/>
      <c r="BG79" s="261"/>
      <c r="BH79" s="261"/>
      <c r="BI79" s="261"/>
      <c r="BJ79" s="261"/>
      <c r="BK79" s="261"/>
      <c r="BL79" s="261"/>
      <c r="BM79" s="261"/>
      <c r="BN79" s="261"/>
      <c r="BO79" s="261"/>
      <c r="BP79" s="261"/>
      <c r="BQ79" s="261"/>
      <c r="BR79" s="261"/>
      <c r="BS79" s="261"/>
      <c r="BT79" s="261"/>
      <c r="BU79" s="261"/>
      <c r="BV79" s="261"/>
      <c r="BW79" s="261"/>
      <c r="BX79" s="261"/>
      <c r="BY79" s="261"/>
      <c r="BZ79" s="261"/>
      <c r="CA79" s="261"/>
      <c r="CB79" s="261"/>
      <c r="CC79" s="261"/>
      <c r="CD79" s="261"/>
      <c r="CE79" s="261"/>
      <c r="CF79" s="261"/>
      <c r="CG79" s="261"/>
      <c r="CH79" s="261"/>
      <c r="CI79" s="261"/>
      <c r="CJ79" s="261"/>
      <c r="CK79" s="261"/>
      <c r="CL79" s="261"/>
      <c r="CM79" s="261"/>
      <c r="CN79" s="261"/>
      <c r="CO79" s="261"/>
      <c r="CP79" s="261"/>
      <c r="CQ79" s="261"/>
      <c r="CR79" s="261"/>
      <c r="CS79" s="261"/>
      <c r="CT79" s="261"/>
      <c r="CU79" s="261"/>
      <c r="CV79" s="261"/>
      <c r="CW79" s="261"/>
      <c r="CX79" s="261"/>
      <c r="CY79" s="261"/>
      <c r="CZ79" s="261"/>
      <c r="DA79" s="261"/>
      <c r="DB79" s="261"/>
      <c r="DC79" s="261"/>
      <c r="DD79" s="261"/>
      <c r="DE79" s="261"/>
      <c r="DF79" s="261"/>
      <c r="DG79" s="261"/>
      <c r="DH79" s="261"/>
      <c r="DI79" s="261"/>
      <c r="DJ79" s="261"/>
      <c r="DK79" s="261"/>
      <c r="DL79" s="261"/>
      <c r="DM79" s="261"/>
      <c r="DN79" s="261"/>
      <c r="DO79" s="261"/>
      <c r="DP79" s="261"/>
      <c r="DQ79" s="261"/>
      <c r="DR79" s="261"/>
      <c r="DS79" s="261"/>
      <c r="DT79" s="261"/>
      <c r="DU79" s="261"/>
      <c r="DV79" s="261"/>
      <c r="DW79" s="261"/>
      <c r="DX79" s="261"/>
      <c r="DY79" s="261"/>
      <c r="DZ79" s="261"/>
      <c r="EA79" s="261"/>
      <c r="EB79" s="261"/>
      <c r="EC79" s="261"/>
      <c r="ED79" s="261"/>
      <c r="EE79" s="261"/>
      <c r="EF79" s="261"/>
      <c r="EG79" s="261"/>
      <c r="EH79" s="261"/>
      <c r="EI79" s="261"/>
      <c r="EJ79" s="261"/>
      <c r="EK79" s="261"/>
      <c r="EL79" s="261"/>
      <c r="EM79" s="261"/>
      <c r="EN79" s="261"/>
      <c r="EO79" s="261"/>
      <c r="EP79" s="261"/>
      <c r="EQ79" s="261"/>
      <c r="ER79" s="261"/>
      <c r="ES79" s="261"/>
      <c r="ET79" s="261"/>
      <c r="EU79" s="261"/>
      <c r="EV79" s="261"/>
      <c r="EW79" s="261"/>
      <c r="EX79" s="261"/>
      <c r="EY79" s="261"/>
      <c r="EZ79" s="261"/>
      <c r="FA79" s="261"/>
      <c r="FB79" s="261"/>
      <c r="FC79" s="261"/>
      <c r="FD79" s="261"/>
      <c r="FE79" s="261"/>
      <c r="FF79" s="261"/>
      <c r="FG79" s="261"/>
      <c r="FH79" s="261"/>
      <c r="FI79" s="261"/>
      <c r="FJ79" s="261"/>
      <c r="FK79" s="261"/>
      <c r="FL79" s="261"/>
      <c r="FM79" s="261"/>
      <c r="FN79" s="261"/>
      <c r="FO79" s="261"/>
      <c r="FP79" s="261"/>
      <c r="FQ79" s="261"/>
      <c r="FR79" s="261"/>
      <c r="FS79" s="261"/>
      <c r="FT79" s="261"/>
      <c r="FU79" s="261"/>
      <c r="FV79" s="261"/>
      <c r="FW79" s="261"/>
      <c r="FX79" s="261"/>
      <c r="FY79" s="261"/>
      <c r="FZ79" s="261"/>
      <c r="GA79" s="261"/>
      <c r="GB79" s="261"/>
      <c r="GC79" s="261"/>
      <c r="GD79" s="261"/>
      <c r="GE79" s="261"/>
      <c r="GF79" s="261"/>
      <c r="GG79" s="261"/>
      <c r="GH79" s="261"/>
      <c r="GI79" s="261"/>
      <c r="GJ79" s="261"/>
      <c r="GK79" s="261"/>
      <c r="GL79" s="261"/>
      <c r="GM79" s="261"/>
      <c r="GN79" s="261"/>
      <c r="GO79" s="261"/>
      <c r="GP79" s="261"/>
      <c r="GQ79" s="261"/>
      <c r="GR79" s="261"/>
      <c r="GS79" s="261"/>
      <c r="GT79" s="261"/>
      <c r="GU79" s="261"/>
      <c r="GV79" s="261"/>
      <c r="GW79" s="261"/>
      <c r="GX79" s="261"/>
      <c r="GY79" s="261"/>
      <c r="GZ79" s="261"/>
      <c r="HA79" s="261"/>
      <c r="HB79" s="261"/>
      <c r="HC79" s="261"/>
      <c r="HD79" s="261"/>
      <c r="HE79" s="261"/>
      <c r="HF79" s="261"/>
      <c r="HG79" s="261"/>
      <c r="HH79" s="261"/>
      <c r="HI79" s="261"/>
      <c r="HJ79" s="261"/>
      <c r="HK79" s="261"/>
      <c r="HL79" s="261"/>
      <c r="HM79" s="261"/>
      <c r="HN79" s="261"/>
      <c r="HO79" s="261"/>
      <c r="HP79" s="261"/>
      <c r="HQ79" s="261"/>
      <c r="HR79" s="261"/>
      <c r="HS79" s="261"/>
      <c r="HT79" s="261"/>
      <c r="HU79" s="261"/>
      <c r="HV79" s="261"/>
      <c r="HW79" s="261"/>
      <c r="HX79" s="261"/>
      <c r="HY79" s="261"/>
    </row>
    <row r="80" spans="1:233" s="261" customFormat="1" ht="12.75" customHeight="1" thickBot="1" x14ac:dyDescent="0.35">
      <c r="A80" s="368"/>
      <c r="B80" s="478" t="s">
        <v>315</v>
      </c>
      <c r="C80" s="741">
        <f>'Existing Management Practices'!C110</f>
        <v>0.5</v>
      </c>
      <c r="D80" s="380"/>
      <c r="E80" s="380"/>
      <c r="F80" s="479"/>
      <c r="G80" s="479"/>
      <c r="H80" s="480"/>
      <c r="I80" s="481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94"/>
      <c r="U80" s="294"/>
      <c r="V80" s="294"/>
      <c r="W80" s="294"/>
      <c r="X80" s="294"/>
      <c r="Y80" s="294"/>
      <c r="Z80" s="294"/>
      <c r="AA80" s="294"/>
      <c r="AB80" s="294"/>
      <c r="AC80" s="277"/>
      <c r="AD80" s="277"/>
      <c r="AE80" s="277"/>
      <c r="AF80" s="277"/>
      <c r="AG80" s="277"/>
      <c r="AH80" s="277"/>
      <c r="AI80" s="277"/>
      <c r="AJ80" s="277"/>
      <c r="AK80" s="277"/>
      <c r="AL80" s="277"/>
      <c r="AM80" s="277"/>
      <c r="AN80" s="277"/>
      <c r="AO80" s="277"/>
      <c r="AP80" s="277"/>
      <c r="AQ80" s="277"/>
      <c r="AR80" s="277"/>
      <c r="AS80" s="277"/>
      <c r="AT80" s="277"/>
      <c r="AU80" s="277"/>
      <c r="AV80" s="277"/>
      <c r="AW80" s="277"/>
      <c r="AX80" s="277"/>
      <c r="AY80" s="277"/>
      <c r="AZ80" s="277"/>
      <c r="BA80" s="277"/>
      <c r="BB80" s="277"/>
    </row>
    <row r="81" spans="1:233" ht="12.75" hidden="1" customHeight="1" x14ac:dyDescent="0.3">
      <c r="B81" s="87"/>
      <c r="C81" s="381"/>
      <c r="D81" s="16"/>
      <c r="E81" s="16"/>
      <c r="F81" s="16"/>
      <c r="G81" s="16"/>
      <c r="H81" s="87"/>
      <c r="I81" s="87"/>
      <c r="J81" s="382"/>
      <c r="K81" s="16"/>
      <c r="L81" s="277"/>
      <c r="M81" s="294"/>
      <c r="N81" s="277"/>
      <c r="O81" s="277"/>
      <c r="P81" s="277"/>
      <c r="Q81" s="277"/>
      <c r="R81" s="277"/>
      <c r="S81" s="277"/>
      <c r="T81" s="294"/>
      <c r="U81" s="294"/>
      <c r="V81" s="294"/>
      <c r="W81" s="294"/>
      <c r="X81" s="294"/>
      <c r="Y81" s="294"/>
      <c r="Z81" s="294"/>
      <c r="AA81" s="294"/>
      <c r="AB81" s="294"/>
      <c r="AC81" s="277"/>
      <c r="AD81" s="277"/>
      <c r="AE81" s="277"/>
      <c r="AF81" s="277"/>
      <c r="AG81" s="277"/>
      <c r="AH81" s="277"/>
      <c r="AI81" s="277"/>
      <c r="AJ81" s="277"/>
      <c r="AK81" s="277"/>
      <c r="AL81" s="277"/>
      <c r="AM81" s="277"/>
      <c r="AN81" s="277"/>
      <c r="AO81" s="277"/>
      <c r="AP81" s="277"/>
      <c r="AQ81" s="277"/>
      <c r="AR81" s="277"/>
      <c r="AS81" s="277"/>
      <c r="AT81" s="277"/>
      <c r="AU81" s="277"/>
      <c r="AV81" s="277"/>
      <c r="AW81" s="277"/>
      <c r="AX81" s="277"/>
      <c r="AY81" s="277"/>
      <c r="AZ81" s="277"/>
      <c r="BA81" s="277"/>
      <c r="BB81" s="277"/>
      <c r="BC81" s="277"/>
      <c r="BD81" s="277"/>
      <c r="BE81" s="277"/>
      <c r="BF81" s="277"/>
      <c r="BG81" s="277"/>
      <c r="BH81" s="277"/>
      <c r="BI81" s="277"/>
      <c r="BJ81" s="277"/>
      <c r="BK81" s="277"/>
      <c r="BL81" s="277"/>
      <c r="BM81" s="277"/>
      <c r="BN81" s="277"/>
      <c r="BO81" s="277"/>
      <c r="BP81" s="277"/>
      <c r="BQ81" s="277"/>
      <c r="BR81" s="277"/>
      <c r="BS81" s="277"/>
      <c r="BT81" s="277"/>
      <c r="BU81" s="277"/>
      <c r="BV81" s="277"/>
      <c r="BW81" s="277"/>
      <c r="BX81" s="277"/>
      <c r="BY81" s="277"/>
      <c r="BZ81" s="277"/>
      <c r="CA81" s="277"/>
      <c r="CB81" s="277"/>
      <c r="CC81" s="277"/>
      <c r="CD81" s="277"/>
      <c r="CE81" s="277"/>
      <c r="CF81" s="277"/>
      <c r="CG81" s="277"/>
      <c r="CH81" s="277"/>
      <c r="CI81" s="277"/>
      <c r="CJ81" s="277"/>
      <c r="CK81" s="277"/>
      <c r="CL81" s="277"/>
      <c r="CM81" s="277"/>
      <c r="CN81" s="277"/>
      <c r="CO81" s="277"/>
      <c r="CP81" s="277"/>
      <c r="CQ81" s="277"/>
      <c r="CR81" s="277"/>
      <c r="CS81" s="277"/>
      <c r="CT81" s="277"/>
      <c r="CU81" s="277"/>
      <c r="CV81" s="277"/>
      <c r="CW81" s="277"/>
      <c r="CX81" s="277"/>
      <c r="CY81" s="277"/>
      <c r="CZ81" s="277"/>
      <c r="DA81" s="277"/>
      <c r="DB81" s="277"/>
      <c r="DC81" s="277"/>
      <c r="DD81" s="277"/>
      <c r="DE81" s="277"/>
      <c r="DF81" s="277"/>
      <c r="DG81" s="277"/>
      <c r="DH81" s="277"/>
      <c r="DI81" s="277"/>
      <c r="DJ81" s="277"/>
      <c r="DK81" s="277"/>
      <c r="DL81" s="277"/>
      <c r="DM81" s="277"/>
      <c r="DN81" s="277"/>
      <c r="DO81" s="277"/>
      <c r="DP81" s="277"/>
      <c r="DQ81" s="277"/>
      <c r="DR81" s="277"/>
      <c r="DS81" s="277"/>
      <c r="DT81" s="277"/>
      <c r="DU81" s="277"/>
      <c r="DV81" s="277"/>
      <c r="DW81" s="277"/>
      <c r="DX81" s="277"/>
      <c r="DY81" s="277"/>
      <c r="DZ81" s="277"/>
      <c r="EA81" s="277"/>
      <c r="EB81" s="277"/>
      <c r="EC81" s="277"/>
      <c r="ED81" s="277"/>
      <c r="EE81" s="277"/>
      <c r="EF81" s="277"/>
      <c r="EG81" s="277"/>
      <c r="EH81" s="277"/>
      <c r="EI81" s="277"/>
      <c r="EJ81" s="277"/>
      <c r="EK81" s="277"/>
      <c r="EL81" s="277"/>
      <c r="EM81" s="277"/>
      <c r="EN81" s="277"/>
      <c r="EO81" s="277"/>
      <c r="EP81" s="277"/>
      <c r="EQ81" s="277"/>
      <c r="ER81" s="277"/>
      <c r="ES81" s="277"/>
      <c r="ET81" s="277"/>
      <c r="EU81" s="277"/>
      <c r="EV81" s="277"/>
      <c r="EW81" s="277"/>
      <c r="EX81" s="277"/>
      <c r="EY81" s="277"/>
      <c r="EZ81" s="277"/>
      <c r="FA81" s="277"/>
      <c r="FB81" s="277"/>
      <c r="FC81" s="277"/>
      <c r="FD81" s="277"/>
      <c r="FE81" s="277"/>
      <c r="FF81" s="277"/>
      <c r="FG81" s="277"/>
      <c r="FH81" s="277"/>
      <c r="FI81" s="277"/>
      <c r="FJ81" s="277"/>
      <c r="FK81" s="277"/>
      <c r="FL81" s="277"/>
      <c r="FM81" s="277"/>
      <c r="FN81" s="277"/>
      <c r="FO81" s="277"/>
      <c r="FP81" s="277"/>
      <c r="FQ81" s="277"/>
      <c r="FR81" s="277"/>
      <c r="FS81" s="277"/>
      <c r="FT81" s="277"/>
      <c r="FU81" s="277"/>
      <c r="FV81" s="277"/>
      <c r="FW81" s="277"/>
      <c r="FX81" s="277"/>
      <c r="FY81" s="277"/>
      <c r="FZ81" s="277"/>
      <c r="GA81" s="277"/>
      <c r="GB81" s="277"/>
      <c r="GC81" s="277"/>
      <c r="GD81" s="277"/>
      <c r="GE81" s="277"/>
      <c r="GF81" s="277"/>
      <c r="GG81" s="277"/>
      <c r="GH81" s="277"/>
      <c r="GI81" s="277"/>
      <c r="GJ81" s="277"/>
      <c r="GK81" s="277"/>
      <c r="GL81" s="277"/>
      <c r="GM81" s="277"/>
      <c r="GN81" s="277"/>
      <c r="GO81" s="277"/>
      <c r="GP81" s="277"/>
      <c r="GQ81" s="277"/>
      <c r="GR81" s="277"/>
      <c r="GS81" s="277"/>
      <c r="GT81" s="277"/>
      <c r="GU81" s="277"/>
      <c r="GV81" s="277"/>
      <c r="GW81" s="277"/>
      <c r="GX81" s="277"/>
      <c r="GY81" s="277"/>
      <c r="GZ81" s="277"/>
      <c r="HA81" s="277"/>
      <c r="HB81" s="277"/>
      <c r="HC81" s="277"/>
      <c r="HD81" s="277"/>
      <c r="HE81" s="277"/>
      <c r="HF81" s="277"/>
      <c r="HG81" s="277"/>
      <c r="HH81" s="277"/>
      <c r="HI81" s="277"/>
      <c r="HJ81" s="277"/>
      <c r="HK81" s="277"/>
      <c r="HL81" s="277"/>
      <c r="HM81" s="277"/>
      <c r="HN81" s="277"/>
      <c r="HO81" s="277"/>
      <c r="HP81" s="277"/>
      <c r="HQ81" s="277"/>
      <c r="HR81" s="277"/>
      <c r="HS81" s="277"/>
      <c r="HT81" s="277"/>
      <c r="HU81" s="277"/>
      <c r="HV81" s="277"/>
      <c r="HW81" s="277"/>
      <c r="HX81" s="277"/>
      <c r="HY81" s="277"/>
    </row>
    <row r="82" spans="1:233" ht="12.75" hidden="1" customHeight="1" x14ac:dyDescent="0.3">
      <c r="B82" s="87" t="s">
        <v>312</v>
      </c>
      <c r="C82" s="381">
        <v>0.6</v>
      </c>
      <c r="D82" s="16"/>
      <c r="E82" s="16"/>
      <c r="F82" s="16"/>
      <c r="G82" s="16"/>
      <c r="H82" s="87"/>
      <c r="I82" s="87"/>
      <c r="J82" s="382"/>
      <c r="K82" s="16"/>
      <c r="L82" s="277"/>
      <c r="M82" s="294"/>
      <c r="N82" s="277"/>
      <c r="O82" s="277"/>
      <c r="P82" s="277"/>
      <c r="Q82" s="277"/>
      <c r="R82" s="277"/>
      <c r="S82" s="277"/>
      <c r="T82" s="294"/>
      <c r="U82" s="294"/>
      <c r="V82" s="294"/>
      <c r="W82" s="294"/>
      <c r="X82" s="294"/>
      <c r="Y82" s="294"/>
      <c r="Z82" s="294"/>
      <c r="AA82" s="294"/>
      <c r="AB82" s="294"/>
      <c r="AC82" s="277"/>
      <c r="AD82" s="277"/>
      <c r="AE82" s="277"/>
      <c r="AF82" s="277"/>
      <c r="AG82" s="277"/>
      <c r="AH82" s="277"/>
      <c r="AI82" s="277"/>
      <c r="AJ82" s="277"/>
      <c r="AK82" s="277"/>
      <c r="AL82" s="277"/>
      <c r="AM82" s="277"/>
      <c r="AN82" s="277"/>
      <c r="AO82" s="277"/>
      <c r="AP82" s="277"/>
      <c r="AQ82" s="277"/>
      <c r="AR82" s="277"/>
      <c r="AS82" s="277"/>
      <c r="AT82" s="277"/>
      <c r="AU82" s="277"/>
      <c r="AV82" s="277"/>
      <c r="AW82" s="277"/>
      <c r="AX82" s="277"/>
      <c r="AY82" s="277"/>
      <c r="AZ82" s="277"/>
      <c r="BA82" s="277"/>
      <c r="BB82" s="277"/>
      <c r="BC82" s="277"/>
      <c r="BD82" s="277"/>
      <c r="BE82" s="277"/>
      <c r="BF82" s="277"/>
      <c r="BG82" s="277"/>
      <c r="BH82" s="277"/>
      <c r="BI82" s="277"/>
      <c r="BJ82" s="277"/>
      <c r="BK82" s="277"/>
      <c r="BL82" s="277"/>
      <c r="BM82" s="277"/>
      <c r="BN82" s="277"/>
      <c r="BO82" s="277"/>
      <c r="BP82" s="277"/>
      <c r="BQ82" s="277"/>
      <c r="BR82" s="277"/>
      <c r="BS82" s="277"/>
      <c r="BT82" s="277"/>
      <c r="BU82" s="277"/>
      <c r="BV82" s="277"/>
      <c r="BW82" s="277"/>
      <c r="BX82" s="277"/>
      <c r="BY82" s="277"/>
      <c r="BZ82" s="277"/>
      <c r="CA82" s="277"/>
      <c r="CB82" s="277"/>
      <c r="CC82" s="277"/>
      <c r="CD82" s="277"/>
      <c r="CE82" s="277"/>
      <c r="CF82" s="277"/>
      <c r="CG82" s="277"/>
      <c r="CH82" s="277"/>
      <c r="CI82" s="277"/>
      <c r="CJ82" s="277"/>
      <c r="CK82" s="277"/>
      <c r="CL82" s="277"/>
      <c r="CM82" s="277"/>
      <c r="CN82" s="277"/>
      <c r="CO82" s="277"/>
      <c r="CP82" s="277"/>
      <c r="CQ82" s="277"/>
      <c r="CR82" s="277"/>
      <c r="CS82" s="277"/>
      <c r="CT82" s="277"/>
      <c r="CU82" s="277"/>
      <c r="CV82" s="277"/>
      <c r="CW82" s="277"/>
      <c r="CX82" s="277"/>
      <c r="CY82" s="277"/>
      <c r="CZ82" s="277"/>
      <c r="DA82" s="277"/>
      <c r="DB82" s="277"/>
      <c r="DC82" s="277"/>
      <c r="DD82" s="277"/>
      <c r="DE82" s="277"/>
      <c r="DF82" s="277"/>
      <c r="DG82" s="277"/>
      <c r="DH82" s="277"/>
      <c r="DI82" s="277"/>
      <c r="DJ82" s="277"/>
      <c r="DK82" s="277"/>
      <c r="DL82" s="277"/>
      <c r="DM82" s="277"/>
      <c r="DN82" s="277"/>
      <c r="DO82" s="277"/>
      <c r="DP82" s="277"/>
      <c r="DQ82" s="277"/>
      <c r="DR82" s="277"/>
      <c r="DS82" s="277"/>
      <c r="DT82" s="277"/>
      <c r="DU82" s="277"/>
      <c r="DV82" s="277"/>
      <c r="DW82" s="277"/>
      <c r="DX82" s="277"/>
      <c r="DY82" s="277"/>
      <c r="DZ82" s="277"/>
      <c r="EA82" s="277"/>
      <c r="EB82" s="277"/>
      <c r="EC82" s="277"/>
      <c r="ED82" s="277"/>
      <c r="EE82" s="277"/>
      <c r="EF82" s="277"/>
      <c r="EG82" s="277"/>
      <c r="EH82" s="277"/>
      <c r="EI82" s="277"/>
      <c r="EJ82" s="277"/>
      <c r="EK82" s="277"/>
      <c r="EL82" s="277"/>
      <c r="EM82" s="277"/>
      <c r="EN82" s="277"/>
      <c r="EO82" s="277"/>
      <c r="EP82" s="277"/>
      <c r="EQ82" s="277"/>
      <c r="ER82" s="277"/>
      <c r="ES82" s="277"/>
      <c r="ET82" s="277"/>
      <c r="EU82" s="277"/>
      <c r="EV82" s="277"/>
      <c r="EW82" s="277"/>
      <c r="EX82" s="277"/>
      <c r="EY82" s="277"/>
      <c r="EZ82" s="277"/>
      <c r="FA82" s="277"/>
      <c r="FB82" s="277"/>
      <c r="FC82" s="277"/>
      <c r="FD82" s="277"/>
      <c r="FE82" s="277"/>
      <c r="FF82" s="277"/>
      <c r="FG82" s="277"/>
      <c r="FH82" s="277"/>
      <c r="FI82" s="277"/>
      <c r="FJ82" s="277"/>
      <c r="FK82" s="277"/>
      <c r="FL82" s="277"/>
      <c r="FM82" s="277"/>
      <c r="FN82" s="277"/>
      <c r="FO82" s="277"/>
      <c r="FP82" s="277"/>
      <c r="FQ82" s="277"/>
      <c r="FR82" s="277"/>
      <c r="FS82" s="277"/>
      <c r="FT82" s="277"/>
      <c r="FU82" s="277"/>
      <c r="FV82" s="277"/>
      <c r="FW82" s="277"/>
      <c r="FX82" s="277"/>
      <c r="FY82" s="277"/>
      <c r="FZ82" s="277"/>
      <c r="GA82" s="277"/>
      <c r="GB82" s="277"/>
      <c r="GC82" s="277"/>
      <c r="GD82" s="277"/>
      <c r="GE82" s="277"/>
      <c r="GF82" s="277"/>
      <c r="GG82" s="277"/>
      <c r="GH82" s="277"/>
      <c r="GI82" s="277"/>
      <c r="GJ82" s="277"/>
      <c r="GK82" s="277"/>
      <c r="GL82" s="277"/>
      <c r="GM82" s="277"/>
      <c r="GN82" s="277"/>
      <c r="GO82" s="277"/>
      <c r="GP82" s="277"/>
      <c r="GQ82" s="277"/>
      <c r="GR82" s="277"/>
      <c r="GS82" s="277"/>
      <c r="GT82" s="277"/>
      <c r="GU82" s="277"/>
      <c r="GV82" s="277"/>
      <c r="GW82" s="277"/>
      <c r="GX82" s="277"/>
      <c r="GY82" s="277"/>
      <c r="GZ82" s="277"/>
      <c r="HA82" s="277"/>
      <c r="HB82" s="277"/>
      <c r="HC82" s="277"/>
      <c r="HD82" s="277"/>
      <c r="HE82" s="277"/>
      <c r="HF82" s="277"/>
      <c r="HG82" s="277"/>
      <c r="HH82" s="277"/>
      <c r="HI82" s="277"/>
      <c r="HJ82" s="277"/>
      <c r="HK82" s="277"/>
      <c r="HL82" s="277"/>
      <c r="HM82" s="277"/>
      <c r="HN82" s="277"/>
      <c r="HO82" s="277"/>
      <c r="HP82" s="277"/>
      <c r="HQ82" s="277"/>
      <c r="HR82" s="277"/>
      <c r="HS82" s="277"/>
      <c r="HT82" s="277"/>
      <c r="HU82" s="277"/>
      <c r="HV82" s="277"/>
      <c r="HW82" s="277"/>
      <c r="HX82" s="277"/>
      <c r="HY82" s="277"/>
    </row>
    <row r="83" spans="1:233" ht="12.75" hidden="1" customHeight="1" x14ac:dyDescent="0.3">
      <c r="B83" s="87" t="s">
        <v>313</v>
      </c>
      <c r="C83" s="381">
        <v>1</v>
      </c>
      <c r="D83" s="16"/>
      <c r="E83" s="16"/>
      <c r="F83" s="16"/>
      <c r="G83" s="16"/>
      <c r="H83" s="87"/>
      <c r="I83" s="87"/>
      <c r="J83" s="382"/>
      <c r="K83" s="16"/>
      <c r="L83" s="277"/>
      <c r="M83" s="294"/>
      <c r="N83" s="277"/>
      <c r="O83" s="277"/>
      <c r="P83" s="277"/>
      <c r="Q83" s="277"/>
      <c r="R83" s="277"/>
      <c r="S83" s="277"/>
      <c r="T83" s="294"/>
      <c r="U83" s="294"/>
      <c r="V83" s="294"/>
      <c r="W83" s="294"/>
      <c r="X83" s="294"/>
      <c r="Y83" s="294"/>
      <c r="Z83" s="294"/>
      <c r="AA83" s="294"/>
      <c r="AB83" s="294"/>
      <c r="AC83" s="277"/>
      <c r="AD83" s="277"/>
      <c r="AE83" s="277"/>
      <c r="AF83" s="277"/>
      <c r="AG83" s="277"/>
      <c r="AH83" s="277"/>
      <c r="AI83" s="277"/>
      <c r="AJ83" s="277"/>
      <c r="AK83" s="277"/>
      <c r="AL83" s="277"/>
      <c r="AM83" s="277"/>
      <c r="AN83" s="277"/>
      <c r="AO83" s="277"/>
      <c r="AP83" s="277"/>
      <c r="AQ83" s="277"/>
      <c r="AR83" s="277"/>
      <c r="AS83" s="277"/>
      <c r="AT83" s="277"/>
      <c r="AU83" s="277"/>
      <c r="AV83" s="277"/>
      <c r="AW83" s="277"/>
      <c r="AX83" s="277"/>
      <c r="AY83" s="277"/>
      <c r="AZ83" s="277"/>
      <c r="BA83" s="277"/>
      <c r="BB83" s="277"/>
      <c r="BC83" s="277"/>
      <c r="BD83" s="277"/>
      <c r="BE83" s="277"/>
      <c r="BF83" s="277"/>
      <c r="BG83" s="277"/>
      <c r="BH83" s="277"/>
      <c r="BI83" s="277"/>
      <c r="BJ83" s="277"/>
      <c r="BK83" s="277"/>
      <c r="BL83" s="277"/>
      <c r="BM83" s="277"/>
      <c r="BN83" s="277"/>
      <c r="BO83" s="277"/>
      <c r="BP83" s="277"/>
      <c r="BQ83" s="277"/>
      <c r="BR83" s="277"/>
      <c r="BS83" s="277"/>
      <c r="BT83" s="277"/>
      <c r="BU83" s="277"/>
      <c r="BV83" s="277"/>
      <c r="BW83" s="277"/>
      <c r="BX83" s="277"/>
      <c r="BY83" s="277"/>
      <c r="BZ83" s="277"/>
      <c r="CA83" s="277"/>
      <c r="CB83" s="277"/>
      <c r="CC83" s="277"/>
      <c r="CD83" s="277"/>
      <c r="CE83" s="277"/>
      <c r="CF83" s="277"/>
      <c r="CG83" s="277"/>
      <c r="CH83" s="277"/>
      <c r="CI83" s="277"/>
      <c r="CJ83" s="277"/>
      <c r="CK83" s="277"/>
      <c r="CL83" s="277"/>
      <c r="CM83" s="277"/>
      <c r="CN83" s="277"/>
      <c r="CO83" s="277"/>
      <c r="CP83" s="277"/>
      <c r="CQ83" s="277"/>
      <c r="CR83" s="277"/>
      <c r="CS83" s="277"/>
      <c r="CT83" s="277"/>
      <c r="CU83" s="277"/>
      <c r="CV83" s="277"/>
      <c r="CW83" s="277"/>
      <c r="CX83" s="277"/>
      <c r="CY83" s="277"/>
      <c r="CZ83" s="277"/>
      <c r="DA83" s="277"/>
      <c r="DB83" s="277"/>
      <c r="DC83" s="277"/>
      <c r="DD83" s="277"/>
      <c r="DE83" s="277"/>
      <c r="DF83" s="277"/>
      <c r="DG83" s="277"/>
      <c r="DH83" s="277"/>
      <c r="DI83" s="277"/>
      <c r="DJ83" s="277"/>
      <c r="DK83" s="277"/>
      <c r="DL83" s="277"/>
      <c r="DM83" s="277"/>
      <c r="DN83" s="277"/>
      <c r="DO83" s="277"/>
      <c r="DP83" s="277"/>
      <c r="DQ83" s="277"/>
      <c r="DR83" s="277"/>
      <c r="DS83" s="277"/>
      <c r="DT83" s="277"/>
      <c r="DU83" s="277"/>
      <c r="DV83" s="277"/>
      <c r="DW83" s="277"/>
      <c r="DX83" s="277"/>
      <c r="DY83" s="277"/>
      <c r="DZ83" s="277"/>
      <c r="EA83" s="277"/>
      <c r="EB83" s="277"/>
      <c r="EC83" s="277"/>
      <c r="ED83" s="277"/>
      <c r="EE83" s="277"/>
      <c r="EF83" s="277"/>
      <c r="EG83" s="277"/>
      <c r="EH83" s="277"/>
      <c r="EI83" s="277"/>
      <c r="EJ83" s="277"/>
      <c r="EK83" s="277"/>
      <c r="EL83" s="277"/>
      <c r="EM83" s="277"/>
      <c r="EN83" s="277"/>
      <c r="EO83" s="277"/>
      <c r="EP83" s="277"/>
      <c r="EQ83" s="277"/>
      <c r="ER83" s="277"/>
      <c r="ES83" s="277"/>
      <c r="ET83" s="277"/>
      <c r="EU83" s="277"/>
      <c r="EV83" s="277"/>
      <c r="EW83" s="277"/>
      <c r="EX83" s="277"/>
      <c r="EY83" s="277"/>
      <c r="EZ83" s="277"/>
      <c r="FA83" s="277"/>
      <c r="FB83" s="277"/>
      <c r="FC83" s="277"/>
      <c r="FD83" s="277"/>
      <c r="FE83" s="277"/>
      <c r="FF83" s="277"/>
      <c r="FG83" s="277"/>
      <c r="FH83" s="277"/>
      <c r="FI83" s="277"/>
      <c r="FJ83" s="277"/>
      <c r="FK83" s="277"/>
      <c r="FL83" s="277"/>
      <c r="FM83" s="277"/>
      <c r="FN83" s="277"/>
      <c r="FO83" s="277"/>
      <c r="FP83" s="277"/>
      <c r="FQ83" s="277"/>
      <c r="FR83" s="277"/>
      <c r="FS83" s="277"/>
      <c r="FT83" s="277"/>
      <c r="FU83" s="277"/>
      <c r="FV83" s="277"/>
      <c r="FW83" s="277"/>
      <c r="FX83" s="277"/>
      <c r="FY83" s="277"/>
      <c r="FZ83" s="277"/>
      <c r="GA83" s="277"/>
      <c r="GB83" s="277"/>
      <c r="GC83" s="277"/>
      <c r="GD83" s="277"/>
      <c r="GE83" s="277"/>
      <c r="GF83" s="277"/>
      <c r="GG83" s="277"/>
      <c r="GH83" s="277"/>
      <c r="GI83" s="277"/>
      <c r="GJ83" s="277"/>
      <c r="GK83" s="277"/>
      <c r="GL83" s="277"/>
      <c r="GM83" s="277"/>
      <c r="GN83" s="277"/>
      <c r="GO83" s="277"/>
      <c r="GP83" s="277"/>
      <c r="GQ83" s="277"/>
      <c r="GR83" s="277"/>
      <c r="GS83" s="277"/>
      <c r="GT83" s="277"/>
      <c r="GU83" s="277"/>
      <c r="GV83" s="277"/>
      <c r="GW83" s="277"/>
      <c r="GX83" s="277"/>
      <c r="GY83" s="277"/>
      <c r="GZ83" s="277"/>
      <c r="HA83" s="277"/>
      <c r="HB83" s="277"/>
      <c r="HC83" s="277"/>
      <c r="HD83" s="277"/>
      <c r="HE83" s="277"/>
      <c r="HF83" s="277"/>
      <c r="HG83" s="277"/>
      <c r="HH83" s="277"/>
      <c r="HI83" s="277"/>
      <c r="HJ83" s="277"/>
      <c r="HK83" s="277"/>
      <c r="HL83" s="277"/>
      <c r="HM83" s="277"/>
      <c r="HN83" s="277"/>
      <c r="HO83" s="277"/>
      <c r="HP83" s="277"/>
      <c r="HQ83" s="277"/>
      <c r="HR83" s="277"/>
      <c r="HS83" s="277"/>
      <c r="HT83" s="277"/>
      <c r="HU83" s="277"/>
      <c r="HV83" s="277"/>
      <c r="HW83" s="277"/>
      <c r="HX83" s="277"/>
      <c r="HY83" s="277"/>
    </row>
    <row r="84" spans="1:233" ht="13.5" thickTop="1" thickBot="1" x14ac:dyDescent="0.3">
      <c r="A84" s="277"/>
      <c r="B84" s="277"/>
      <c r="C84" s="277"/>
      <c r="D84" s="277"/>
      <c r="E84" s="277"/>
      <c r="F84" s="277"/>
      <c r="G84" s="277"/>
      <c r="H84" s="277"/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94"/>
      <c r="U84" s="294"/>
      <c r="V84" s="294"/>
      <c r="W84" s="294"/>
      <c r="X84" s="294"/>
      <c r="Y84" s="294"/>
      <c r="Z84" s="294"/>
      <c r="AA84" s="294"/>
      <c r="AB84" s="294"/>
      <c r="AC84" s="277"/>
      <c r="AD84" s="277"/>
      <c r="AE84" s="277"/>
      <c r="AF84" s="277"/>
      <c r="AG84" s="277"/>
      <c r="AH84" s="277"/>
      <c r="AI84" s="277"/>
      <c r="AJ84" s="277"/>
      <c r="AK84" s="277"/>
      <c r="AL84" s="277"/>
      <c r="AM84" s="277"/>
      <c r="AN84" s="277"/>
      <c r="AO84" s="277"/>
      <c r="AP84" s="277"/>
      <c r="AQ84" s="277"/>
      <c r="AR84" s="277"/>
      <c r="AS84" s="277"/>
      <c r="AT84" s="277"/>
      <c r="AU84" s="277"/>
      <c r="AV84" s="277"/>
      <c r="AW84" s="277"/>
      <c r="AX84" s="277"/>
      <c r="AY84" s="277"/>
      <c r="AZ84" s="277"/>
      <c r="BA84" s="277"/>
      <c r="BB84" s="277"/>
      <c r="BC84" s="277"/>
      <c r="BD84" s="277"/>
      <c r="BE84" s="277"/>
      <c r="BF84" s="277"/>
      <c r="BG84" s="277"/>
      <c r="BH84" s="277"/>
      <c r="BI84" s="277"/>
      <c r="BJ84" s="277"/>
      <c r="BK84" s="277"/>
      <c r="BL84" s="277"/>
      <c r="BM84" s="277"/>
      <c r="BN84" s="277"/>
      <c r="BO84" s="277"/>
      <c r="BP84" s="277"/>
      <c r="BQ84" s="277"/>
      <c r="BR84" s="277"/>
      <c r="BS84" s="277"/>
      <c r="BT84" s="277"/>
      <c r="BU84" s="277"/>
      <c r="BV84" s="277"/>
      <c r="BW84" s="277"/>
      <c r="BX84" s="277"/>
      <c r="BY84" s="277"/>
      <c r="BZ84" s="277"/>
      <c r="CA84" s="277"/>
      <c r="CB84" s="277"/>
      <c r="CC84" s="277"/>
      <c r="CD84" s="277"/>
      <c r="CE84" s="277"/>
      <c r="CF84" s="277"/>
      <c r="CG84" s="277"/>
      <c r="CH84" s="277"/>
      <c r="CI84" s="277"/>
      <c r="CJ84" s="277"/>
      <c r="CK84" s="277"/>
      <c r="CL84" s="277"/>
      <c r="CM84" s="277"/>
      <c r="CN84" s="277"/>
      <c r="CO84" s="277"/>
      <c r="CP84" s="277"/>
      <c r="CQ84" s="277"/>
      <c r="CR84" s="277"/>
      <c r="CS84" s="277"/>
      <c r="CT84" s="277"/>
      <c r="CU84" s="277"/>
      <c r="CV84" s="277"/>
      <c r="CW84" s="277"/>
      <c r="CX84" s="277"/>
      <c r="CY84" s="277"/>
      <c r="CZ84" s="277"/>
      <c r="DA84" s="277"/>
      <c r="DB84" s="277"/>
      <c r="DC84" s="277"/>
      <c r="DD84" s="277"/>
      <c r="DE84" s="277"/>
      <c r="DF84" s="277"/>
      <c r="DG84" s="277"/>
      <c r="DH84" s="277"/>
      <c r="DI84" s="277"/>
      <c r="DJ84" s="277"/>
      <c r="DK84" s="277"/>
      <c r="DL84" s="277"/>
      <c r="DM84" s="277"/>
      <c r="DN84" s="277"/>
      <c r="DO84" s="277"/>
      <c r="DP84" s="277"/>
      <c r="DQ84" s="277"/>
      <c r="DR84" s="277"/>
      <c r="DS84" s="277"/>
      <c r="DT84" s="277"/>
      <c r="DU84" s="277"/>
      <c r="DV84" s="277"/>
      <c r="DW84" s="277"/>
      <c r="DX84" s="277"/>
      <c r="DY84" s="277"/>
      <c r="DZ84" s="277"/>
      <c r="EA84" s="277"/>
      <c r="EB84" s="277"/>
      <c r="EC84" s="277"/>
      <c r="ED84" s="277"/>
      <c r="EE84" s="277"/>
      <c r="EF84" s="277"/>
      <c r="EG84" s="277"/>
      <c r="EH84" s="277"/>
      <c r="EI84" s="277"/>
      <c r="EJ84" s="277"/>
      <c r="EK84" s="277"/>
      <c r="EL84" s="277"/>
      <c r="EM84" s="277"/>
      <c r="EN84" s="277"/>
      <c r="EO84" s="277"/>
      <c r="EP84" s="277"/>
      <c r="EQ84" s="277"/>
      <c r="ER84" s="277"/>
      <c r="ES84" s="277"/>
      <c r="ET84" s="277"/>
      <c r="EU84" s="277"/>
      <c r="EV84" s="277"/>
      <c r="EW84" s="277"/>
      <c r="EX84" s="277"/>
      <c r="EY84" s="277"/>
      <c r="EZ84" s="277"/>
      <c r="FA84" s="277"/>
      <c r="FB84" s="277"/>
      <c r="FC84" s="277"/>
      <c r="FD84" s="277"/>
      <c r="FE84" s="277"/>
      <c r="FF84" s="277"/>
      <c r="FG84" s="277"/>
      <c r="FH84" s="277"/>
      <c r="FI84" s="277"/>
      <c r="FJ84" s="277"/>
      <c r="FK84" s="277"/>
      <c r="FL84" s="277"/>
      <c r="FM84" s="277"/>
      <c r="FN84" s="277"/>
      <c r="FO84" s="277"/>
      <c r="FP84" s="277"/>
      <c r="FQ84" s="277"/>
      <c r="FR84" s="277"/>
      <c r="FS84" s="277"/>
      <c r="FT84" s="277"/>
      <c r="FU84" s="277"/>
      <c r="FV84" s="277"/>
      <c r="FW84" s="277"/>
      <c r="FX84" s="277"/>
      <c r="FY84" s="277"/>
      <c r="FZ84" s="277"/>
      <c r="GA84" s="277"/>
      <c r="GB84" s="277"/>
      <c r="GC84" s="277"/>
      <c r="GD84" s="277"/>
      <c r="GE84" s="277"/>
      <c r="GF84" s="277"/>
      <c r="GG84" s="277"/>
      <c r="GH84" s="277"/>
      <c r="GI84" s="277"/>
      <c r="GJ84" s="277"/>
      <c r="GK84" s="277"/>
      <c r="GL84" s="277"/>
      <c r="GM84" s="277"/>
      <c r="GN84" s="277"/>
      <c r="GO84" s="277"/>
      <c r="GP84" s="277"/>
      <c r="GQ84" s="277"/>
      <c r="GR84" s="277"/>
      <c r="GS84" s="277"/>
      <c r="GT84" s="277"/>
      <c r="GU84" s="277"/>
      <c r="GV84" s="277"/>
      <c r="GW84" s="277"/>
      <c r="GX84" s="277"/>
      <c r="GY84" s="277"/>
      <c r="GZ84" s="277"/>
      <c r="HA84" s="277"/>
      <c r="HB84" s="277"/>
      <c r="HC84" s="277"/>
      <c r="HD84" s="277"/>
      <c r="HE84" s="277"/>
      <c r="HF84" s="277"/>
      <c r="HG84" s="277"/>
      <c r="HH84" s="277"/>
      <c r="HI84" s="277"/>
      <c r="HJ84" s="277"/>
      <c r="HK84" s="277"/>
      <c r="HL84" s="277"/>
      <c r="HM84" s="277"/>
      <c r="HN84" s="277"/>
      <c r="HO84" s="277"/>
      <c r="HP84" s="277"/>
      <c r="HQ84" s="277"/>
      <c r="HR84" s="277"/>
      <c r="HS84" s="277"/>
      <c r="HT84" s="277"/>
      <c r="HU84" s="277"/>
      <c r="HV84" s="277"/>
      <c r="HW84" s="277"/>
      <c r="HX84" s="277"/>
      <c r="HY84" s="277"/>
    </row>
    <row r="85" spans="1:233" customFormat="1" ht="21" thickTop="1" thickBot="1" x14ac:dyDescent="0.45">
      <c r="A85" s="368"/>
      <c r="B85" s="125" t="s">
        <v>383</v>
      </c>
      <c r="C85" s="482"/>
      <c r="D85" s="290"/>
      <c r="E85" s="277"/>
      <c r="F85" s="277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94"/>
      <c r="U85" s="294"/>
      <c r="V85" s="294"/>
      <c r="W85" s="294"/>
      <c r="X85" s="294"/>
      <c r="Y85" s="294"/>
      <c r="Z85" s="294"/>
      <c r="AA85" s="294"/>
      <c r="AB85" s="294"/>
      <c r="AC85" s="277"/>
      <c r="AD85" s="277"/>
      <c r="AE85" s="277"/>
      <c r="AF85" s="277"/>
      <c r="AG85" s="277"/>
      <c r="AH85" s="277"/>
      <c r="AI85" s="277"/>
      <c r="AJ85" s="277"/>
      <c r="AK85" s="277"/>
      <c r="AL85" s="277"/>
      <c r="AM85" s="277"/>
      <c r="AN85" s="277"/>
      <c r="AO85" s="277"/>
      <c r="AP85" s="277"/>
      <c r="AQ85" s="277"/>
      <c r="AR85" s="277"/>
      <c r="AS85" s="277"/>
      <c r="AT85" s="277"/>
      <c r="AU85" s="277"/>
      <c r="AV85" s="277"/>
      <c r="AW85" s="277"/>
      <c r="AX85" s="277"/>
      <c r="AY85" s="277"/>
      <c r="AZ85" s="277"/>
      <c r="BA85" s="277"/>
      <c r="BB85" s="277"/>
      <c r="BC85" s="261"/>
      <c r="BD85" s="261"/>
      <c r="BE85" s="261"/>
      <c r="BF85" s="261"/>
      <c r="BG85" s="261"/>
      <c r="BH85" s="261"/>
      <c r="BI85" s="261"/>
      <c r="BJ85" s="261"/>
      <c r="BK85" s="261"/>
      <c r="BL85" s="261"/>
      <c r="BM85" s="261"/>
      <c r="BN85" s="261"/>
      <c r="BO85" s="261"/>
      <c r="BP85" s="261"/>
      <c r="BQ85" s="261"/>
      <c r="BR85" s="261"/>
      <c r="BS85" s="261"/>
      <c r="BT85" s="261"/>
      <c r="BU85" s="261"/>
      <c r="BV85" s="261"/>
      <c r="BW85" s="261"/>
      <c r="BX85" s="261"/>
      <c r="BY85" s="261"/>
      <c r="BZ85" s="261"/>
      <c r="CA85" s="261"/>
      <c r="CB85" s="261"/>
      <c r="CC85" s="261"/>
      <c r="CD85" s="261"/>
      <c r="CE85" s="261"/>
      <c r="CF85" s="261"/>
      <c r="CG85" s="261"/>
      <c r="CH85" s="261"/>
      <c r="CI85" s="261"/>
      <c r="CJ85" s="261"/>
      <c r="CK85" s="261"/>
      <c r="CL85" s="261"/>
      <c r="CM85" s="261"/>
      <c r="CN85" s="261"/>
      <c r="CO85" s="261"/>
      <c r="CP85" s="261"/>
      <c r="CQ85" s="261"/>
      <c r="CR85" s="261"/>
      <c r="CS85" s="261"/>
      <c r="CT85" s="261"/>
      <c r="CU85" s="261"/>
      <c r="CV85" s="261"/>
      <c r="CW85" s="261"/>
      <c r="CX85" s="261"/>
      <c r="CY85" s="261"/>
      <c r="CZ85" s="261"/>
      <c r="DA85" s="261"/>
      <c r="DB85" s="261"/>
      <c r="DC85" s="261"/>
      <c r="DD85" s="261"/>
      <c r="DE85" s="261"/>
      <c r="DF85" s="261"/>
      <c r="DG85" s="261"/>
      <c r="DH85" s="261"/>
      <c r="DI85" s="261"/>
      <c r="DJ85" s="261"/>
      <c r="DK85" s="261"/>
      <c r="DL85" s="261"/>
      <c r="DM85" s="261"/>
      <c r="DN85" s="261"/>
      <c r="DO85" s="261"/>
      <c r="DP85" s="261"/>
      <c r="DQ85" s="261"/>
      <c r="DR85" s="261"/>
      <c r="DS85" s="261"/>
      <c r="DT85" s="261"/>
      <c r="DU85" s="261"/>
      <c r="DV85" s="261"/>
      <c r="DW85" s="261"/>
      <c r="DX85" s="261"/>
      <c r="DY85" s="261"/>
      <c r="DZ85" s="261"/>
      <c r="EA85" s="261"/>
      <c r="EB85" s="261"/>
      <c r="EC85" s="261"/>
      <c r="ED85" s="261"/>
      <c r="EE85" s="261"/>
      <c r="EF85" s="261"/>
      <c r="EG85" s="261"/>
      <c r="EH85" s="261"/>
      <c r="EI85" s="261"/>
      <c r="EJ85" s="261"/>
      <c r="EK85" s="261"/>
      <c r="EL85" s="261"/>
      <c r="EM85" s="261"/>
      <c r="EN85" s="261"/>
      <c r="EO85" s="261"/>
      <c r="EP85" s="261"/>
      <c r="EQ85" s="261"/>
      <c r="ER85" s="261"/>
      <c r="ES85" s="261"/>
      <c r="ET85" s="261"/>
      <c r="EU85" s="261"/>
      <c r="EV85" s="261"/>
      <c r="EW85" s="261"/>
      <c r="EX85" s="261"/>
      <c r="EY85" s="261"/>
      <c r="EZ85" s="261"/>
      <c r="FA85" s="261"/>
      <c r="FB85" s="261"/>
      <c r="FC85" s="261"/>
      <c r="FD85" s="261"/>
      <c r="FE85" s="261"/>
      <c r="FF85" s="261"/>
      <c r="FG85" s="261"/>
      <c r="FH85" s="261"/>
      <c r="FI85" s="261"/>
      <c r="FJ85" s="261"/>
      <c r="FK85" s="261"/>
      <c r="FL85" s="261"/>
      <c r="FM85" s="261"/>
      <c r="FN85" s="261"/>
      <c r="FO85" s="261"/>
      <c r="FP85" s="261"/>
      <c r="FQ85" s="261"/>
      <c r="FR85" s="261"/>
      <c r="FS85" s="261"/>
      <c r="FT85" s="261"/>
      <c r="FU85" s="261"/>
      <c r="FV85" s="261"/>
      <c r="FW85" s="261"/>
      <c r="FX85" s="261"/>
      <c r="FY85" s="261"/>
      <c r="FZ85" s="261"/>
      <c r="GA85" s="261"/>
      <c r="GB85" s="261"/>
      <c r="GC85" s="261"/>
      <c r="GD85" s="261"/>
      <c r="GE85" s="261"/>
      <c r="GF85" s="261"/>
      <c r="GG85" s="261"/>
      <c r="GH85" s="261"/>
      <c r="GI85" s="261"/>
      <c r="GJ85" s="261"/>
      <c r="GK85" s="261"/>
      <c r="GL85" s="261"/>
      <c r="GM85" s="261"/>
      <c r="GN85" s="261"/>
      <c r="GO85" s="261"/>
      <c r="GP85" s="261"/>
      <c r="GQ85" s="261"/>
      <c r="GR85" s="261"/>
      <c r="GS85" s="261"/>
      <c r="GT85" s="261"/>
      <c r="GU85" s="261"/>
      <c r="GV85" s="261"/>
      <c r="GW85" s="261"/>
      <c r="GX85" s="261"/>
      <c r="GY85" s="261"/>
      <c r="GZ85" s="261"/>
      <c r="HA85" s="261"/>
      <c r="HB85" s="261"/>
      <c r="HC85" s="261"/>
      <c r="HD85" s="261"/>
      <c r="HE85" s="261"/>
      <c r="HF85" s="261"/>
      <c r="HG85" s="261"/>
      <c r="HH85" s="261"/>
      <c r="HI85" s="261"/>
      <c r="HJ85" s="261"/>
      <c r="HK85" s="261"/>
      <c r="HL85" s="261"/>
      <c r="HM85" s="261"/>
      <c r="HN85" s="261"/>
      <c r="HO85" s="261"/>
      <c r="HP85" s="261"/>
      <c r="HQ85" s="261"/>
      <c r="HR85" s="261"/>
      <c r="HS85" s="261"/>
      <c r="HT85" s="261"/>
      <c r="HU85" s="261"/>
      <c r="HV85" s="261"/>
      <c r="HW85" s="261"/>
      <c r="HX85" s="261"/>
      <c r="HY85" s="261"/>
    </row>
    <row r="86" spans="1:233" customFormat="1" ht="13" x14ac:dyDescent="0.3">
      <c r="A86" s="368"/>
      <c r="B86" s="32"/>
      <c r="C86" s="483"/>
      <c r="D86" s="290"/>
      <c r="E86" s="277"/>
      <c r="F86" s="277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94"/>
      <c r="U86" s="294"/>
      <c r="V86" s="294"/>
      <c r="W86" s="294"/>
      <c r="X86" s="294"/>
      <c r="Y86" s="294"/>
      <c r="Z86" s="294"/>
      <c r="AA86" s="294"/>
      <c r="AB86" s="294"/>
      <c r="AC86" s="277"/>
      <c r="AD86" s="277"/>
      <c r="AE86" s="277"/>
      <c r="AF86" s="277"/>
      <c r="AG86" s="277"/>
      <c r="AH86" s="277"/>
      <c r="AI86" s="277"/>
      <c r="AJ86" s="277"/>
      <c r="AK86" s="277"/>
      <c r="AL86" s="277"/>
      <c r="AM86" s="277"/>
      <c r="AN86" s="277"/>
      <c r="AO86" s="277"/>
      <c r="AP86" s="277"/>
      <c r="AQ86" s="277"/>
      <c r="AR86" s="277"/>
      <c r="AS86" s="277"/>
      <c r="AT86" s="277"/>
      <c r="AU86" s="277"/>
      <c r="AV86" s="277"/>
      <c r="AW86" s="277"/>
      <c r="AX86" s="277"/>
      <c r="AY86" s="277"/>
      <c r="AZ86" s="277"/>
      <c r="BA86" s="277"/>
      <c r="BB86" s="277"/>
      <c r="BC86" s="261"/>
      <c r="BD86" s="261"/>
      <c r="BE86" s="261"/>
      <c r="BF86" s="261"/>
      <c r="BG86" s="261"/>
      <c r="BH86" s="261"/>
      <c r="BI86" s="261"/>
      <c r="BJ86" s="261"/>
      <c r="BK86" s="261"/>
      <c r="BL86" s="261"/>
      <c r="BM86" s="261"/>
      <c r="BN86" s="261"/>
      <c r="BO86" s="261"/>
      <c r="BP86" s="261"/>
      <c r="BQ86" s="261"/>
      <c r="BR86" s="261"/>
      <c r="BS86" s="261"/>
      <c r="BT86" s="261"/>
      <c r="BU86" s="261"/>
      <c r="BV86" s="261"/>
      <c r="BW86" s="261"/>
      <c r="BX86" s="261"/>
      <c r="BY86" s="261"/>
      <c r="BZ86" s="261"/>
      <c r="CA86" s="261"/>
      <c r="CB86" s="261"/>
      <c r="CC86" s="261"/>
      <c r="CD86" s="261"/>
      <c r="CE86" s="261"/>
      <c r="CF86" s="261"/>
      <c r="CG86" s="261"/>
      <c r="CH86" s="261"/>
      <c r="CI86" s="261"/>
      <c r="CJ86" s="261"/>
      <c r="CK86" s="261"/>
      <c r="CL86" s="261"/>
      <c r="CM86" s="261"/>
      <c r="CN86" s="261"/>
      <c r="CO86" s="261"/>
      <c r="CP86" s="261"/>
      <c r="CQ86" s="261"/>
      <c r="CR86" s="261"/>
      <c r="CS86" s="261"/>
      <c r="CT86" s="261"/>
      <c r="CU86" s="261"/>
      <c r="CV86" s="261"/>
      <c r="CW86" s="261"/>
      <c r="CX86" s="261"/>
      <c r="CY86" s="261"/>
      <c r="CZ86" s="261"/>
      <c r="DA86" s="261"/>
      <c r="DB86" s="261"/>
      <c r="DC86" s="261"/>
      <c r="DD86" s="261"/>
      <c r="DE86" s="261"/>
      <c r="DF86" s="261"/>
      <c r="DG86" s="261"/>
      <c r="DH86" s="261"/>
      <c r="DI86" s="261"/>
      <c r="DJ86" s="261"/>
      <c r="DK86" s="261"/>
      <c r="DL86" s="261"/>
      <c r="DM86" s="261"/>
      <c r="DN86" s="261"/>
      <c r="DO86" s="261"/>
      <c r="DP86" s="261"/>
      <c r="DQ86" s="261"/>
      <c r="DR86" s="261"/>
      <c r="DS86" s="261"/>
      <c r="DT86" s="261"/>
      <c r="DU86" s="261"/>
      <c r="DV86" s="261"/>
      <c r="DW86" s="261"/>
      <c r="DX86" s="261"/>
      <c r="DY86" s="261"/>
      <c r="DZ86" s="261"/>
      <c r="EA86" s="261"/>
      <c r="EB86" s="261"/>
      <c r="EC86" s="261"/>
      <c r="ED86" s="261"/>
      <c r="EE86" s="261"/>
      <c r="EF86" s="261"/>
      <c r="EG86" s="261"/>
      <c r="EH86" s="261"/>
      <c r="EI86" s="261"/>
      <c r="EJ86" s="261"/>
      <c r="EK86" s="261"/>
      <c r="EL86" s="261"/>
      <c r="EM86" s="261"/>
      <c r="EN86" s="261"/>
      <c r="EO86" s="261"/>
      <c r="EP86" s="261"/>
      <c r="EQ86" s="261"/>
      <c r="ER86" s="261"/>
      <c r="ES86" s="261"/>
      <c r="ET86" s="261"/>
      <c r="EU86" s="261"/>
      <c r="EV86" s="261"/>
      <c r="EW86" s="261"/>
      <c r="EX86" s="261"/>
      <c r="EY86" s="261"/>
      <c r="EZ86" s="261"/>
      <c r="FA86" s="261"/>
      <c r="FB86" s="261"/>
      <c r="FC86" s="261"/>
      <c r="FD86" s="261"/>
      <c r="FE86" s="261"/>
      <c r="FF86" s="261"/>
      <c r="FG86" s="261"/>
      <c r="FH86" s="261"/>
      <c r="FI86" s="261"/>
      <c r="FJ86" s="261"/>
      <c r="FK86" s="261"/>
      <c r="FL86" s="261"/>
      <c r="FM86" s="261"/>
      <c r="FN86" s="261"/>
      <c r="FO86" s="261"/>
      <c r="FP86" s="261"/>
      <c r="FQ86" s="261"/>
      <c r="FR86" s="261"/>
      <c r="FS86" s="261"/>
      <c r="FT86" s="261"/>
      <c r="FU86" s="261"/>
      <c r="FV86" s="261"/>
      <c r="FW86" s="261"/>
      <c r="FX86" s="261"/>
      <c r="FY86" s="261"/>
      <c r="FZ86" s="261"/>
      <c r="GA86" s="261"/>
      <c r="GB86" s="261"/>
      <c r="GC86" s="261"/>
      <c r="GD86" s="261"/>
      <c r="GE86" s="261"/>
      <c r="GF86" s="261"/>
      <c r="GG86" s="261"/>
      <c r="GH86" s="261"/>
      <c r="GI86" s="261"/>
      <c r="GJ86" s="261"/>
      <c r="GK86" s="261"/>
      <c r="GL86" s="261"/>
      <c r="GM86" s="261"/>
      <c r="GN86" s="261"/>
      <c r="GO86" s="261"/>
      <c r="GP86" s="261"/>
      <c r="GQ86" s="261"/>
      <c r="GR86" s="261"/>
      <c r="GS86" s="261"/>
      <c r="GT86" s="261"/>
      <c r="GU86" s="261"/>
      <c r="GV86" s="261"/>
      <c r="GW86" s="261"/>
      <c r="GX86" s="261"/>
      <c r="GY86" s="261"/>
      <c r="GZ86" s="261"/>
      <c r="HA86" s="261"/>
      <c r="HB86" s="261"/>
      <c r="HC86" s="261"/>
      <c r="HD86" s="261"/>
      <c r="HE86" s="261"/>
      <c r="HF86" s="261"/>
      <c r="HG86" s="261"/>
      <c r="HH86" s="261"/>
      <c r="HI86" s="261"/>
      <c r="HJ86" s="261"/>
      <c r="HK86" s="261"/>
      <c r="HL86" s="261"/>
      <c r="HM86" s="261"/>
      <c r="HN86" s="261"/>
      <c r="HO86" s="261"/>
      <c r="HP86" s="261"/>
      <c r="HQ86" s="261"/>
      <c r="HR86" s="261"/>
      <c r="HS86" s="261"/>
      <c r="HT86" s="261"/>
      <c r="HU86" s="261"/>
      <c r="HV86" s="261"/>
      <c r="HW86" s="261"/>
      <c r="HX86" s="261"/>
      <c r="HY86" s="261"/>
    </row>
    <row r="87" spans="1:233" customFormat="1" ht="13" x14ac:dyDescent="0.3">
      <c r="A87" s="368"/>
      <c r="B87" s="150" t="s">
        <v>516</v>
      </c>
      <c r="C87" s="1217" t="s">
        <v>357</v>
      </c>
      <c r="D87" s="294"/>
      <c r="E87" s="277"/>
      <c r="F87" s="277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94"/>
      <c r="U87" s="294"/>
      <c r="V87" s="294"/>
      <c r="W87" s="294"/>
      <c r="X87" s="294"/>
      <c r="Y87" s="294"/>
      <c r="Z87" s="294"/>
      <c r="AA87" s="294"/>
      <c r="AB87" s="294"/>
      <c r="AC87" s="277"/>
      <c r="AD87" s="277"/>
      <c r="AE87" s="277"/>
      <c r="AF87" s="277"/>
      <c r="AG87" s="277"/>
      <c r="AH87" s="277"/>
      <c r="AI87" s="277"/>
      <c r="AJ87" s="277"/>
      <c r="AK87" s="277"/>
      <c r="AL87" s="277"/>
      <c r="AM87" s="277"/>
      <c r="AN87" s="277"/>
      <c r="AO87" s="277"/>
      <c r="AP87" s="277"/>
      <c r="AQ87" s="277"/>
      <c r="AR87" s="277"/>
      <c r="AS87" s="277"/>
      <c r="AT87" s="277"/>
      <c r="AU87" s="277"/>
      <c r="AV87" s="277"/>
      <c r="AW87" s="277"/>
      <c r="AX87" s="277"/>
      <c r="AY87" s="277"/>
      <c r="AZ87" s="277"/>
      <c r="BA87" s="277"/>
      <c r="BB87" s="277"/>
      <c r="BC87" s="261"/>
      <c r="BD87" s="261"/>
      <c r="BE87" s="261"/>
      <c r="BF87" s="261"/>
      <c r="BG87" s="261"/>
      <c r="BH87" s="261"/>
      <c r="BI87" s="261"/>
      <c r="BJ87" s="261"/>
      <c r="BK87" s="261"/>
      <c r="BL87" s="261"/>
      <c r="BM87" s="261"/>
      <c r="BN87" s="261"/>
      <c r="BO87" s="261"/>
      <c r="BP87" s="261"/>
      <c r="BQ87" s="261"/>
      <c r="BR87" s="261"/>
      <c r="BS87" s="261"/>
      <c r="BT87" s="261"/>
      <c r="BU87" s="261"/>
      <c r="BV87" s="261"/>
      <c r="BW87" s="261"/>
      <c r="BX87" s="261"/>
      <c r="BY87" s="261"/>
      <c r="BZ87" s="261"/>
      <c r="CA87" s="261"/>
      <c r="CB87" s="261"/>
      <c r="CC87" s="261"/>
      <c r="CD87" s="261"/>
      <c r="CE87" s="261"/>
      <c r="CF87" s="261"/>
      <c r="CG87" s="261"/>
      <c r="CH87" s="261"/>
      <c r="CI87" s="261"/>
      <c r="CJ87" s="261"/>
      <c r="CK87" s="261"/>
      <c r="CL87" s="261"/>
      <c r="CM87" s="261"/>
      <c r="CN87" s="261"/>
      <c r="CO87" s="261"/>
      <c r="CP87" s="261"/>
      <c r="CQ87" s="261"/>
      <c r="CR87" s="261"/>
      <c r="CS87" s="261"/>
      <c r="CT87" s="261"/>
      <c r="CU87" s="261"/>
      <c r="CV87" s="261"/>
      <c r="CW87" s="261"/>
      <c r="CX87" s="261"/>
      <c r="CY87" s="261"/>
      <c r="CZ87" s="261"/>
      <c r="DA87" s="261"/>
      <c r="DB87" s="261"/>
      <c r="DC87" s="261"/>
      <c r="DD87" s="261"/>
      <c r="DE87" s="261"/>
      <c r="DF87" s="261"/>
      <c r="DG87" s="261"/>
      <c r="DH87" s="261"/>
      <c r="DI87" s="261"/>
      <c r="DJ87" s="261"/>
      <c r="DK87" s="261"/>
      <c r="DL87" s="261"/>
      <c r="DM87" s="261"/>
      <c r="DN87" s="261"/>
      <c r="DO87" s="261"/>
      <c r="DP87" s="261"/>
      <c r="DQ87" s="261"/>
      <c r="DR87" s="261"/>
      <c r="DS87" s="261"/>
      <c r="DT87" s="261"/>
      <c r="DU87" s="261"/>
      <c r="DV87" s="261"/>
      <c r="DW87" s="261"/>
      <c r="DX87" s="261"/>
      <c r="DY87" s="261"/>
      <c r="DZ87" s="261"/>
      <c r="EA87" s="261"/>
      <c r="EB87" s="261"/>
      <c r="EC87" s="261"/>
      <c r="ED87" s="261"/>
      <c r="EE87" s="261"/>
      <c r="EF87" s="261"/>
      <c r="EG87" s="261"/>
      <c r="EH87" s="261"/>
      <c r="EI87" s="261"/>
      <c r="EJ87" s="261"/>
      <c r="EK87" s="261"/>
      <c r="EL87" s="261"/>
      <c r="EM87" s="261"/>
      <c r="EN87" s="261"/>
      <c r="EO87" s="261"/>
      <c r="EP87" s="261"/>
      <c r="EQ87" s="261"/>
      <c r="ER87" s="261"/>
      <c r="ES87" s="261"/>
      <c r="ET87" s="261"/>
      <c r="EU87" s="261"/>
      <c r="EV87" s="261"/>
      <c r="EW87" s="261"/>
      <c r="EX87" s="261"/>
      <c r="EY87" s="261"/>
      <c r="EZ87" s="261"/>
      <c r="FA87" s="261"/>
      <c r="FB87" s="261"/>
      <c r="FC87" s="261"/>
      <c r="FD87" s="261"/>
      <c r="FE87" s="261"/>
      <c r="FF87" s="261"/>
      <c r="FG87" s="261"/>
      <c r="FH87" s="261"/>
      <c r="FI87" s="261"/>
      <c r="FJ87" s="261"/>
      <c r="FK87" s="261"/>
      <c r="FL87" s="261"/>
      <c r="FM87" s="261"/>
      <c r="FN87" s="261"/>
      <c r="FO87" s="261"/>
      <c r="FP87" s="261"/>
      <c r="FQ87" s="261"/>
      <c r="FR87" s="261"/>
      <c r="FS87" s="261"/>
      <c r="FT87" s="261"/>
      <c r="FU87" s="261"/>
      <c r="FV87" s="261"/>
      <c r="FW87" s="261"/>
      <c r="FX87" s="261"/>
      <c r="FY87" s="261"/>
      <c r="FZ87" s="261"/>
      <c r="GA87" s="261"/>
      <c r="GB87" s="261"/>
      <c r="GC87" s="261"/>
      <c r="GD87" s="261"/>
      <c r="GE87" s="261"/>
      <c r="GF87" s="261"/>
      <c r="GG87" s="261"/>
      <c r="GH87" s="261"/>
      <c r="GI87" s="261"/>
      <c r="GJ87" s="261"/>
      <c r="GK87" s="261"/>
      <c r="GL87" s="261"/>
      <c r="GM87" s="261"/>
      <c r="GN87" s="261"/>
      <c r="GO87" s="261"/>
      <c r="GP87" s="261"/>
      <c r="GQ87" s="261"/>
      <c r="GR87" s="261"/>
      <c r="GS87" s="261"/>
      <c r="GT87" s="261"/>
      <c r="GU87" s="261"/>
      <c r="GV87" s="261"/>
      <c r="GW87" s="261"/>
      <c r="GX87" s="261"/>
      <c r="GY87" s="261"/>
      <c r="GZ87" s="261"/>
      <c r="HA87" s="261"/>
      <c r="HB87" s="261"/>
      <c r="HC87" s="261"/>
      <c r="HD87" s="261"/>
      <c r="HE87" s="261"/>
      <c r="HF87" s="261"/>
      <c r="HG87" s="261"/>
      <c r="HH87" s="261"/>
      <c r="HI87" s="261"/>
      <c r="HJ87" s="261"/>
      <c r="HK87" s="261"/>
      <c r="HL87" s="261"/>
      <c r="HM87" s="261"/>
      <c r="HN87" s="261"/>
      <c r="HO87" s="261"/>
      <c r="HP87" s="261"/>
      <c r="HQ87" s="261"/>
      <c r="HR87" s="261"/>
      <c r="HS87" s="261"/>
      <c r="HT87" s="261"/>
      <c r="HU87" s="261"/>
      <c r="HV87" s="261"/>
      <c r="HW87" s="261"/>
      <c r="HX87" s="261"/>
      <c r="HY87" s="261"/>
    </row>
    <row r="88" spans="1:233" customFormat="1" ht="13" x14ac:dyDescent="0.3">
      <c r="A88" s="368"/>
      <c r="B88" s="39" t="s">
        <v>384</v>
      </c>
      <c r="C88" s="1427">
        <v>2000</v>
      </c>
      <c r="D88" s="277"/>
      <c r="E88" s="277"/>
      <c r="F88" s="277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94"/>
      <c r="U88" s="294"/>
      <c r="V88" s="294"/>
      <c r="W88" s="294"/>
      <c r="X88" s="294"/>
      <c r="Y88" s="294"/>
      <c r="Z88" s="294"/>
      <c r="AA88" s="294"/>
      <c r="AB88" s="294"/>
      <c r="AC88" s="277"/>
      <c r="AD88" s="277"/>
      <c r="AE88" s="277"/>
      <c r="AF88" s="277"/>
      <c r="AG88" s="277"/>
      <c r="AH88" s="277"/>
      <c r="AI88" s="277"/>
      <c r="AJ88" s="277"/>
      <c r="AK88" s="277"/>
      <c r="AL88" s="277"/>
      <c r="AM88" s="277"/>
      <c r="AN88" s="277"/>
      <c r="AO88" s="277"/>
      <c r="AP88" s="277"/>
      <c r="AQ88" s="277"/>
      <c r="AR88" s="277"/>
      <c r="AS88" s="277"/>
      <c r="AT88" s="277"/>
      <c r="AU88" s="277"/>
      <c r="AV88" s="277"/>
      <c r="AW88" s="277"/>
      <c r="AX88" s="277"/>
      <c r="AY88" s="277"/>
      <c r="AZ88" s="277"/>
      <c r="BA88" s="277"/>
      <c r="BB88" s="277"/>
      <c r="BC88" s="261"/>
      <c r="BD88" s="261"/>
      <c r="BE88" s="261"/>
      <c r="BF88" s="261"/>
      <c r="BG88" s="261"/>
      <c r="BH88" s="261"/>
      <c r="BI88" s="261"/>
      <c r="BJ88" s="261"/>
      <c r="BK88" s="261"/>
      <c r="BL88" s="261"/>
      <c r="BM88" s="261"/>
      <c r="BN88" s="261"/>
      <c r="BO88" s="261"/>
      <c r="BP88" s="261"/>
      <c r="BQ88" s="261"/>
      <c r="BR88" s="261"/>
      <c r="BS88" s="261"/>
      <c r="BT88" s="261"/>
      <c r="BU88" s="261"/>
      <c r="BV88" s="261"/>
      <c r="BW88" s="261"/>
      <c r="BX88" s="261"/>
      <c r="BY88" s="261"/>
      <c r="BZ88" s="261"/>
      <c r="CA88" s="261"/>
      <c r="CB88" s="261"/>
      <c r="CC88" s="261"/>
      <c r="CD88" s="261"/>
      <c r="CE88" s="261"/>
      <c r="CF88" s="261"/>
      <c r="CG88" s="261"/>
      <c r="CH88" s="261"/>
      <c r="CI88" s="261"/>
      <c r="CJ88" s="261"/>
      <c r="CK88" s="261"/>
      <c r="CL88" s="261"/>
      <c r="CM88" s="261"/>
      <c r="CN88" s="261"/>
      <c r="CO88" s="261"/>
      <c r="CP88" s="261"/>
      <c r="CQ88" s="261"/>
      <c r="CR88" s="261"/>
      <c r="CS88" s="261"/>
      <c r="CT88" s="261"/>
      <c r="CU88" s="261"/>
      <c r="CV88" s="261"/>
      <c r="CW88" s="261"/>
      <c r="CX88" s="261"/>
      <c r="CY88" s="261"/>
      <c r="CZ88" s="261"/>
      <c r="DA88" s="261"/>
      <c r="DB88" s="261"/>
      <c r="DC88" s="261"/>
      <c r="DD88" s="261"/>
      <c r="DE88" s="261"/>
      <c r="DF88" s="261"/>
      <c r="DG88" s="261"/>
      <c r="DH88" s="261"/>
      <c r="DI88" s="261"/>
      <c r="DJ88" s="261"/>
      <c r="DK88" s="261"/>
      <c r="DL88" s="261"/>
      <c r="DM88" s="261"/>
      <c r="DN88" s="261"/>
      <c r="DO88" s="261"/>
      <c r="DP88" s="261"/>
      <c r="DQ88" s="261"/>
      <c r="DR88" s="261"/>
      <c r="DS88" s="261"/>
      <c r="DT88" s="261"/>
      <c r="DU88" s="261"/>
      <c r="DV88" s="261"/>
      <c r="DW88" s="261"/>
      <c r="DX88" s="261"/>
      <c r="DY88" s="261"/>
      <c r="DZ88" s="261"/>
      <c r="EA88" s="261"/>
      <c r="EB88" s="261"/>
      <c r="EC88" s="261"/>
      <c r="ED88" s="261"/>
      <c r="EE88" s="261"/>
      <c r="EF88" s="261"/>
      <c r="EG88" s="261"/>
      <c r="EH88" s="261"/>
      <c r="EI88" s="261"/>
      <c r="EJ88" s="261"/>
      <c r="EK88" s="261"/>
      <c r="EL88" s="261"/>
      <c r="EM88" s="261"/>
      <c r="EN88" s="261"/>
      <c r="EO88" s="261"/>
      <c r="EP88" s="261"/>
      <c r="EQ88" s="261"/>
      <c r="ER88" s="261"/>
      <c r="ES88" s="261"/>
      <c r="ET88" s="261"/>
      <c r="EU88" s="261"/>
      <c r="EV88" s="261"/>
      <c r="EW88" s="261"/>
      <c r="EX88" s="261"/>
      <c r="EY88" s="261"/>
      <c r="EZ88" s="261"/>
      <c r="FA88" s="261"/>
      <c r="FB88" s="261"/>
      <c r="FC88" s="261"/>
      <c r="FD88" s="261"/>
      <c r="FE88" s="261"/>
      <c r="FF88" s="261"/>
      <c r="FG88" s="261"/>
      <c r="FH88" s="261"/>
      <c r="FI88" s="261"/>
      <c r="FJ88" s="261"/>
      <c r="FK88" s="261"/>
      <c r="FL88" s="261"/>
      <c r="FM88" s="261"/>
      <c r="FN88" s="261"/>
      <c r="FO88" s="261"/>
      <c r="FP88" s="261"/>
      <c r="FQ88" s="261"/>
      <c r="FR88" s="261"/>
      <c r="FS88" s="261"/>
      <c r="FT88" s="261"/>
      <c r="FU88" s="261"/>
      <c r="FV88" s="261"/>
      <c r="FW88" s="261"/>
      <c r="FX88" s="261"/>
      <c r="FY88" s="261"/>
      <c r="FZ88" s="261"/>
      <c r="GA88" s="261"/>
      <c r="GB88" s="261"/>
      <c r="GC88" s="261"/>
      <c r="GD88" s="261"/>
      <c r="GE88" s="261"/>
      <c r="GF88" s="261"/>
      <c r="GG88" s="261"/>
      <c r="GH88" s="261"/>
      <c r="GI88" s="261"/>
      <c r="GJ88" s="261"/>
      <c r="GK88" s="261"/>
      <c r="GL88" s="261"/>
      <c r="GM88" s="261"/>
      <c r="GN88" s="261"/>
      <c r="GO88" s="261"/>
      <c r="GP88" s="261"/>
      <c r="GQ88" s="261"/>
      <c r="GR88" s="261"/>
      <c r="GS88" s="261"/>
      <c r="GT88" s="261"/>
      <c r="GU88" s="261"/>
      <c r="GV88" s="261"/>
      <c r="GW88" s="261"/>
      <c r="GX88" s="261"/>
      <c r="GY88" s="261"/>
      <c r="GZ88" s="261"/>
      <c r="HA88" s="261"/>
      <c r="HB88" s="261"/>
      <c r="HC88" s="261"/>
      <c r="HD88" s="261"/>
      <c r="HE88" s="261"/>
      <c r="HF88" s="261"/>
      <c r="HG88" s="261"/>
      <c r="HH88" s="261"/>
      <c r="HI88" s="261"/>
      <c r="HJ88" s="261"/>
      <c r="HK88" s="261"/>
      <c r="HL88" s="261"/>
      <c r="HM88" s="261"/>
      <c r="HN88" s="261"/>
      <c r="HO88" s="261"/>
      <c r="HP88" s="261"/>
      <c r="HQ88" s="261"/>
      <c r="HR88" s="261"/>
      <c r="HS88" s="261"/>
      <c r="HT88" s="261"/>
      <c r="HU88" s="261"/>
      <c r="HV88" s="261"/>
      <c r="HW88" s="261"/>
      <c r="HX88" s="261"/>
      <c r="HY88" s="261"/>
    </row>
    <row r="89" spans="1:233" s="261" customFormat="1" ht="13.5" thickBot="1" x14ac:dyDescent="0.35">
      <c r="A89" s="368"/>
      <c r="B89" s="484"/>
      <c r="C89" s="485"/>
      <c r="D89" s="277"/>
      <c r="E89" s="277"/>
      <c r="F89" s="277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94"/>
      <c r="U89" s="294"/>
      <c r="V89" s="294"/>
      <c r="W89" s="294"/>
      <c r="X89" s="294"/>
      <c r="Y89" s="294"/>
      <c r="Z89" s="294"/>
      <c r="AA89" s="294"/>
      <c r="AB89" s="294"/>
      <c r="AC89" s="277"/>
      <c r="AD89" s="277"/>
      <c r="AE89" s="277"/>
      <c r="AF89" s="277"/>
      <c r="AG89" s="277"/>
      <c r="AH89" s="277"/>
      <c r="AI89" s="277"/>
      <c r="AJ89" s="277"/>
      <c r="AK89" s="277"/>
      <c r="AL89" s="277"/>
      <c r="AM89" s="277"/>
      <c r="AN89" s="277"/>
      <c r="AO89" s="277"/>
      <c r="AP89" s="277"/>
      <c r="AQ89" s="277"/>
      <c r="AR89" s="277"/>
      <c r="AS89" s="277"/>
      <c r="AT89" s="277"/>
      <c r="AU89" s="277"/>
      <c r="AV89" s="277"/>
      <c r="AW89" s="277"/>
      <c r="AX89" s="277"/>
      <c r="AY89" s="277"/>
      <c r="AZ89" s="277"/>
      <c r="BA89" s="277"/>
      <c r="BB89" s="277"/>
    </row>
    <row r="90" spans="1:233" s="261" customFormat="1" ht="12.75" customHeight="1" thickTop="1" x14ac:dyDescent="0.3">
      <c r="A90" s="368"/>
      <c r="B90" s="486" t="s">
        <v>385</v>
      </c>
      <c r="C90" s="1216"/>
      <c r="D90" s="277"/>
      <c r="E90" s="277"/>
      <c r="F90" s="277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94"/>
      <c r="U90" s="294"/>
      <c r="V90" s="294"/>
      <c r="W90" s="294"/>
      <c r="X90" s="294"/>
      <c r="Y90" s="294"/>
      <c r="Z90" s="294"/>
      <c r="AA90" s="294"/>
      <c r="AB90" s="294"/>
      <c r="AC90" s="277"/>
      <c r="AD90" s="277"/>
      <c r="AE90" s="277"/>
      <c r="AF90" s="277"/>
      <c r="AG90" s="277"/>
      <c r="AH90" s="277"/>
      <c r="AI90" s="277"/>
      <c r="AJ90" s="277"/>
      <c r="AK90" s="277"/>
      <c r="AL90" s="277"/>
      <c r="AM90" s="277"/>
      <c r="AN90" s="277"/>
      <c r="AO90" s="277"/>
      <c r="AP90" s="277"/>
      <c r="AQ90" s="277"/>
      <c r="AR90" s="277"/>
      <c r="AS90" s="277"/>
      <c r="AT90" s="277"/>
      <c r="AU90" s="277"/>
      <c r="AV90" s="277"/>
      <c r="AW90" s="277"/>
      <c r="AX90" s="277"/>
      <c r="AY90" s="277"/>
      <c r="AZ90" s="277"/>
      <c r="BA90" s="277"/>
      <c r="BB90" s="277"/>
    </row>
    <row r="91" spans="1:233" s="261" customFormat="1" ht="13" x14ac:dyDescent="0.3">
      <c r="A91" s="368"/>
      <c r="B91" s="39" t="s">
        <v>386</v>
      </c>
      <c r="C91" s="1217"/>
      <c r="D91" s="290"/>
      <c r="E91" s="277"/>
      <c r="F91" s="277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94"/>
      <c r="U91" s="294"/>
      <c r="V91" s="294"/>
      <c r="W91" s="294"/>
      <c r="X91" s="294"/>
      <c r="Y91" s="294"/>
      <c r="Z91" s="294"/>
      <c r="AA91" s="294"/>
      <c r="AB91" s="294"/>
      <c r="AC91" s="277"/>
      <c r="AD91" s="277"/>
      <c r="AE91" s="277"/>
      <c r="AF91" s="277"/>
      <c r="AG91" s="277"/>
      <c r="AH91" s="277"/>
      <c r="AI91" s="277"/>
      <c r="AJ91" s="277"/>
      <c r="AK91" s="277"/>
      <c r="AL91" s="277"/>
      <c r="AM91" s="277"/>
      <c r="AN91" s="277"/>
      <c r="AO91" s="277"/>
      <c r="AP91" s="277"/>
      <c r="AQ91" s="277"/>
      <c r="AR91" s="277"/>
      <c r="AS91" s="277"/>
      <c r="AT91" s="277"/>
      <c r="AU91" s="277"/>
      <c r="AV91" s="277"/>
      <c r="AW91" s="277"/>
      <c r="AX91" s="277"/>
      <c r="AY91" s="277"/>
      <c r="AZ91" s="277"/>
      <c r="BA91" s="277"/>
      <c r="BB91" s="277"/>
    </row>
    <row r="92" spans="1:233" customFormat="1" ht="13" x14ac:dyDescent="0.3">
      <c r="A92" s="368"/>
      <c r="B92" s="39" t="s">
        <v>387</v>
      </c>
      <c r="C92" s="1428">
        <v>0.1</v>
      </c>
      <c r="D92" s="277"/>
      <c r="E92" s="277"/>
      <c r="F92" s="277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94"/>
      <c r="U92" s="294"/>
      <c r="V92" s="294"/>
      <c r="W92" s="294"/>
      <c r="X92" s="294"/>
      <c r="Y92" s="294"/>
      <c r="Z92" s="294"/>
      <c r="AA92" s="294"/>
      <c r="AB92" s="294"/>
      <c r="AC92" s="277"/>
      <c r="AD92" s="277"/>
      <c r="AE92" s="277"/>
      <c r="AF92" s="277"/>
      <c r="AG92" s="277"/>
      <c r="AH92" s="277"/>
      <c r="AI92" s="277"/>
      <c r="AJ92" s="277"/>
      <c r="AK92" s="277"/>
      <c r="AL92" s="277"/>
      <c r="AM92" s="277"/>
      <c r="AN92" s="277"/>
      <c r="AO92" s="277"/>
      <c r="AP92" s="277"/>
      <c r="AQ92" s="277"/>
      <c r="AR92" s="277"/>
      <c r="AS92" s="277"/>
      <c r="AT92" s="277"/>
      <c r="AU92" s="277"/>
      <c r="AV92" s="277"/>
      <c r="AW92" s="277"/>
      <c r="AX92" s="277"/>
      <c r="AY92" s="277"/>
      <c r="AZ92" s="277"/>
      <c r="BA92" s="277"/>
      <c r="BB92" s="277"/>
      <c r="BC92" s="261"/>
      <c r="BD92" s="261"/>
      <c r="BE92" s="261"/>
      <c r="BF92" s="261"/>
      <c r="BG92" s="261"/>
      <c r="BH92" s="261"/>
      <c r="BI92" s="261"/>
      <c r="BJ92" s="261"/>
      <c r="BK92" s="261"/>
      <c r="BL92" s="261"/>
      <c r="BM92" s="261"/>
      <c r="BN92" s="261"/>
      <c r="BO92" s="261"/>
      <c r="BP92" s="261"/>
      <c r="BQ92" s="261"/>
      <c r="BR92" s="261"/>
      <c r="BS92" s="261"/>
      <c r="BT92" s="261"/>
      <c r="BU92" s="261"/>
      <c r="BV92" s="261"/>
      <c r="BW92" s="261"/>
      <c r="BX92" s="261"/>
      <c r="BY92" s="261"/>
      <c r="BZ92" s="261"/>
      <c r="CA92" s="261"/>
      <c r="CB92" s="261"/>
      <c r="CC92" s="261"/>
      <c r="CD92" s="261"/>
      <c r="CE92" s="261"/>
      <c r="CF92" s="261"/>
      <c r="CG92" s="261"/>
      <c r="CH92" s="261"/>
      <c r="CI92" s="261"/>
      <c r="CJ92" s="261"/>
      <c r="CK92" s="261"/>
      <c r="CL92" s="261"/>
      <c r="CM92" s="261"/>
      <c r="CN92" s="261"/>
      <c r="CO92" s="261"/>
      <c r="CP92" s="261"/>
      <c r="CQ92" s="261"/>
      <c r="CR92" s="261"/>
      <c r="CS92" s="261"/>
      <c r="CT92" s="261"/>
      <c r="CU92" s="261"/>
      <c r="CV92" s="261"/>
      <c r="CW92" s="261"/>
      <c r="CX92" s="261"/>
      <c r="CY92" s="261"/>
      <c r="CZ92" s="261"/>
      <c r="DA92" s="261"/>
      <c r="DB92" s="261"/>
      <c r="DC92" s="261"/>
      <c r="DD92" s="261"/>
      <c r="DE92" s="261"/>
      <c r="DF92" s="261"/>
      <c r="DG92" s="261"/>
      <c r="DH92" s="261"/>
      <c r="DI92" s="261"/>
      <c r="DJ92" s="261"/>
      <c r="DK92" s="261"/>
      <c r="DL92" s="261"/>
      <c r="DM92" s="261"/>
      <c r="DN92" s="261"/>
      <c r="DO92" s="261"/>
      <c r="DP92" s="261"/>
      <c r="DQ92" s="261"/>
      <c r="DR92" s="261"/>
      <c r="DS92" s="261"/>
      <c r="DT92" s="261"/>
      <c r="DU92" s="261"/>
      <c r="DV92" s="261"/>
      <c r="DW92" s="261"/>
      <c r="DX92" s="261"/>
      <c r="DY92" s="261"/>
      <c r="DZ92" s="261"/>
      <c r="EA92" s="261"/>
      <c r="EB92" s="261"/>
      <c r="EC92" s="261"/>
      <c r="ED92" s="261"/>
      <c r="EE92" s="261"/>
      <c r="EF92" s="261"/>
      <c r="EG92" s="261"/>
      <c r="EH92" s="261"/>
      <c r="EI92" s="261"/>
      <c r="EJ92" s="261"/>
      <c r="EK92" s="261"/>
      <c r="EL92" s="261"/>
      <c r="EM92" s="261"/>
      <c r="EN92" s="261"/>
      <c r="EO92" s="261"/>
      <c r="EP92" s="261"/>
      <c r="EQ92" s="261"/>
      <c r="ER92" s="261"/>
      <c r="ES92" s="261"/>
      <c r="ET92" s="261"/>
      <c r="EU92" s="261"/>
      <c r="EV92" s="261"/>
      <c r="EW92" s="261"/>
      <c r="EX92" s="261"/>
      <c r="EY92" s="261"/>
      <c r="EZ92" s="261"/>
      <c r="FA92" s="261"/>
      <c r="FB92" s="261"/>
      <c r="FC92" s="261"/>
      <c r="FD92" s="261"/>
      <c r="FE92" s="261"/>
      <c r="FF92" s="261"/>
      <c r="FG92" s="261"/>
      <c r="FH92" s="261"/>
      <c r="FI92" s="261"/>
      <c r="FJ92" s="261"/>
      <c r="FK92" s="261"/>
      <c r="FL92" s="261"/>
      <c r="FM92" s="261"/>
      <c r="FN92" s="261"/>
      <c r="FO92" s="261"/>
      <c r="FP92" s="261"/>
      <c r="FQ92" s="261"/>
      <c r="FR92" s="261"/>
      <c r="FS92" s="261"/>
      <c r="FT92" s="261"/>
      <c r="FU92" s="261"/>
      <c r="FV92" s="261"/>
      <c r="FW92" s="261"/>
      <c r="FX92" s="261"/>
      <c r="FY92" s="261"/>
      <c r="FZ92" s="261"/>
      <c r="GA92" s="261"/>
      <c r="GB92" s="261"/>
      <c r="GC92" s="261"/>
      <c r="GD92" s="261"/>
      <c r="GE92" s="261"/>
      <c r="GF92" s="261"/>
      <c r="GG92" s="261"/>
      <c r="GH92" s="261"/>
      <c r="GI92" s="261"/>
      <c r="GJ92" s="261"/>
      <c r="GK92" s="261"/>
      <c r="GL92" s="261"/>
      <c r="GM92" s="261"/>
      <c r="GN92" s="261"/>
      <c r="GO92" s="261"/>
      <c r="GP92" s="261"/>
      <c r="GQ92" s="261"/>
      <c r="GR92" s="261"/>
      <c r="GS92" s="261"/>
      <c r="GT92" s="261"/>
      <c r="GU92" s="261"/>
      <c r="GV92" s="261"/>
      <c r="GW92" s="261"/>
      <c r="GX92" s="261"/>
      <c r="GY92" s="261"/>
      <c r="GZ92" s="261"/>
      <c r="HA92" s="261"/>
      <c r="HB92" s="261"/>
      <c r="HC92" s="261"/>
      <c r="HD92" s="261"/>
      <c r="HE92" s="261"/>
      <c r="HF92" s="261"/>
      <c r="HG92" s="261"/>
      <c r="HH92" s="261"/>
      <c r="HI92" s="261"/>
      <c r="HJ92" s="261"/>
      <c r="HK92" s="261"/>
      <c r="HL92" s="261"/>
      <c r="HM92" s="261"/>
      <c r="HN92" s="261"/>
      <c r="HO92" s="261"/>
      <c r="HP92" s="261"/>
      <c r="HQ92" s="261"/>
      <c r="HR92" s="261"/>
      <c r="HS92" s="261"/>
      <c r="HT92" s="261"/>
      <c r="HU92" s="261"/>
      <c r="HV92" s="261"/>
      <c r="HW92" s="261"/>
      <c r="HX92" s="261"/>
      <c r="HY92" s="261"/>
    </row>
    <row r="93" spans="1:233" customFormat="1" ht="13.5" thickBot="1" x14ac:dyDescent="0.35">
      <c r="A93" s="368"/>
      <c r="B93" s="484"/>
      <c r="C93" s="487"/>
      <c r="D93" s="277"/>
      <c r="E93" s="277"/>
      <c r="F93" s="277"/>
      <c r="G93" s="277"/>
      <c r="H93" s="277"/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94"/>
      <c r="U93" s="294"/>
      <c r="V93" s="294"/>
      <c r="W93" s="294"/>
      <c r="X93" s="294"/>
      <c r="Y93" s="294"/>
      <c r="Z93" s="294"/>
      <c r="AA93" s="294"/>
      <c r="AB93" s="294"/>
      <c r="AC93" s="277"/>
      <c r="AD93" s="277"/>
      <c r="AE93" s="277"/>
      <c r="AF93" s="277"/>
      <c r="AG93" s="277"/>
      <c r="AH93" s="277"/>
      <c r="AI93" s="277"/>
      <c r="AJ93" s="277"/>
      <c r="AK93" s="277"/>
      <c r="AL93" s="277"/>
      <c r="AM93" s="277"/>
      <c r="AN93" s="277"/>
      <c r="AO93" s="277"/>
      <c r="AP93" s="277"/>
      <c r="AQ93" s="277"/>
      <c r="AR93" s="277"/>
      <c r="AS93" s="277"/>
      <c r="AT93" s="277"/>
      <c r="AU93" s="277"/>
      <c r="AV93" s="277"/>
      <c r="AW93" s="277"/>
      <c r="AX93" s="277"/>
      <c r="AY93" s="277"/>
      <c r="AZ93" s="277"/>
      <c r="BA93" s="277"/>
      <c r="BB93" s="277"/>
      <c r="BC93" s="261"/>
      <c r="BD93" s="261"/>
      <c r="BE93" s="261"/>
      <c r="BF93" s="261"/>
      <c r="BG93" s="261"/>
      <c r="BH93" s="261"/>
      <c r="BI93" s="261"/>
      <c r="BJ93" s="261"/>
      <c r="BK93" s="261"/>
      <c r="BL93" s="261"/>
      <c r="BM93" s="261"/>
      <c r="BN93" s="261"/>
      <c r="BO93" s="261"/>
      <c r="BP93" s="261"/>
      <c r="BQ93" s="261"/>
      <c r="BR93" s="261"/>
      <c r="BS93" s="261"/>
      <c r="BT93" s="261"/>
      <c r="BU93" s="261"/>
      <c r="BV93" s="261"/>
      <c r="BW93" s="261"/>
      <c r="BX93" s="261"/>
      <c r="BY93" s="261"/>
      <c r="BZ93" s="261"/>
      <c r="CA93" s="261"/>
      <c r="CB93" s="261"/>
      <c r="CC93" s="261"/>
      <c r="CD93" s="261"/>
      <c r="CE93" s="261"/>
      <c r="CF93" s="261"/>
      <c r="CG93" s="261"/>
      <c r="CH93" s="261"/>
      <c r="CI93" s="261"/>
      <c r="CJ93" s="261"/>
      <c r="CK93" s="261"/>
      <c r="CL93" s="261"/>
      <c r="CM93" s="261"/>
      <c r="CN93" s="261"/>
      <c r="CO93" s="261"/>
      <c r="CP93" s="261"/>
      <c r="CQ93" s="261"/>
      <c r="CR93" s="261"/>
      <c r="CS93" s="261"/>
      <c r="CT93" s="261"/>
      <c r="CU93" s="261"/>
      <c r="CV93" s="261"/>
      <c r="CW93" s="261"/>
      <c r="CX93" s="261"/>
      <c r="CY93" s="261"/>
      <c r="CZ93" s="261"/>
      <c r="DA93" s="261"/>
      <c r="DB93" s="261"/>
      <c r="DC93" s="261"/>
      <c r="DD93" s="261"/>
      <c r="DE93" s="261"/>
      <c r="DF93" s="261"/>
      <c r="DG93" s="261"/>
      <c r="DH93" s="261"/>
      <c r="DI93" s="261"/>
      <c r="DJ93" s="261"/>
      <c r="DK93" s="261"/>
      <c r="DL93" s="261"/>
      <c r="DM93" s="261"/>
      <c r="DN93" s="261"/>
      <c r="DO93" s="261"/>
      <c r="DP93" s="261"/>
      <c r="DQ93" s="261"/>
      <c r="DR93" s="261"/>
      <c r="DS93" s="261"/>
      <c r="DT93" s="261"/>
      <c r="DU93" s="261"/>
      <c r="DV93" s="261"/>
      <c r="DW93" s="261"/>
      <c r="DX93" s="261"/>
      <c r="DY93" s="261"/>
      <c r="DZ93" s="261"/>
      <c r="EA93" s="261"/>
      <c r="EB93" s="261"/>
      <c r="EC93" s="261"/>
      <c r="ED93" s="261"/>
      <c r="EE93" s="261"/>
      <c r="EF93" s="261"/>
      <c r="EG93" s="261"/>
      <c r="EH93" s="261"/>
      <c r="EI93" s="261"/>
      <c r="EJ93" s="261"/>
      <c r="EK93" s="261"/>
      <c r="EL93" s="261"/>
      <c r="EM93" s="261"/>
      <c r="EN93" s="261"/>
      <c r="EO93" s="261"/>
      <c r="EP93" s="261"/>
      <c r="EQ93" s="261"/>
      <c r="ER93" s="261"/>
      <c r="ES93" s="261"/>
      <c r="ET93" s="261"/>
      <c r="EU93" s="261"/>
      <c r="EV93" s="261"/>
      <c r="EW93" s="261"/>
      <c r="EX93" s="261"/>
      <c r="EY93" s="261"/>
      <c r="EZ93" s="261"/>
      <c r="FA93" s="261"/>
      <c r="FB93" s="261"/>
      <c r="FC93" s="261"/>
      <c r="FD93" s="261"/>
      <c r="FE93" s="261"/>
      <c r="FF93" s="261"/>
      <c r="FG93" s="261"/>
      <c r="FH93" s="261"/>
      <c r="FI93" s="261"/>
      <c r="FJ93" s="261"/>
      <c r="FK93" s="261"/>
      <c r="FL93" s="261"/>
      <c r="FM93" s="261"/>
      <c r="FN93" s="261"/>
      <c r="FO93" s="261"/>
      <c r="FP93" s="261"/>
      <c r="FQ93" s="261"/>
      <c r="FR93" s="261"/>
      <c r="FS93" s="261"/>
      <c r="FT93" s="261"/>
      <c r="FU93" s="261"/>
      <c r="FV93" s="261"/>
      <c r="FW93" s="261"/>
      <c r="FX93" s="261"/>
      <c r="FY93" s="261"/>
      <c r="FZ93" s="261"/>
      <c r="GA93" s="261"/>
      <c r="GB93" s="261"/>
      <c r="GC93" s="261"/>
      <c r="GD93" s="261"/>
      <c r="GE93" s="261"/>
      <c r="GF93" s="261"/>
      <c r="GG93" s="261"/>
      <c r="GH93" s="261"/>
      <c r="GI93" s="261"/>
      <c r="GJ93" s="261"/>
      <c r="GK93" s="261"/>
      <c r="GL93" s="261"/>
      <c r="GM93" s="261"/>
      <c r="GN93" s="261"/>
      <c r="GO93" s="261"/>
      <c r="GP93" s="261"/>
      <c r="GQ93" s="261"/>
      <c r="GR93" s="261"/>
      <c r="GS93" s="261"/>
      <c r="GT93" s="261"/>
      <c r="GU93" s="261"/>
      <c r="GV93" s="261"/>
      <c r="GW93" s="261"/>
      <c r="GX93" s="261"/>
      <c r="GY93" s="261"/>
      <c r="GZ93" s="261"/>
      <c r="HA93" s="261"/>
      <c r="HB93" s="261"/>
      <c r="HC93" s="261"/>
      <c r="HD93" s="261"/>
      <c r="HE93" s="261"/>
      <c r="HF93" s="261"/>
      <c r="HG93" s="261"/>
      <c r="HH93" s="261"/>
      <c r="HI93" s="261"/>
      <c r="HJ93" s="261"/>
      <c r="HK93" s="261"/>
      <c r="HL93" s="261"/>
      <c r="HM93" s="261"/>
      <c r="HN93" s="261"/>
      <c r="HO93" s="261"/>
      <c r="HP93" s="261"/>
      <c r="HQ93" s="261"/>
      <c r="HR93" s="261"/>
      <c r="HS93" s="261"/>
      <c r="HT93" s="261"/>
      <c r="HU93" s="261"/>
      <c r="HV93" s="261"/>
      <c r="HW93" s="261"/>
      <c r="HX93" s="261"/>
      <c r="HY93" s="261"/>
    </row>
    <row r="94" spans="1:233" s="261" customFormat="1" ht="13.5" hidden="1" thickTop="1" x14ac:dyDescent="0.3">
      <c r="A94" s="368"/>
      <c r="D94" s="277"/>
      <c r="E94" s="277"/>
      <c r="F94" s="277"/>
      <c r="G94" s="277"/>
      <c r="H94" s="277"/>
      <c r="I94" s="277"/>
      <c r="J94" s="277"/>
      <c r="K94" s="277"/>
      <c r="L94" s="277"/>
      <c r="M94" s="277"/>
      <c r="N94" s="277"/>
      <c r="O94" s="277"/>
      <c r="P94" s="277"/>
      <c r="Q94" s="277"/>
      <c r="R94" s="277"/>
      <c r="S94" s="277"/>
      <c r="T94" s="294"/>
      <c r="U94" s="294"/>
      <c r="V94" s="294"/>
      <c r="W94" s="294"/>
      <c r="X94" s="294"/>
      <c r="Y94" s="294"/>
      <c r="Z94" s="294"/>
      <c r="AA94" s="294"/>
      <c r="AB94" s="294"/>
      <c r="AC94" s="277"/>
      <c r="AD94" s="277"/>
      <c r="AE94" s="277"/>
      <c r="AF94" s="277"/>
      <c r="AG94" s="277"/>
      <c r="AH94" s="277"/>
      <c r="AI94" s="277"/>
      <c r="AJ94" s="277"/>
      <c r="AK94" s="277"/>
      <c r="AL94" s="277"/>
      <c r="AM94" s="277"/>
      <c r="AN94" s="277"/>
      <c r="AO94" s="277"/>
      <c r="AP94" s="277"/>
      <c r="AQ94" s="277"/>
      <c r="AR94" s="277"/>
      <c r="AS94" s="277"/>
      <c r="AT94" s="277"/>
      <c r="AU94" s="277"/>
      <c r="AV94" s="277"/>
      <c r="AW94" s="277"/>
      <c r="AX94" s="277"/>
      <c r="AY94" s="277"/>
      <c r="AZ94" s="277"/>
      <c r="BA94" s="277"/>
      <c r="BB94" s="277"/>
    </row>
    <row r="95" spans="1:233" s="261" customFormat="1" ht="13" hidden="1" x14ac:dyDescent="0.3">
      <c r="A95" s="368"/>
      <c r="B95" s="261" t="s">
        <v>280</v>
      </c>
      <c r="D95" s="277"/>
      <c r="E95" s="277"/>
      <c r="F95" s="277"/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94"/>
      <c r="U95" s="294"/>
      <c r="V95" s="294"/>
      <c r="W95" s="294"/>
      <c r="X95" s="294"/>
      <c r="Y95" s="294"/>
      <c r="Z95" s="294"/>
      <c r="AA95" s="294"/>
      <c r="AB95" s="294"/>
      <c r="AC95" s="277"/>
      <c r="AD95" s="277"/>
      <c r="AE95" s="277"/>
      <c r="AF95" s="277"/>
      <c r="AG95" s="277"/>
      <c r="AH95" s="277"/>
      <c r="AI95" s="277"/>
      <c r="AJ95" s="277"/>
      <c r="AK95" s="277"/>
      <c r="AL95" s="277"/>
      <c r="AM95" s="277"/>
      <c r="AN95" s="277"/>
      <c r="AO95" s="277"/>
      <c r="AP95" s="277"/>
      <c r="AQ95" s="277"/>
      <c r="AR95" s="277"/>
      <c r="AS95" s="277"/>
      <c r="AT95" s="277"/>
      <c r="AU95" s="277"/>
      <c r="AV95" s="277"/>
      <c r="AW95" s="277"/>
      <c r="AX95" s="277"/>
      <c r="AY95" s="277"/>
      <c r="AZ95" s="277"/>
      <c r="BA95" s="277"/>
      <c r="BB95" s="277"/>
    </row>
    <row r="96" spans="1:233" s="261" customFormat="1" ht="13" hidden="1" x14ac:dyDescent="0.3">
      <c r="A96" s="368"/>
      <c r="B96" s="261" t="s">
        <v>357</v>
      </c>
      <c r="D96" s="277"/>
      <c r="E96" s="277"/>
      <c r="F96" s="277"/>
      <c r="G96" s="277"/>
      <c r="H96" s="277"/>
      <c r="I96" s="277"/>
      <c r="J96" s="277"/>
      <c r="K96" s="277"/>
      <c r="L96" s="277"/>
      <c r="M96" s="277"/>
      <c r="N96" s="277"/>
      <c r="O96" s="277"/>
      <c r="P96" s="277"/>
      <c r="Q96" s="277"/>
      <c r="R96" s="277"/>
      <c r="S96" s="277"/>
      <c r="T96" s="294"/>
      <c r="U96" s="294"/>
      <c r="V96" s="294"/>
      <c r="W96" s="294"/>
      <c r="X96" s="294"/>
      <c r="Y96" s="294"/>
      <c r="Z96" s="294"/>
      <c r="AA96" s="294"/>
      <c r="AB96" s="294"/>
      <c r="AC96" s="277"/>
      <c r="AD96" s="277"/>
      <c r="AE96" s="277"/>
      <c r="AF96" s="277"/>
      <c r="AG96" s="277"/>
      <c r="AH96" s="277"/>
      <c r="AI96" s="277"/>
      <c r="AJ96" s="277"/>
      <c r="AK96" s="277"/>
      <c r="AL96" s="277"/>
      <c r="AM96" s="277"/>
      <c r="AN96" s="277"/>
      <c r="AO96" s="277"/>
      <c r="AP96" s="277"/>
      <c r="AQ96" s="277"/>
      <c r="AR96" s="277"/>
      <c r="AS96" s="277"/>
      <c r="AT96" s="277"/>
      <c r="AU96" s="277"/>
      <c r="AV96" s="277"/>
      <c r="AW96" s="277"/>
      <c r="AX96" s="277"/>
      <c r="AY96" s="277"/>
      <c r="AZ96" s="277"/>
      <c r="BA96" s="277"/>
      <c r="BB96" s="277"/>
    </row>
    <row r="97" spans="1:233" ht="14" thickTop="1" thickBot="1" x14ac:dyDescent="0.35">
      <c r="B97" s="294"/>
      <c r="C97" s="277"/>
      <c r="D97" s="277"/>
      <c r="E97" s="368"/>
      <c r="F97" s="368"/>
      <c r="G97" s="368"/>
      <c r="H97" s="364"/>
      <c r="I97" s="277"/>
      <c r="J97" s="277"/>
      <c r="K97" s="277"/>
      <c r="L97" s="277"/>
      <c r="M97" s="277"/>
      <c r="N97" s="277"/>
      <c r="O97" s="277"/>
      <c r="P97" s="277"/>
      <c r="Q97" s="277"/>
      <c r="R97" s="277"/>
      <c r="S97" s="277"/>
      <c r="T97" s="294"/>
      <c r="U97" s="294"/>
      <c r="V97" s="294"/>
      <c r="W97" s="294"/>
      <c r="X97" s="294"/>
      <c r="Y97" s="294"/>
      <c r="Z97" s="294"/>
      <c r="AA97" s="294"/>
      <c r="AB97" s="294"/>
      <c r="AC97" s="277"/>
      <c r="AD97" s="277"/>
      <c r="AE97" s="277"/>
      <c r="AF97" s="277"/>
      <c r="AG97" s="277"/>
      <c r="AH97" s="277"/>
      <c r="AI97" s="277"/>
      <c r="AJ97" s="277"/>
      <c r="AK97" s="277"/>
      <c r="AL97" s="277"/>
      <c r="AM97" s="277"/>
      <c r="AN97" s="277"/>
      <c r="AO97" s="277"/>
      <c r="AP97" s="277"/>
      <c r="AQ97" s="277"/>
      <c r="AR97" s="277"/>
      <c r="AS97" s="277"/>
      <c r="AT97" s="277"/>
      <c r="AU97" s="277"/>
      <c r="AV97" s="277"/>
      <c r="AW97" s="277"/>
      <c r="AX97" s="277"/>
      <c r="AY97" s="277"/>
      <c r="AZ97" s="277"/>
      <c r="BA97" s="277"/>
      <c r="BB97" s="277"/>
      <c r="BC97" s="277"/>
      <c r="BD97" s="277"/>
      <c r="BE97" s="277"/>
      <c r="BF97" s="277"/>
      <c r="BG97" s="277"/>
      <c r="BH97" s="277"/>
      <c r="BI97" s="277"/>
      <c r="BJ97" s="277"/>
      <c r="BK97" s="277"/>
      <c r="BL97" s="277"/>
      <c r="BM97" s="277"/>
      <c r="BN97" s="277"/>
      <c r="BO97" s="277"/>
      <c r="BP97" s="277"/>
      <c r="BQ97" s="277"/>
      <c r="BR97" s="277"/>
      <c r="BS97" s="277"/>
      <c r="BT97" s="277"/>
      <c r="BU97" s="277"/>
      <c r="BV97" s="277"/>
      <c r="BW97" s="277"/>
      <c r="BX97" s="277"/>
      <c r="BY97" s="277"/>
      <c r="BZ97" s="277"/>
      <c r="CA97" s="277"/>
      <c r="CB97" s="277"/>
      <c r="CC97" s="277"/>
      <c r="CD97" s="277"/>
      <c r="CE97" s="277"/>
      <c r="CF97" s="277"/>
      <c r="CG97" s="277"/>
      <c r="CH97" s="277"/>
      <c r="CI97" s="277"/>
      <c r="CJ97" s="277"/>
      <c r="CK97" s="277"/>
      <c r="CL97" s="277"/>
      <c r="CM97" s="277"/>
      <c r="CN97" s="277"/>
      <c r="CO97" s="277"/>
      <c r="CP97" s="277"/>
      <c r="CQ97" s="277"/>
      <c r="CR97" s="277"/>
      <c r="CS97" s="277"/>
      <c r="CT97" s="277"/>
      <c r="CU97" s="277"/>
      <c r="CV97" s="277"/>
      <c r="CW97" s="277"/>
      <c r="CX97" s="277"/>
      <c r="CY97" s="277"/>
      <c r="CZ97" s="277"/>
      <c r="DA97" s="277"/>
      <c r="DB97" s="277"/>
      <c r="DC97" s="277"/>
      <c r="DD97" s="277"/>
      <c r="DE97" s="277"/>
      <c r="DF97" s="277"/>
      <c r="DG97" s="277"/>
      <c r="DH97" s="277"/>
      <c r="DI97" s="277"/>
      <c r="DJ97" s="277"/>
      <c r="DK97" s="277"/>
      <c r="DL97" s="277"/>
      <c r="DM97" s="277"/>
      <c r="DN97" s="277"/>
      <c r="DO97" s="277"/>
      <c r="DP97" s="277"/>
      <c r="DQ97" s="277"/>
      <c r="DR97" s="277"/>
      <c r="DS97" s="277"/>
      <c r="DT97" s="277"/>
      <c r="DU97" s="277"/>
      <c r="DV97" s="277"/>
      <c r="DW97" s="277"/>
      <c r="DX97" s="277"/>
      <c r="DY97" s="277"/>
      <c r="DZ97" s="277"/>
      <c r="EA97" s="277"/>
      <c r="EB97" s="277"/>
      <c r="EC97" s="277"/>
      <c r="ED97" s="277"/>
      <c r="EE97" s="277"/>
      <c r="EF97" s="277"/>
      <c r="EG97" s="277"/>
      <c r="EH97" s="277"/>
      <c r="EI97" s="277"/>
      <c r="EJ97" s="277"/>
      <c r="EK97" s="277"/>
      <c r="EL97" s="277"/>
      <c r="EM97" s="277"/>
      <c r="EN97" s="277"/>
      <c r="EO97" s="277"/>
      <c r="EP97" s="277"/>
      <c r="EQ97" s="277"/>
      <c r="ER97" s="277"/>
      <c r="ES97" s="277"/>
      <c r="ET97" s="277"/>
      <c r="EU97" s="277"/>
      <c r="EV97" s="277"/>
      <c r="EW97" s="277"/>
      <c r="EX97" s="277"/>
      <c r="EY97" s="277"/>
      <c r="EZ97" s="277"/>
      <c r="FA97" s="277"/>
      <c r="FB97" s="277"/>
      <c r="FC97" s="277"/>
      <c r="FD97" s="277"/>
      <c r="FE97" s="277"/>
      <c r="FF97" s="277"/>
      <c r="FG97" s="277"/>
      <c r="FH97" s="277"/>
      <c r="FI97" s="277"/>
      <c r="FJ97" s="277"/>
      <c r="FK97" s="277"/>
      <c r="FL97" s="277"/>
      <c r="FM97" s="277"/>
      <c r="FN97" s="277"/>
      <c r="FO97" s="277"/>
      <c r="FP97" s="277"/>
      <c r="FQ97" s="277"/>
      <c r="FR97" s="277"/>
      <c r="FS97" s="277"/>
      <c r="FT97" s="277"/>
      <c r="FU97" s="277"/>
      <c r="FV97" s="277"/>
      <c r="FW97" s="277"/>
      <c r="FX97" s="277"/>
      <c r="FY97" s="277"/>
      <c r="FZ97" s="277"/>
      <c r="GA97" s="277"/>
      <c r="GB97" s="277"/>
      <c r="GC97" s="277"/>
      <c r="GD97" s="277"/>
      <c r="GE97" s="277"/>
      <c r="GF97" s="277"/>
      <c r="GG97" s="277"/>
      <c r="GH97" s="277"/>
      <c r="GI97" s="277"/>
      <c r="GJ97" s="277"/>
      <c r="GK97" s="277"/>
      <c r="GL97" s="277"/>
      <c r="GM97" s="277"/>
      <c r="GN97" s="277"/>
      <c r="GO97" s="277"/>
      <c r="GP97" s="277"/>
      <c r="GQ97" s="277"/>
      <c r="GR97" s="277"/>
      <c r="GS97" s="277"/>
      <c r="GT97" s="277"/>
      <c r="GU97" s="277"/>
      <c r="GV97" s="277"/>
      <c r="GW97" s="277"/>
      <c r="GX97" s="277"/>
      <c r="GY97" s="277"/>
      <c r="GZ97" s="277"/>
      <c r="HA97" s="277"/>
      <c r="HB97" s="277"/>
      <c r="HC97" s="277"/>
      <c r="HD97" s="277"/>
      <c r="HE97" s="277"/>
      <c r="HF97" s="277"/>
      <c r="HG97" s="277"/>
      <c r="HH97" s="277"/>
      <c r="HI97" s="277"/>
      <c r="HJ97" s="277"/>
      <c r="HK97" s="277"/>
      <c r="HL97" s="277"/>
      <c r="HM97" s="277"/>
      <c r="HN97" s="277"/>
      <c r="HO97" s="277"/>
      <c r="HP97" s="277"/>
      <c r="HQ97" s="277"/>
      <c r="HR97" s="277"/>
      <c r="HS97" s="277"/>
      <c r="HT97" s="277"/>
      <c r="HU97" s="277"/>
      <c r="HV97" s="277"/>
      <c r="HW97" s="277"/>
      <c r="HX97" s="277"/>
      <c r="HY97" s="277"/>
    </row>
    <row r="98" spans="1:233" customFormat="1" ht="21" thickTop="1" thickBot="1" x14ac:dyDescent="0.45">
      <c r="A98" s="368"/>
      <c r="B98" s="1864" t="s">
        <v>330</v>
      </c>
      <c r="C98" s="1801"/>
      <c r="D98" s="1801"/>
      <c r="E98" s="1801"/>
      <c r="F98" s="1802"/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  <c r="R98" s="277"/>
      <c r="S98" s="277"/>
      <c r="T98" s="294"/>
      <c r="U98" s="294"/>
      <c r="V98" s="294"/>
      <c r="W98" s="294"/>
      <c r="X98" s="294"/>
      <c r="Y98" s="294"/>
      <c r="Z98" s="294"/>
      <c r="AA98" s="294"/>
      <c r="AB98" s="294"/>
      <c r="AC98" s="277"/>
      <c r="AD98" s="277"/>
      <c r="AE98" s="277"/>
      <c r="AF98" s="277"/>
      <c r="AG98" s="277"/>
      <c r="AH98" s="277"/>
      <c r="AI98" s="277"/>
      <c r="AJ98" s="277"/>
      <c r="AK98" s="277"/>
      <c r="AL98" s="277"/>
      <c r="AM98" s="277"/>
      <c r="AN98" s="277"/>
      <c r="AO98" s="277"/>
      <c r="AP98" s="277"/>
      <c r="AQ98" s="277"/>
      <c r="AR98" s="277"/>
      <c r="AS98" s="277"/>
      <c r="AT98" s="277"/>
      <c r="AU98" s="277"/>
      <c r="AV98" s="277"/>
      <c r="AW98" s="277"/>
      <c r="AX98" s="277"/>
      <c r="AY98" s="277"/>
      <c r="AZ98" s="277"/>
      <c r="BA98" s="277"/>
      <c r="BB98" s="277"/>
      <c r="BC98" s="261"/>
      <c r="BD98" s="261"/>
      <c r="BE98" s="261"/>
      <c r="BF98" s="261"/>
      <c r="BG98" s="261"/>
      <c r="BH98" s="261"/>
      <c r="BI98" s="261"/>
      <c r="BJ98" s="261"/>
      <c r="BK98" s="261"/>
      <c r="BL98" s="261"/>
      <c r="BM98" s="261"/>
      <c r="BN98" s="261"/>
      <c r="BO98" s="261"/>
      <c r="BP98" s="261"/>
      <c r="BQ98" s="261"/>
      <c r="BR98" s="261"/>
      <c r="BS98" s="261"/>
      <c r="BT98" s="261"/>
      <c r="BU98" s="261"/>
      <c r="BV98" s="261"/>
      <c r="BW98" s="261"/>
      <c r="BX98" s="261"/>
      <c r="BY98" s="261"/>
      <c r="BZ98" s="261"/>
      <c r="CA98" s="261"/>
      <c r="CB98" s="261"/>
      <c r="CC98" s="261"/>
      <c r="CD98" s="261"/>
      <c r="CE98" s="261"/>
      <c r="CF98" s="261"/>
      <c r="CG98" s="261"/>
      <c r="CH98" s="261"/>
      <c r="CI98" s="261"/>
      <c r="CJ98" s="261"/>
      <c r="CK98" s="261"/>
      <c r="CL98" s="261"/>
      <c r="CM98" s="261"/>
      <c r="CN98" s="261"/>
      <c r="CO98" s="261"/>
      <c r="CP98" s="261"/>
      <c r="CQ98" s="261"/>
      <c r="CR98" s="261"/>
      <c r="CS98" s="261"/>
      <c r="CT98" s="261"/>
      <c r="CU98" s="261"/>
      <c r="CV98" s="261"/>
      <c r="CW98" s="261"/>
      <c r="CX98" s="261"/>
      <c r="CY98" s="261"/>
      <c r="CZ98" s="261"/>
      <c r="DA98" s="261"/>
      <c r="DB98" s="261"/>
      <c r="DC98" s="261"/>
      <c r="DD98" s="261"/>
      <c r="DE98" s="261"/>
      <c r="DF98" s="261"/>
      <c r="DG98" s="261"/>
      <c r="DH98" s="261"/>
      <c r="DI98" s="261"/>
      <c r="DJ98" s="261"/>
      <c r="DK98" s="261"/>
      <c r="DL98" s="261"/>
      <c r="DM98" s="261"/>
      <c r="DN98" s="261"/>
      <c r="DO98" s="261"/>
      <c r="DP98" s="261"/>
      <c r="DQ98" s="261"/>
      <c r="DR98" s="261"/>
      <c r="DS98" s="261"/>
      <c r="DT98" s="261"/>
      <c r="DU98" s="261"/>
      <c r="DV98" s="261"/>
      <c r="DW98" s="261"/>
      <c r="DX98" s="261"/>
      <c r="DY98" s="261"/>
      <c r="DZ98" s="261"/>
      <c r="EA98" s="261"/>
      <c r="EB98" s="261"/>
      <c r="EC98" s="261"/>
      <c r="ED98" s="261"/>
      <c r="EE98" s="261"/>
      <c r="EF98" s="261"/>
      <c r="EG98" s="261"/>
      <c r="EH98" s="261"/>
      <c r="EI98" s="261"/>
      <c r="EJ98" s="261"/>
      <c r="EK98" s="261"/>
      <c r="EL98" s="261"/>
      <c r="EM98" s="261"/>
      <c r="EN98" s="261"/>
      <c r="EO98" s="261"/>
      <c r="EP98" s="261"/>
      <c r="EQ98" s="261"/>
      <c r="ER98" s="261"/>
      <c r="ES98" s="261"/>
      <c r="ET98" s="261"/>
      <c r="EU98" s="261"/>
      <c r="EV98" s="261"/>
      <c r="EW98" s="261"/>
      <c r="EX98" s="261"/>
      <c r="EY98" s="261"/>
      <c r="EZ98" s="261"/>
      <c r="FA98" s="261"/>
      <c r="FB98" s="261"/>
      <c r="FC98" s="261"/>
      <c r="FD98" s="261"/>
      <c r="FE98" s="261"/>
      <c r="FF98" s="261"/>
      <c r="FG98" s="261"/>
      <c r="FH98" s="261"/>
      <c r="FI98" s="261"/>
      <c r="FJ98" s="261"/>
      <c r="FK98" s="261"/>
      <c r="FL98" s="261"/>
      <c r="FM98" s="261"/>
      <c r="FN98" s="261"/>
      <c r="FO98" s="261"/>
      <c r="FP98" s="261"/>
      <c r="FQ98" s="261"/>
      <c r="FR98" s="261"/>
      <c r="FS98" s="261"/>
      <c r="FT98" s="261"/>
      <c r="FU98" s="261"/>
      <c r="FV98" s="261"/>
      <c r="FW98" s="261"/>
      <c r="FX98" s="261"/>
      <c r="FY98" s="261"/>
      <c r="FZ98" s="261"/>
      <c r="GA98" s="261"/>
      <c r="GB98" s="261"/>
      <c r="GC98" s="261"/>
      <c r="GD98" s="261"/>
      <c r="GE98" s="261"/>
      <c r="GF98" s="261"/>
      <c r="GG98" s="261"/>
      <c r="GH98" s="261"/>
      <c r="GI98" s="261"/>
      <c r="GJ98" s="261"/>
      <c r="GK98" s="261"/>
      <c r="GL98" s="261"/>
      <c r="GM98" s="261"/>
      <c r="GN98" s="261"/>
      <c r="GO98" s="261"/>
      <c r="GP98" s="261"/>
      <c r="GQ98" s="261"/>
      <c r="GR98" s="261"/>
      <c r="GS98" s="261"/>
      <c r="GT98" s="261"/>
      <c r="GU98" s="261"/>
      <c r="GV98" s="261"/>
      <c r="GW98" s="261"/>
      <c r="GX98" s="261"/>
      <c r="GY98" s="261"/>
      <c r="GZ98" s="261"/>
      <c r="HA98" s="261"/>
      <c r="HB98" s="261"/>
      <c r="HC98" s="261"/>
      <c r="HD98" s="261"/>
      <c r="HE98" s="261"/>
      <c r="HF98" s="261"/>
      <c r="HG98" s="261"/>
      <c r="HH98" s="261"/>
      <c r="HI98" s="261"/>
      <c r="HJ98" s="261"/>
      <c r="HK98" s="261"/>
      <c r="HL98" s="261"/>
      <c r="HM98" s="261"/>
      <c r="HN98" s="261"/>
      <c r="HO98" s="261"/>
      <c r="HP98" s="261"/>
      <c r="HQ98" s="261"/>
      <c r="HR98" s="261"/>
      <c r="HS98" s="261"/>
      <c r="HT98" s="261"/>
      <c r="HU98" s="261"/>
      <c r="HV98" s="261"/>
      <c r="HW98" s="261"/>
      <c r="HX98" s="261"/>
      <c r="HY98" s="261"/>
    </row>
    <row r="99" spans="1:233" customFormat="1" ht="13.5" thickBot="1" x14ac:dyDescent="0.35">
      <c r="A99" s="368"/>
      <c r="B99" s="79"/>
      <c r="C99" s="230" t="s">
        <v>612</v>
      </c>
      <c r="D99" s="944" t="s">
        <v>613</v>
      </c>
      <c r="E99" s="945" t="s">
        <v>614</v>
      </c>
      <c r="F99" s="946" t="s">
        <v>615</v>
      </c>
      <c r="G99" s="290"/>
      <c r="H99" s="277"/>
      <c r="I99" s="277"/>
      <c r="J99" s="277"/>
      <c r="K99" s="277"/>
      <c r="L99" s="277"/>
      <c r="M99" s="277"/>
      <c r="N99" s="277"/>
      <c r="O99" s="277"/>
      <c r="P99" s="277"/>
      <c r="Q99" s="277"/>
      <c r="R99" s="277"/>
      <c r="S99" s="277"/>
      <c r="T99" s="294"/>
      <c r="U99" s="294"/>
      <c r="V99" s="294"/>
      <c r="W99" s="294"/>
      <c r="X99" s="294"/>
      <c r="Y99" s="294"/>
      <c r="Z99" s="294"/>
      <c r="AA99" s="294"/>
      <c r="AB99" s="294"/>
      <c r="AC99" s="277"/>
      <c r="AD99" s="277"/>
      <c r="AE99" s="277"/>
      <c r="AF99" s="277"/>
      <c r="AG99" s="277"/>
      <c r="AH99" s="277"/>
      <c r="AI99" s="277"/>
      <c r="AJ99" s="277"/>
      <c r="AK99" s="277"/>
      <c r="AL99" s="277"/>
      <c r="AM99" s="277"/>
      <c r="AN99" s="277"/>
      <c r="AO99" s="277"/>
      <c r="AP99" s="277"/>
      <c r="AQ99" s="277"/>
      <c r="AR99" s="277"/>
      <c r="AS99" s="277"/>
      <c r="AT99" s="277"/>
      <c r="AU99" s="277"/>
      <c r="AV99" s="277"/>
      <c r="AW99" s="277"/>
      <c r="AX99" s="277"/>
      <c r="AY99" s="277"/>
      <c r="AZ99" s="277"/>
      <c r="BA99" s="277"/>
      <c r="BB99" s="277"/>
      <c r="BC99" s="261"/>
      <c r="BD99" s="261"/>
      <c r="BE99" s="261"/>
      <c r="BF99" s="261"/>
      <c r="BG99" s="261"/>
      <c r="BH99" s="261"/>
      <c r="BI99" s="261"/>
      <c r="BJ99" s="261"/>
      <c r="BK99" s="261"/>
      <c r="BL99" s="261"/>
      <c r="BM99" s="261"/>
      <c r="BN99" s="261"/>
      <c r="BO99" s="261"/>
      <c r="BP99" s="261"/>
      <c r="BQ99" s="261"/>
      <c r="BR99" s="261"/>
      <c r="BS99" s="261"/>
      <c r="BT99" s="261"/>
      <c r="BU99" s="261"/>
      <c r="BV99" s="261"/>
      <c r="BW99" s="261"/>
      <c r="BX99" s="261"/>
      <c r="BY99" s="261"/>
      <c r="BZ99" s="261"/>
      <c r="CA99" s="261"/>
      <c r="CB99" s="261"/>
      <c r="CC99" s="261"/>
      <c r="CD99" s="261"/>
      <c r="CE99" s="261"/>
      <c r="CF99" s="261"/>
      <c r="CG99" s="261"/>
      <c r="CH99" s="261"/>
      <c r="CI99" s="261"/>
      <c r="CJ99" s="261"/>
      <c r="CK99" s="261"/>
      <c r="CL99" s="261"/>
      <c r="CM99" s="261"/>
      <c r="CN99" s="261"/>
      <c r="CO99" s="261"/>
      <c r="CP99" s="261"/>
      <c r="CQ99" s="261"/>
      <c r="CR99" s="261"/>
      <c r="CS99" s="261"/>
      <c r="CT99" s="261"/>
      <c r="CU99" s="261"/>
      <c r="CV99" s="261"/>
      <c r="CW99" s="261"/>
      <c r="CX99" s="261"/>
      <c r="CY99" s="261"/>
      <c r="CZ99" s="261"/>
      <c r="DA99" s="261"/>
      <c r="DB99" s="261"/>
      <c r="DC99" s="261"/>
      <c r="DD99" s="261"/>
      <c r="DE99" s="261"/>
      <c r="DF99" s="261"/>
      <c r="DG99" s="261"/>
      <c r="DH99" s="261"/>
      <c r="DI99" s="261"/>
      <c r="DJ99" s="261"/>
      <c r="DK99" s="261"/>
      <c r="DL99" s="261"/>
      <c r="DM99" s="261"/>
      <c r="DN99" s="261"/>
      <c r="DO99" s="261"/>
      <c r="DP99" s="261"/>
      <c r="DQ99" s="261"/>
      <c r="DR99" s="261"/>
      <c r="DS99" s="261"/>
      <c r="DT99" s="261"/>
      <c r="DU99" s="261"/>
      <c r="DV99" s="261"/>
      <c r="DW99" s="261"/>
      <c r="DX99" s="261"/>
      <c r="DY99" s="261"/>
      <c r="DZ99" s="261"/>
      <c r="EA99" s="261"/>
      <c r="EB99" s="261"/>
      <c r="EC99" s="261"/>
      <c r="ED99" s="261"/>
      <c r="EE99" s="261"/>
      <c r="EF99" s="261"/>
      <c r="EG99" s="261"/>
      <c r="EH99" s="261"/>
      <c r="EI99" s="261"/>
      <c r="EJ99" s="261"/>
      <c r="EK99" s="261"/>
      <c r="EL99" s="261"/>
      <c r="EM99" s="261"/>
      <c r="EN99" s="261"/>
      <c r="EO99" s="261"/>
      <c r="EP99" s="261"/>
      <c r="EQ99" s="261"/>
      <c r="ER99" s="261"/>
      <c r="ES99" s="261"/>
      <c r="ET99" s="261"/>
      <c r="EU99" s="261"/>
      <c r="EV99" s="261"/>
      <c r="EW99" s="261"/>
      <c r="EX99" s="261"/>
      <c r="EY99" s="261"/>
      <c r="EZ99" s="261"/>
      <c r="FA99" s="261"/>
      <c r="FB99" s="261"/>
      <c r="FC99" s="261"/>
      <c r="FD99" s="261"/>
      <c r="FE99" s="261"/>
      <c r="FF99" s="261"/>
      <c r="FG99" s="261"/>
      <c r="FH99" s="261"/>
      <c r="FI99" s="261"/>
      <c r="FJ99" s="261"/>
      <c r="FK99" s="261"/>
      <c r="FL99" s="261"/>
      <c r="FM99" s="261"/>
      <c r="FN99" s="261"/>
      <c r="FO99" s="261"/>
      <c r="FP99" s="261"/>
      <c r="FQ99" s="261"/>
      <c r="FR99" s="261"/>
      <c r="FS99" s="261"/>
      <c r="FT99" s="261"/>
      <c r="FU99" s="261"/>
      <c r="FV99" s="261"/>
      <c r="FW99" s="261"/>
      <c r="FX99" s="261"/>
      <c r="FY99" s="261"/>
      <c r="FZ99" s="261"/>
      <c r="GA99" s="261"/>
      <c r="GB99" s="261"/>
      <c r="GC99" s="261"/>
      <c r="GD99" s="261"/>
      <c r="GE99" s="261"/>
      <c r="GF99" s="261"/>
      <c r="GG99" s="261"/>
      <c r="GH99" s="261"/>
      <c r="GI99" s="261"/>
      <c r="GJ99" s="261"/>
      <c r="GK99" s="261"/>
      <c r="GL99" s="261"/>
      <c r="GM99" s="261"/>
      <c r="GN99" s="261"/>
      <c r="GO99" s="261"/>
      <c r="GP99" s="261"/>
      <c r="GQ99" s="261"/>
      <c r="GR99" s="261"/>
      <c r="GS99" s="261"/>
      <c r="GT99" s="261"/>
      <c r="GU99" s="261"/>
      <c r="GV99" s="261"/>
      <c r="GW99" s="261"/>
      <c r="GX99" s="261"/>
      <c r="GY99" s="261"/>
      <c r="GZ99" s="261"/>
      <c r="HA99" s="261"/>
      <c r="HB99" s="261"/>
      <c r="HC99" s="261"/>
      <c r="HD99" s="261"/>
      <c r="HE99" s="261"/>
      <c r="HF99" s="261"/>
      <c r="HG99" s="261"/>
      <c r="HH99" s="261"/>
      <c r="HI99" s="261"/>
      <c r="HJ99" s="261"/>
      <c r="HK99" s="261"/>
      <c r="HL99" s="261"/>
      <c r="HM99" s="261"/>
      <c r="HN99" s="261"/>
      <c r="HO99" s="261"/>
      <c r="HP99" s="261"/>
      <c r="HQ99" s="261"/>
      <c r="HR99" s="261"/>
      <c r="HS99" s="261"/>
      <c r="HT99" s="261"/>
      <c r="HU99" s="261"/>
      <c r="HV99" s="261"/>
      <c r="HW99" s="261"/>
      <c r="HX99" s="261"/>
      <c r="HY99" s="261"/>
    </row>
    <row r="100" spans="1:233" customFormat="1" ht="13" x14ac:dyDescent="0.3">
      <c r="A100" s="368"/>
      <c r="B100" s="32" t="s">
        <v>331</v>
      </c>
      <c r="C100" s="1218">
        <f>'Existing Management Practices'!C149</f>
        <v>0</v>
      </c>
      <c r="D100" s="1218">
        <f>'Existing Management Practices'!D149</f>
        <v>0</v>
      </c>
      <c r="E100" s="1218">
        <f>'Existing Management Practices'!E149</f>
        <v>0</v>
      </c>
      <c r="F100" s="1219">
        <f>'Existing Management Practices'!F149</f>
        <v>0</v>
      </c>
      <c r="G100" s="290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94"/>
      <c r="U100" s="294"/>
      <c r="V100" s="294"/>
      <c r="W100" s="294"/>
      <c r="X100" s="294"/>
      <c r="Y100" s="294"/>
      <c r="Z100" s="294"/>
      <c r="AA100" s="294"/>
      <c r="AB100" s="294"/>
      <c r="AC100" s="277"/>
      <c r="AD100" s="277"/>
      <c r="AE100" s="277"/>
      <c r="AF100" s="277"/>
      <c r="AG100" s="277"/>
      <c r="AH100" s="277"/>
      <c r="AI100" s="277"/>
      <c r="AJ100" s="277"/>
      <c r="AK100" s="277"/>
      <c r="AL100" s="277"/>
      <c r="AM100" s="277"/>
      <c r="AN100" s="277"/>
      <c r="AO100" s="277"/>
      <c r="AP100" s="277"/>
      <c r="AQ100" s="277"/>
      <c r="AR100" s="277"/>
      <c r="AS100" s="277"/>
      <c r="AT100" s="277"/>
      <c r="AU100" s="277"/>
      <c r="AV100" s="277"/>
      <c r="AW100" s="277"/>
      <c r="AX100" s="277"/>
      <c r="AY100" s="277"/>
      <c r="AZ100" s="277"/>
      <c r="BA100" s="277"/>
      <c r="BB100" s="277"/>
      <c r="BC100" s="261"/>
      <c r="BD100" s="261"/>
      <c r="BE100" s="261"/>
      <c r="BF100" s="261"/>
      <c r="BG100" s="261"/>
      <c r="BH100" s="261"/>
      <c r="BI100" s="261"/>
      <c r="BJ100" s="261"/>
      <c r="BK100" s="261"/>
      <c r="BL100" s="261"/>
      <c r="BM100" s="261"/>
      <c r="BN100" s="261"/>
      <c r="BO100" s="261"/>
      <c r="BP100" s="261"/>
      <c r="BQ100" s="261"/>
      <c r="BR100" s="261"/>
      <c r="BS100" s="261"/>
      <c r="BT100" s="261"/>
      <c r="BU100" s="261"/>
      <c r="BV100" s="261"/>
      <c r="BW100" s="261"/>
      <c r="BX100" s="261"/>
      <c r="BY100" s="261"/>
      <c r="BZ100" s="261"/>
      <c r="CA100" s="261"/>
      <c r="CB100" s="261"/>
      <c r="CC100" s="261"/>
      <c r="CD100" s="261"/>
      <c r="CE100" s="261"/>
      <c r="CF100" s="261"/>
      <c r="CG100" s="261"/>
      <c r="CH100" s="261"/>
      <c r="CI100" s="261"/>
      <c r="CJ100" s="261"/>
      <c r="CK100" s="261"/>
      <c r="CL100" s="261"/>
      <c r="CM100" s="261"/>
      <c r="CN100" s="261"/>
      <c r="CO100" s="261"/>
      <c r="CP100" s="261"/>
      <c r="CQ100" s="261"/>
      <c r="CR100" s="261"/>
      <c r="CS100" s="261"/>
      <c r="CT100" s="261"/>
      <c r="CU100" s="261"/>
      <c r="CV100" s="261"/>
      <c r="CW100" s="261"/>
      <c r="CX100" s="261"/>
      <c r="CY100" s="261"/>
      <c r="CZ100" s="261"/>
      <c r="DA100" s="261"/>
      <c r="DB100" s="261"/>
      <c r="DC100" s="261"/>
      <c r="DD100" s="261"/>
      <c r="DE100" s="261"/>
      <c r="DF100" s="261"/>
      <c r="DG100" s="261"/>
      <c r="DH100" s="261"/>
      <c r="DI100" s="261"/>
      <c r="DJ100" s="261"/>
      <c r="DK100" s="261"/>
      <c r="DL100" s="261"/>
      <c r="DM100" s="261"/>
      <c r="DN100" s="261"/>
      <c r="DO100" s="261"/>
      <c r="DP100" s="261"/>
      <c r="DQ100" s="261"/>
      <c r="DR100" s="261"/>
      <c r="DS100" s="261"/>
      <c r="DT100" s="261"/>
      <c r="DU100" s="261"/>
      <c r="DV100" s="261"/>
      <c r="DW100" s="261"/>
      <c r="DX100" s="261"/>
      <c r="DY100" s="261"/>
      <c r="DZ100" s="261"/>
      <c r="EA100" s="261"/>
      <c r="EB100" s="261"/>
      <c r="EC100" s="261"/>
      <c r="ED100" s="261"/>
      <c r="EE100" s="261"/>
      <c r="EF100" s="261"/>
      <c r="EG100" s="261"/>
      <c r="EH100" s="261"/>
      <c r="EI100" s="261"/>
      <c r="EJ100" s="261"/>
      <c r="EK100" s="261"/>
      <c r="EL100" s="261"/>
      <c r="EM100" s="261"/>
      <c r="EN100" s="261"/>
      <c r="EO100" s="261"/>
      <c r="EP100" s="261"/>
      <c r="EQ100" s="261"/>
      <c r="ER100" s="261"/>
      <c r="ES100" s="261"/>
      <c r="ET100" s="261"/>
      <c r="EU100" s="261"/>
      <c r="EV100" s="261"/>
      <c r="EW100" s="261"/>
      <c r="EX100" s="261"/>
      <c r="EY100" s="261"/>
      <c r="EZ100" s="261"/>
      <c r="FA100" s="261"/>
      <c r="FB100" s="261"/>
      <c r="FC100" s="261"/>
      <c r="FD100" s="261"/>
      <c r="FE100" s="261"/>
      <c r="FF100" s="261"/>
      <c r="FG100" s="261"/>
      <c r="FH100" s="261"/>
      <c r="FI100" s="261"/>
      <c r="FJ100" s="261"/>
      <c r="FK100" s="261"/>
      <c r="FL100" s="261"/>
      <c r="FM100" s="261"/>
      <c r="FN100" s="261"/>
      <c r="FO100" s="261"/>
      <c r="FP100" s="261"/>
      <c r="FQ100" s="261"/>
      <c r="FR100" s="261"/>
      <c r="FS100" s="261"/>
      <c r="FT100" s="261"/>
      <c r="FU100" s="261"/>
      <c r="FV100" s="261"/>
      <c r="FW100" s="261"/>
      <c r="FX100" s="261"/>
      <c r="FY100" s="261"/>
      <c r="FZ100" s="261"/>
      <c r="GA100" s="261"/>
      <c r="GB100" s="261"/>
      <c r="GC100" s="261"/>
      <c r="GD100" s="261"/>
      <c r="GE100" s="261"/>
      <c r="GF100" s="261"/>
      <c r="GG100" s="261"/>
      <c r="GH100" s="261"/>
      <c r="GI100" s="261"/>
      <c r="GJ100" s="261"/>
      <c r="GK100" s="261"/>
      <c r="GL100" s="261"/>
      <c r="GM100" s="261"/>
      <c r="GN100" s="261"/>
      <c r="GO100" s="261"/>
      <c r="GP100" s="261"/>
      <c r="GQ100" s="261"/>
      <c r="GR100" s="261"/>
      <c r="GS100" s="261"/>
      <c r="GT100" s="261"/>
      <c r="GU100" s="261"/>
      <c r="GV100" s="261"/>
      <c r="GW100" s="261"/>
      <c r="GX100" s="261"/>
      <c r="GY100" s="261"/>
      <c r="GZ100" s="261"/>
      <c r="HA100" s="261"/>
      <c r="HB100" s="261"/>
      <c r="HC100" s="261"/>
      <c r="HD100" s="261"/>
      <c r="HE100" s="261"/>
      <c r="HF100" s="261"/>
      <c r="HG100" s="261"/>
      <c r="HH100" s="261"/>
      <c r="HI100" s="261"/>
      <c r="HJ100" s="261"/>
      <c r="HK100" s="261"/>
      <c r="HL100" s="261"/>
      <c r="HM100" s="261"/>
      <c r="HN100" s="261"/>
      <c r="HO100" s="261"/>
      <c r="HP100" s="261"/>
      <c r="HQ100" s="261"/>
      <c r="HR100" s="261"/>
      <c r="HS100" s="261"/>
      <c r="HT100" s="261"/>
      <c r="HU100" s="261"/>
      <c r="HV100" s="261"/>
      <c r="HW100" s="261"/>
      <c r="HX100" s="261"/>
      <c r="HY100" s="261"/>
    </row>
    <row r="101" spans="1:233" customFormat="1" ht="13.5" thickBot="1" x14ac:dyDescent="0.35">
      <c r="A101" s="368"/>
      <c r="B101" s="52" t="s">
        <v>332</v>
      </c>
      <c r="C101" s="1220">
        <f>'Existing Management Practices'!C150</f>
        <v>35</v>
      </c>
      <c r="D101" s="1220">
        <f>'Existing Management Practices'!D150</f>
        <v>0</v>
      </c>
      <c r="E101" s="1220">
        <f>'Existing Management Practices'!E150</f>
        <v>0</v>
      </c>
      <c r="F101" s="1221">
        <f>'Existing Management Practices'!F150</f>
        <v>0</v>
      </c>
      <c r="G101" s="290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94"/>
      <c r="U101" s="294"/>
      <c r="V101" s="294"/>
      <c r="W101" s="294"/>
      <c r="X101" s="294"/>
      <c r="Y101" s="294"/>
      <c r="Z101" s="294"/>
      <c r="AA101" s="294"/>
      <c r="AB101" s="294"/>
      <c r="AC101" s="277"/>
      <c r="AD101" s="277"/>
      <c r="AE101" s="277"/>
      <c r="AF101" s="277"/>
      <c r="AG101" s="277"/>
      <c r="AH101" s="277"/>
      <c r="AI101" s="277"/>
      <c r="AJ101" s="277"/>
      <c r="AK101" s="277"/>
      <c r="AL101" s="277"/>
      <c r="AM101" s="277"/>
      <c r="AN101" s="277"/>
      <c r="AO101" s="277"/>
      <c r="AP101" s="277"/>
      <c r="AQ101" s="277"/>
      <c r="AR101" s="277"/>
      <c r="AS101" s="277"/>
      <c r="AT101" s="277"/>
      <c r="AU101" s="277"/>
      <c r="AV101" s="277"/>
      <c r="AW101" s="277"/>
      <c r="AX101" s="277"/>
      <c r="AY101" s="277"/>
      <c r="AZ101" s="277"/>
      <c r="BA101" s="277"/>
      <c r="BB101" s="277"/>
      <c r="BC101" s="261"/>
      <c r="BD101" s="261"/>
      <c r="BE101" s="261"/>
      <c r="BF101" s="261"/>
      <c r="BG101" s="261"/>
      <c r="BH101" s="261"/>
      <c r="BI101" s="261"/>
      <c r="BJ101" s="261"/>
      <c r="BK101" s="261"/>
      <c r="BL101" s="261"/>
      <c r="BM101" s="261"/>
      <c r="BN101" s="261"/>
      <c r="BO101" s="261"/>
      <c r="BP101" s="261"/>
      <c r="BQ101" s="261"/>
      <c r="BR101" s="261"/>
      <c r="BS101" s="261"/>
      <c r="BT101" s="261"/>
      <c r="BU101" s="261"/>
      <c r="BV101" s="261"/>
      <c r="BW101" s="261"/>
      <c r="BX101" s="261"/>
      <c r="BY101" s="261"/>
      <c r="BZ101" s="261"/>
      <c r="CA101" s="261"/>
      <c r="CB101" s="261"/>
      <c r="CC101" s="261"/>
      <c r="CD101" s="261"/>
      <c r="CE101" s="261"/>
      <c r="CF101" s="261"/>
      <c r="CG101" s="261"/>
      <c r="CH101" s="261"/>
      <c r="CI101" s="261"/>
      <c r="CJ101" s="261"/>
      <c r="CK101" s="261"/>
      <c r="CL101" s="261"/>
      <c r="CM101" s="261"/>
      <c r="CN101" s="261"/>
      <c r="CO101" s="261"/>
      <c r="CP101" s="261"/>
      <c r="CQ101" s="261"/>
      <c r="CR101" s="261"/>
      <c r="CS101" s="261"/>
      <c r="CT101" s="261"/>
      <c r="CU101" s="261"/>
      <c r="CV101" s="261"/>
      <c r="CW101" s="261"/>
      <c r="CX101" s="261"/>
      <c r="CY101" s="261"/>
      <c r="CZ101" s="261"/>
      <c r="DA101" s="261"/>
      <c r="DB101" s="261"/>
      <c r="DC101" s="261"/>
      <c r="DD101" s="261"/>
      <c r="DE101" s="261"/>
      <c r="DF101" s="261"/>
      <c r="DG101" s="261"/>
      <c r="DH101" s="261"/>
      <c r="DI101" s="261"/>
      <c r="DJ101" s="261"/>
      <c r="DK101" s="261"/>
      <c r="DL101" s="261"/>
      <c r="DM101" s="261"/>
      <c r="DN101" s="261"/>
      <c r="DO101" s="261"/>
      <c r="DP101" s="261"/>
      <c r="DQ101" s="261"/>
      <c r="DR101" s="261"/>
      <c r="DS101" s="261"/>
      <c r="DT101" s="261"/>
      <c r="DU101" s="261"/>
      <c r="DV101" s="261"/>
      <c r="DW101" s="261"/>
      <c r="DX101" s="261"/>
      <c r="DY101" s="261"/>
      <c r="DZ101" s="261"/>
      <c r="EA101" s="261"/>
      <c r="EB101" s="261"/>
      <c r="EC101" s="261"/>
      <c r="ED101" s="261"/>
      <c r="EE101" s="261"/>
      <c r="EF101" s="261"/>
      <c r="EG101" s="261"/>
      <c r="EH101" s="261"/>
      <c r="EI101" s="261"/>
      <c r="EJ101" s="261"/>
      <c r="EK101" s="261"/>
      <c r="EL101" s="261"/>
      <c r="EM101" s="261"/>
      <c r="EN101" s="261"/>
      <c r="EO101" s="261"/>
      <c r="EP101" s="261"/>
      <c r="EQ101" s="261"/>
      <c r="ER101" s="261"/>
      <c r="ES101" s="261"/>
      <c r="ET101" s="261"/>
      <c r="EU101" s="261"/>
      <c r="EV101" s="261"/>
      <c r="EW101" s="261"/>
      <c r="EX101" s="261"/>
      <c r="EY101" s="261"/>
      <c r="EZ101" s="261"/>
      <c r="FA101" s="261"/>
      <c r="FB101" s="261"/>
      <c r="FC101" s="261"/>
      <c r="FD101" s="261"/>
      <c r="FE101" s="261"/>
      <c r="FF101" s="261"/>
      <c r="FG101" s="261"/>
      <c r="FH101" s="261"/>
      <c r="FI101" s="261"/>
      <c r="FJ101" s="261"/>
      <c r="FK101" s="261"/>
      <c r="FL101" s="261"/>
      <c r="FM101" s="261"/>
      <c r="FN101" s="261"/>
      <c r="FO101" s="261"/>
      <c r="FP101" s="261"/>
      <c r="FQ101" s="261"/>
      <c r="FR101" s="261"/>
      <c r="FS101" s="261"/>
      <c r="FT101" s="261"/>
      <c r="FU101" s="261"/>
      <c r="FV101" s="261"/>
      <c r="FW101" s="261"/>
      <c r="FX101" s="261"/>
      <c r="FY101" s="261"/>
      <c r="FZ101" s="261"/>
      <c r="GA101" s="261"/>
      <c r="GB101" s="261"/>
      <c r="GC101" s="261"/>
      <c r="GD101" s="261"/>
      <c r="GE101" s="261"/>
      <c r="GF101" s="261"/>
      <c r="GG101" s="261"/>
      <c r="GH101" s="261"/>
      <c r="GI101" s="261"/>
      <c r="GJ101" s="261"/>
      <c r="GK101" s="261"/>
      <c r="GL101" s="261"/>
      <c r="GM101" s="261"/>
      <c r="GN101" s="261"/>
      <c r="GO101" s="261"/>
      <c r="GP101" s="261"/>
      <c r="GQ101" s="261"/>
      <c r="GR101" s="261"/>
      <c r="GS101" s="261"/>
      <c r="GT101" s="261"/>
      <c r="GU101" s="261"/>
      <c r="GV101" s="261"/>
      <c r="GW101" s="261"/>
      <c r="GX101" s="261"/>
      <c r="GY101" s="261"/>
      <c r="GZ101" s="261"/>
      <c r="HA101" s="261"/>
      <c r="HB101" s="261"/>
      <c r="HC101" s="261"/>
      <c r="HD101" s="261"/>
      <c r="HE101" s="261"/>
      <c r="HF101" s="261"/>
      <c r="HG101" s="261"/>
      <c r="HH101" s="261"/>
      <c r="HI101" s="261"/>
      <c r="HJ101" s="261"/>
      <c r="HK101" s="261"/>
      <c r="HL101" s="261"/>
      <c r="HM101" s="261"/>
      <c r="HN101" s="261"/>
      <c r="HO101" s="261"/>
      <c r="HP101" s="261"/>
      <c r="HQ101" s="261"/>
      <c r="HR101" s="261"/>
      <c r="HS101" s="261"/>
      <c r="HT101" s="261"/>
      <c r="HU101" s="261"/>
      <c r="HV101" s="261"/>
      <c r="HW101" s="261"/>
      <c r="HX101" s="261"/>
      <c r="HY101" s="261"/>
    </row>
    <row r="102" spans="1:233" customFormat="1" ht="14.25" customHeight="1" thickBot="1" x14ac:dyDescent="0.35">
      <c r="A102" s="368"/>
      <c r="B102" s="150"/>
      <c r="D102" s="277"/>
      <c r="E102" s="277"/>
      <c r="F102" s="343"/>
      <c r="G102" s="186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94"/>
      <c r="U102" s="294"/>
      <c r="V102" s="294"/>
      <c r="W102" s="294"/>
      <c r="X102" s="294"/>
      <c r="Y102" s="294"/>
      <c r="Z102" s="294"/>
      <c r="AA102" s="294"/>
      <c r="AB102" s="294"/>
      <c r="AC102" s="277"/>
      <c r="AD102" s="277"/>
      <c r="AE102" s="277"/>
      <c r="AF102" s="277"/>
      <c r="AG102" s="277"/>
      <c r="AH102" s="277"/>
      <c r="AI102" s="277"/>
      <c r="AJ102" s="277"/>
      <c r="AK102" s="277"/>
      <c r="AL102" s="277"/>
      <c r="AM102" s="277"/>
      <c r="AN102" s="277"/>
      <c r="AO102" s="277"/>
      <c r="AP102" s="277"/>
      <c r="AQ102" s="277"/>
      <c r="AR102" s="277"/>
      <c r="AS102" s="277"/>
      <c r="AT102" s="277"/>
      <c r="AU102" s="277"/>
      <c r="AV102" s="277"/>
      <c r="AW102" s="277"/>
      <c r="AX102" s="277"/>
      <c r="AY102" s="277"/>
      <c r="AZ102" s="277"/>
      <c r="BA102" s="277"/>
      <c r="BB102" s="277"/>
      <c r="BC102" s="261"/>
      <c r="BD102" s="261"/>
      <c r="BE102" s="261"/>
      <c r="BF102" s="261"/>
      <c r="BG102" s="261"/>
      <c r="BH102" s="261"/>
      <c r="BI102" s="261"/>
      <c r="BJ102" s="261"/>
      <c r="BK102" s="261"/>
      <c r="BL102" s="261"/>
      <c r="BM102" s="261"/>
      <c r="BN102" s="261"/>
      <c r="BO102" s="261"/>
      <c r="BP102" s="261"/>
      <c r="BQ102" s="261"/>
      <c r="BR102" s="261"/>
      <c r="BS102" s="261"/>
      <c r="BT102" s="261"/>
      <c r="BU102" s="261"/>
      <c r="BV102" s="261"/>
      <c r="BW102" s="261"/>
      <c r="BX102" s="261"/>
      <c r="BY102" s="261"/>
      <c r="BZ102" s="261"/>
      <c r="CA102" s="261"/>
      <c r="CB102" s="261"/>
      <c r="CC102" s="261"/>
      <c r="CD102" s="261"/>
      <c r="CE102" s="261"/>
      <c r="CF102" s="261"/>
      <c r="CG102" s="261"/>
      <c r="CH102" s="261"/>
      <c r="CI102" s="261"/>
      <c r="CJ102" s="261"/>
      <c r="CK102" s="261"/>
      <c r="CL102" s="261"/>
      <c r="CM102" s="261"/>
      <c r="CN102" s="261"/>
      <c r="CO102" s="261"/>
      <c r="CP102" s="261"/>
      <c r="CQ102" s="261"/>
      <c r="CR102" s="261"/>
      <c r="CS102" s="261"/>
      <c r="CT102" s="261"/>
      <c r="CU102" s="261"/>
      <c r="CV102" s="261"/>
      <c r="CW102" s="261"/>
      <c r="CX102" s="261"/>
      <c r="CY102" s="261"/>
      <c r="CZ102" s="261"/>
      <c r="DA102" s="261"/>
      <c r="DB102" s="261"/>
      <c r="DC102" s="261"/>
      <c r="DD102" s="261"/>
      <c r="DE102" s="261"/>
      <c r="DF102" s="261"/>
      <c r="DG102" s="261"/>
      <c r="DH102" s="261"/>
      <c r="DI102" s="261"/>
      <c r="DJ102" s="261"/>
      <c r="DK102" s="261"/>
      <c r="DL102" s="261"/>
      <c r="DM102" s="261"/>
      <c r="DN102" s="261"/>
      <c r="DO102" s="261"/>
      <c r="DP102" s="261"/>
      <c r="DQ102" s="261"/>
      <c r="DR102" s="261"/>
      <c r="DS102" s="261"/>
      <c r="DT102" s="261"/>
      <c r="DU102" s="261"/>
      <c r="DV102" s="261"/>
      <c r="DW102" s="261"/>
      <c r="DX102" s="261"/>
      <c r="DY102" s="261"/>
      <c r="DZ102" s="261"/>
      <c r="EA102" s="261"/>
      <c r="EB102" s="261"/>
      <c r="EC102" s="261"/>
      <c r="ED102" s="261"/>
      <c r="EE102" s="261"/>
      <c r="EF102" s="261"/>
      <c r="EG102" s="261"/>
      <c r="EH102" s="261"/>
      <c r="EI102" s="261"/>
      <c r="EJ102" s="261"/>
      <c r="EK102" s="261"/>
      <c r="EL102" s="261"/>
      <c r="EM102" s="261"/>
      <c r="EN102" s="261"/>
      <c r="EO102" s="261"/>
      <c r="EP102" s="261"/>
      <c r="EQ102" s="261"/>
      <c r="ER102" s="261"/>
      <c r="ES102" s="261"/>
      <c r="ET102" s="261"/>
      <c r="EU102" s="261"/>
      <c r="EV102" s="261"/>
      <c r="EW102" s="261"/>
      <c r="EX102" s="261"/>
      <c r="EY102" s="261"/>
      <c r="EZ102" s="261"/>
      <c r="FA102" s="261"/>
      <c r="FB102" s="261"/>
      <c r="FC102" s="261"/>
      <c r="FD102" s="261"/>
      <c r="FE102" s="261"/>
      <c r="FF102" s="261"/>
      <c r="FG102" s="261"/>
      <c r="FH102" s="261"/>
      <c r="FI102" s="261"/>
      <c r="FJ102" s="261"/>
      <c r="FK102" s="261"/>
      <c r="FL102" s="261"/>
      <c r="FM102" s="261"/>
      <c r="FN102" s="261"/>
      <c r="FO102" s="261"/>
      <c r="FP102" s="261"/>
      <c r="FQ102" s="261"/>
      <c r="FR102" s="261"/>
      <c r="FS102" s="261"/>
      <c r="FT102" s="261"/>
      <c r="FU102" s="261"/>
      <c r="FV102" s="261"/>
      <c r="FW102" s="261"/>
      <c r="FX102" s="261"/>
      <c r="FY102" s="261"/>
      <c r="FZ102" s="261"/>
      <c r="GA102" s="261"/>
      <c r="GB102" s="261"/>
      <c r="GC102" s="261"/>
      <c r="GD102" s="261"/>
      <c r="GE102" s="261"/>
      <c r="GF102" s="261"/>
      <c r="GG102" s="261"/>
      <c r="GH102" s="261"/>
      <c r="GI102" s="261"/>
      <c r="GJ102" s="261"/>
      <c r="GK102" s="261"/>
      <c r="GL102" s="261"/>
      <c r="GM102" s="261"/>
      <c r="GN102" s="261"/>
      <c r="GO102" s="261"/>
      <c r="GP102" s="261"/>
      <c r="GQ102" s="261"/>
      <c r="GR102" s="261"/>
      <c r="GS102" s="261"/>
      <c r="GT102" s="261"/>
      <c r="GU102" s="261"/>
      <c r="GV102" s="261"/>
      <c r="GW102" s="261"/>
      <c r="GX102" s="261"/>
      <c r="GY102" s="261"/>
      <c r="GZ102" s="261"/>
      <c r="HA102" s="261"/>
      <c r="HB102" s="261"/>
      <c r="HC102" s="261"/>
      <c r="HD102" s="261"/>
      <c r="HE102" s="261"/>
      <c r="HF102" s="261"/>
      <c r="HG102" s="261"/>
      <c r="HH102" s="261"/>
      <c r="HI102" s="261"/>
      <c r="HJ102" s="261"/>
      <c r="HK102" s="261"/>
      <c r="HL102" s="261"/>
      <c r="HM102" s="261"/>
      <c r="HN102" s="261"/>
      <c r="HO102" s="261"/>
      <c r="HP102" s="261"/>
      <c r="HQ102" s="261"/>
      <c r="HR102" s="261"/>
      <c r="HS102" s="261"/>
      <c r="HT102" s="261"/>
      <c r="HU102" s="261"/>
      <c r="HV102" s="261"/>
      <c r="HW102" s="261"/>
      <c r="HX102" s="261"/>
      <c r="HY102" s="261"/>
    </row>
    <row r="103" spans="1:233" customFormat="1" ht="13" x14ac:dyDescent="0.3">
      <c r="A103" s="368"/>
      <c r="B103" s="32"/>
      <c r="C103" s="93" t="str">
        <f>'Existing Management Practices'!C152</f>
        <v xml:space="preserve"> Efficiency</v>
      </c>
      <c r="D103" s="93"/>
      <c r="E103" s="93"/>
      <c r="F103" s="94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94"/>
      <c r="U103" s="294"/>
      <c r="V103" s="294"/>
      <c r="W103" s="294"/>
      <c r="X103" s="294"/>
      <c r="Y103" s="294"/>
      <c r="Z103" s="294"/>
      <c r="AA103" s="294"/>
      <c r="AB103" s="294"/>
      <c r="AC103" s="277"/>
      <c r="AD103" s="277"/>
      <c r="AE103" s="277"/>
      <c r="AF103" s="277"/>
      <c r="AG103" s="277"/>
      <c r="AH103" s="277"/>
      <c r="AI103" s="277"/>
      <c r="AJ103" s="277"/>
      <c r="AK103" s="277"/>
      <c r="AL103" s="277"/>
      <c r="AM103" s="277"/>
      <c r="AN103" s="277"/>
      <c r="AO103" s="277"/>
      <c r="AP103" s="277"/>
      <c r="AQ103" s="277"/>
      <c r="AR103" s="277"/>
      <c r="AS103" s="277"/>
      <c r="AT103" s="277"/>
      <c r="AU103" s="277"/>
      <c r="AV103" s="277"/>
      <c r="AW103" s="277"/>
      <c r="AX103" s="277"/>
      <c r="AY103" s="277"/>
      <c r="AZ103" s="277"/>
      <c r="BA103" s="277"/>
      <c r="BB103" s="277"/>
      <c r="BC103" s="261"/>
      <c r="BD103" s="261"/>
      <c r="BE103" s="261"/>
      <c r="BF103" s="261"/>
      <c r="BG103" s="261"/>
      <c r="BH103" s="261"/>
      <c r="BI103" s="261"/>
      <c r="BJ103" s="261"/>
      <c r="BK103" s="261"/>
      <c r="BL103" s="261"/>
      <c r="BM103" s="261"/>
      <c r="BN103" s="261"/>
      <c r="BO103" s="261"/>
      <c r="BP103" s="261"/>
      <c r="BQ103" s="261"/>
      <c r="BR103" s="261"/>
      <c r="BS103" s="261"/>
      <c r="BT103" s="261"/>
      <c r="BU103" s="261"/>
      <c r="BV103" s="261"/>
      <c r="BW103" s="261"/>
      <c r="BX103" s="261"/>
      <c r="BY103" s="261"/>
      <c r="BZ103" s="261"/>
      <c r="CA103" s="261"/>
      <c r="CB103" s="261"/>
      <c r="CC103" s="261"/>
      <c r="CD103" s="261"/>
      <c r="CE103" s="261"/>
      <c r="CF103" s="261"/>
      <c r="CG103" s="261"/>
      <c r="CH103" s="261"/>
      <c r="CI103" s="261"/>
      <c r="CJ103" s="261"/>
      <c r="CK103" s="261"/>
      <c r="CL103" s="261"/>
      <c r="CM103" s="261"/>
      <c r="CN103" s="261"/>
      <c r="CO103" s="261"/>
      <c r="CP103" s="261"/>
      <c r="CQ103" s="261"/>
      <c r="CR103" s="261"/>
      <c r="CS103" s="261"/>
      <c r="CT103" s="261"/>
      <c r="CU103" s="261"/>
      <c r="CV103" s="261"/>
      <c r="CW103" s="261"/>
      <c r="CX103" s="261"/>
      <c r="CY103" s="261"/>
      <c r="CZ103" s="261"/>
      <c r="DA103" s="261"/>
      <c r="DB103" s="261"/>
      <c r="DC103" s="261"/>
      <c r="DD103" s="261"/>
      <c r="DE103" s="261"/>
      <c r="DF103" s="261"/>
      <c r="DG103" s="261"/>
      <c r="DH103" s="261"/>
      <c r="DI103" s="261"/>
      <c r="DJ103" s="261"/>
      <c r="DK103" s="261"/>
      <c r="DL103" s="261"/>
      <c r="DM103" s="261"/>
      <c r="DN103" s="261"/>
      <c r="DO103" s="261"/>
      <c r="DP103" s="261"/>
      <c r="DQ103" s="261"/>
      <c r="DR103" s="261"/>
      <c r="DS103" s="261"/>
      <c r="DT103" s="261"/>
      <c r="DU103" s="261"/>
      <c r="DV103" s="261"/>
      <c r="DW103" s="261"/>
      <c r="DX103" s="261"/>
      <c r="DY103" s="261"/>
      <c r="DZ103" s="261"/>
      <c r="EA103" s="261"/>
      <c r="EB103" s="261"/>
      <c r="EC103" s="261"/>
      <c r="ED103" s="261"/>
      <c r="EE103" s="261"/>
      <c r="EF103" s="261"/>
      <c r="EG103" s="261"/>
      <c r="EH103" s="261"/>
      <c r="EI103" s="261"/>
      <c r="EJ103" s="261"/>
      <c r="EK103" s="261"/>
      <c r="EL103" s="261"/>
      <c r="EM103" s="261"/>
      <c r="EN103" s="261"/>
      <c r="EO103" s="261"/>
      <c r="EP103" s="261"/>
      <c r="EQ103" s="261"/>
      <c r="ER103" s="261"/>
      <c r="ES103" s="261"/>
      <c r="ET103" s="261"/>
      <c r="EU103" s="261"/>
      <c r="EV103" s="261"/>
      <c r="EW103" s="261"/>
      <c r="EX103" s="261"/>
      <c r="EY103" s="261"/>
      <c r="EZ103" s="261"/>
      <c r="FA103" s="261"/>
      <c r="FB103" s="261"/>
      <c r="FC103" s="261"/>
      <c r="FD103" s="261"/>
      <c r="FE103" s="261"/>
      <c r="FF103" s="261"/>
      <c r="FG103" s="261"/>
      <c r="FH103" s="261"/>
      <c r="FI103" s="261"/>
      <c r="FJ103" s="261"/>
      <c r="FK103" s="261"/>
      <c r="FL103" s="261"/>
      <c r="FM103" s="261"/>
      <c r="FN103" s="261"/>
      <c r="FO103" s="261"/>
      <c r="FP103" s="261"/>
      <c r="FQ103" s="261"/>
      <c r="FR103" s="261"/>
      <c r="FS103" s="261"/>
      <c r="FT103" s="261"/>
      <c r="FU103" s="261"/>
      <c r="FV103" s="261"/>
      <c r="FW103" s="261"/>
      <c r="FX103" s="261"/>
      <c r="FY103" s="261"/>
      <c r="FZ103" s="261"/>
      <c r="GA103" s="261"/>
      <c r="GB103" s="261"/>
      <c r="GC103" s="261"/>
      <c r="GD103" s="261"/>
      <c r="GE103" s="261"/>
      <c r="GF103" s="261"/>
      <c r="GG103" s="261"/>
      <c r="GH103" s="261"/>
      <c r="GI103" s="261"/>
      <c r="GJ103" s="261"/>
      <c r="GK103" s="261"/>
      <c r="GL103" s="261"/>
      <c r="GM103" s="261"/>
      <c r="GN103" s="261"/>
      <c r="GO103" s="261"/>
      <c r="GP103" s="261"/>
      <c r="GQ103" s="261"/>
      <c r="GR103" s="261"/>
      <c r="GS103" s="261"/>
      <c r="GT103" s="261"/>
      <c r="GU103" s="261"/>
      <c r="GV103" s="261"/>
      <c r="GW103" s="261"/>
      <c r="GX103" s="261"/>
      <c r="GY103" s="261"/>
      <c r="GZ103" s="261"/>
      <c r="HA103" s="261"/>
      <c r="HB103" s="261"/>
      <c r="HC103" s="261"/>
      <c r="HD103" s="261"/>
      <c r="HE103" s="261"/>
      <c r="HF103" s="261"/>
      <c r="HG103" s="261"/>
      <c r="HH103" s="261"/>
      <c r="HI103" s="261"/>
      <c r="HJ103" s="261"/>
      <c r="HK103" s="261"/>
      <c r="HL103" s="261"/>
      <c r="HM103" s="261"/>
      <c r="HN103" s="261"/>
      <c r="HO103" s="261"/>
      <c r="HP103" s="261"/>
      <c r="HQ103" s="261"/>
      <c r="HR103" s="261"/>
      <c r="HS103" s="261"/>
      <c r="HT103" s="261"/>
      <c r="HU103" s="261"/>
      <c r="HV103" s="261"/>
      <c r="HW103" s="261"/>
      <c r="HX103" s="261"/>
      <c r="HY103" s="261"/>
    </row>
    <row r="104" spans="1:233" s="187" customFormat="1" ht="13" x14ac:dyDescent="0.3">
      <c r="A104" s="368"/>
      <c r="B104" s="39" t="str">
        <f>'Existing Management Practices'!B153</f>
        <v>TN</v>
      </c>
      <c r="C104" s="220" t="str">
        <f>'Existing Management Practices'!C153</f>
        <v>TP</v>
      </c>
      <c r="D104" s="220" t="str">
        <f>'Existing Management Practices'!D153</f>
        <v>TSS</v>
      </c>
      <c r="E104" s="220" t="str">
        <f>'Existing Management Practices'!E153</f>
        <v>Bacteria</v>
      </c>
      <c r="F104" s="221" t="str">
        <f>'Existing Management Practices'!F153</f>
        <v>Runoff Reduction</v>
      </c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94"/>
      <c r="U104" s="294"/>
      <c r="V104" s="294"/>
      <c r="W104" s="294"/>
      <c r="X104" s="294"/>
      <c r="Y104" s="294"/>
      <c r="Z104" s="294"/>
      <c r="AA104" s="294"/>
      <c r="AB104" s="294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3"/>
      <c r="BD104" s="273"/>
      <c r="BE104" s="273"/>
      <c r="BF104" s="273"/>
      <c r="BG104" s="273"/>
      <c r="BH104" s="273"/>
      <c r="BI104" s="273"/>
      <c r="BJ104" s="273"/>
      <c r="BK104" s="273"/>
      <c r="BL104" s="273"/>
      <c r="BM104" s="273"/>
      <c r="BN104" s="273"/>
      <c r="BO104" s="273"/>
      <c r="BP104" s="273"/>
      <c r="BQ104" s="273"/>
      <c r="BR104" s="273"/>
      <c r="BS104" s="273"/>
      <c r="BT104" s="273"/>
      <c r="BU104" s="273"/>
      <c r="BV104" s="273"/>
      <c r="BW104" s="273"/>
      <c r="BX104" s="273"/>
      <c r="BY104" s="273"/>
      <c r="BZ104" s="273"/>
      <c r="CA104" s="273"/>
      <c r="CB104" s="273"/>
      <c r="CC104" s="273"/>
      <c r="CD104" s="273"/>
      <c r="CE104" s="273"/>
      <c r="CF104" s="273"/>
      <c r="CG104" s="273"/>
      <c r="CH104" s="273"/>
      <c r="CI104" s="273"/>
      <c r="CJ104" s="273"/>
      <c r="CK104" s="273"/>
      <c r="CL104" s="273"/>
      <c r="CM104" s="273"/>
      <c r="CN104" s="273"/>
      <c r="CO104" s="273"/>
      <c r="CP104" s="273"/>
      <c r="CQ104" s="273"/>
      <c r="CR104" s="273"/>
      <c r="CS104" s="273"/>
      <c r="CT104" s="273"/>
      <c r="CU104" s="273"/>
      <c r="CV104" s="273"/>
      <c r="CW104" s="273"/>
      <c r="CX104" s="273"/>
      <c r="CY104" s="273"/>
      <c r="CZ104" s="273"/>
      <c r="DA104" s="273"/>
      <c r="DB104" s="273"/>
      <c r="DC104" s="273"/>
      <c r="DD104" s="273"/>
      <c r="DE104" s="273"/>
      <c r="DF104" s="273"/>
      <c r="DG104" s="273"/>
      <c r="DH104" s="273"/>
      <c r="DI104" s="273"/>
      <c r="DJ104" s="273"/>
      <c r="DK104" s="273"/>
      <c r="DL104" s="273"/>
      <c r="DM104" s="273"/>
      <c r="DN104" s="273"/>
      <c r="DO104" s="273"/>
      <c r="DP104" s="273"/>
      <c r="DQ104" s="273"/>
      <c r="DR104" s="273"/>
      <c r="DS104" s="273"/>
      <c r="DT104" s="273"/>
      <c r="DU104" s="273"/>
      <c r="DV104" s="273"/>
      <c r="DW104" s="273"/>
      <c r="DX104" s="273"/>
      <c r="DY104" s="273"/>
      <c r="DZ104" s="273"/>
      <c r="EA104" s="273"/>
      <c r="EB104" s="273"/>
      <c r="EC104" s="273"/>
      <c r="ED104" s="273"/>
      <c r="EE104" s="273"/>
      <c r="EF104" s="273"/>
      <c r="EG104" s="273"/>
      <c r="EH104" s="273"/>
      <c r="EI104" s="273"/>
      <c r="EJ104" s="273"/>
      <c r="EK104" s="273"/>
      <c r="EL104" s="273"/>
      <c r="EM104" s="273"/>
      <c r="EN104" s="273"/>
      <c r="EO104" s="273"/>
      <c r="EP104" s="273"/>
      <c r="EQ104" s="273"/>
      <c r="ER104" s="273"/>
      <c r="ES104" s="273"/>
      <c r="ET104" s="273"/>
      <c r="EU104" s="273"/>
      <c r="EV104" s="273"/>
      <c r="EW104" s="273"/>
      <c r="EX104" s="273"/>
      <c r="EY104" s="273"/>
      <c r="EZ104" s="273"/>
      <c r="FA104" s="273"/>
      <c r="FB104" s="273"/>
      <c r="FC104" s="273"/>
      <c r="FD104" s="273"/>
      <c r="FE104" s="273"/>
      <c r="FF104" s="273"/>
      <c r="FG104" s="273"/>
      <c r="FH104" s="273"/>
      <c r="FI104" s="273"/>
      <c r="FJ104" s="273"/>
      <c r="FK104" s="273"/>
      <c r="FL104" s="273"/>
      <c r="FM104" s="273"/>
      <c r="FN104" s="273"/>
      <c r="FO104" s="273"/>
      <c r="FP104" s="273"/>
      <c r="FQ104" s="273"/>
      <c r="FR104" s="273"/>
      <c r="FS104" s="273"/>
      <c r="FT104" s="273"/>
      <c r="FU104" s="273"/>
      <c r="FV104" s="273"/>
      <c r="FW104" s="273"/>
      <c r="FX104" s="273"/>
      <c r="FY104" s="273"/>
      <c r="FZ104" s="273"/>
      <c r="GA104" s="273"/>
      <c r="GB104" s="273"/>
      <c r="GC104" s="273"/>
      <c r="GD104" s="273"/>
      <c r="GE104" s="273"/>
      <c r="GF104" s="273"/>
      <c r="GG104" s="273"/>
      <c r="GH104" s="273"/>
      <c r="GI104" s="273"/>
      <c r="GJ104" s="273"/>
      <c r="GK104" s="273"/>
      <c r="GL104" s="273"/>
      <c r="GM104" s="273"/>
      <c r="GN104" s="273"/>
      <c r="GO104" s="273"/>
      <c r="GP104" s="273"/>
      <c r="GQ104" s="273"/>
      <c r="GR104" s="273"/>
      <c r="GS104" s="273"/>
      <c r="GT104" s="273"/>
      <c r="GU104" s="273"/>
      <c r="GV104" s="273"/>
      <c r="GW104" s="273"/>
      <c r="GX104" s="273"/>
      <c r="GY104" s="273"/>
      <c r="GZ104" s="273"/>
      <c r="HA104" s="273"/>
      <c r="HB104" s="273"/>
      <c r="HC104" s="273"/>
      <c r="HD104" s="273"/>
      <c r="HE104" s="273"/>
      <c r="HF104" s="273"/>
      <c r="HG104" s="273"/>
      <c r="HH104" s="273"/>
      <c r="HI104" s="273"/>
      <c r="HJ104" s="273"/>
      <c r="HK104" s="273"/>
      <c r="HL104" s="273"/>
      <c r="HM104" s="273"/>
      <c r="HN104" s="273"/>
      <c r="HO104" s="273"/>
      <c r="HP104" s="273"/>
      <c r="HQ104" s="273"/>
      <c r="HR104" s="273"/>
      <c r="HS104" s="273"/>
      <c r="HT104" s="273"/>
      <c r="HU104" s="273"/>
      <c r="HV104" s="273"/>
      <c r="HW104" s="273"/>
      <c r="HX104" s="273"/>
      <c r="HY104" s="273"/>
    </row>
    <row r="105" spans="1:233" customFormat="1" ht="13.5" customHeight="1" thickBot="1" x14ac:dyDescent="0.35">
      <c r="A105" s="368"/>
      <c r="B105" s="1418">
        <f>'Existing Management Practices'!B154</f>
        <v>0</v>
      </c>
      <c r="C105" s="1336">
        <f>'Existing Management Practices'!C154</f>
        <v>0</v>
      </c>
      <c r="D105" s="1336">
        <f>'Existing Management Practices'!D154</f>
        <v>0</v>
      </c>
      <c r="E105" s="1336">
        <f>'Existing Management Practices'!E154</f>
        <v>0.42</v>
      </c>
      <c r="F105" s="1419">
        <f>'Existing Management Practices'!F154</f>
        <v>0.75</v>
      </c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94"/>
      <c r="U105" s="294"/>
      <c r="V105" s="294"/>
      <c r="W105" s="294"/>
      <c r="X105" s="294"/>
      <c r="Y105" s="294"/>
      <c r="Z105" s="294"/>
      <c r="AA105" s="294"/>
      <c r="AB105" s="294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61"/>
      <c r="BD105" s="261"/>
      <c r="BE105" s="261"/>
      <c r="BF105" s="261"/>
      <c r="BG105" s="261"/>
      <c r="BH105" s="261"/>
      <c r="BI105" s="261"/>
      <c r="BJ105" s="261"/>
      <c r="BK105" s="261"/>
      <c r="BL105" s="261"/>
      <c r="BM105" s="261"/>
      <c r="BN105" s="261"/>
      <c r="BO105" s="261"/>
      <c r="BP105" s="261"/>
      <c r="BQ105" s="261"/>
      <c r="BR105" s="261"/>
      <c r="BS105" s="261"/>
      <c r="BT105" s="261"/>
      <c r="BU105" s="261"/>
      <c r="BV105" s="261"/>
      <c r="BW105" s="261"/>
      <c r="BX105" s="261"/>
      <c r="BY105" s="261"/>
      <c r="BZ105" s="261"/>
      <c r="CA105" s="261"/>
      <c r="CB105" s="261"/>
      <c r="CC105" s="261"/>
      <c r="CD105" s="261"/>
      <c r="CE105" s="261"/>
      <c r="CF105" s="261"/>
      <c r="CG105" s="261"/>
      <c r="CH105" s="261"/>
      <c r="CI105" s="261"/>
      <c r="CJ105" s="261"/>
      <c r="CK105" s="261"/>
      <c r="CL105" s="261"/>
      <c r="CM105" s="261"/>
      <c r="CN105" s="261"/>
      <c r="CO105" s="261"/>
      <c r="CP105" s="261"/>
      <c r="CQ105" s="261"/>
      <c r="CR105" s="261"/>
      <c r="CS105" s="261"/>
      <c r="CT105" s="261"/>
      <c r="CU105" s="261"/>
      <c r="CV105" s="261"/>
      <c r="CW105" s="261"/>
      <c r="CX105" s="261"/>
      <c r="CY105" s="261"/>
      <c r="CZ105" s="261"/>
      <c r="DA105" s="261"/>
      <c r="DB105" s="261"/>
      <c r="DC105" s="261"/>
      <c r="DD105" s="261"/>
      <c r="DE105" s="261"/>
      <c r="DF105" s="261"/>
      <c r="DG105" s="261"/>
      <c r="DH105" s="261"/>
      <c r="DI105" s="261"/>
      <c r="DJ105" s="261"/>
      <c r="DK105" s="261"/>
      <c r="DL105" s="261"/>
      <c r="DM105" s="261"/>
      <c r="DN105" s="261"/>
      <c r="DO105" s="261"/>
      <c r="DP105" s="261"/>
      <c r="DQ105" s="261"/>
      <c r="DR105" s="261"/>
      <c r="DS105" s="261"/>
      <c r="DT105" s="261"/>
      <c r="DU105" s="261"/>
      <c r="DV105" s="261"/>
      <c r="DW105" s="261"/>
      <c r="DX105" s="261"/>
      <c r="DY105" s="261"/>
      <c r="DZ105" s="261"/>
      <c r="EA105" s="261"/>
      <c r="EB105" s="261"/>
      <c r="EC105" s="261"/>
      <c r="ED105" s="261"/>
      <c r="EE105" s="261"/>
      <c r="EF105" s="261"/>
      <c r="EG105" s="261"/>
      <c r="EH105" s="261"/>
      <c r="EI105" s="261"/>
      <c r="EJ105" s="261"/>
      <c r="EK105" s="261"/>
      <c r="EL105" s="261"/>
      <c r="EM105" s="261"/>
      <c r="EN105" s="261"/>
      <c r="EO105" s="261"/>
      <c r="EP105" s="261"/>
      <c r="EQ105" s="261"/>
      <c r="ER105" s="261"/>
      <c r="ES105" s="261"/>
      <c r="ET105" s="261"/>
      <c r="EU105" s="261"/>
      <c r="EV105" s="261"/>
      <c r="EW105" s="261"/>
      <c r="EX105" s="261"/>
      <c r="EY105" s="261"/>
      <c r="EZ105" s="261"/>
      <c r="FA105" s="261"/>
      <c r="FB105" s="261"/>
      <c r="FC105" s="261"/>
      <c r="FD105" s="261"/>
      <c r="FE105" s="261"/>
      <c r="FF105" s="261"/>
      <c r="FG105" s="261"/>
      <c r="FH105" s="261"/>
      <c r="FI105" s="261"/>
      <c r="FJ105" s="261"/>
      <c r="FK105" s="261"/>
      <c r="FL105" s="261"/>
      <c r="FM105" s="261"/>
      <c r="FN105" s="261"/>
      <c r="FO105" s="261"/>
      <c r="FP105" s="261"/>
      <c r="FQ105" s="261"/>
      <c r="FR105" s="261"/>
      <c r="FS105" s="261"/>
      <c r="FT105" s="261"/>
      <c r="FU105" s="261"/>
      <c r="FV105" s="261"/>
      <c r="FW105" s="261"/>
      <c r="FX105" s="261"/>
      <c r="FY105" s="261"/>
      <c r="FZ105" s="261"/>
      <c r="GA105" s="261"/>
      <c r="GB105" s="261"/>
      <c r="GC105" s="261"/>
      <c r="GD105" s="261"/>
      <c r="GE105" s="261"/>
      <c r="GF105" s="261"/>
      <c r="GG105" s="261"/>
      <c r="GH105" s="261"/>
      <c r="GI105" s="261"/>
      <c r="GJ105" s="261"/>
      <c r="GK105" s="261"/>
      <c r="GL105" s="261"/>
      <c r="GM105" s="261"/>
      <c r="GN105" s="261"/>
      <c r="GO105" s="261"/>
      <c r="GP105" s="261"/>
      <c r="GQ105" s="261"/>
      <c r="GR105" s="261"/>
      <c r="GS105" s="261"/>
      <c r="GT105" s="261"/>
      <c r="GU105" s="261"/>
      <c r="GV105" s="261"/>
      <c r="GW105" s="261"/>
      <c r="GX105" s="261"/>
      <c r="GY105" s="261"/>
      <c r="GZ105" s="261"/>
      <c r="HA105" s="261"/>
      <c r="HB105" s="261"/>
      <c r="HC105" s="261"/>
      <c r="HD105" s="261"/>
      <c r="HE105" s="261"/>
      <c r="HF105" s="261"/>
      <c r="HG105" s="261"/>
      <c r="HH105" s="261"/>
      <c r="HI105" s="261"/>
      <c r="HJ105" s="261"/>
      <c r="HK105" s="261"/>
      <c r="HL105" s="261"/>
      <c r="HM105" s="261"/>
      <c r="HN105" s="261"/>
      <c r="HO105" s="261"/>
      <c r="HP105" s="261"/>
      <c r="HQ105" s="261"/>
      <c r="HR105" s="261"/>
      <c r="HS105" s="261"/>
      <c r="HT105" s="261"/>
      <c r="HU105" s="261"/>
      <c r="HV105" s="261"/>
      <c r="HW105" s="261"/>
      <c r="HX105" s="261"/>
      <c r="HY105" s="261"/>
    </row>
    <row r="106" spans="1:233" customFormat="1" ht="13.5" thickBot="1" x14ac:dyDescent="0.35">
      <c r="A106" s="368"/>
      <c r="B106" s="401"/>
      <c r="D106" s="277"/>
      <c r="E106" s="392"/>
      <c r="F106" s="393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94"/>
      <c r="U106" s="294"/>
      <c r="V106" s="294"/>
      <c r="W106" s="294"/>
      <c r="X106" s="294"/>
      <c r="Y106" s="294"/>
      <c r="Z106" s="294"/>
      <c r="AA106" s="294"/>
      <c r="AB106" s="294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61"/>
      <c r="BD106" s="261"/>
      <c r="BE106" s="261"/>
      <c r="BF106" s="261"/>
      <c r="BG106" s="261"/>
      <c r="BH106" s="261"/>
      <c r="BI106" s="261"/>
      <c r="BJ106" s="261"/>
      <c r="BK106" s="261"/>
      <c r="BL106" s="261"/>
      <c r="BM106" s="261"/>
      <c r="BN106" s="261"/>
      <c r="BO106" s="261"/>
      <c r="BP106" s="261"/>
      <c r="BQ106" s="261"/>
      <c r="BR106" s="261"/>
      <c r="BS106" s="261"/>
      <c r="BT106" s="261"/>
      <c r="BU106" s="261"/>
      <c r="BV106" s="261"/>
      <c r="BW106" s="261"/>
      <c r="BX106" s="261"/>
      <c r="BY106" s="261"/>
      <c r="BZ106" s="261"/>
      <c r="CA106" s="261"/>
      <c r="CB106" s="261"/>
      <c r="CC106" s="261"/>
      <c r="CD106" s="261"/>
      <c r="CE106" s="261"/>
      <c r="CF106" s="261"/>
      <c r="CG106" s="261"/>
      <c r="CH106" s="261"/>
      <c r="CI106" s="261"/>
      <c r="CJ106" s="261"/>
      <c r="CK106" s="261"/>
      <c r="CL106" s="261"/>
      <c r="CM106" s="261"/>
      <c r="CN106" s="261"/>
      <c r="CO106" s="261"/>
      <c r="CP106" s="261"/>
      <c r="CQ106" s="261"/>
      <c r="CR106" s="261"/>
      <c r="CS106" s="261"/>
      <c r="CT106" s="261"/>
      <c r="CU106" s="261"/>
      <c r="CV106" s="261"/>
      <c r="CW106" s="261"/>
      <c r="CX106" s="261"/>
      <c r="CY106" s="261"/>
      <c r="CZ106" s="261"/>
      <c r="DA106" s="261"/>
      <c r="DB106" s="261"/>
      <c r="DC106" s="261"/>
      <c r="DD106" s="261"/>
      <c r="DE106" s="261"/>
      <c r="DF106" s="261"/>
      <c r="DG106" s="261"/>
      <c r="DH106" s="261"/>
      <c r="DI106" s="261"/>
      <c r="DJ106" s="261"/>
      <c r="DK106" s="261"/>
      <c r="DL106" s="261"/>
      <c r="DM106" s="261"/>
      <c r="DN106" s="261"/>
      <c r="DO106" s="261"/>
      <c r="DP106" s="261"/>
      <c r="DQ106" s="261"/>
      <c r="DR106" s="261"/>
      <c r="DS106" s="261"/>
      <c r="DT106" s="261"/>
      <c r="DU106" s="261"/>
      <c r="DV106" s="261"/>
      <c r="DW106" s="261"/>
      <c r="DX106" s="261"/>
      <c r="DY106" s="261"/>
      <c r="DZ106" s="261"/>
      <c r="EA106" s="261"/>
      <c r="EB106" s="261"/>
      <c r="EC106" s="261"/>
      <c r="ED106" s="261"/>
      <c r="EE106" s="261"/>
      <c r="EF106" s="261"/>
      <c r="EG106" s="261"/>
      <c r="EH106" s="261"/>
      <c r="EI106" s="261"/>
      <c r="EJ106" s="261"/>
      <c r="EK106" s="261"/>
      <c r="EL106" s="261"/>
      <c r="EM106" s="261"/>
      <c r="EN106" s="261"/>
      <c r="EO106" s="261"/>
      <c r="EP106" s="261"/>
      <c r="EQ106" s="261"/>
      <c r="ER106" s="261"/>
      <c r="ES106" s="261"/>
      <c r="ET106" s="261"/>
      <c r="EU106" s="261"/>
      <c r="EV106" s="261"/>
      <c r="EW106" s="261"/>
      <c r="EX106" s="261"/>
      <c r="EY106" s="261"/>
      <c r="EZ106" s="261"/>
      <c r="FA106" s="261"/>
      <c r="FB106" s="261"/>
      <c r="FC106" s="261"/>
      <c r="FD106" s="261"/>
      <c r="FE106" s="261"/>
      <c r="FF106" s="261"/>
      <c r="FG106" s="261"/>
      <c r="FH106" s="261"/>
      <c r="FI106" s="261"/>
      <c r="FJ106" s="261"/>
      <c r="FK106" s="261"/>
      <c r="FL106" s="261"/>
      <c r="FM106" s="261"/>
      <c r="FN106" s="261"/>
      <c r="FO106" s="261"/>
      <c r="FP106" s="261"/>
      <c r="FQ106" s="261"/>
      <c r="FR106" s="261"/>
      <c r="FS106" s="261"/>
      <c r="FT106" s="261"/>
      <c r="FU106" s="261"/>
      <c r="FV106" s="261"/>
      <c r="FW106" s="261"/>
      <c r="FX106" s="261"/>
      <c r="FY106" s="261"/>
      <c r="FZ106" s="261"/>
      <c r="GA106" s="261"/>
      <c r="GB106" s="261"/>
      <c r="GC106" s="261"/>
      <c r="GD106" s="261"/>
      <c r="GE106" s="261"/>
      <c r="GF106" s="261"/>
      <c r="GG106" s="261"/>
      <c r="GH106" s="261"/>
      <c r="GI106" s="261"/>
      <c r="GJ106" s="261"/>
      <c r="GK106" s="261"/>
      <c r="GL106" s="261"/>
      <c r="GM106" s="261"/>
      <c r="GN106" s="261"/>
      <c r="GO106" s="261"/>
      <c r="GP106" s="261"/>
      <c r="GQ106" s="261"/>
      <c r="GR106" s="261"/>
      <c r="GS106" s="261"/>
      <c r="GT106" s="261"/>
      <c r="GU106" s="261"/>
      <c r="GV106" s="261"/>
      <c r="GW106" s="261"/>
      <c r="GX106" s="261"/>
      <c r="GY106" s="261"/>
      <c r="GZ106" s="261"/>
      <c r="HA106" s="261"/>
      <c r="HB106" s="261"/>
      <c r="HC106" s="261"/>
      <c r="HD106" s="261"/>
      <c r="HE106" s="261"/>
      <c r="HF106" s="261"/>
      <c r="HG106" s="261"/>
      <c r="HH106" s="261"/>
      <c r="HI106" s="261"/>
      <c r="HJ106" s="261"/>
      <c r="HK106" s="261"/>
      <c r="HL106" s="261"/>
      <c r="HM106" s="261"/>
      <c r="HN106" s="261"/>
      <c r="HO106" s="261"/>
      <c r="HP106" s="261"/>
      <c r="HQ106" s="261"/>
      <c r="HR106" s="261"/>
      <c r="HS106" s="261"/>
      <c r="HT106" s="261"/>
      <c r="HU106" s="261"/>
      <c r="HV106" s="261"/>
      <c r="HW106" s="261"/>
      <c r="HX106" s="261"/>
      <c r="HY106" s="261"/>
    </row>
    <row r="107" spans="1:233" customFormat="1" ht="13" x14ac:dyDescent="0.3">
      <c r="A107" s="368"/>
      <c r="B107" s="32" t="str">
        <f>'Existing Management Practices'!B156</f>
        <v>Treatability</v>
      </c>
      <c r="C107" s="1420">
        <f>MIN(SUMPRODUCT(C100:F100,C101:F101)/'Primary Sources'!E53*5280/43560,1)</f>
        <v>0</v>
      </c>
      <c r="D107" s="277"/>
      <c r="E107" s="294"/>
      <c r="F107" s="343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94"/>
      <c r="U107" s="294"/>
      <c r="V107" s="294"/>
      <c r="W107" s="294"/>
      <c r="X107" s="294"/>
      <c r="Y107" s="294"/>
      <c r="Z107" s="294"/>
      <c r="AA107" s="294"/>
      <c r="AB107" s="294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61"/>
      <c r="BD107" s="261"/>
      <c r="BE107" s="261"/>
      <c r="BF107" s="261"/>
      <c r="BG107" s="261"/>
      <c r="BH107" s="261"/>
      <c r="BI107" s="261"/>
      <c r="BJ107" s="261"/>
      <c r="BK107" s="261"/>
      <c r="BL107" s="261"/>
      <c r="BM107" s="261"/>
      <c r="BN107" s="261"/>
      <c r="BO107" s="261"/>
      <c r="BP107" s="261"/>
      <c r="BQ107" s="261"/>
      <c r="BR107" s="261"/>
      <c r="BS107" s="261"/>
      <c r="BT107" s="261"/>
      <c r="BU107" s="261"/>
      <c r="BV107" s="261"/>
      <c r="BW107" s="261"/>
      <c r="BX107" s="261"/>
      <c r="BY107" s="261"/>
      <c r="BZ107" s="261"/>
      <c r="CA107" s="261"/>
      <c r="CB107" s="261"/>
      <c r="CC107" s="261"/>
      <c r="CD107" s="261"/>
      <c r="CE107" s="261"/>
      <c r="CF107" s="261"/>
      <c r="CG107" s="261"/>
      <c r="CH107" s="261"/>
      <c r="CI107" s="261"/>
      <c r="CJ107" s="261"/>
      <c r="CK107" s="261"/>
      <c r="CL107" s="261"/>
      <c r="CM107" s="261"/>
      <c r="CN107" s="261"/>
      <c r="CO107" s="261"/>
      <c r="CP107" s="261"/>
      <c r="CQ107" s="261"/>
      <c r="CR107" s="261"/>
      <c r="CS107" s="261"/>
      <c r="CT107" s="261"/>
      <c r="CU107" s="261"/>
      <c r="CV107" s="261"/>
      <c r="CW107" s="261"/>
      <c r="CX107" s="261"/>
      <c r="CY107" s="261"/>
      <c r="CZ107" s="261"/>
      <c r="DA107" s="261"/>
      <c r="DB107" s="261"/>
      <c r="DC107" s="261"/>
      <c r="DD107" s="261"/>
      <c r="DE107" s="261"/>
      <c r="DF107" s="261"/>
      <c r="DG107" s="261"/>
      <c r="DH107" s="261"/>
      <c r="DI107" s="261"/>
      <c r="DJ107" s="261"/>
      <c r="DK107" s="261"/>
      <c r="DL107" s="261"/>
      <c r="DM107" s="261"/>
      <c r="DN107" s="261"/>
      <c r="DO107" s="261"/>
      <c r="DP107" s="261"/>
      <c r="DQ107" s="261"/>
      <c r="DR107" s="261"/>
      <c r="DS107" s="261"/>
      <c r="DT107" s="261"/>
      <c r="DU107" s="261"/>
      <c r="DV107" s="261"/>
      <c r="DW107" s="261"/>
      <c r="DX107" s="261"/>
      <c r="DY107" s="261"/>
      <c r="DZ107" s="261"/>
      <c r="EA107" s="261"/>
      <c r="EB107" s="261"/>
      <c r="EC107" s="261"/>
      <c r="ED107" s="261"/>
      <c r="EE107" s="261"/>
      <c r="EF107" s="261"/>
      <c r="EG107" s="261"/>
      <c r="EH107" s="261"/>
      <c r="EI107" s="261"/>
      <c r="EJ107" s="261"/>
      <c r="EK107" s="261"/>
      <c r="EL107" s="261"/>
      <c r="EM107" s="261"/>
      <c r="EN107" s="261"/>
      <c r="EO107" s="261"/>
      <c r="EP107" s="261"/>
      <c r="EQ107" s="261"/>
      <c r="ER107" s="261"/>
      <c r="ES107" s="261"/>
      <c r="ET107" s="261"/>
      <c r="EU107" s="261"/>
      <c r="EV107" s="261"/>
      <c r="EW107" s="261"/>
      <c r="EX107" s="261"/>
      <c r="EY107" s="261"/>
      <c r="EZ107" s="261"/>
      <c r="FA107" s="261"/>
      <c r="FB107" s="261"/>
      <c r="FC107" s="261"/>
      <c r="FD107" s="261"/>
      <c r="FE107" s="261"/>
      <c r="FF107" s="261"/>
      <c r="FG107" s="261"/>
      <c r="FH107" s="261"/>
      <c r="FI107" s="261"/>
      <c r="FJ107" s="261"/>
      <c r="FK107" s="261"/>
      <c r="FL107" s="261"/>
      <c r="FM107" s="261"/>
      <c r="FN107" s="261"/>
      <c r="FO107" s="261"/>
      <c r="FP107" s="261"/>
      <c r="FQ107" s="261"/>
      <c r="FR107" s="261"/>
      <c r="FS107" s="261"/>
      <c r="FT107" s="261"/>
      <c r="FU107" s="261"/>
      <c r="FV107" s="261"/>
      <c r="FW107" s="261"/>
      <c r="FX107" s="261"/>
      <c r="FY107" s="261"/>
      <c r="FZ107" s="261"/>
      <c r="GA107" s="261"/>
      <c r="GB107" s="261"/>
      <c r="GC107" s="261"/>
      <c r="GD107" s="261"/>
      <c r="GE107" s="261"/>
      <c r="GF107" s="261"/>
      <c r="GG107" s="261"/>
      <c r="GH107" s="261"/>
      <c r="GI107" s="261"/>
      <c r="GJ107" s="261"/>
      <c r="GK107" s="261"/>
      <c r="GL107" s="261"/>
      <c r="GM107" s="261"/>
      <c r="GN107" s="261"/>
      <c r="GO107" s="261"/>
      <c r="GP107" s="261"/>
      <c r="GQ107" s="261"/>
      <c r="GR107" s="261"/>
      <c r="GS107" s="261"/>
      <c r="GT107" s="261"/>
      <c r="GU107" s="261"/>
      <c r="GV107" s="261"/>
      <c r="GW107" s="261"/>
      <c r="GX107" s="261"/>
      <c r="GY107" s="261"/>
      <c r="GZ107" s="261"/>
      <c r="HA107" s="261"/>
      <c r="HB107" s="261"/>
      <c r="HC107" s="261"/>
      <c r="HD107" s="261"/>
      <c r="HE107" s="261"/>
      <c r="HF107" s="261"/>
      <c r="HG107" s="261"/>
      <c r="HH107" s="261"/>
      <c r="HI107" s="261"/>
      <c r="HJ107" s="261"/>
      <c r="HK107" s="261"/>
      <c r="HL107" s="261"/>
      <c r="HM107" s="261"/>
      <c r="HN107" s="261"/>
      <c r="HO107" s="261"/>
      <c r="HP107" s="261"/>
      <c r="HQ107" s="261"/>
      <c r="HR107" s="261"/>
      <c r="HS107" s="261"/>
      <c r="HT107" s="261"/>
      <c r="HU107" s="261"/>
      <c r="HV107" s="261"/>
      <c r="HW107" s="261"/>
      <c r="HX107" s="261"/>
      <c r="HY107" s="261"/>
    </row>
    <row r="108" spans="1:233" customFormat="1" ht="13.5" thickBot="1" x14ac:dyDescent="0.35">
      <c r="A108" s="368"/>
      <c r="B108" s="97" t="str">
        <f>'Existing Management Practices'!B157</f>
        <v>Maintenance</v>
      </c>
      <c r="C108" s="1222">
        <f>'Existing Management Practices'!C157</f>
        <v>0.4</v>
      </c>
      <c r="D108" s="277"/>
      <c r="E108" s="395"/>
      <c r="F108" s="396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94"/>
      <c r="U108" s="294"/>
      <c r="V108" s="294"/>
      <c r="W108" s="294"/>
      <c r="X108" s="294"/>
      <c r="Y108" s="294"/>
      <c r="Z108" s="294"/>
      <c r="AA108" s="294"/>
      <c r="AB108" s="294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61"/>
      <c r="BD108" s="261"/>
      <c r="BE108" s="261"/>
      <c r="BF108" s="261"/>
      <c r="BG108" s="261"/>
      <c r="BH108" s="261"/>
      <c r="BI108" s="261"/>
      <c r="BJ108" s="261"/>
      <c r="BK108" s="261"/>
      <c r="BL108" s="261"/>
      <c r="BM108" s="261"/>
      <c r="BN108" s="261"/>
      <c r="BO108" s="261"/>
      <c r="BP108" s="261"/>
      <c r="BQ108" s="261"/>
      <c r="BR108" s="261"/>
      <c r="BS108" s="261"/>
      <c r="BT108" s="261"/>
      <c r="BU108" s="261"/>
      <c r="BV108" s="261"/>
      <c r="BW108" s="261"/>
      <c r="BX108" s="261"/>
      <c r="BY108" s="261"/>
      <c r="BZ108" s="261"/>
      <c r="CA108" s="261"/>
      <c r="CB108" s="261"/>
      <c r="CC108" s="261"/>
      <c r="CD108" s="261"/>
      <c r="CE108" s="261"/>
      <c r="CF108" s="261"/>
      <c r="CG108" s="261"/>
      <c r="CH108" s="261"/>
      <c r="CI108" s="261"/>
      <c r="CJ108" s="261"/>
      <c r="CK108" s="261"/>
      <c r="CL108" s="261"/>
      <c r="CM108" s="261"/>
      <c r="CN108" s="261"/>
      <c r="CO108" s="261"/>
      <c r="CP108" s="261"/>
      <c r="CQ108" s="261"/>
      <c r="CR108" s="261"/>
      <c r="CS108" s="261"/>
      <c r="CT108" s="261"/>
      <c r="CU108" s="261"/>
      <c r="CV108" s="261"/>
      <c r="CW108" s="261"/>
      <c r="CX108" s="261"/>
      <c r="CY108" s="261"/>
      <c r="CZ108" s="261"/>
      <c r="DA108" s="261"/>
      <c r="DB108" s="261"/>
      <c r="DC108" s="261"/>
      <c r="DD108" s="261"/>
      <c r="DE108" s="261"/>
      <c r="DF108" s="261"/>
      <c r="DG108" s="261"/>
      <c r="DH108" s="261"/>
      <c r="DI108" s="261"/>
      <c r="DJ108" s="261"/>
      <c r="DK108" s="261"/>
      <c r="DL108" s="261"/>
      <c r="DM108" s="261"/>
      <c r="DN108" s="261"/>
      <c r="DO108" s="261"/>
      <c r="DP108" s="261"/>
      <c r="DQ108" s="261"/>
      <c r="DR108" s="261"/>
      <c r="DS108" s="261"/>
      <c r="DT108" s="261"/>
      <c r="DU108" s="261"/>
      <c r="DV108" s="261"/>
      <c r="DW108" s="261"/>
      <c r="DX108" s="261"/>
      <c r="DY108" s="261"/>
      <c r="DZ108" s="261"/>
      <c r="EA108" s="261"/>
      <c r="EB108" s="261"/>
      <c r="EC108" s="261"/>
      <c r="ED108" s="261"/>
      <c r="EE108" s="261"/>
      <c r="EF108" s="261"/>
      <c r="EG108" s="261"/>
      <c r="EH108" s="261"/>
      <c r="EI108" s="261"/>
      <c r="EJ108" s="261"/>
      <c r="EK108" s="261"/>
      <c r="EL108" s="261"/>
      <c r="EM108" s="261"/>
      <c r="EN108" s="261"/>
      <c r="EO108" s="261"/>
      <c r="EP108" s="261"/>
      <c r="EQ108" s="261"/>
      <c r="ER108" s="261"/>
      <c r="ES108" s="261"/>
      <c r="ET108" s="261"/>
      <c r="EU108" s="261"/>
      <c r="EV108" s="261"/>
      <c r="EW108" s="261"/>
      <c r="EX108" s="261"/>
      <c r="EY108" s="261"/>
      <c r="EZ108" s="261"/>
      <c r="FA108" s="261"/>
      <c r="FB108" s="261"/>
      <c r="FC108" s="261"/>
      <c r="FD108" s="261"/>
      <c r="FE108" s="261"/>
      <c r="FF108" s="261"/>
      <c r="FG108" s="261"/>
      <c r="FH108" s="261"/>
      <c r="FI108" s="261"/>
      <c r="FJ108" s="261"/>
      <c r="FK108" s="261"/>
      <c r="FL108" s="261"/>
      <c r="FM108" s="261"/>
      <c r="FN108" s="261"/>
      <c r="FO108" s="261"/>
      <c r="FP108" s="261"/>
      <c r="FQ108" s="261"/>
      <c r="FR108" s="261"/>
      <c r="FS108" s="261"/>
      <c r="FT108" s="261"/>
      <c r="FU108" s="261"/>
      <c r="FV108" s="261"/>
      <c r="FW108" s="261"/>
      <c r="FX108" s="261"/>
      <c r="FY108" s="261"/>
      <c r="FZ108" s="261"/>
      <c r="GA108" s="261"/>
      <c r="GB108" s="261"/>
      <c r="GC108" s="261"/>
      <c r="GD108" s="261"/>
      <c r="GE108" s="261"/>
      <c r="GF108" s="261"/>
      <c r="GG108" s="261"/>
      <c r="GH108" s="261"/>
      <c r="GI108" s="261"/>
      <c r="GJ108" s="261"/>
      <c r="GK108" s="261"/>
      <c r="GL108" s="261"/>
      <c r="GM108" s="261"/>
      <c r="GN108" s="261"/>
      <c r="GO108" s="261"/>
      <c r="GP108" s="261"/>
      <c r="GQ108" s="261"/>
      <c r="GR108" s="261"/>
      <c r="GS108" s="261"/>
      <c r="GT108" s="261"/>
      <c r="GU108" s="261"/>
      <c r="GV108" s="261"/>
      <c r="GW108" s="261"/>
      <c r="GX108" s="261"/>
      <c r="GY108" s="261"/>
      <c r="GZ108" s="261"/>
      <c r="HA108" s="261"/>
      <c r="HB108" s="261"/>
      <c r="HC108" s="261"/>
      <c r="HD108" s="261"/>
      <c r="HE108" s="261"/>
      <c r="HF108" s="261"/>
      <c r="HG108" s="261"/>
      <c r="HH108" s="261"/>
      <c r="HI108" s="261"/>
      <c r="HJ108" s="261"/>
      <c r="HK108" s="261"/>
      <c r="HL108" s="261"/>
      <c r="HM108" s="261"/>
      <c r="HN108" s="261"/>
      <c r="HO108" s="261"/>
      <c r="HP108" s="261"/>
      <c r="HQ108" s="261"/>
      <c r="HR108" s="261"/>
      <c r="HS108" s="261"/>
      <c r="HT108" s="261"/>
      <c r="HU108" s="261"/>
      <c r="HV108" s="261"/>
      <c r="HW108" s="261"/>
      <c r="HX108" s="261"/>
      <c r="HY108" s="261"/>
    </row>
    <row r="109" spans="1:233" customFormat="1" ht="21" thickTop="1" thickBot="1" x14ac:dyDescent="0.45">
      <c r="A109" s="368"/>
      <c r="B109" s="16"/>
      <c r="C109" s="473"/>
      <c r="D109" s="473"/>
      <c r="E109" s="114"/>
      <c r="F109" s="277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94"/>
      <c r="U109" s="294"/>
      <c r="V109" s="294"/>
      <c r="W109" s="294"/>
      <c r="X109" s="294"/>
      <c r="Y109" s="294"/>
      <c r="Z109" s="294"/>
      <c r="AA109" s="294"/>
      <c r="AB109" s="294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61"/>
      <c r="BD109" s="261"/>
      <c r="BE109" s="261"/>
      <c r="BF109" s="261"/>
      <c r="BG109" s="261"/>
      <c r="BH109" s="261"/>
      <c r="BI109" s="261"/>
      <c r="BJ109" s="261"/>
      <c r="BK109" s="261"/>
      <c r="BL109" s="261"/>
      <c r="BM109" s="261"/>
      <c r="BN109" s="261"/>
      <c r="BO109" s="261"/>
      <c r="BP109" s="261"/>
      <c r="BQ109" s="261"/>
      <c r="BR109" s="261"/>
      <c r="BS109" s="261"/>
      <c r="BT109" s="261"/>
      <c r="BU109" s="261"/>
      <c r="BV109" s="261"/>
      <c r="BW109" s="261"/>
      <c r="BX109" s="261"/>
      <c r="BY109" s="261"/>
      <c r="BZ109" s="261"/>
      <c r="CA109" s="261"/>
      <c r="CB109" s="261"/>
      <c r="CC109" s="261"/>
      <c r="CD109" s="261"/>
      <c r="CE109" s="261"/>
      <c r="CF109" s="261"/>
      <c r="CG109" s="261"/>
      <c r="CH109" s="261"/>
      <c r="CI109" s="261"/>
      <c r="CJ109" s="261"/>
      <c r="CK109" s="261"/>
      <c r="CL109" s="261"/>
      <c r="CM109" s="261"/>
      <c r="CN109" s="261"/>
      <c r="CO109" s="261"/>
      <c r="CP109" s="261"/>
      <c r="CQ109" s="261"/>
      <c r="CR109" s="261"/>
      <c r="CS109" s="261"/>
      <c r="CT109" s="261"/>
      <c r="CU109" s="261"/>
      <c r="CV109" s="261"/>
      <c r="CW109" s="261"/>
      <c r="CX109" s="261"/>
      <c r="CY109" s="261"/>
      <c r="CZ109" s="261"/>
      <c r="DA109" s="261"/>
      <c r="DB109" s="261"/>
      <c r="DC109" s="261"/>
      <c r="DD109" s="261"/>
      <c r="DE109" s="261"/>
      <c r="DF109" s="261"/>
      <c r="DG109" s="261"/>
      <c r="DH109" s="261"/>
      <c r="DI109" s="261"/>
      <c r="DJ109" s="261"/>
      <c r="DK109" s="261"/>
      <c r="DL109" s="261"/>
      <c r="DM109" s="261"/>
      <c r="DN109" s="261"/>
      <c r="DO109" s="261"/>
      <c r="DP109" s="261"/>
      <c r="DQ109" s="261"/>
      <c r="DR109" s="261"/>
      <c r="DS109" s="261"/>
      <c r="DT109" s="261"/>
      <c r="DU109" s="261"/>
      <c r="DV109" s="261"/>
      <c r="DW109" s="261"/>
      <c r="DX109" s="261"/>
      <c r="DY109" s="261"/>
      <c r="DZ109" s="261"/>
      <c r="EA109" s="261"/>
      <c r="EB109" s="261"/>
      <c r="EC109" s="261"/>
      <c r="ED109" s="261"/>
      <c r="EE109" s="261"/>
      <c r="EF109" s="261"/>
      <c r="EG109" s="261"/>
      <c r="EH109" s="261"/>
      <c r="EI109" s="261"/>
      <c r="EJ109" s="261"/>
      <c r="EK109" s="261"/>
      <c r="EL109" s="261"/>
      <c r="EM109" s="261"/>
      <c r="EN109" s="261"/>
      <c r="EO109" s="261"/>
      <c r="EP109" s="261"/>
      <c r="EQ109" s="261"/>
      <c r="ER109" s="261"/>
      <c r="ES109" s="261"/>
      <c r="ET109" s="261"/>
      <c r="EU109" s="261"/>
      <c r="EV109" s="261"/>
      <c r="EW109" s="261"/>
      <c r="EX109" s="261"/>
      <c r="EY109" s="261"/>
      <c r="EZ109" s="261"/>
      <c r="FA109" s="261"/>
      <c r="FB109" s="261"/>
      <c r="FC109" s="261"/>
      <c r="FD109" s="261"/>
      <c r="FE109" s="261"/>
      <c r="FF109" s="261"/>
      <c r="FG109" s="261"/>
      <c r="FH109" s="261"/>
      <c r="FI109" s="261"/>
      <c r="FJ109" s="261"/>
      <c r="FK109" s="261"/>
      <c r="FL109" s="261"/>
      <c r="FM109" s="261"/>
      <c r="FN109" s="261"/>
      <c r="FO109" s="261"/>
      <c r="FP109" s="261"/>
      <c r="FQ109" s="261"/>
      <c r="FR109" s="261"/>
      <c r="FS109" s="261"/>
      <c r="FT109" s="261"/>
      <c r="FU109" s="261"/>
      <c r="FV109" s="261"/>
      <c r="FW109" s="261"/>
      <c r="FX109" s="261"/>
      <c r="FY109" s="261"/>
      <c r="FZ109" s="261"/>
      <c r="GA109" s="261"/>
      <c r="GB109" s="261"/>
      <c r="GC109" s="261"/>
      <c r="GD109" s="261"/>
      <c r="GE109" s="261"/>
      <c r="GF109" s="261"/>
      <c r="GG109" s="261"/>
      <c r="GH109" s="261"/>
      <c r="GI109" s="261"/>
      <c r="GJ109" s="261"/>
      <c r="GK109" s="261"/>
      <c r="GL109" s="261"/>
      <c r="GM109" s="261"/>
      <c r="GN109" s="261"/>
      <c r="GO109" s="261"/>
      <c r="GP109" s="261"/>
      <c r="GQ109" s="261"/>
      <c r="GR109" s="261"/>
      <c r="GS109" s="261"/>
      <c r="GT109" s="261"/>
      <c r="GU109" s="261"/>
      <c r="GV109" s="261"/>
      <c r="GW109" s="261"/>
      <c r="GX109" s="261"/>
      <c r="GY109" s="261"/>
      <c r="GZ109" s="261"/>
      <c r="HA109" s="261"/>
      <c r="HB109" s="261"/>
      <c r="HC109" s="261"/>
      <c r="HD109" s="261"/>
      <c r="HE109" s="261"/>
      <c r="HF109" s="261"/>
      <c r="HG109" s="261"/>
      <c r="HH109" s="261"/>
      <c r="HI109" s="261"/>
      <c r="HJ109" s="261"/>
      <c r="HK109" s="261"/>
      <c r="HL109" s="261"/>
      <c r="HM109" s="261"/>
      <c r="HN109" s="261"/>
      <c r="HO109" s="261"/>
      <c r="HP109" s="261"/>
      <c r="HQ109" s="261"/>
      <c r="HR109" s="261"/>
      <c r="HS109" s="261"/>
      <c r="HT109" s="261"/>
      <c r="HU109" s="261"/>
      <c r="HV109" s="261"/>
      <c r="HW109" s="261"/>
      <c r="HX109" s="261"/>
      <c r="HY109" s="261"/>
    </row>
    <row r="110" spans="1:233" customFormat="1" ht="21" thickTop="1" thickBot="1" x14ac:dyDescent="0.45">
      <c r="A110" s="368"/>
      <c r="B110" s="1864" t="s">
        <v>336</v>
      </c>
      <c r="C110" s="1801"/>
      <c r="D110" s="1801"/>
      <c r="E110" s="1802"/>
      <c r="F110" s="277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94"/>
      <c r="U110" s="294"/>
      <c r="V110" s="294"/>
      <c r="W110" s="294"/>
      <c r="X110" s="294"/>
      <c r="Y110" s="294"/>
      <c r="Z110" s="294"/>
      <c r="AA110" s="294"/>
      <c r="AB110" s="294"/>
      <c r="AC110" s="277"/>
      <c r="AD110" s="277"/>
      <c r="AE110" s="277"/>
      <c r="AF110" s="277"/>
      <c r="AG110" s="277"/>
      <c r="AH110" s="277"/>
      <c r="AI110" s="277"/>
      <c r="AJ110" s="277"/>
      <c r="AK110" s="277"/>
      <c r="AL110" s="277"/>
      <c r="AM110" s="277"/>
      <c r="AN110" s="277"/>
      <c r="AO110" s="277"/>
      <c r="AP110" s="277"/>
      <c r="AQ110" s="277"/>
      <c r="AR110" s="277"/>
      <c r="AS110" s="277"/>
      <c r="AT110" s="277"/>
      <c r="AU110" s="277"/>
      <c r="AV110" s="277"/>
      <c r="AW110" s="277"/>
      <c r="AX110" s="277"/>
      <c r="AY110" s="277"/>
      <c r="AZ110" s="277"/>
      <c r="BA110" s="277"/>
      <c r="BB110" s="277"/>
      <c r="BC110" s="261"/>
      <c r="BD110" s="261"/>
      <c r="BE110" s="261"/>
      <c r="BF110" s="261"/>
      <c r="BG110" s="261"/>
      <c r="BH110" s="261"/>
      <c r="BI110" s="261"/>
      <c r="BJ110" s="261"/>
      <c r="BK110" s="261"/>
      <c r="BL110" s="261"/>
      <c r="BM110" s="261"/>
      <c r="BN110" s="261"/>
      <c r="BO110" s="261"/>
      <c r="BP110" s="261"/>
      <c r="BQ110" s="261"/>
      <c r="BR110" s="261"/>
      <c r="BS110" s="261"/>
      <c r="BT110" s="261"/>
      <c r="BU110" s="261"/>
      <c r="BV110" s="261"/>
      <c r="BW110" s="261"/>
      <c r="BX110" s="261"/>
      <c r="BY110" s="261"/>
      <c r="BZ110" s="261"/>
      <c r="CA110" s="261"/>
      <c r="CB110" s="261"/>
      <c r="CC110" s="261"/>
      <c r="CD110" s="261"/>
      <c r="CE110" s="261"/>
      <c r="CF110" s="261"/>
      <c r="CG110" s="261"/>
      <c r="CH110" s="261"/>
      <c r="CI110" s="261"/>
      <c r="CJ110" s="261"/>
      <c r="CK110" s="261"/>
      <c r="CL110" s="261"/>
      <c r="CM110" s="261"/>
      <c r="CN110" s="261"/>
      <c r="CO110" s="261"/>
      <c r="CP110" s="261"/>
      <c r="CQ110" s="261"/>
      <c r="CR110" s="261"/>
      <c r="CS110" s="261"/>
      <c r="CT110" s="261"/>
      <c r="CU110" s="261"/>
      <c r="CV110" s="261"/>
      <c r="CW110" s="261"/>
      <c r="CX110" s="261"/>
      <c r="CY110" s="261"/>
      <c r="CZ110" s="261"/>
      <c r="DA110" s="261"/>
      <c r="DB110" s="261"/>
      <c r="DC110" s="261"/>
      <c r="DD110" s="261"/>
      <c r="DE110" s="261"/>
      <c r="DF110" s="261"/>
      <c r="DG110" s="261"/>
      <c r="DH110" s="261"/>
      <c r="DI110" s="261"/>
      <c r="DJ110" s="261"/>
      <c r="DK110" s="261"/>
      <c r="DL110" s="261"/>
      <c r="DM110" s="261"/>
      <c r="DN110" s="261"/>
      <c r="DO110" s="261"/>
      <c r="DP110" s="261"/>
      <c r="DQ110" s="261"/>
      <c r="DR110" s="261"/>
      <c r="DS110" s="261"/>
      <c r="DT110" s="261"/>
      <c r="DU110" s="261"/>
      <c r="DV110" s="261"/>
      <c r="DW110" s="261"/>
      <c r="DX110" s="261"/>
      <c r="DY110" s="261"/>
      <c r="DZ110" s="261"/>
      <c r="EA110" s="261"/>
      <c r="EB110" s="261"/>
      <c r="EC110" s="261"/>
      <c r="ED110" s="261"/>
      <c r="EE110" s="261"/>
      <c r="EF110" s="261"/>
      <c r="EG110" s="261"/>
      <c r="EH110" s="261"/>
      <c r="EI110" s="261"/>
      <c r="EJ110" s="261"/>
      <c r="EK110" s="261"/>
      <c r="EL110" s="261"/>
      <c r="EM110" s="261"/>
      <c r="EN110" s="261"/>
      <c r="EO110" s="261"/>
      <c r="EP110" s="261"/>
      <c r="EQ110" s="261"/>
      <c r="ER110" s="261"/>
      <c r="ES110" s="261"/>
      <c r="ET110" s="261"/>
      <c r="EU110" s="261"/>
      <c r="EV110" s="261"/>
      <c r="EW110" s="261"/>
      <c r="EX110" s="261"/>
      <c r="EY110" s="261"/>
      <c r="EZ110" s="261"/>
      <c r="FA110" s="261"/>
      <c r="FB110" s="261"/>
      <c r="FC110" s="261"/>
      <c r="FD110" s="261"/>
      <c r="FE110" s="261"/>
      <c r="FF110" s="261"/>
      <c r="FG110" s="261"/>
      <c r="FH110" s="261"/>
      <c r="FI110" s="261"/>
      <c r="FJ110" s="261"/>
      <c r="FK110" s="261"/>
      <c r="FL110" s="261"/>
      <c r="FM110" s="261"/>
      <c r="FN110" s="261"/>
      <c r="FO110" s="261"/>
      <c r="FP110" s="261"/>
      <c r="FQ110" s="261"/>
      <c r="FR110" s="261"/>
      <c r="FS110" s="261"/>
      <c r="FT110" s="261"/>
      <c r="FU110" s="261"/>
      <c r="FV110" s="261"/>
      <c r="FW110" s="261"/>
      <c r="FX110" s="261"/>
      <c r="FY110" s="261"/>
      <c r="FZ110" s="261"/>
      <c r="GA110" s="261"/>
      <c r="GB110" s="261"/>
      <c r="GC110" s="261"/>
      <c r="GD110" s="261"/>
      <c r="GE110" s="261"/>
      <c r="GF110" s="261"/>
      <c r="GG110" s="261"/>
      <c r="GH110" s="261"/>
      <c r="GI110" s="261"/>
      <c r="GJ110" s="261"/>
      <c r="GK110" s="261"/>
      <c r="GL110" s="261"/>
      <c r="GM110" s="261"/>
      <c r="GN110" s="261"/>
      <c r="GO110" s="261"/>
      <c r="GP110" s="261"/>
      <c r="GQ110" s="261"/>
      <c r="GR110" s="261"/>
      <c r="GS110" s="261"/>
      <c r="GT110" s="261"/>
      <c r="GU110" s="261"/>
      <c r="GV110" s="261"/>
      <c r="GW110" s="261"/>
      <c r="GX110" s="261"/>
      <c r="GY110" s="261"/>
      <c r="GZ110" s="261"/>
      <c r="HA110" s="261"/>
      <c r="HB110" s="261"/>
      <c r="HC110" s="261"/>
      <c r="HD110" s="261"/>
      <c r="HE110" s="261"/>
      <c r="HF110" s="261"/>
      <c r="HG110" s="261"/>
      <c r="HH110" s="261"/>
      <c r="HI110" s="261"/>
      <c r="HJ110" s="261"/>
      <c r="HK110" s="261"/>
      <c r="HL110" s="261"/>
      <c r="HM110" s="261"/>
      <c r="HN110" s="261"/>
      <c r="HO110" s="261"/>
      <c r="HP110" s="261"/>
      <c r="HQ110" s="261"/>
      <c r="HR110" s="261"/>
      <c r="HS110" s="261"/>
      <c r="HT110" s="261"/>
      <c r="HU110" s="261"/>
      <c r="HV110" s="261"/>
      <c r="HW110" s="261"/>
      <c r="HX110" s="261"/>
      <c r="HY110" s="261"/>
    </row>
    <row r="111" spans="1:233" customFormat="1" ht="13" x14ac:dyDescent="0.3">
      <c r="A111" s="368"/>
      <c r="B111" s="250"/>
      <c r="C111" s="488" t="str">
        <f>'Existing Management Practices'!C160</f>
        <v>Impervious Area</v>
      </c>
      <c r="D111" s="489" t="str">
        <f>'Existing Management Practices'!D160</f>
        <v xml:space="preserve"> Efficiency</v>
      </c>
      <c r="E111" s="103"/>
      <c r="F111" s="277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94"/>
      <c r="U111" s="294"/>
      <c r="V111" s="294"/>
      <c r="W111" s="294"/>
      <c r="X111" s="294"/>
      <c r="Y111" s="294"/>
      <c r="Z111" s="294"/>
      <c r="AA111" s="294"/>
      <c r="AB111" s="294"/>
      <c r="AC111" s="277"/>
      <c r="AD111" s="277"/>
      <c r="AE111" s="277"/>
      <c r="AF111" s="277"/>
      <c r="AG111" s="277"/>
      <c r="AH111" s="277"/>
      <c r="AI111" s="277"/>
      <c r="AJ111" s="277"/>
      <c r="AK111" s="277"/>
      <c r="AL111" s="277"/>
      <c r="AM111" s="277"/>
      <c r="AN111" s="277"/>
      <c r="AO111" s="277"/>
      <c r="AP111" s="277"/>
      <c r="AQ111" s="277"/>
      <c r="AR111" s="277"/>
      <c r="AS111" s="277"/>
      <c r="AT111" s="277"/>
      <c r="AU111" s="277"/>
      <c r="AV111" s="277"/>
      <c r="AW111" s="277"/>
      <c r="AX111" s="277"/>
      <c r="AY111" s="277"/>
      <c r="AZ111" s="277"/>
      <c r="BA111" s="277"/>
      <c r="BB111" s="277"/>
      <c r="BC111" s="261"/>
      <c r="BD111" s="261"/>
      <c r="BE111" s="261"/>
      <c r="BF111" s="261"/>
      <c r="BG111" s="261"/>
      <c r="BH111" s="261"/>
      <c r="BI111" s="261"/>
      <c r="BJ111" s="261"/>
      <c r="BK111" s="261"/>
      <c r="BL111" s="261"/>
      <c r="BM111" s="261"/>
      <c r="BN111" s="261"/>
      <c r="BO111" s="261"/>
      <c r="BP111" s="261"/>
      <c r="BQ111" s="261"/>
      <c r="BR111" s="261"/>
      <c r="BS111" s="261"/>
      <c r="BT111" s="261"/>
      <c r="BU111" s="261"/>
      <c r="BV111" s="261"/>
      <c r="BW111" s="261"/>
      <c r="BX111" s="261"/>
      <c r="BY111" s="261"/>
      <c r="BZ111" s="261"/>
      <c r="CA111" s="261"/>
      <c r="CB111" s="261"/>
      <c r="CC111" s="261"/>
      <c r="CD111" s="261"/>
      <c r="CE111" s="261"/>
      <c r="CF111" s="261"/>
      <c r="CG111" s="261"/>
      <c r="CH111" s="261"/>
      <c r="CI111" s="261"/>
      <c r="CJ111" s="261"/>
      <c r="CK111" s="261"/>
      <c r="CL111" s="261"/>
      <c r="CM111" s="261"/>
      <c r="CN111" s="261"/>
      <c r="CO111" s="261"/>
      <c r="CP111" s="261"/>
      <c r="CQ111" s="261"/>
      <c r="CR111" s="261"/>
      <c r="CS111" s="261"/>
      <c r="CT111" s="261"/>
      <c r="CU111" s="261"/>
      <c r="CV111" s="261"/>
      <c r="CW111" s="261"/>
      <c r="CX111" s="261"/>
      <c r="CY111" s="261"/>
      <c r="CZ111" s="261"/>
      <c r="DA111" s="261"/>
      <c r="DB111" s="261"/>
      <c r="DC111" s="261"/>
      <c r="DD111" s="261"/>
      <c r="DE111" s="261"/>
      <c r="DF111" s="261"/>
      <c r="DG111" s="261"/>
      <c r="DH111" s="261"/>
      <c r="DI111" s="261"/>
      <c r="DJ111" s="261"/>
      <c r="DK111" s="261"/>
      <c r="DL111" s="261"/>
      <c r="DM111" s="261"/>
      <c r="DN111" s="261"/>
      <c r="DO111" s="261"/>
      <c r="DP111" s="261"/>
      <c r="DQ111" s="261"/>
      <c r="DR111" s="261"/>
      <c r="DS111" s="261"/>
      <c r="DT111" s="261"/>
      <c r="DU111" s="261"/>
      <c r="DV111" s="261"/>
      <c r="DW111" s="261"/>
      <c r="DX111" s="261"/>
      <c r="DY111" s="261"/>
      <c r="DZ111" s="261"/>
      <c r="EA111" s="261"/>
      <c r="EB111" s="261"/>
      <c r="EC111" s="261"/>
      <c r="ED111" s="261"/>
      <c r="EE111" s="261"/>
      <c r="EF111" s="261"/>
      <c r="EG111" s="261"/>
      <c r="EH111" s="261"/>
      <c r="EI111" s="261"/>
      <c r="EJ111" s="261"/>
      <c r="EK111" s="261"/>
      <c r="EL111" s="261"/>
      <c r="EM111" s="261"/>
      <c r="EN111" s="261"/>
      <c r="EO111" s="261"/>
      <c r="EP111" s="261"/>
      <c r="EQ111" s="261"/>
      <c r="ER111" s="261"/>
      <c r="ES111" s="261"/>
      <c r="ET111" s="261"/>
      <c r="EU111" s="261"/>
      <c r="EV111" s="261"/>
      <c r="EW111" s="261"/>
      <c r="EX111" s="261"/>
      <c r="EY111" s="261"/>
      <c r="EZ111" s="261"/>
      <c r="FA111" s="261"/>
      <c r="FB111" s="261"/>
      <c r="FC111" s="261"/>
      <c r="FD111" s="261"/>
      <c r="FE111" s="261"/>
      <c r="FF111" s="261"/>
      <c r="FG111" s="261"/>
      <c r="FH111" s="261"/>
      <c r="FI111" s="261"/>
      <c r="FJ111" s="261"/>
      <c r="FK111" s="261"/>
      <c r="FL111" s="261"/>
      <c r="FM111" s="261"/>
      <c r="FN111" s="261"/>
      <c r="FO111" s="261"/>
      <c r="FP111" s="261"/>
      <c r="FQ111" s="261"/>
      <c r="FR111" s="261"/>
      <c r="FS111" s="261"/>
      <c r="FT111" s="261"/>
      <c r="FU111" s="261"/>
      <c r="FV111" s="261"/>
      <c r="FW111" s="261"/>
      <c r="FX111" s="261"/>
      <c r="FY111" s="261"/>
      <c r="FZ111" s="261"/>
      <c r="GA111" s="261"/>
      <c r="GB111" s="261"/>
      <c r="GC111" s="261"/>
      <c r="GD111" s="261"/>
      <c r="GE111" s="261"/>
      <c r="GF111" s="261"/>
      <c r="GG111" s="261"/>
      <c r="GH111" s="261"/>
      <c r="GI111" s="261"/>
      <c r="GJ111" s="261"/>
      <c r="GK111" s="261"/>
      <c r="GL111" s="261"/>
      <c r="GM111" s="261"/>
      <c r="GN111" s="261"/>
      <c r="GO111" s="261"/>
      <c r="GP111" s="261"/>
      <c r="GQ111" s="261"/>
      <c r="GR111" s="261"/>
      <c r="GS111" s="261"/>
      <c r="GT111" s="261"/>
      <c r="GU111" s="261"/>
      <c r="GV111" s="261"/>
      <c r="GW111" s="261"/>
      <c r="GX111" s="261"/>
      <c r="GY111" s="261"/>
      <c r="GZ111" s="261"/>
      <c r="HA111" s="261"/>
      <c r="HB111" s="261"/>
      <c r="HC111" s="261"/>
      <c r="HD111" s="261"/>
      <c r="HE111" s="261"/>
      <c r="HF111" s="261"/>
      <c r="HG111" s="261"/>
      <c r="HH111" s="261"/>
      <c r="HI111" s="261"/>
      <c r="HJ111" s="261"/>
      <c r="HK111" s="261"/>
      <c r="HL111" s="261"/>
      <c r="HM111" s="261"/>
      <c r="HN111" s="261"/>
      <c r="HO111" s="261"/>
      <c r="HP111" s="261"/>
      <c r="HQ111" s="261"/>
      <c r="HR111" s="261"/>
      <c r="HS111" s="261"/>
      <c r="HT111" s="261"/>
      <c r="HU111" s="261"/>
      <c r="HV111" s="261"/>
      <c r="HW111" s="261"/>
      <c r="HX111" s="261"/>
      <c r="HY111" s="261"/>
    </row>
    <row r="112" spans="1:233" customFormat="1" ht="13.5" thickBot="1" x14ac:dyDescent="0.35">
      <c r="A112" s="368"/>
      <c r="B112" s="86"/>
      <c r="C112" s="490" t="str">
        <f>'Existing Management Practices'!C161</f>
        <v>Captured (Acres)</v>
      </c>
      <c r="D112" s="491" t="str">
        <f>'Existing Management Practices'!D161</f>
        <v>Nutrients</v>
      </c>
      <c r="E112" s="412" t="str">
        <f>'Existing Management Practices'!E161</f>
        <v>TSS</v>
      </c>
      <c r="F112" s="277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94"/>
      <c r="U112" s="294"/>
      <c r="V112" s="294"/>
      <c r="W112" s="294"/>
      <c r="X112" s="294"/>
      <c r="Y112" s="294"/>
      <c r="Z112" s="294"/>
      <c r="AA112" s="294"/>
      <c r="AB112" s="294"/>
      <c r="AC112" s="277"/>
      <c r="AD112" s="277"/>
      <c r="AE112" s="277"/>
      <c r="AF112" s="277"/>
      <c r="AG112" s="277"/>
      <c r="AH112" s="277"/>
      <c r="AI112" s="277"/>
      <c r="AJ112" s="277"/>
      <c r="AK112" s="277"/>
      <c r="AL112" s="277"/>
      <c r="AM112" s="277"/>
      <c r="AN112" s="277"/>
      <c r="AO112" s="277"/>
      <c r="AP112" s="277"/>
      <c r="AQ112" s="277"/>
      <c r="AR112" s="277"/>
      <c r="AS112" s="277"/>
      <c r="AT112" s="277"/>
      <c r="AU112" s="277"/>
      <c r="AV112" s="277"/>
      <c r="AW112" s="277"/>
      <c r="AX112" s="277"/>
      <c r="AY112" s="277"/>
      <c r="AZ112" s="277"/>
      <c r="BA112" s="277"/>
      <c r="BB112" s="277"/>
      <c r="BC112" s="261"/>
      <c r="BD112" s="261"/>
      <c r="BE112" s="261"/>
      <c r="BF112" s="261"/>
      <c r="BG112" s="261"/>
      <c r="BH112" s="261"/>
      <c r="BI112" s="261"/>
      <c r="BJ112" s="261"/>
      <c r="BK112" s="261"/>
      <c r="BL112" s="261"/>
      <c r="BM112" s="261"/>
      <c r="BN112" s="261"/>
      <c r="BO112" s="261"/>
      <c r="BP112" s="261"/>
      <c r="BQ112" s="261"/>
      <c r="BR112" s="261"/>
      <c r="BS112" s="261"/>
      <c r="BT112" s="261"/>
      <c r="BU112" s="261"/>
      <c r="BV112" s="261"/>
      <c r="BW112" s="261"/>
      <c r="BX112" s="261"/>
      <c r="BY112" s="261"/>
      <c r="BZ112" s="261"/>
      <c r="CA112" s="261"/>
      <c r="CB112" s="261"/>
      <c r="CC112" s="261"/>
      <c r="CD112" s="261"/>
      <c r="CE112" s="261"/>
      <c r="CF112" s="261"/>
      <c r="CG112" s="261"/>
      <c r="CH112" s="261"/>
      <c r="CI112" s="261"/>
      <c r="CJ112" s="261"/>
      <c r="CK112" s="261"/>
      <c r="CL112" s="261"/>
      <c r="CM112" s="261"/>
      <c r="CN112" s="261"/>
      <c r="CO112" s="261"/>
      <c r="CP112" s="261"/>
      <c r="CQ112" s="261"/>
      <c r="CR112" s="261"/>
      <c r="CS112" s="261"/>
      <c r="CT112" s="261"/>
      <c r="CU112" s="261"/>
      <c r="CV112" s="261"/>
      <c r="CW112" s="261"/>
      <c r="CX112" s="261"/>
      <c r="CY112" s="261"/>
      <c r="CZ112" s="261"/>
      <c r="DA112" s="261"/>
      <c r="DB112" s="261"/>
      <c r="DC112" s="261"/>
      <c r="DD112" s="261"/>
      <c r="DE112" s="261"/>
      <c r="DF112" s="261"/>
      <c r="DG112" s="261"/>
      <c r="DH112" s="261"/>
      <c r="DI112" s="261"/>
      <c r="DJ112" s="261"/>
      <c r="DK112" s="261"/>
      <c r="DL112" s="261"/>
      <c r="DM112" s="261"/>
      <c r="DN112" s="261"/>
      <c r="DO112" s="261"/>
      <c r="DP112" s="261"/>
      <c r="DQ112" s="261"/>
      <c r="DR112" s="261"/>
      <c r="DS112" s="261"/>
      <c r="DT112" s="261"/>
      <c r="DU112" s="261"/>
      <c r="DV112" s="261"/>
      <c r="DW112" s="261"/>
      <c r="DX112" s="261"/>
      <c r="DY112" s="261"/>
      <c r="DZ112" s="261"/>
      <c r="EA112" s="261"/>
      <c r="EB112" s="261"/>
      <c r="EC112" s="261"/>
      <c r="ED112" s="261"/>
      <c r="EE112" s="261"/>
      <c r="EF112" s="261"/>
      <c r="EG112" s="261"/>
      <c r="EH112" s="261"/>
      <c r="EI112" s="261"/>
      <c r="EJ112" s="261"/>
      <c r="EK112" s="261"/>
      <c r="EL112" s="261"/>
      <c r="EM112" s="261"/>
      <c r="EN112" s="261"/>
      <c r="EO112" s="261"/>
      <c r="EP112" s="261"/>
      <c r="EQ112" s="261"/>
      <c r="ER112" s="261"/>
      <c r="ES112" s="261"/>
      <c r="ET112" s="261"/>
      <c r="EU112" s="261"/>
      <c r="EV112" s="261"/>
      <c r="EW112" s="261"/>
      <c r="EX112" s="261"/>
      <c r="EY112" s="261"/>
      <c r="EZ112" s="261"/>
      <c r="FA112" s="261"/>
      <c r="FB112" s="261"/>
      <c r="FC112" s="261"/>
      <c r="FD112" s="261"/>
      <c r="FE112" s="261"/>
      <c r="FF112" s="261"/>
      <c r="FG112" s="261"/>
      <c r="FH112" s="261"/>
      <c r="FI112" s="261"/>
      <c r="FJ112" s="261"/>
      <c r="FK112" s="261"/>
      <c r="FL112" s="261"/>
      <c r="FM112" s="261"/>
      <c r="FN112" s="261"/>
      <c r="FO112" s="261"/>
      <c r="FP112" s="261"/>
      <c r="FQ112" s="261"/>
      <c r="FR112" s="261"/>
      <c r="FS112" s="261"/>
      <c r="FT112" s="261"/>
      <c r="FU112" s="261"/>
      <c r="FV112" s="261"/>
      <c r="FW112" s="261"/>
      <c r="FX112" s="261"/>
      <c r="FY112" s="261"/>
      <c r="FZ112" s="261"/>
      <c r="GA112" s="261"/>
      <c r="GB112" s="261"/>
      <c r="GC112" s="261"/>
      <c r="GD112" s="261"/>
      <c r="GE112" s="261"/>
      <c r="GF112" s="261"/>
      <c r="GG112" s="261"/>
      <c r="GH112" s="261"/>
      <c r="GI112" s="261"/>
      <c r="GJ112" s="261"/>
      <c r="GK112" s="261"/>
      <c r="GL112" s="261"/>
      <c r="GM112" s="261"/>
      <c r="GN112" s="261"/>
      <c r="GO112" s="261"/>
      <c r="GP112" s="261"/>
      <c r="GQ112" s="261"/>
      <c r="GR112" s="261"/>
      <c r="GS112" s="261"/>
      <c r="GT112" s="261"/>
      <c r="GU112" s="261"/>
      <c r="GV112" s="261"/>
      <c r="GW112" s="261"/>
      <c r="GX112" s="261"/>
      <c r="GY112" s="261"/>
      <c r="GZ112" s="261"/>
      <c r="HA112" s="261"/>
      <c r="HB112" s="261"/>
      <c r="HC112" s="261"/>
      <c r="HD112" s="261"/>
      <c r="HE112" s="261"/>
      <c r="HF112" s="261"/>
      <c r="HG112" s="261"/>
      <c r="HH112" s="261"/>
      <c r="HI112" s="261"/>
      <c r="HJ112" s="261"/>
      <c r="HK112" s="261"/>
      <c r="HL112" s="261"/>
      <c r="HM112" s="261"/>
      <c r="HN112" s="261"/>
      <c r="HO112" s="261"/>
      <c r="HP112" s="261"/>
      <c r="HQ112" s="261"/>
      <c r="HR112" s="261"/>
      <c r="HS112" s="261"/>
      <c r="HT112" s="261"/>
      <c r="HU112" s="261"/>
      <c r="HV112" s="261"/>
      <c r="HW112" s="261"/>
      <c r="HX112" s="261"/>
      <c r="HY112" s="261"/>
    </row>
    <row r="113" spans="1:233" s="261" customFormat="1" ht="13" x14ac:dyDescent="0.3">
      <c r="A113" s="368"/>
      <c r="B113" s="32" t="s">
        <v>339</v>
      </c>
      <c r="C113" s="1223">
        <f>'Existing Management Practices'!C162</f>
        <v>0</v>
      </c>
      <c r="D113" s="1353">
        <f>'Existing Management Practices'!D162</f>
        <v>0.15</v>
      </c>
      <c r="E113" s="1429">
        <f>'Existing Management Practices'!E162</f>
        <v>0.25</v>
      </c>
      <c r="F113" s="277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94"/>
      <c r="U113" s="294"/>
      <c r="V113" s="294"/>
      <c r="W113" s="294"/>
      <c r="X113" s="294"/>
      <c r="Y113" s="294"/>
      <c r="Z113" s="294"/>
      <c r="AA113" s="294"/>
      <c r="AB113" s="294"/>
      <c r="AC113" s="277"/>
      <c r="AD113" s="277"/>
      <c r="AE113" s="277"/>
      <c r="AF113" s="277"/>
      <c r="AG113" s="277"/>
      <c r="AH113" s="277"/>
      <c r="AI113" s="277"/>
      <c r="AJ113" s="277"/>
      <c r="AK113" s="277"/>
      <c r="AL113" s="277"/>
      <c r="AM113" s="277"/>
      <c r="AN113" s="277"/>
      <c r="AO113" s="277"/>
      <c r="AP113" s="277"/>
      <c r="AQ113" s="277"/>
      <c r="AR113" s="277"/>
      <c r="AS113" s="277"/>
      <c r="AT113" s="277"/>
      <c r="AU113" s="277"/>
      <c r="AV113" s="277"/>
      <c r="AW113" s="277"/>
      <c r="AX113" s="277"/>
      <c r="AY113" s="277"/>
      <c r="AZ113" s="277"/>
      <c r="BA113" s="277"/>
      <c r="BB113" s="277"/>
    </row>
    <row r="114" spans="1:233" customFormat="1" ht="13" x14ac:dyDescent="0.3">
      <c r="A114" s="368"/>
      <c r="B114" s="39" t="s">
        <v>340</v>
      </c>
      <c r="C114" s="1224">
        <f>'Existing Management Practices'!C163</f>
        <v>0</v>
      </c>
      <c r="D114" s="1325">
        <f>'Existing Management Practices'!D163</f>
        <v>0.08</v>
      </c>
      <c r="E114" s="1416">
        <f>'Existing Management Practices'!E163</f>
        <v>0.13</v>
      </c>
      <c r="F114" s="277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94"/>
      <c r="U114" s="294"/>
      <c r="V114" s="294"/>
      <c r="W114" s="294"/>
      <c r="X114" s="294"/>
      <c r="Y114" s="294"/>
      <c r="Z114" s="294"/>
      <c r="AA114" s="294"/>
      <c r="AB114" s="294"/>
      <c r="AC114" s="277"/>
      <c r="AD114" s="277"/>
      <c r="AE114" s="277"/>
      <c r="AF114" s="277"/>
      <c r="AG114" s="277"/>
      <c r="AH114" s="277"/>
      <c r="AI114" s="277"/>
      <c r="AJ114" s="277"/>
      <c r="AK114" s="277"/>
      <c r="AL114" s="277"/>
      <c r="AM114" s="277"/>
      <c r="AN114" s="277"/>
      <c r="AO114" s="277"/>
      <c r="AP114" s="277"/>
      <c r="AQ114" s="277"/>
      <c r="AR114" s="277"/>
      <c r="AS114" s="277"/>
      <c r="AT114" s="277"/>
      <c r="AU114" s="277"/>
      <c r="AV114" s="277"/>
      <c r="AW114" s="277"/>
      <c r="AX114" s="277"/>
      <c r="AY114" s="277"/>
      <c r="AZ114" s="277"/>
      <c r="BA114" s="277"/>
      <c r="BB114" s="277"/>
      <c r="BC114" s="261"/>
      <c r="BD114" s="261"/>
      <c r="BE114" s="261"/>
      <c r="BF114" s="261"/>
      <c r="BG114" s="261"/>
      <c r="BH114" s="261"/>
      <c r="BI114" s="261"/>
      <c r="BJ114" s="261"/>
      <c r="BK114" s="261"/>
      <c r="BL114" s="261"/>
      <c r="BM114" s="261"/>
      <c r="BN114" s="261"/>
      <c r="BO114" s="261"/>
      <c r="BP114" s="261"/>
      <c r="BQ114" s="261"/>
      <c r="BR114" s="261"/>
      <c r="BS114" s="261"/>
      <c r="BT114" s="261"/>
      <c r="BU114" s="261"/>
      <c r="BV114" s="261"/>
      <c r="BW114" s="261"/>
      <c r="BX114" s="261"/>
      <c r="BY114" s="261"/>
      <c r="BZ114" s="261"/>
      <c r="CA114" s="261"/>
      <c r="CB114" s="261"/>
      <c r="CC114" s="261"/>
      <c r="CD114" s="261"/>
      <c r="CE114" s="261"/>
      <c r="CF114" s="261"/>
      <c r="CG114" s="261"/>
      <c r="CH114" s="261"/>
      <c r="CI114" s="261"/>
      <c r="CJ114" s="261"/>
      <c r="CK114" s="261"/>
      <c r="CL114" s="261"/>
      <c r="CM114" s="261"/>
      <c r="CN114" s="261"/>
      <c r="CO114" s="261"/>
      <c r="CP114" s="261"/>
      <c r="CQ114" s="261"/>
      <c r="CR114" s="261"/>
      <c r="CS114" s="261"/>
      <c r="CT114" s="261"/>
      <c r="CU114" s="261"/>
      <c r="CV114" s="261"/>
      <c r="CW114" s="261"/>
      <c r="CX114" s="261"/>
      <c r="CY114" s="261"/>
      <c r="CZ114" s="261"/>
      <c r="DA114" s="261"/>
      <c r="DB114" s="261"/>
      <c r="DC114" s="261"/>
      <c r="DD114" s="261"/>
      <c r="DE114" s="261"/>
      <c r="DF114" s="261"/>
      <c r="DG114" s="261"/>
      <c r="DH114" s="261"/>
      <c r="DI114" s="261"/>
      <c r="DJ114" s="261"/>
      <c r="DK114" s="261"/>
      <c r="DL114" s="261"/>
      <c r="DM114" s="261"/>
      <c r="DN114" s="261"/>
      <c r="DO114" s="261"/>
      <c r="DP114" s="261"/>
      <c r="DQ114" s="261"/>
      <c r="DR114" s="261"/>
      <c r="DS114" s="261"/>
      <c r="DT114" s="261"/>
      <c r="DU114" s="261"/>
      <c r="DV114" s="261"/>
      <c r="DW114" s="261"/>
      <c r="DX114" s="261"/>
      <c r="DY114" s="261"/>
      <c r="DZ114" s="261"/>
      <c r="EA114" s="261"/>
      <c r="EB114" s="261"/>
      <c r="EC114" s="261"/>
      <c r="ED114" s="261"/>
      <c r="EE114" s="261"/>
      <c r="EF114" s="261"/>
      <c r="EG114" s="261"/>
      <c r="EH114" s="261"/>
      <c r="EI114" s="261"/>
      <c r="EJ114" s="261"/>
      <c r="EK114" s="261"/>
      <c r="EL114" s="261"/>
      <c r="EM114" s="261"/>
      <c r="EN114" s="261"/>
      <c r="EO114" s="261"/>
      <c r="EP114" s="261"/>
      <c r="EQ114" s="261"/>
      <c r="ER114" s="261"/>
      <c r="ES114" s="261"/>
      <c r="ET114" s="261"/>
      <c r="EU114" s="261"/>
      <c r="EV114" s="261"/>
      <c r="EW114" s="261"/>
      <c r="EX114" s="261"/>
      <c r="EY114" s="261"/>
      <c r="EZ114" s="261"/>
      <c r="FA114" s="261"/>
      <c r="FB114" s="261"/>
      <c r="FC114" s="261"/>
      <c r="FD114" s="261"/>
      <c r="FE114" s="261"/>
      <c r="FF114" s="261"/>
      <c r="FG114" s="261"/>
      <c r="FH114" s="261"/>
      <c r="FI114" s="261"/>
      <c r="FJ114" s="261"/>
      <c r="FK114" s="261"/>
      <c r="FL114" s="261"/>
      <c r="FM114" s="261"/>
      <c r="FN114" s="261"/>
      <c r="FO114" s="261"/>
      <c r="FP114" s="261"/>
      <c r="FQ114" s="261"/>
      <c r="FR114" s="261"/>
      <c r="FS114" s="261"/>
      <c r="FT114" s="261"/>
      <c r="FU114" s="261"/>
      <c r="FV114" s="261"/>
      <c r="FW114" s="261"/>
      <c r="FX114" s="261"/>
      <c r="FY114" s="261"/>
      <c r="FZ114" s="261"/>
      <c r="GA114" s="261"/>
      <c r="GB114" s="261"/>
      <c r="GC114" s="261"/>
      <c r="GD114" s="261"/>
      <c r="GE114" s="261"/>
      <c r="GF114" s="261"/>
      <c r="GG114" s="261"/>
      <c r="GH114" s="261"/>
      <c r="GI114" s="261"/>
      <c r="GJ114" s="261"/>
      <c r="GK114" s="261"/>
      <c r="GL114" s="261"/>
      <c r="GM114" s="261"/>
      <c r="GN114" s="261"/>
      <c r="GO114" s="261"/>
      <c r="GP114" s="261"/>
      <c r="GQ114" s="261"/>
      <c r="GR114" s="261"/>
      <c r="GS114" s="261"/>
      <c r="GT114" s="261"/>
      <c r="GU114" s="261"/>
      <c r="GV114" s="261"/>
      <c r="GW114" s="261"/>
      <c r="GX114" s="261"/>
      <c r="GY114" s="261"/>
      <c r="GZ114" s="261"/>
      <c r="HA114" s="261"/>
      <c r="HB114" s="261"/>
      <c r="HC114" s="261"/>
      <c r="HD114" s="261"/>
      <c r="HE114" s="261"/>
      <c r="HF114" s="261"/>
      <c r="HG114" s="261"/>
      <c r="HH114" s="261"/>
      <c r="HI114" s="261"/>
      <c r="HJ114" s="261"/>
      <c r="HK114" s="261"/>
      <c r="HL114" s="261"/>
      <c r="HM114" s="261"/>
      <c r="HN114" s="261"/>
      <c r="HO114" s="261"/>
      <c r="HP114" s="261"/>
      <c r="HQ114" s="261"/>
      <c r="HR114" s="261"/>
      <c r="HS114" s="261"/>
      <c r="HT114" s="261"/>
      <c r="HU114" s="261"/>
      <c r="HV114" s="261"/>
      <c r="HW114" s="261"/>
      <c r="HX114" s="261"/>
      <c r="HY114" s="261"/>
    </row>
    <row r="115" spans="1:233" customFormat="1" ht="13" x14ac:dyDescent="0.3">
      <c r="A115" s="368"/>
      <c r="B115" s="225"/>
      <c r="C115" s="414"/>
      <c r="D115" s="415"/>
      <c r="E115" s="416"/>
      <c r="F115" s="277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94"/>
      <c r="U115" s="294"/>
      <c r="V115" s="294"/>
      <c r="W115" s="294"/>
      <c r="X115" s="294"/>
      <c r="Y115" s="294"/>
      <c r="Z115" s="294"/>
      <c r="AA115" s="294"/>
      <c r="AB115" s="294"/>
      <c r="AC115" s="277"/>
      <c r="AD115" s="277"/>
      <c r="AE115" s="277"/>
      <c r="AF115" s="277"/>
      <c r="AG115" s="277"/>
      <c r="AH115" s="277"/>
      <c r="AI115" s="277"/>
      <c r="AJ115" s="277"/>
      <c r="AK115" s="277"/>
      <c r="AL115" s="277"/>
      <c r="AM115" s="277"/>
      <c r="AN115" s="277"/>
      <c r="AO115" s="277"/>
      <c r="AP115" s="277"/>
      <c r="AQ115" s="277"/>
      <c r="AR115" s="277"/>
      <c r="AS115" s="277"/>
      <c r="AT115" s="277"/>
      <c r="AU115" s="277"/>
      <c r="AV115" s="277"/>
      <c r="AW115" s="277"/>
      <c r="AX115" s="277"/>
      <c r="AY115" s="277"/>
      <c r="AZ115" s="277"/>
      <c r="BA115" s="277"/>
      <c r="BB115" s="277"/>
      <c r="BC115" s="261"/>
      <c r="BD115" s="261"/>
      <c r="BE115" s="261"/>
      <c r="BF115" s="261"/>
      <c r="BG115" s="261"/>
      <c r="BH115" s="261"/>
      <c r="BI115" s="261"/>
      <c r="BJ115" s="261"/>
      <c r="BK115" s="261"/>
      <c r="BL115" s="261"/>
      <c r="BM115" s="261"/>
      <c r="BN115" s="261"/>
      <c r="BO115" s="261"/>
      <c r="BP115" s="261"/>
      <c r="BQ115" s="261"/>
      <c r="BR115" s="261"/>
      <c r="BS115" s="261"/>
      <c r="BT115" s="261"/>
      <c r="BU115" s="261"/>
      <c r="BV115" s="261"/>
      <c r="BW115" s="261"/>
      <c r="BX115" s="261"/>
      <c r="BY115" s="261"/>
      <c r="BZ115" s="261"/>
      <c r="CA115" s="261"/>
      <c r="CB115" s="261"/>
      <c r="CC115" s="261"/>
      <c r="CD115" s="261"/>
      <c r="CE115" s="261"/>
      <c r="CF115" s="261"/>
      <c r="CG115" s="261"/>
      <c r="CH115" s="261"/>
      <c r="CI115" s="261"/>
      <c r="CJ115" s="261"/>
      <c r="CK115" s="261"/>
      <c r="CL115" s="261"/>
      <c r="CM115" s="261"/>
      <c r="CN115" s="261"/>
      <c r="CO115" s="261"/>
      <c r="CP115" s="261"/>
      <c r="CQ115" s="261"/>
      <c r="CR115" s="261"/>
      <c r="CS115" s="261"/>
      <c r="CT115" s="261"/>
      <c r="CU115" s="261"/>
      <c r="CV115" s="261"/>
      <c r="CW115" s="261"/>
      <c r="CX115" s="261"/>
      <c r="CY115" s="261"/>
      <c r="CZ115" s="261"/>
      <c r="DA115" s="261"/>
      <c r="DB115" s="261"/>
      <c r="DC115" s="261"/>
      <c r="DD115" s="261"/>
      <c r="DE115" s="261"/>
      <c r="DF115" s="261"/>
      <c r="DG115" s="261"/>
      <c r="DH115" s="261"/>
      <c r="DI115" s="261"/>
      <c r="DJ115" s="261"/>
      <c r="DK115" s="261"/>
      <c r="DL115" s="261"/>
      <c r="DM115" s="261"/>
      <c r="DN115" s="261"/>
      <c r="DO115" s="261"/>
      <c r="DP115" s="261"/>
      <c r="DQ115" s="261"/>
      <c r="DR115" s="261"/>
      <c r="DS115" s="261"/>
      <c r="DT115" s="261"/>
      <c r="DU115" s="261"/>
      <c r="DV115" s="261"/>
      <c r="DW115" s="261"/>
      <c r="DX115" s="261"/>
      <c r="DY115" s="261"/>
      <c r="DZ115" s="261"/>
      <c r="EA115" s="261"/>
      <c r="EB115" s="261"/>
      <c r="EC115" s="261"/>
      <c r="ED115" s="261"/>
      <c r="EE115" s="261"/>
      <c r="EF115" s="261"/>
      <c r="EG115" s="261"/>
      <c r="EH115" s="261"/>
      <c r="EI115" s="261"/>
      <c r="EJ115" s="261"/>
      <c r="EK115" s="261"/>
      <c r="EL115" s="261"/>
      <c r="EM115" s="261"/>
      <c r="EN115" s="261"/>
      <c r="EO115" s="261"/>
      <c r="EP115" s="261"/>
      <c r="EQ115" s="261"/>
      <c r="ER115" s="261"/>
      <c r="ES115" s="261"/>
      <c r="ET115" s="261"/>
      <c r="EU115" s="261"/>
      <c r="EV115" s="261"/>
      <c r="EW115" s="261"/>
      <c r="EX115" s="261"/>
      <c r="EY115" s="261"/>
      <c r="EZ115" s="261"/>
      <c r="FA115" s="261"/>
      <c r="FB115" s="261"/>
      <c r="FC115" s="261"/>
      <c r="FD115" s="261"/>
      <c r="FE115" s="261"/>
      <c r="FF115" s="261"/>
      <c r="FG115" s="261"/>
      <c r="FH115" s="261"/>
      <c r="FI115" s="261"/>
      <c r="FJ115" s="261"/>
      <c r="FK115" s="261"/>
      <c r="FL115" s="261"/>
      <c r="FM115" s="261"/>
      <c r="FN115" s="261"/>
      <c r="FO115" s="261"/>
      <c r="FP115" s="261"/>
      <c r="FQ115" s="261"/>
      <c r="FR115" s="261"/>
      <c r="FS115" s="261"/>
      <c r="FT115" s="261"/>
      <c r="FU115" s="261"/>
      <c r="FV115" s="261"/>
      <c r="FW115" s="261"/>
      <c r="FX115" s="261"/>
      <c r="FY115" s="261"/>
      <c r="FZ115" s="261"/>
      <c r="GA115" s="261"/>
      <c r="GB115" s="261"/>
      <c r="GC115" s="261"/>
      <c r="GD115" s="261"/>
      <c r="GE115" s="261"/>
      <c r="GF115" s="261"/>
      <c r="GG115" s="261"/>
      <c r="GH115" s="261"/>
      <c r="GI115" s="261"/>
      <c r="GJ115" s="261"/>
      <c r="GK115" s="261"/>
      <c r="GL115" s="261"/>
      <c r="GM115" s="261"/>
      <c r="GN115" s="261"/>
      <c r="GO115" s="261"/>
      <c r="GP115" s="261"/>
      <c r="GQ115" s="261"/>
      <c r="GR115" s="261"/>
      <c r="GS115" s="261"/>
      <c r="GT115" s="261"/>
      <c r="GU115" s="261"/>
      <c r="GV115" s="261"/>
      <c r="GW115" s="261"/>
      <c r="GX115" s="261"/>
      <c r="GY115" s="261"/>
      <c r="GZ115" s="261"/>
      <c r="HA115" s="261"/>
      <c r="HB115" s="261"/>
      <c r="HC115" s="261"/>
      <c r="HD115" s="261"/>
      <c r="HE115" s="261"/>
      <c r="HF115" s="261"/>
      <c r="HG115" s="261"/>
      <c r="HH115" s="261"/>
      <c r="HI115" s="261"/>
      <c r="HJ115" s="261"/>
      <c r="HK115" s="261"/>
      <c r="HL115" s="261"/>
      <c r="HM115" s="261"/>
      <c r="HN115" s="261"/>
      <c r="HO115" s="261"/>
      <c r="HP115" s="261"/>
      <c r="HQ115" s="261"/>
      <c r="HR115" s="261"/>
      <c r="HS115" s="261"/>
      <c r="HT115" s="261"/>
      <c r="HU115" s="261"/>
      <c r="HV115" s="261"/>
      <c r="HW115" s="261"/>
      <c r="HX115" s="261"/>
      <c r="HY115" s="261"/>
    </row>
    <row r="116" spans="1:233" s="261" customFormat="1" ht="13.5" thickBot="1" x14ac:dyDescent="0.35">
      <c r="A116" s="368"/>
      <c r="B116" s="97" t="s">
        <v>341</v>
      </c>
      <c r="C116" s="1225">
        <f>'Existing Management Practices'!C165</f>
        <v>0</v>
      </c>
      <c r="D116" s="417"/>
      <c r="E116" s="418"/>
      <c r="F116" s="277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94"/>
      <c r="U116" s="294"/>
      <c r="V116" s="294"/>
      <c r="W116" s="294"/>
      <c r="X116" s="294"/>
      <c r="Y116" s="294"/>
      <c r="Z116" s="294"/>
      <c r="AA116" s="294"/>
      <c r="AB116" s="294"/>
      <c r="AC116" s="277"/>
      <c r="AD116" s="277"/>
      <c r="AE116" s="277"/>
      <c r="AF116" s="277"/>
      <c r="AG116" s="277"/>
      <c r="AH116" s="277"/>
      <c r="AI116" s="277"/>
      <c r="AJ116" s="277"/>
      <c r="AK116" s="277"/>
      <c r="AL116" s="277"/>
      <c r="AM116" s="277"/>
      <c r="AN116" s="277"/>
      <c r="AO116" s="277"/>
      <c r="AP116" s="277"/>
      <c r="AQ116" s="277"/>
      <c r="AR116" s="277"/>
      <c r="AS116" s="277"/>
      <c r="AT116" s="277"/>
      <c r="AU116" s="277"/>
      <c r="AV116" s="277"/>
      <c r="AW116" s="277"/>
      <c r="AX116" s="277"/>
      <c r="AY116" s="277"/>
      <c r="AZ116" s="277"/>
      <c r="BA116" s="277"/>
      <c r="BB116" s="277"/>
    </row>
    <row r="117" spans="1:233" s="261" customFormat="1" ht="14" thickTop="1" thickBot="1" x14ac:dyDescent="0.35">
      <c r="A117" s="368"/>
      <c r="B117" s="16"/>
      <c r="D117" s="277"/>
      <c r="E117" s="277"/>
      <c r="F117" s="277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94"/>
      <c r="U117" s="294"/>
      <c r="V117" s="294"/>
      <c r="W117" s="294"/>
      <c r="X117" s="294"/>
      <c r="Y117" s="294"/>
      <c r="Z117" s="294"/>
      <c r="AA117" s="294"/>
      <c r="AB117" s="294"/>
      <c r="AC117" s="277"/>
      <c r="AD117" s="277"/>
      <c r="AE117" s="277"/>
      <c r="AF117" s="277"/>
      <c r="AG117" s="277"/>
      <c r="AH117" s="277"/>
      <c r="AI117" s="277"/>
      <c r="AJ117" s="277"/>
      <c r="AK117" s="277"/>
      <c r="AL117" s="277"/>
      <c r="AM117" s="277"/>
      <c r="AN117" s="277"/>
      <c r="AO117" s="277"/>
      <c r="AP117" s="277"/>
      <c r="AQ117" s="277"/>
      <c r="AR117" s="277"/>
      <c r="AS117" s="277"/>
      <c r="AT117" s="277"/>
      <c r="AU117" s="277"/>
      <c r="AV117" s="277"/>
      <c r="AW117" s="277"/>
      <c r="AX117" s="277"/>
      <c r="AY117" s="277"/>
      <c r="AZ117" s="277"/>
      <c r="BA117" s="277"/>
      <c r="BB117" s="277"/>
    </row>
    <row r="118" spans="1:233" customFormat="1" ht="21" thickTop="1" thickBot="1" x14ac:dyDescent="0.45">
      <c r="A118" s="368"/>
      <c r="B118" s="1864" t="s">
        <v>342</v>
      </c>
      <c r="C118" s="1802"/>
      <c r="D118" s="277"/>
      <c r="E118" s="277"/>
      <c r="F118" s="277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94"/>
      <c r="U118" s="294"/>
      <c r="V118" s="294"/>
      <c r="W118" s="294"/>
      <c r="X118" s="294"/>
      <c r="Y118" s="294"/>
      <c r="Z118" s="294"/>
      <c r="AA118" s="294"/>
      <c r="AB118" s="294"/>
      <c r="AC118" s="277"/>
      <c r="AD118" s="277"/>
      <c r="AE118" s="277"/>
      <c r="AF118" s="277"/>
      <c r="AG118" s="277"/>
      <c r="AH118" s="277"/>
      <c r="AI118" s="277"/>
      <c r="AJ118" s="277"/>
      <c r="AK118" s="277"/>
      <c r="AL118" s="277"/>
      <c r="AM118" s="277"/>
      <c r="AN118" s="277"/>
      <c r="AO118" s="277"/>
      <c r="AP118" s="277"/>
      <c r="AQ118" s="277"/>
      <c r="AR118" s="277"/>
      <c r="AS118" s="277"/>
      <c r="AT118" s="277"/>
      <c r="AU118" s="277"/>
      <c r="AV118" s="277"/>
      <c r="AW118" s="277"/>
      <c r="AX118" s="277"/>
      <c r="AY118" s="277"/>
      <c r="AZ118" s="277"/>
      <c r="BA118" s="277"/>
      <c r="BB118" s="277"/>
      <c r="BC118" s="261"/>
      <c r="BD118" s="261"/>
      <c r="BE118" s="261"/>
      <c r="BF118" s="261"/>
      <c r="BG118" s="261"/>
      <c r="BH118" s="261"/>
      <c r="BI118" s="261"/>
      <c r="BJ118" s="261"/>
      <c r="BK118" s="261"/>
      <c r="BL118" s="261"/>
      <c r="BM118" s="261"/>
      <c r="BN118" s="261"/>
      <c r="BO118" s="261"/>
      <c r="BP118" s="261"/>
      <c r="BQ118" s="261"/>
      <c r="BR118" s="261"/>
      <c r="BS118" s="261"/>
      <c r="BT118" s="261"/>
      <c r="BU118" s="261"/>
      <c r="BV118" s="261"/>
      <c r="BW118" s="261"/>
      <c r="BX118" s="261"/>
      <c r="BY118" s="261"/>
      <c r="BZ118" s="261"/>
      <c r="CA118" s="261"/>
      <c r="CB118" s="261"/>
      <c r="CC118" s="261"/>
      <c r="CD118" s="261"/>
      <c r="CE118" s="261"/>
      <c r="CF118" s="261"/>
      <c r="CG118" s="261"/>
      <c r="CH118" s="261"/>
      <c r="CI118" s="261"/>
      <c r="CJ118" s="261"/>
      <c r="CK118" s="261"/>
      <c r="CL118" s="261"/>
      <c r="CM118" s="261"/>
      <c r="CN118" s="261"/>
      <c r="CO118" s="261"/>
      <c r="CP118" s="261"/>
      <c r="CQ118" s="261"/>
      <c r="CR118" s="261"/>
      <c r="CS118" s="261"/>
      <c r="CT118" s="261"/>
      <c r="CU118" s="261"/>
      <c r="CV118" s="261"/>
      <c r="CW118" s="261"/>
      <c r="CX118" s="261"/>
      <c r="CY118" s="261"/>
      <c r="CZ118" s="261"/>
      <c r="DA118" s="261"/>
      <c r="DB118" s="261"/>
      <c r="DC118" s="261"/>
      <c r="DD118" s="261"/>
      <c r="DE118" s="261"/>
      <c r="DF118" s="261"/>
      <c r="DG118" s="261"/>
      <c r="DH118" s="261"/>
      <c r="DI118" s="261"/>
      <c r="DJ118" s="261"/>
      <c r="DK118" s="261"/>
      <c r="DL118" s="261"/>
      <c r="DM118" s="261"/>
      <c r="DN118" s="261"/>
      <c r="DO118" s="261"/>
      <c r="DP118" s="261"/>
      <c r="DQ118" s="261"/>
      <c r="DR118" s="261"/>
      <c r="DS118" s="261"/>
      <c r="DT118" s="261"/>
      <c r="DU118" s="261"/>
      <c r="DV118" s="261"/>
      <c r="DW118" s="261"/>
      <c r="DX118" s="261"/>
      <c r="DY118" s="261"/>
      <c r="DZ118" s="261"/>
      <c r="EA118" s="261"/>
      <c r="EB118" s="261"/>
      <c r="EC118" s="261"/>
      <c r="ED118" s="261"/>
      <c r="EE118" s="261"/>
      <c r="EF118" s="261"/>
      <c r="EG118" s="261"/>
      <c r="EH118" s="261"/>
      <c r="EI118" s="261"/>
      <c r="EJ118" s="261"/>
      <c r="EK118" s="261"/>
      <c r="EL118" s="261"/>
      <c r="EM118" s="261"/>
      <c r="EN118" s="261"/>
      <c r="EO118" s="261"/>
      <c r="EP118" s="261"/>
      <c r="EQ118" s="261"/>
      <c r="ER118" s="261"/>
      <c r="ES118" s="261"/>
      <c r="ET118" s="261"/>
      <c r="EU118" s="261"/>
      <c r="EV118" s="261"/>
      <c r="EW118" s="261"/>
      <c r="EX118" s="261"/>
      <c r="EY118" s="261"/>
      <c r="EZ118" s="261"/>
      <c r="FA118" s="261"/>
      <c r="FB118" s="261"/>
      <c r="FC118" s="261"/>
      <c r="FD118" s="261"/>
      <c r="FE118" s="261"/>
      <c r="FF118" s="261"/>
      <c r="FG118" s="261"/>
      <c r="FH118" s="261"/>
      <c r="FI118" s="261"/>
      <c r="FJ118" s="261"/>
      <c r="FK118" s="261"/>
      <c r="FL118" s="261"/>
      <c r="FM118" s="261"/>
      <c r="FN118" s="261"/>
      <c r="FO118" s="261"/>
      <c r="FP118" s="261"/>
      <c r="FQ118" s="261"/>
      <c r="FR118" s="261"/>
      <c r="FS118" s="261"/>
      <c r="FT118" s="261"/>
      <c r="FU118" s="261"/>
      <c r="FV118" s="261"/>
      <c r="FW118" s="261"/>
      <c r="FX118" s="261"/>
      <c r="FY118" s="261"/>
      <c r="FZ118" s="261"/>
      <c r="GA118" s="261"/>
      <c r="GB118" s="261"/>
      <c r="GC118" s="261"/>
      <c r="GD118" s="261"/>
      <c r="GE118" s="261"/>
      <c r="GF118" s="261"/>
      <c r="GG118" s="261"/>
      <c r="GH118" s="261"/>
      <c r="GI118" s="261"/>
      <c r="GJ118" s="261"/>
      <c r="GK118" s="261"/>
      <c r="GL118" s="261"/>
      <c r="GM118" s="261"/>
      <c r="GN118" s="261"/>
      <c r="GO118" s="261"/>
      <c r="GP118" s="261"/>
      <c r="GQ118" s="261"/>
      <c r="GR118" s="261"/>
      <c r="GS118" s="261"/>
      <c r="GT118" s="261"/>
      <c r="GU118" s="261"/>
      <c r="GV118" s="261"/>
      <c r="GW118" s="261"/>
      <c r="GX118" s="261"/>
      <c r="GY118" s="261"/>
      <c r="GZ118" s="261"/>
      <c r="HA118" s="261"/>
      <c r="HB118" s="261"/>
      <c r="HC118" s="261"/>
      <c r="HD118" s="261"/>
      <c r="HE118" s="261"/>
      <c r="HF118" s="261"/>
      <c r="HG118" s="261"/>
      <c r="HH118" s="261"/>
      <c r="HI118" s="261"/>
      <c r="HJ118" s="261"/>
      <c r="HK118" s="261"/>
      <c r="HL118" s="261"/>
      <c r="HM118" s="261"/>
      <c r="HN118" s="261"/>
      <c r="HO118" s="261"/>
      <c r="HP118" s="261"/>
      <c r="HQ118" s="261"/>
      <c r="HR118" s="261"/>
      <c r="HS118" s="261"/>
      <c r="HT118" s="261"/>
      <c r="HU118" s="261"/>
      <c r="HV118" s="261"/>
      <c r="HW118" s="261"/>
      <c r="HX118" s="261"/>
      <c r="HY118" s="261"/>
    </row>
    <row r="119" spans="1:233" customFormat="1" ht="13" x14ac:dyDescent="0.3">
      <c r="A119" s="368"/>
      <c r="B119" s="32"/>
      <c r="C119" s="94"/>
      <c r="D119" s="277"/>
      <c r="E119" s="277"/>
      <c r="F119" s="277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94"/>
      <c r="U119" s="294"/>
      <c r="V119" s="294"/>
      <c r="W119" s="294"/>
      <c r="X119" s="294"/>
      <c r="Y119" s="294"/>
      <c r="Z119" s="294"/>
      <c r="AA119" s="294"/>
      <c r="AB119" s="294"/>
      <c r="AC119" s="277"/>
      <c r="AD119" s="277"/>
      <c r="AE119" s="277"/>
      <c r="AF119" s="277"/>
      <c r="AG119" s="277"/>
      <c r="AH119" s="277"/>
      <c r="AI119" s="277"/>
      <c r="AJ119" s="277"/>
      <c r="AK119" s="277"/>
      <c r="AL119" s="277"/>
      <c r="AM119" s="277"/>
      <c r="AN119" s="277"/>
      <c r="AO119" s="277"/>
      <c r="AP119" s="277"/>
      <c r="AQ119" s="277"/>
      <c r="AR119" s="277"/>
      <c r="AS119" s="277"/>
      <c r="AT119" s="277"/>
      <c r="AU119" s="277"/>
      <c r="AV119" s="277"/>
      <c r="AW119" s="277"/>
      <c r="AX119" s="277"/>
      <c r="AY119" s="277"/>
      <c r="AZ119" s="277"/>
      <c r="BA119" s="277"/>
      <c r="BB119" s="277"/>
      <c r="BC119" s="261"/>
      <c r="BD119" s="261"/>
      <c r="BE119" s="261"/>
      <c r="BF119" s="261"/>
      <c r="BG119" s="261"/>
      <c r="BH119" s="261"/>
      <c r="BI119" s="261"/>
      <c r="BJ119" s="261"/>
      <c r="BK119" s="261"/>
      <c r="BL119" s="261"/>
      <c r="BM119" s="261"/>
      <c r="BN119" s="261"/>
      <c r="BO119" s="261"/>
      <c r="BP119" s="261"/>
      <c r="BQ119" s="261"/>
      <c r="BR119" s="261"/>
      <c r="BS119" s="261"/>
      <c r="BT119" s="261"/>
      <c r="BU119" s="261"/>
      <c r="BV119" s="261"/>
      <c r="BW119" s="261"/>
      <c r="BX119" s="261"/>
      <c r="BY119" s="261"/>
      <c r="BZ119" s="261"/>
      <c r="CA119" s="261"/>
      <c r="CB119" s="261"/>
      <c r="CC119" s="261"/>
      <c r="CD119" s="261"/>
      <c r="CE119" s="261"/>
      <c r="CF119" s="261"/>
      <c r="CG119" s="261"/>
      <c r="CH119" s="261"/>
      <c r="CI119" s="261"/>
      <c r="CJ119" s="261"/>
      <c r="CK119" s="261"/>
      <c r="CL119" s="261"/>
      <c r="CM119" s="261"/>
      <c r="CN119" s="261"/>
      <c r="CO119" s="261"/>
      <c r="CP119" s="261"/>
      <c r="CQ119" s="261"/>
      <c r="CR119" s="261"/>
      <c r="CS119" s="261"/>
      <c r="CT119" s="261"/>
      <c r="CU119" s="261"/>
      <c r="CV119" s="261"/>
      <c r="CW119" s="261"/>
      <c r="CX119" s="261"/>
      <c r="CY119" s="261"/>
      <c r="CZ119" s="261"/>
      <c r="DA119" s="261"/>
      <c r="DB119" s="261"/>
      <c r="DC119" s="261"/>
      <c r="DD119" s="261"/>
      <c r="DE119" s="261"/>
      <c r="DF119" s="261"/>
      <c r="DG119" s="261"/>
      <c r="DH119" s="261"/>
      <c r="DI119" s="261"/>
      <c r="DJ119" s="261"/>
      <c r="DK119" s="261"/>
      <c r="DL119" s="261"/>
      <c r="DM119" s="261"/>
      <c r="DN119" s="261"/>
      <c r="DO119" s="261"/>
      <c r="DP119" s="261"/>
      <c r="DQ119" s="261"/>
      <c r="DR119" s="261"/>
      <c r="DS119" s="261"/>
      <c r="DT119" s="261"/>
      <c r="DU119" s="261"/>
      <c r="DV119" s="261"/>
      <c r="DW119" s="261"/>
      <c r="DX119" s="261"/>
      <c r="DY119" s="261"/>
      <c r="DZ119" s="261"/>
      <c r="EA119" s="261"/>
      <c r="EB119" s="261"/>
      <c r="EC119" s="261"/>
      <c r="ED119" s="261"/>
      <c r="EE119" s="261"/>
      <c r="EF119" s="261"/>
      <c r="EG119" s="261"/>
      <c r="EH119" s="261"/>
      <c r="EI119" s="261"/>
      <c r="EJ119" s="261"/>
      <c r="EK119" s="261"/>
      <c r="EL119" s="261"/>
      <c r="EM119" s="261"/>
      <c r="EN119" s="261"/>
      <c r="EO119" s="261"/>
      <c r="EP119" s="261"/>
      <c r="EQ119" s="261"/>
      <c r="ER119" s="261"/>
      <c r="ES119" s="261"/>
      <c r="ET119" s="261"/>
      <c r="EU119" s="261"/>
      <c r="EV119" s="261"/>
      <c r="EW119" s="261"/>
      <c r="EX119" s="261"/>
      <c r="EY119" s="261"/>
      <c r="EZ119" s="261"/>
      <c r="FA119" s="261"/>
      <c r="FB119" s="261"/>
      <c r="FC119" s="261"/>
      <c r="FD119" s="261"/>
      <c r="FE119" s="261"/>
      <c r="FF119" s="261"/>
      <c r="FG119" s="261"/>
      <c r="FH119" s="261"/>
      <c r="FI119" s="261"/>
      <c r="FJ119" s="261"/>
      <c r="FK119" s="261"/>
      <c r="FL119" s="261"/>
      <c r="FM119" s="261"/>
      <c r="FN119" s="261"/>
      <c r="FO119" s="261"/>
      <c r="FP119" s="261"/>
      <c r="FQ119" s="261"/>
      <c r="FR119" s="261"/>
      <c r="FS119" s="261"/>
      <c r="FT119" s="261"/>
      <c r="FU119" s="261"/>
      <c r="FV119" s="261"/>
      <c r="FW119" s="261"/>
      <c r="FX119" s="261"/>
      <c r="FY119" s="261"/>
      <c r="FZ119" s="261"/>
      <c r="GA119" s="261"/>
      <c r="GB119" s="261"/>
      <c r="GC119" s="261"/>
      <c r="GD119" s="261"/>
      <c r="GE119" s="261"/>
      <c r="GF119" s="261"/>
      <c r="GG119" s="261"/>
      <c r="GH119" s="261"/>
      <c r="GI119" s="261"/>
      <c r="GJ119" s="261"/>
      <c r="GK119" s="261"/>
      <c r="GL119" s="261"/>
      <c r="GM119" s="261"/>
      <c r="GN119" s="261"/>
      <c r="GO119" s="261"/>
      <c r="GP119" s="261"/>
      <c r="GQ119" s="261"/>
      <c r="GR119" s="261"/>
      <c r="GS119" s="261"/>
      <c r="GT119" s="261"/>
      <c r="GU119" s="261"/>
      <c r="GV119" s="261"/>
      <c r="GW119" s="261"/>
      <c r="GX119" s="261"/>
      <c r="GY119" s="261"/>
      <c r="GZ119" s="261"/>
      <c r="HA119" s="261"/>
      <c r="HB119" s="261"/>
      <c r="HC119" s="261"/>
      <c r="HD119" s="261"/>
      <c r="HE119" s="261"/>
      <c r="HF119" s="261"/>
      <c r="HG119" s="261"/>
      <c r="HH119" s="261"/>
      <c r="HI119" s="261"/>
      <c r="HJ119" s="261"/>
      <c r="HK119" s="261"/>
      <c r="HL119" s="261"/>
      <c r="HM119" s="261"/>
      <c r="HN119" s="261"/>
      <c r="HO119" s="261"/>
      <c r="HP119" s="261"/>
      <c r="HQ119" s="261"/>
      <c r="HR119" s="261"/>
      <c r="HS119" s="261"/>
      <c r="HT119" s="261"/>
      <c r="HU119" s="261"/>
      <c r="HV119" s="261"/>
      <c r="HW119" s="261"/>
      <c r="HX119" s="261"/>
      <c r="HY119" s="261"/>
    </row>
    <row r="120" spans="1:233" customFormat="1" ht="13" x14ac:dyDescent="0.3">
      <c r="A120" s="368"/>
      <c r="B120" s="39" t="s">
        <v>343</v>
      </c>
      <c r="C120" s="1226">
        <f>'Existing Management Practices'!C169</f>
        <v>0</v>
      </c>
      <c r="D120" s="277"/>
      <c r="E120" s="277"/>
      <c r="F120" s="277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94"/>
      <c r="U120" s="294"/>
      <c r="V120" s="294"/>
      <c r="W120" s="294"/>
      <c r="X120" s="294"/>
      <c r="Y120" s="294"/>
      <c r="Z120" s="294"/>
      <c r="AA120" s="294"/>
      <c r="AB120" s="294"/>
      <c r="AC120" s="277"/>
      <c r="AD120" s="277"/>
      <c r="AE120" s="277"/>
      <c r="AF120" s="277"/>
      <c r="AG120" s="277"/>
      <c r="AH120" s="277"/>
      <c r="AI120" s="277"/>
      <c r="AJ120" s="277"/>
      <c r="AK120" s="277"/>
      <c r="AL120" s="277"/>
      <c r="AM120" s="277"/>
      <c r="AN120" s="277"/>
      <c r="AO120" s="277"/>
      <c r="AP120" s="277"/>
      <c r="AQ120" s="277"/>
      <c r="AR120" s="277"/>
      <c r="AS120" s="277"/>
      <c r="AT120" s="277"/>
      <c r="AU120" s="277"/>
      <c r="AV120" s="277"/>
      <c r="AW120" s="277"/>
      <c r="AX120" s="277"/>
      <c r="AY120" s="277"/>
      <c r="AZ120" s="277"/>
      <c r="BA120" s="277"/>
      <c r="BB120" s="277"/>
      <c r="BC120" s="261"/>
      <c r="BD120" s="261"/>
      <c r="BE120" s="261"/>
      <c r="BF120" s="261"/>
      <c r="BG120" s="261"/>
      <c r="BH120" s="261"/>
      <c r="BI120" s="261"/>
      <c r="BJ120" s="261"/>
      <c r="BK120" s="261"/>
      <c r="BL120" s="261"/>
      <c r="BM120" s="261"/>
      <c r="BN120" s="261"/>
      <c r="BO120" s="261"/>
      <c r="BP120" s="261"/>
      <c r="BQ120" s="261"/>
      <c r="BR120" s="261"/>
      <c r="BS120" s="261"/>
      <c r="BT120" s="261"/>
      <c r="BU120" s="261"/>
      <c r="BV120" s="261"/>
      <c r="BW120" s="261"/>
      <c r="BX120" s="261"/>
      <c r="BY120" s="261"/>
      <c r="BZ120" s="261"/>
      <c r="CA120" s="261"/>
      <c r="CB120" s="261"/>
      <c r="CC120" s="261"/>
      <c r="CD120" s="261"/>
      <c r="CE120" s="261"/>
      <c r="CF120" s="261"/>
      <c r="CG120" s="261"/>
      <c r="CH120" s="261"/>
      <c r="CI120" s="261"/>
      <c r="CJ120" s="261"/>
      <c r="CK120" s="261"/>
      <c r="CL120" s="261"/>
      <c r="CM120" s="261"/>
      <c r="CN120" s="261"/>
      <c r="CO120" s="261"/>
      <c r="CP120" s="261"/>
      <c r="CQ120" s="261"/>
      <c r="CR120" s="261"/>
      <c r="CS120" s="261"/>
      <c r="CT120" s="261"/>
      <c r="CU120" s="261"/>
      <c r="CV120" s="261"/>
      <c r="CW120" s="261"/>
      <c r="CX120" s="261"/>
      <c r="CY120" s="261"/>
      <c r="CZ120" s="261"/>
      <c r="DA120" s="261"/>
      <c r="DB120" s="261"/>
      <c r="DC120" s="261"/>
      <c r="DD120" s="261"/>
      <c r="DE120" s="261"/>
      <c r="DF120" s="261"/>
      <c r="DG120" s="261"/>
      <c r="DH120" s="261"/>
      <c r="DI120" s="261"/>
      <c r="DJ120" s="261"/>
      <c r="DK120" s="261"/>
      <c r="DL120" s="261"/>
      <c r="DM120" s="261"/>
      <c r="DN120" s="261"/>
      <c r="DO120" s="261"/>
      <c r="DP120" s="261"/>
      <c r="DQ120" s="261"/>
      <c r="DR120" s="261"/>
      <c r="DS120" s="261"/>
      <c r="DT120" s="261"/>
      <c r="DU120" s="261"/>
      <c r="DV120" s="261"/>
      <c r="DW120" s="261"/>
      <c r="DX120" s="261"/>
      <c r="DY120" s="261"/>
      <c r="DZ120" s="261"/>
      <c r="EA120" s="261"/>
      <c r="EB120" s="261"/>
      <c r="EC120" s="261"/>
      <c r="ED120" s="261"/>
      <c r="EE120" s="261"/>
      <c r="EF120" s="261"/>
      <c r="EG120" s="261"/>
      <c r="EH120" s="261"/>
      <c r="EI120" s="261"/>
      <c r="EJ120" s="261"/>
      <c r="EK120" s="261"/>
      <c r="EL120" s="261"/>
      <c r="EM120" s="261"/>
      <c r="EN120" s="261"/>
      <c r="EO120" s="261"/>
      <c r="EP120" s="261"/>
      <c r="EQ120" s="261"/>
      <c r="ER120" s="261"/>
      <c r="ES120" s="261"/>
      <c r="ET120" s="261"/>
      <c r="EU120" s="261"/>
      <c r="EV120" s="261"/>
      <c r="EW120" s="261"/>
      <c r="EX120" s="261"/>
      <c r="EY120" s="261"/>
      <c r="EZ120" s="261"/>
      <c r="FA120" s="261"/>
      <c r="FB120" s="261"/>
      <c r="FC120" s="261"/>
      <c r="FD120" s="261"/>
      <c r="FE120" s="261"/>
      <c r="FF120" s="261"/>
      <c r="FG120" s="261"/>
      <c r="FH120" s="261"/>
      <c r="FI120" s="261"/>
      <c r="FJ120" s="261"/>
      <c r="FK120" s="261"/>
      <c r="FL120" s="261"/>
      <c r="FM120" s="261"/>
      <c r="FN120" s="261"/>
      <c r="FO120" s="261"/>
      <c r="FP120" s="261"/>
      <c r="FQ120" s="261"/>
      <c r="FR120" s="261"/>
      <c r="FS120" s="261"/>
      <c r="FT120" s="261"/>
      <c r="FU120" s="261"/>
      <c r="FV120" s="261"/>
      <c r="FW120" s="261"/>
      <c r="FX120" s="261"/>
      <c r="FY120" s="261"/>
      <c r="FZ120" s="261"/>
      <c r="GA120" s="261"/>
      <c r="GB120" s="261"/>
      <c r="GC120" s="261"/>
      <c r="GD120" s="261"/>
      <c r="GE120" s="261"/>
      <c r="GF120" s="261"/>
      <c r="GG120" s="261"/>
      <c r="GH120" s="261"/>
      <c r="GI120" s="261"/>
      <c r="GJ120" s="261"/>
      <c r="GK120" s="261"/>
      <c r="GL120" s="261"/>
      <c r="GM120" s="261"/>
      <c r="GN120" s="261"/>
      <c r="GO120" s="261"/>
      <c r="GP120" s="261"/>
      <c r="GQ120" s="261"/>
      <c r="GR120" s="261"/>
      <c r="GS120" s="261"/>
      <c r="GT120" s="261"/>
      <c r="GU120" s="261"/>
      <c r="GV120" s="261"/>
      <c r="GW120" s="261"/>
      <c r="GX120" s="261"/>
      <c r="GY120" s="261"/>
      <c r="GZ120" s="261"/>
      <c r="HA120" s="261"/>
      <c r="HB120" s="261"/>
      <c r="HC120" s="261"/>
      <c r="HD120" s="261"/>
      <c r="HE120" s="261"/>
      <c r="HF120" s="261"/>
      <c r="HG120" s="261"/>
      <c r="HH120" s="261"/>
      <c r="HI120" s="261"/>
      <c r="HJ120" s="261"/>
      <c r="HK120" s="261"/>
      <c r="HL120" s="261"/>
      <c r="HM120" s="261"/>
      <c r="HN120" s="261"/>
      <c r="HO120" s="261"/>
      <c r="HP120" s="261"/>
      <c r="HQ120" s="261"/>
      <c r="HR120" s="261"/>
      <c r="HS120" s="261"/>
      <c r="HT120" s="261"/>
      <c r="HU120" s="261"/>
      <c r="HV120" s="261"/>
      <c r="HW120" s="261"/>
      <c r="HX120" s="261"/>
      <c r="HY120" s="261"/>
    </row>
    <row r="121" spans="1:233" customFormat="1" ht="13" x14ac:dyDescent="0.3">
      <c r="A121" s="368"/>
      <c r="B121" s="39" t="s">
        <v>388</v>
      </c>
      <c r="C121" s="1423">
        <f>'Existing Management Practices'!C170</f>
        <v>0</v>
      </c>
      <c r="D121" s="277"/>
      <c r="E121" s="277"/>
      <c r="F121" s="277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94"/>
      <c r="U121" s="294"/>
      <c r="V121" s="294"/>
      <c r="W121" s="294"/>
      <c r="X121" s="294"/>
      <c r="Y121" s="294"/>
      <c r="Z121" s="294"/>
      <c r="AA121" s="294"/>
      <c r="AB121" s="294"/>
      <c r="AC121" s="277"/>
      <c r="AD121" s="277"/>
      <c r="AE121" s="277"/>
      <c r="AF121" s="277"/>
      <c r="AG121" s="277"/>
      <c r="AH121" s="277"/>
      <c r="AI121" s="277"/>
      <c r="AJ121" s="277"/>
      <c r="AK121" s="277"/>
      <c r="AL121" s="277"/>
      <c r="AM121" s="277"/>
      <c r="AN121" s="277"/>
      <c r="AO121" s="277"/>
      <c r="AP121" s="277"/>
      <c r="AQ121" s="277"/>
      <c r="AR121" s="277"/>
      <c r="AS121" s="277"/>
      <c r="AT121" s="277"/>
      <c r="AU121" s="277"/>
      <c r="AV121" s="277"/>
      <c r="AW121" s="277"/>
      <c r="AX121" s="277"/>
      <c r="AY121" s="277"/>
      <c r="AZ121" s="277"/>
      <c r="BA121" s="277"/>
      <c r="BB121" s="277"/>
      <c r="BC121" s="261"/>
      <c r="BD121" s="261"/>
      <c r="BE121" s="261"/>
      <c r="BF121" s="261"/>
      <c r="BG121" s="261"/>
      <c r="BH121" s="261"/>
      <c r="BI121" s="261"/>
      <c r="BJ121" s="261"/>
      <c r="BK121" s="261"/>
      <c r="BL121" s="261"/>
      <c r="BM121" s="261"/>
      <c r="BN121" s="261"/>
      <c r="BO121" s="261"/>
      <c r="BP121" s="261"/>
      <c r="BQ121" s="261"/>
      <c r="BR121" s="261"/>
      <c r="BS121" s="261"/>
      <c r="BT121" s="261"/>
      <c r="BU121" s="261"/>
      <c r="BV121" s="261"/>
      <c r="BW121" s="261"/>
      <c r="BX121" s="261"/>
      <c r="BY121" s="261"/>
      <c r="BZ121" s="261"/>
      <c r="CA121" s="261"/>
      <c r="CB121" s="261"/>
      <c r="CC121" s="261"/>
      <c r="CD121" s="261"/>
      <c r="CE121" s="261"/>
      <c r="CF121" s="261"/>
      <c r="CG121" s="261"/>
      <c r="CH121" s="261"/>
      <c r="CI121" s="261"/>
      <c r="CJ121" s="261"/>
      <c r="CK121" s="261"/>
      <c r="CL121" s="261"/>
      <c r="CM121" s="261"/>
      <c r="CN121" s="261"/>
      <c r="CO121" s="261"/>
      <c r="CP121" s="261"/>
      <c r="CQ121" s="261"/>
      <c r="CR121" s="261"/>
      <c r="CS121" s="261"/>
      <c r="CT121" s="261"/>
      <c r="CU121" s="261"/>
      <c r="CV121" s="261"/>
      <c r="CW121" s="261"/>
      <c r="CX121" s="261"/>
      <c r="CY121" s="261"/>
      <c r="CZ121" s="261"/>
      <c r="DA121" s="261"/>
      <c r="DB121" s="261"/>
      <c r="DC121" s="261"/>
      <c r="DD121" s="261"/>
      <c r="DE121" s="261"/>
      <c r="DF121" s="261"/>
      <c r="DG121" s="261"/>
      <c r="DH121" s="261"/>
      <c r="DI121" s="261"/>
      <c r="DJ121" s="261"/>
      <c r="DK121" s="261"/>
      <c r="DL121" s="261"/>
      <c r="DM121" s="261"/>
      <c r="DN121" s="261"/>
      <c r="DO121" s="261"/>
      <c r="DP121" s="261"/>
      <c r="DQ121" s="261"/>
      <c r="DR121" s="261"/>
      <c r="DS121" s="261"/>
      <c r="DT121" s="261"/>
      <c r="DU121" s="261"/>
      <c r="DV121" s="261"/>
      <c r="DW121" s="261"/>
      <c r="DX121" s="261"/>
      <c r="DY121" s="261"/>
      <c r="DZ121" s="261"/>
      <c r="EA121" s="261"/>
      <c r="EB121" s="261"/>
      <c r="EC121" s="261"/>
      <c r="ED121" s="261"/>
      <c r="EE121" s="261"/>
      <c r="EF121" s="261"/>
      <c r="EG121" s="261"/>
      <c r="EH121" s="261"/>
      <c r="EI121" s="261"/>
      <c r="EJ121" s="261"/>
      <c r="EK121" s="261"/>
      <c r="EL121" s="261"/>
      <c r="EM121" s="261"/>
      <c r="EN121" s="261"/>
      <c r="EO121" s="261"/>
      <c r="EP121" s="261"/>
      <c r="EQ121" s="261"/>
      <c r="ER121" s="261"/>
      <c r="ES121" s="261"/>
      <c r="ET121" s="261"/>
      <c r="EU121" s="261"/>
      <c r="EV121" s="261"/>
      <c r="EW121" s="261"/>
      <c r="EX121" s="261"/>
      <c r="EY121" s="261"/>
      <c r="EZ121" s="261"/>
      <c r="FA121" s="261"/>
      <c r="FB121" s="261"/>
      <c r="FC121" s="261"/>
      <c r="FD121" s="261"/>
      <c r="FE121" s="261"/>
      <c r="FF121" s="261"/>
      <c r="FG121" s="261"/>
      <c r="FH121" s="261"/>
      <c r="FI121" s="261"/>
      <c r="FJ121" s="261"/>
      <c r="FK121" s="261"/>
      <c r="FL121" s="261"/>
      <c r="FM121" s="261"/>
      <c r="FN121" s="261"/>
      <c r="FO121" s="261"/>
      <c r="FP121" s="261"/>
      <c r="FQ121" s="261"/>
      <c r="FR121" s="261"/>
      <c r="FS121" s="261"/>
      <c r="FT121" s="261"/>
      <c r="FU121" s="261"/>
      <c r="FV121" s="261"/>
      <c r="FW121" s="261"/>
      <c r="FX121" s="261"/>
      <c r="FY121" s="261"/>
      <c r="FZ121" s="261"/>
      <c r="GA121" s="261"/>
      <c r="GB121" s="261"/>
      <c r="GC121" s="261"/>
      <c r="GD121" s="261"/>
      <c r="GE121" s="261"/>
      <c r="GF121" s="261"/>
      <c r="GG121" s="261"/>
      <c r="GH121" s="261"/>
      <c r="GI121" s="261"/>
      <c r="GJ121" s="261"/>
      <c r="GK121" s="261"/>
      <c r="GL121" s="261"/>
      <c r="GM121" s="261"/>
      <c r="GN121" s="261"/>
      <c r="GO121" s="261"/>
      <c r="GP121" s="261"/>
      <c r="GQ121" s="261"/>
      <c r="GR121" s="261"/>
      <c r="GS121" s="261"/>
      <c r="GT121" s="261"/>
      <c r="GU121" s="261"/>
      <c r="GV121" s="261"/>
      <c r="GW121" s="261"/>
      <c r="GX121" s="261"/>
      <c r="GY121" s="261"/>
      <c r="GZ121" s="261"/>
      <c r="HA121" s="261"/>
      <c r="HB121" s="261"/>
      <c r="HC121" s="261"/>
      <c r="HD121" s="261"/>
      <c r="HE121" s="261"/>
      <c r="HF121" s="261"/>
      <c r="HG121" s="261"/>
      <c r="HH121" s="261"/>
      <c r="HI121" s="261"/>
      <c r="HJ121" s="261"/>
      <c r="HK121" s="261"/>
      <c r="HL121" s="261"/>
      <c r="HM121" s="261"/>
      <c r="HN121" s="261"/>
      <c r="HO121" s="261"/>
      <c r="HP121" s="261"/>
      <c r="HQ121" s="261"/>
      <c r="HR121" s="261"/>
      <c r="HS121" s="261"/>
      <c r="HT121" s="261"/>
      <c r="HU121" s="261"/>
      <c r="HV121" s="261"/>
      <c r="HW121" s="261"/>
      <c r="HX121" s="261"/>
      <c r="HY121" s="261"/>
    </row>
    <row r="122" spans="1:233" customFormat="1" ht="13" x14ac:dyDescent="0.3">
      <c r="A122" s="368"/>
      <c r="B122" s="39" t="s">
        <v>345</v>
      </c>
      <c r="C122" s="1423">
        <f>'Existing Management Practices'!C171</f>
        <v>160</v>
      </c>
      <c r="D122" s="277"/>
      <c r="E122" s="277"/>
      <c r="F122" s="277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94"/>
      <c r="U122" s="294"/>
      <c r="V122" s="294"/>
      <c r="W122" s="294"/>
      <c r="X122" s="294"/>
      <c r="Y122" s="294"/>
      <c r="Z122" s="294"/>
      <c r="AA122" s="294"/>
      <c r="AB122" s="294"/>
      <c r="AC122" s="277"/>
      <c r="AD122" s="277"/>
      <c r="AE122" s="277"/>
      <c r="AF122" s="277"/>
      <c r="AG122" s="277"/>
      <c r="AH122" s="277"/>
      <c r="AI122" s="277"/>
      <c r="AJ122" s="277"/>
      <c r="AK122" s="277"/>
      <c r="AL122" s="277"/>
      <c r="AM122" s="277"/>
      <c r="AN122" s="277"/>
      <c r="AO122" s="277"/>
      <c r="AP122" s="277"/>
      <c r="AQ122" s="277"/>
      <c r="AR122" s="277"/>
      <c r="AS122" s="277"/>
      <c r="AT122" s="277"/>
      <c r="AU122" s="277"/>
      <c r="AV122" s="277"/>
      <c r="AW122" s="277"/>
      <c r="AX122" s="277"/>
      <c r="AY122" s="277"/>
      <c r="AZ122" s="277"/>
      <c r="BA122" s="277"/>
      <c r="BB122" s="277"/>
      <c r="BC122" s="261"/>
      <c r="BD122" s="261"/>
      <c r="BE122" s="261"/>
      <c r="BF122" s="261"/>
      <c r="BG122" s="261"/>
      <c r="BH122" s="261"/>
      <c r="BI122" s="261"/>
      <c r="BJ122" s="261"/>
      <c r="BK122" s="261"/>
      <c r="BL122" s="261"/>
      <c r="BM122" s="261"/>
      <c r="BN122" s="261"/>
      <c r="BO122" s="261"/>
      <c r="BP122" s="261"/>
      <c r="BQ122" s="261"/>
      <c r="BR122" s="261"/>
      <c r="BS122" s="261"/>
      <c r="BT122" s="261"/>
      <c r="BU122" s="261"/>
      <c r="BV122" s="261"/>
      <c r="BW122" s="261"/>
      <c r="BX122" s="261"/>
      <c r="BY122" s="261"/>
      <c r="BZ122" s="261"/>
      <c r="CA122" s="261"/>
      <c r="CB122" s="261"/>
      <c r="CC122" s="261"/>
      <c r="CD122" s="261"/>
      <c r="CE122" s="261"/>
      <c r="CF122" s="261"/>
      <c r="CG122" s="261"/>
      <c r="CH122" s="261"/>
      <c r="CI122" s="261"/>
      <c r="CJ122" s="261"/>
      <c r="CK122" s="261"/>
      <c r="CL122" s="261"/>
      <c r="CM122" s="261"/>
      <c r="CN122" s="261"/>
      <c r="CO122" s="261"/>
      <c r="CP122" s="261"/>
      <c r="CQ122" s="261"/>
      <c r="CR122" s="261"/>
      <c r="CS122" s="261"/>
      <c r="CT122" s="261"/>
      <c r="CU122" s="261"/>
      <c r="CV122" s="261"/>
      <c r="CW122" s="261"/>
      <c r="CX122" s="261"/>
      <c r="CY122" s="261"/>
      <c r="CZ122" s="261"/>
      <c r="DA122" s="261"/>
      <c r="DB122" s="261"/>
      <c r="DC122" s="261"/>
      <c r="DD122" s="261"/>
      <c r="DE122" s="261"/>
      <c r="DF122" s="261"/>
      <c r="DG122" s="261"/>
      <c r="DH122" s="261"/>
      <c r="DI122" s="261"/>
      <c r="DJ122" s="261"/>
      <c r="DK122" s="261"/>
      <c r="DL122" s="261"/>
      <c r="DM122" s="261"/>
      <c r="DN122" s="261"/>
      <c r="DO122" s="261"/>
      <c r="DP122" s="261"/>
      <c r="DQ122" s="261"/>
      <c r="DR122" s="261"/>
      <c r="DS122" s="261"/>
      <c r="DT122" s="261"/>
      <c r="DU122" s="261"/>
      <c r="DV122" s="261"/>
      <c r="DW122" s="261"/>
      <c r="DX122" s="261"/>
      <c r="DY122" s="261"/>
      <c r="DZ122" s="261"/>
      <c r="EA122" s="261"/>
      <c r="EB122" s="261"/>
      <c r="EC122" s="261"/>
      <c r="ED122" s="261"/>
      <c r="EE122" s="261"/>
      <c r="EF122" s="261"/>
      <c r="EG122" s="261"/>
      <c r="EH122" s="261"/>
      <c r="EI122" s="261"/>
      <c r="EJ122" s="261"/>
      <c r="EK122" s="261"/>
      <c r="EL122" s="261"/>
      <c r="EM122" s="261"/>
      <c r="EN122" s="261"/>
      <c r="EO122" s="261"/>
      <c r="EP122" s="261"/>
      <c r="EQ122" s="261"/>
      <c r="ER122" s="261"/>
      <c r="ES122" s="261"/>
      <c r="ET122" s="261"/>
      <c r="EU122" s="261"/>
      <c r="EV122" s="261"/>
      <c r="EW122" s="261"/>
      <c r="EX122" s="261"/>
      <c r="EY122" s="261"/>
      <c r="EZ122" s="261"/>
      <c r="FA122" s="261"/>
      <c r="FB122" s="261"/>
      <c r="FC122" s="261"/>
      <c r="FD122" s="261"/>
      <c r="FE122" s="261"/>
      <c r="FF122" s="261"/>
      <c r="FG122" s="261"/>
      <c r="FH122" s="261"/>
      <c r="FI122" s="261"/>
      <c r="FJ122" s="261"/>
      <c r="FK122" s="261"/>
      <c r="FL122" s="261"/>
      <c r="FM122" s="261"/>
      <c r="FN122" s="261"/>
      <c r="FO122" s="261"/>
      <c r="FP122" s="261"/>
      <c r="FQ122" s="261"/>
      <c r="FR122" s="261"/>
      <c r="FS122" s="261"/>
      <c r="FT122" s="261"/>
      <c r="FU122" s="261"/>
      <c r="FV122" s="261"/>
      <c r="FW122" s="261"/>
      <c r="FX122" s="261"/>
      <c r="FY122" s="261"/>
      <c r="FZ122" s="261"/>
      <c r="GA122" s="261"/>
      <c r="GB122" s="261"/>
      <c r="GC122" s="261"/>
      <c r="GD122" s="261"/>
      <c r="GE122" s="261"/>
      <c r="GF122" s="261"/>
      <c r="GG122" s="261"/>
      <c r="GH122" s="261"/>
      <c r="GI122" s="261"/>
      <c r="GJ122" s="261"/>
      <c r="GK122" s="261"/>
      <c r="GL122" s="261"/>
      <c r="GM122" s="261"/>
      <c r="GN122" s="261"/>
      <c r="GO122" s="261"/>
      <c r="GP122" s="261"/>
      <c r="GQ122" s="261"/>
      <c r="GR122" s="261"/>
      <c r="GS122" s="261"/>
      <c r="GT122" s="261"/>
      <c r="GU122" s="261"/>
      <c r="GV122" s="261"/>
      <c r="GW122" s="261"/>
      <c r="GX122" s="261"/>
      <c r="GY122" s="261"/>
      <c r="GZ122" s="261"/>
      <c r="HA122" s="261"/>
      <c r="HB122" s="261"/>
      <c r="HC122" s="261"/>
      <c r="HD122" s="261"/>
      <c r="HE122" s="261"/>
      <c r="HF122" s="261"/>
      <c r="HG122" s="261"/>
      <c r="HH122" s="261"/>
      <c r="HI122" s="261"/>
      <c r="HJ122" s="261"/>
      <c r="HK122" s="261"/>
      <c r="HL122" s="261"/>
      <c r="HM122" s="261"/>
      <c r="HN122" s="261"/>
      <c r="HO122" s="261"/>
      <c r="HP122" s="261"/>
      <c r="HQ122" s="261"/>
      <c r="HR122" s="261"/>
      <c r="HS122" s="261"/>
      <c r="HT122" s="261"/>
      <c r="HU122" s="261"/>
      <c r="HV122" s="261"/>
      <c r="HW122" s="261"/>
      <c r="HX122" s="261"/>
      <c r="HY122" s="261"/>
    </row>
    <row r="123" spans="1:233" s="261" customFormat="1" ht="13.5" thickBot="1" x14ac:dyDescent="0.35">
      <c r="A123" s="368"/>
      <c r="B123" s="97" t="s">
        <v>346</v>
      </c>
      <c r="C123" s="1380">
        <f>'Existing Management Practices'!C172</f>
        <v>0.9</v>
      </c>
      <c r="D123" s="277"/>
      <c r="E123" s="277"/>
      <c r="F123" s="277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94"/>
      <c r="U123" s="294"/>
      <c r="V123" s="294"/>
      <c r="W123" s="294"/>
      <c r="X123" s="294"/>
      <c r="Y123" s="294"/>
      <c r="Z123" s="294"/>
      <c r="AA123" s="294"/>
      <c r="AB123" s="294"/>
      <c r="AC123" s="277"/>
      <c r="AD123" s="277"/>
      <c r="AE123" s="277"/>
      <c r="AF123" s="277"/>
      <c r="AG123" s="277"/>
      <c r="AH123" s="277"/>
      <c r="AI123" s="277"/>
      <c r="AJ123" s="277"/>
      <c r="AK123" s="277"/>
      <c r="AL123" s="277"/>
      <c r="AM123" s="277"/>
      <c r="AN123" s="277"/>
      <c r="AO123" s="277"/>
      <c r="AP123" s="277"/>
      <c r="AQ123" s="277"/>
      <c r="AR123" s="277"/>
      <c r="AS123" s="277"/>
      <c r="AT123" s="277"/>
      <c r="AU123" s="277"/>
      <c r="AV123" s="277"/>
      <c r="AW123" s="277"/>
      <c r="AX123" s="277"/>
      <c r="AY123" s="277"/>
      <c r="AZ123" s="277"/>
      <c r="BA123" s="277"/>
      <c r="BB123" s="277"/>
    </row>
    <row r="124" spans="1:233" ht="12.75" customHeight="1" thickTop="1" thickBot="1" x14ac:dyDescent="0.35">
      <c r="A124" s="368"/>
      <c r="D124" s="277"/>
      <c r="E124" s="277"/>
      <c r="F124" s="277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94"/>
      <c r="U124" s="294"/>
      <c r="V124" s="294"/>
      <c r="W124" s="294"/>
      <c r="X124" s="294"/>
      <c r="Y124" s="294"/>
      <c r="Z124" s="294"/>
      <c r="AA124" s="294"/>
      <c r="AB124" s="294"/>
      <c r="AC124" s="277"/>
      <c r="AD124" s="277"/>
      <c r="AE124" s="277"/>
      <c r="AF124" s="277"/>
      <c r="AG124" s="277"/>
      <c r="AH124" s="277"/>
      <c r="AI124" s="277"/>
      <c r="AJ124" s="277"/>
      <c r="AK124" s="277"/>
      <c r="AL124" s="277"/>
      <c r="AM124" s="277"/>
      <c r="AN124" s="277"/>
      <c r="AO124" s="277"/>
      <c r="AP124" s="277"/>
      <c r="AQ124" s="277"/>
      <c r="AR124" s="277"/>
      <c r="AS124" s="277"/>
      <c r="AT124" s="277"/>
      <c r="AU124" s="277"/>
      <c r="AV124" s="277"/>
      <c r="AW124" s="277"/>
      <c r="AX124" s="277"/>
      <c r="AY124" s="277"/>
      <c r="AZ124" s="277"/>
      <c r="BA124" s="277"/>
      <c r="BB124" s="277"/>
    </row>
    <row r="125" spans="1:233" ht="20.5" thickTop="1" x14ac:dyDescent="0.4">
      <c r="A125" s="368"/>
      <c r="B125" s="492" t="s">
        <v>511</v>
      </c>
      <c r="C125" s="493"/>
      <c r="D125" s="126"/>
      <c r="E125" s="126"/>
      <c r="F125" s="126"/>
      <c r="G125" s="494"/>
      <c r="H125" s="495"/>
      <c r="I125" s="833"/>
      <c r="J125" s="1092"/>
      <c r="K125" s="1091"/>
      <c r="L125" s="1091"/>
      <c r="M125" s="1091"/>
      <c r="N125" s="294"/>
      <c r="O125" s="294"/>
      <c r="P125" s="294"/>
      <c r="Q125" s="294"/>
      <c r="R125" s="294"/>
      <c r="S125" s="294"/>
      <c r="T125" s="294"/>
      <c r="U125" s="294"/>
      <c r="V125" s="294"/>
      <c r="W125" s="294"/>
      <c r="X125" s="294"/>
      <c r="Y125" s="277"/>
      <c r="Z125" s="277"/>
      <c r="AA125" s="277"/>
      <c r="AB125" s="277"/>
      <c r="AC125" s="277"/>
      <c r="AD125" s="277"/>
      <c r="AE125" s="277"/>
      <c r="AF125" s="277"/>
      <c r="AG125" s="277"/>
      <c r="AH125" s="277"/>
      <c r="AI125" s="277"/>
      <c r="AJ125" s="277"/>
      <c r="AK125" s="277"/>
      <c r="AL125" s="277"/>
      <c r="AM125" s="277"/>
      <c r="AN125" s="277"/>
      <c r="AO125" s="277"/>
      <c r="AP125" s="277"/>
      <c r="AQ125" s="277"/>
      <c r="AR125" s="277"/>
      <c r="AS125" s="277"/>
      <c r="AT125" s="277"/>
      <c r="AU125" s="277"/>
      <c r="AV125" s="277"/>
      <c r="AW125" s="277"/>
      <c r="AX125" s="277"/>
    </row>
    <row r="126" spans="1:233" ht="13" x14ac:dyDescent="0.3">
      <c r="A126" s="368"/>
      <c r="B126" s="496"/>
      <c r="C126" s="497"/>
      <c r="D126" s="87"/>
      <c r="E126" s="87"/>
      <c r="F126" s="87"/>
      <c r="G126" s="132"/>
      <c r="H126" s="448"/>
      <c r="I126" s="834"/>
      <c r="J126" s="1092"/>
      <c r="K126" s="1091"/>
      <c r="L126" s="1091"/>
      <c r="M126" s="1091"/>
      <c r="N126" s="294"/>
      <c r="O126" s="294"/>
      <c r="P126" s="294"/>
      <c r="Q126" s="294"/>
      <c r="R126" s="294"/>
      <c r="S126" s="294"/>
      <c r="T126" s="294"/>
      <c r="U126" s="294"/>
      <c r="V126" s="294"/>
      <c r="W126" s="294"/>
      <c r="X126" s="294"/>
      <c r="Y126" s="277"/>
      <c r="Z126" s="277"/>
      <c r="AA126" s="277"/>
      <c r="AB126" s="277"/>
      <c r="AC126" s="277"/>
      <c r="AD126" s="277"/>
      <c r="AE126" s="277"/>
      <c r="AF126" s="277"/>
      <c r="AG126" s="277"/>
      <c r="AH126" s="277"/>
      <c r="AI126" s="277"/>
      <c r="AJ126" s="277"/>
      <c r="AK126" s="277"/>
      <c r="AL126" s="277"/>
      <c r="AM126" s="277"/>
      <c r="AN126" s="277"/>
      <c r="AO126" s="277"/>
      <c r="AP126" s="277"/>
      <c r="AQ126" s="277"/>
      <c r="AR126" s="277"/>
      <c r="AS126" s="277"/>
      <c r="AT126" s="277"/>
      <c r="AU126" s="277"/>
      <c r="AV126" s="277"/>
      <c r="AW126" s="277"/>
      <c r="AX126" s="277"/>
    </row>
    <row r="127" spans="1:233" ht="13" x14ac:dyDescent="0.3">
      <c r="A127" s="368"/>
      <c r="B127" s="498"/>
      <c r="C127" s="499"/>
      <c r="D127" s="499"/>
      <c r="E127" s="274" t="s">
        <v>10</v>
      </c>
      <c r="F127" s="274" t="s">
        <v>11</v>
      </c>
      <c r="G127" s="274" t="s">
        <v>12</v>
      </c>
      <c r="H127" s="129" t="s">
        <v>13</v>
      </c>
      <c r="I127" s="835" t="s">
        <v>14</v>
      </c>
      <c r="J127" s="1092"/>
      <c r="K127" s="1091"/>
      <c r="L127" s="1091"/>
      <c r="M127" s="1091"/>
      <c r="N127" s="294"/>
      <c r="O127" s="294"/>
      <c r="P127" s="294"/>
      <c r="Q127" s="294"/>
      <c r="R127" s="294"/>
      <c r="S127" s="294"/>
      <c r="T127" s="294"/>
      <c r="U127" s="294"/>
      <c r="V127" s="294"/>
      <c r="W127" s="294"/>
      <c r="X127" s="294"/>
      <c r="Y127" s="277"/>
      <c r="Z127" s="277"/>
      <c r="AA127" s="277"/>
      <c r="AB127" s="277"/>
      <c r="AC127" s="277"/>
      <c r="AD127" s="277"/>
      <c r="AE127" s="277"/>
      <c r="AF127" s="277"/>
      <c r="AG127" s="277"/>
      <c r="AH127" s="277"/>
      <c r="AI127" s="277"/>
      <c r="AJ127" s="277"/>
      <c r="AK127" s="277"/>
      <c r="AL127" s="277"/>
      <c r="AM127" s="277"/>
      <c r="AN127" s="277"/>
      <c r="AO127" s="277"/>
      <c r="AP127" s="277"/>
      <c r="AQ127" s="277"/>
      <c r="AR127" s="277"/>
      <c r="AS127" s="277"/>
      <c r="AT127" s="277"/>
      <c r="AU127" s="277"/>
      <c r="AV127" s="277"/>
      <c r="AW127" s="277"/>
      <c r="AX127" s="277"/>
    </row>
    <row r="128" spans="1:233" ht="13.5" customHeight="1" thickBot="1" x14ac:dyDescent="0.35">
      <c r="A128" s="368"/>
      <c r="B128" s="500" t="s">
        <v>389</v>
      </c>
      <c r="C128" s="501" t="s">
        <v>390</v>
      </c>
      <c r="D128" s="276" t="s">
        <v>391</v>
      </c>
      <c r="E128" s="275" t="s">
        <v>392</v>
      </c>
      <c r="F128" s="275" t="s">
        <v>392</v>
      </c>
      <c r="G128" s="275" t="s">
        <v>392</v>
      </c>
      <c r="H128" s="776" t="s">
        <v>393</v>
      </c>
      <c r="I128" s="836" t="s">
        <v>394</v>
      </c>
      <c r="J128" s="1092"/>
      <c r="K128" s="1091"/>
      <c r="L128" s="1091"/>
      <c r="M128" s="1091"/>
      <c r="N128" s="294"/>
      <c r="O128" s="294"/>
      <c r="P128" s="294"/>
      <c r="Q128" s="294"/>
      <c r="R128" s="294"/>
      <c r="S128" s="294"/>
      <c r="T128" s="294"/>
      <c r="U128" s="294"/>
      <c r="V128" s="294"/>
      <c r="W128" s="294"/>
      <c r="X128" s="294"/>
      <c r="Y128" s="277"/>
      <c r="Z128" s="277"/>
      <c r="AA128" s="277"/>
      <c r="AB128" s="277"/>
      <c r="AC128" s="277"/>
      <c r="AD128" s="277"/>
      <c r="AE128" s="277"/>
      <c r="AF128" s="277"/>
      <c r="AG128" s="277"/>
      <c r="AH128" s="277"/>
      <c r="AI128" s="277"/>
      <c r="AJ128" s="277"/>
      <c r="AK128" s="277"/>
      <c r="AL128" s="277"/>
      <c r="AM128" s="277"/>
      <c r="AN128" s="277"/>
      <c r="AO128" s="277"/>
      <c r="AP128" s="277"/>
      <c r="AQ128" s="277"/>
      <c r="AR128" s="277"/>
      <c r="AS128" s="277"/>
      <c r="AT128" s="277"/>
      <c r="AU128" s="277"/>
      <c r="AV128" s="277"/>
      <c r="AW128" s="277"/>
      <c r="AX128" s="277"/>
    </row>
    <row r="129" spans="1:50" ht="13.5" thickBot="1" x14ac:dyDescent="0.35">
      <c r="A129" s="368"/>
      <c r="B129" s="502" t="s">
        <v>30</v>
      </c>
      <c r="C129" s="503">
        <f>VLOOKUP(B129,'Primary Sources'!C11:D35,2,FALSE)</f>
        <v>18147.78</v>
      </c>
      <c r="D129" s="1717">
        <f>'Retrofit Worksheet'!AZ77</f>
        <v>0</v>
      </c>
      <c r="E129" s="1430">
        <f>IF('Primary Sources'!$F$53&gt;0,IF($B129&gt;0,VLOOKUP($B129,'Primary Sources'!$C$11:$N$50,9,FALSE),0)-('Existing Management Practices'!C$176+'Future Management Practices'!C$351)/'Primary Sources'!$F$53*VLOOKUP($B129,'Primary Sources'!$C$11:$N$50,4,FALSE),0)</f>
        <v>5.8754046416811061</v>
      </c>
      <c r="F129" s="1430">
        <f>IF('Primary Sources'!$F$53&gt;0,IF($B129&gt;0,VLOOKUP($B129,'Primary Sources'!$C$11:$N$50,10,FALSE),0)-('Existing Management Practices'!D$176+'Future Management Practices'!D$351)/'Primary Sources'!$F$53*VLOOKUP($B129,'Primary Sources'!$C$11:$N$50,4,FALSE),0)</f>
        <v>1.6750901486928238</v>
      </c>
      <c r="G129" s="1430">
        <f>IF($B129&gt;0,VLOOKUP($B129,'Primary Sources'!$C$11:$O$50,11,FALSE),0)</f>
        <v>104.02993920056444</v>
      </c>
      <c r="H129" s="1431">
        <f>IF($B129&gt;0,VLOOKUP($B129,'Primary Sources'!$C$11:$O$50,12,FALSE),0)</f>
        <v>80.745325799852964</v>
      </c>
      <c r="I129" s="1432">
        <f>IF('Primary Sources'!$F$53&gt;0,IF($B129&gt;0,VLOOKUP($B129,'Primary Sources'!$C$11:$O$50,13,FALSE)-('Existing Management Practices'!G$176+'Future Management Practices'!G$388)/'Primary Sources'!$F$53*12*VLOOKUP($B129,'Primary Sources'!$C$11:$O$50,4,FALSE),0),0)</f>
        <v>9.3940707242698611</v>
      </c>
      <c r="J129" s="1092"/>
      <c r="K129" s="1091"/>
      <c r="L129" s="1091"/>
      <c r="M129" s="1091"/>
      <c r="N129" s="294"/>
      <c r="O129" s="294"/>
      <c r="P129" s="294"/>
      <c r="Q129" s="294"/>
      <c r="R129" s="294"/>
      <c r="S129" s="294"/>
      <c r="T129" s="294"/>
      <c r="U129" s="294"/>
      <c r="V129" s="294"/>
      <c r="W129" s="294"/>
      <c r="X129" s="294"/>
      <c r="Y129" s="277"/>
      <c r="Z129" s="277"/>
      <c r="AA129" s="277"/>
      <c r="AB129" s="277"/>
      <c r="AC129" s="277"/>
      <c r="AD129" s="277"/>
      <c r="AE129" s="277"/>
      <c r="AF129" s="277"/>
      <c r="AG129" s="277"/>
      <c r="AH129" s="277"/>
      <c r="AI129" s="277"/>
      <c r="AJ129" s="277"/>
      <c r="AK129" s="277"/>
      <c r="AL129" s="277"/>
      <c r="AM129" s="277"/>
      <c r="AN129" s="277"/>
      <c r="AO129" s="277"/>
      <c r="AP129" s="277"/>
      <c r="AQ129" s="277"/>
      <c r="AR129" s="277"/>
      <c r="AS129" s="277"/>
      <c r="AT129" s="277"/>
      <c r="AU129" s="277"/>
      <c r="AV129" s="277"/>
      <c r="AW129" s="277"/>
      <c r="AX129" s="277"/>
    </row>
    <row r="130" spans="1:50" ht="13.5" thickBot="1" x14ac:dyDescent="0.35">
      <c r="A130" s="368"/>
      <c r="B130" s="502" t="s">
        <v>31</v>
      </c>
      <c r="C130" s="503">
        <f>VLOOKUP(B130,'Primary Sources'!C12:D36,2,FALSE)</f>
        <v>4480.45</v>
      </c>
      <c r="D130" s="1227"/>
      <c r="E130" s="1433">
        <f>IF('Primary Sources'!$F$53&gt;0,IF($B130&gt;0,VLOOKUP($B130,'Primary Sources'!$C$11:$N$50,9,FALSE),0)-('Existing Management Practices'!C$176+'Future Management Practices'!C$351)/'Primary Sources'!$F$53*VLOOKUP($B130,'Primary Sources'!$C$11:$N$50,4,FALSE),0)</f>
        <v>7.3279368813940184</v>
      </c>
      <c r="F130" s="1433">
        <f>IF('Primary Sources'!$F$53&gt;0,IF($B130&gt;0,VLOOKUP($B130,'Primary Sources'!$C$11:$N$50,10,FALSE),0)-('Existing Management Practices'!D$176+'Future Management Practices'!D$351)/'Primary Sources'!$F$53*VLOOKUP($B130,'Primary Sources'!$C$11:$N$50,4,FALSE),0)</f>
        <v>1.7754499100749386</v>
      </c>
      <c r="G130" s="1433">
        <f>IF($B130&gt;0,VLOOKUP($B130,'Primary Sources'!$C$11:$O$50,11,FALSE),0)</f>
        <v>145.52681280389285</v>
      </c>
      <c r="H130" s="1434">
        <f>IF($B130&gt;0,VLOOKUP($B130,'Primary Sources'!$C$11:$O$50,12,FALSE),0)</f>
        <v>112.95411688946547</v>
      </c>
      <c r="I130" s="1435">
        <f>IF('Primary Sources'!$F$53&gt;0,IF($B130&gt;0,VLOOKUP($B130,'Primary Sources'!$C$11:$O$50,13,FALSE)-('Existing Management Practices'!G$176+'Future Management Practices'!G$388)/'Primary Sources'!$F$53*12*VLOOKUP($B130,'Primary Sources'!$C$11:$O$50,4,FALSE),0),0)</f>
        <v>13.141305111422508</v>
      </c>
      <c r="J130" s="1092"/>
      <c r="K130" s="1091"/>
      <c r="L130" s="1091"/>
      <c r="M130" s="1091"/>
      <c r="N130" s="294"/>
      <c r="O130" s="294"/>
      <c r="P130" s="294"/>
      <c r="Q130" s="294"/>
      <c r="R130" s="294"/>
      <c r="S130" s="294"/>
      <c r="T130" s="294"/>
      <c r="U130" s="294"/>
      <c r="V130" s="294"/>
      <c r="W130" s="294"/>
      <c r="X130" s="294"/>
      <c r="Y130" s="277"/>
      <c r="Z130" s="277"/>
      <c r="AA130" s="277"/>
      <c r="AB130" s="277"/>
      <c r="AC130" s="277"/>
      <c r="AD130" s="277"/>
      <c r="AE130" s="277"/>
      <c r="AF130" s="277"/>
      <c r="AG130" s="277"/>
      <c r="AH130" s="277"/>
      <c r="AI130" s="277"/>
      <c r="AJ130" s="277"/>
      <c r="AK130" s="277"/>
      <c r="AL130" s="277"/>
      <c r="AM130" s="277"/>
      <c r="AN130" s="277"/>
      <c r="AO130" s="277"/>
      <c r="AP130" s="277"/>
      <c r="AQ130" s="277"/>
      <c r="AR130" s="277"/>
      <c r="AS130" s="277"/>
      <c r="AT130" s="277"/>
      <c r="AU130" s="277"/>
      <c r="AV130" s="277"/>
      <c r="AW130" s="277"/>
      <c r="AX130" s="277"/>
    </row>
    <row r="131" spans="1:50" ht="13.5" thickBot="1" x14ac:dyDescent="0.35">
      <c r="A131" s="368"/>
      <c r="B131" s="502" t="s">
        <v>32</v>
      </c>
      <c r="C131" s="503">
        <f>VLOOKUP(B131,'Primary Sources'!C13:D37,2,FALSE)</f>
        <v>178.28</v>
      </c>
      <c r="D131" s="1227"/>
      <c r="E131" s="1433">
        <f>IF('Primary Sources'!$F$53&gt;0,IF($B131&gt;0,VLOOKUP($B131,'Primary Sources'!$C$11:$N$50,9,FALSE),0)-('Existing Management Practices'!C$176+'Future Management Practices'!C$351)/'Primary Sources'!$F$53*VLOOKUP($B131,'Primary Sources'!$C$11:$N$50,4,FALSE),0)</f>
        <v>9.5188601808470157</v>
      </c>
      <c r="F131" s="1433">
        <f>IF('Primary Sources'!$F$53&gt;0,IF($B131&gt;0,VLOOKUP($B131,'Primary Sources'!$C$11:$N$50,10,FALSE),0)-('Existing Management Practices'!D$176+'Future Management Practices'!D$351)/'Primary Sources'!$F$53*VLOOKUP($B131,'Primary Sources'!$C$11:$N$50,4,FALSE),0)</f>
        <v>1.926827300213334</v>
      </c>
      <c r="G131" s="1433">
        <f>IF($B131&gt;0,VLOOKUP($B131,'Primary Sources'!$C$11:$O$50,11,FALSE),0)</f>
        <v>208.11851627613905</v>
      </c>
      <c r="H131" s="1434">
        <f>IF($B131&gt;0,VLOOKUP($B131,'Primary Sources'!$C$11:$O$50,12,FALSE),0)</f>
        <v>161.53616478906557</v>
      </c>
      <c r="I131" s="1435">
        <f>IF('Primary Sources'!$F$53&gt;0,IF($B131&gt;0,VLOOKUP($B131,'Primary Sources'!$C$11:$O$50,13,FALSE)-('Existing Management Practices'!G$176+'Future Management Practices'!G$388)/'Primary Sources'!$F$53*12*VLOOKUP($B131,'Primary Sources'!$C$11:$O$50,4,FALSE),0),0)</f>
        <v>18.79343654290582</v>
      </c>
      <c r="J131" s="1092"/>
      <c r="K131" s="1091"/>
      <c r="L131" s="1091"/>
      <c r="M131" s="1091"/>
      <c r="N131" s="294"/>
      <c r="O131" s="294"/>
      <c r="P131" s="294"/>
      <c r="Q131" s="294"/>
      <c r="R131" s="294"/>
      <c r="S131" s="294"/>
      <c r="T131" s="294"/>
      <c r="U131" s="294"/>
      <c r="V131" s="294"/>
      <c r="W131" s="294"/>
      <c r="X131" s="294"/>
      <c r="Y131" s="277"/>
      <c r="Z131" s="277"/>
      <c r="AA131" s="277"/>
      <c r="AB131" s="277"/>
      <c r="AC131" s="277"/>
      <c r="AD131" s="277"/>
      <c r="AE131" s="277"/>
      <c r="AF131" s="277"/>
      <c r="AG131" s="277"/>
      <c r="AH131" s="277"/>
      <c r="AI131" s="277"/>
      <c r="AJ131" s="277"/>
      <c r="AK131" s="277"/>
      <c r="AL131" s="277"/>
      <c r="AM131" s="277"/>
      <c r="AN131" s="277"/>
      <c r="AO131" s="277"/>
      <c r="AP131" s="277"/>
      <c r="AQ131" s="277"/>
      <c r="AR131" s="277"/>
      <c r="AS131" s="277"/>
      <c r="AT131" s="277"/>
      <c r="AU131" s="277"/>
      <c r="AV131" s="277"/>
      <c r="AW131" s="277"/>
      <c r="AX131" s="277"/>
    </row>
    <row r="132" spans="1:50" ht="13.5" thickBot="1" x14ac:dyDescent="0.35">
      <c r="A132" s="368"/>
      <c r="B132" s="502" t="s">
        <v>33</v>
      </c>
      <c r="C132" s="503">
        <f>VLOOKUP(B132,'Primary Sources'!C14:D38,2,FALSE)</f>
        <v>0</v>
      </c>
      <c r="D132" s="1227"/>
      <c r="E132" s="1433">
        <f>IF('Primary Sources'!$F$53&gt;0,IF($B132&gt;0,VLOOKUP($B132,'Primary Sources'!$C$11:$N$50,9,FALSE),0)-('Existing Management Practices'!C$176+'Future Management Practices'!C$351)/'Primary Sources'!$F$53*VLOOKUP($B132,'Primary Sources'!$C$11:$N$50,4,FALSE),0)</f>
        <v>0.56681019146828548</v>
      </c>
      <c r="F132" s="1433">
        <f>IF('Primary Sources'!$F$53&gt;0,IF($B132&gt;0,VLOOKUP($B132,'Primary Sources'!$C$11:$N$50,10,FALSE),0)-('Existing Management Practices'!D$176+'Future Management Practices'!D$351)/'Primary Sources'!$F$53*VLOOKUP($B132,'Primary Sources'!$C$11:$N$50,4,FALSE),0)</f>
        <v>8.3671980645318333E-2</v>
      </c>
      <c r="G132" s="1433">
        <f>IF($B132&gt;0,VLOOKUP($B132,'Primary Sources'!$C$11:$O$50,11,FALSE),0)</f>
        <v>13.225571134259994</v>
      </c>
      <c r="H132" s="1434">
        <f>IF($B132&gt;0,VLOOKUP($B132,'Primary Sources'!$C$11:$O$50,12,FALSE),0)</f>
        <v>24.602380834906619</v>
      </c>
      <c r="I132" s="1435">
        <f>IF('Primary Sources'!$F$53&gt;0,IF($B132&gt;0,VLOOKUP($B132,'Primary Sources'!$C$11:$O$50,13,FALSE)-('Existing Management Practices'!G$176+'Future Management Practices'!G$388)/'Primary Sources'!$F$53*12*VLOOKUP($B132,'Primary Sources'!$C$11:$O$50,4,FALSE),0),0)</f>
        <v>1.1942903317915834</v>
      </c>
      <c r="J132" s="1092"/>
      <c r="K132" s="1091"/>
      <c r="L132" s="1091"/>
      <c r="M132" s="1091"/>
      <c r="N132" s="294"/>
      <c r="O132" s="294"/>
      <c r="P132" s="294"/>
      <c r="Q132" s="294"/>
      <c r="R132" s="294"/>
      <c r="S132" s="294"/>
      <c r="T132" s="294"/>
      <c r="U132" s="294"/>
      <c r="V132" s="294"/>
      <c r="W132" s="294"/>
      <c r="X132" s="294"/>
      <c r="Y132" s="277"/>
      <c r="Z132" s="277"/>
      <c r="AA132" s="277"/>
      <c r="AB132" s="277"/>
      <c r="AC132" s="277"/>
      <c r="AD132" s="277"/>
      <c r="AE132" s="277"/>
      <c r="AF132" s="277"/>
      <c r="AG132" s="277"/>
      <c r="AH132" s="277"/>
      <c r="AI132" s="277"/>
      <c r="AJ132" s="277"/>
      <c r="AK132" s="277"/>
      <c r="AL132" s="277"/>
      <c r="AM132" s="277"/>
      <c r="AN132" s="277"/>
      <c r="AO132" s="277"/>
      <c r="AP132" s="277"/>
      <c r="AQ132" s="277"/>
      <c r="AR132" s="277"/>
      <c r="AS132" s="277"/>
      <c r="AT132" s="277"/>
      <c r="AU132" s="277"/>
      <c r="AV132" s="277"/>
      <c r="AW132" s="277"/>
      <c r="AX132" s="277"/>
    </row>
    <row r="133" spans="1:50" ht="13.5" thickBot="1" x14ac:dyDescent="0.35">
      <c r="A133" s="368"/>
      <c r="B133" s="502" t="s">
        <v>34</v>
      </c>
      <c r="C133" s="503">
        <f>VLOOKUP(B133,'Primary Sources'!C15:D39,2,FALSE)</f>
        <v>2514.9299999999998</v>
      </c>
      <c r="D133" s="1227"/>
      <c r="E133" s="1433">
        <f>IF('Primary Sources'!$F$53&gt;0,IF($B133&gt;0,VLOOKUP($B133,'Primary Sources'!$C$11:$N$50,9,FALSE),0)-('Existing Management Practices'!C$176+'Future Management Practices'!C$351)/'Primary Sources'!$F$53*VLOOKUP($B133,'Primary Sources'!$C$11:$N$50,4,FALSE),0)</f>
        <v>9.6654063574254661</v>
      </c>
      <c r="F133" s="1433">
        <f>IF('Primary Sources'!$F$53&gt;0,IF($B133&gt;0,VLOOKUP($B133,'Primary Sources'!$C$11:$N$50,10,FALSE),0)-('Existing Management Practices'!D$176+'Future Management Practices'!D$351)/'Primary Sources'!$F$53*VLOOKUP($B133,'Primary Sources'!$C$11:$N$50,4,FALSE),0)</f>
        <v>1.5729092465929011</v>
      </c>
      <c r="G133" s="1433">
        <f>IF($B133&gt;0,VLOOKUP($B133,'Primary Sources'!$C$11:$O$50,11,FALSE),0)</f>
        <v>162.97218639809631</v>
      </c>
      <c r="H133" s="1434">
        <f>IF($B133&gt;0,VLOOKUP($B133,'Primary Sources'!$C$11:$O$50,12,FALSE),0)</f>
        <v>76.043385330506581</v>
      </c>
      <c r="I133" s="1435">
        <f>IF('Primary Sources'!$F$53&gt;0,IF($B133&gt;0,VLOOKUP($B133,'Primary Sources'!$C$11:$O$50,13,FALSE)-('Existing Management Practices'!G$176+'Future Management Practices'!G$388)/'Primary Sources'!$F$53*12*VLOOKUP($B133,'Primary Sources'!$C$11:$O$50,4,FALSE),0),0)</f>
        <v>17.169425452812504</v>
      </c>
      <c r="J133" s="1092"/>
      <c r="K133" s="1091"/>
      <c r="L133" s="1091"/>
      <c r="M133" s="1091"/>
      <c r="N133" s="294"/>
      <c r="O133" s="294"/>
      <c r="P133" s="294"/>
      <c r="Q133" s="294"/>
      <c r="R133" s="294"/>
      <c r="S133" s="294"/>
      <c r="T133" s="294"/>
      <c r="U133" s="294"/>
      <c r="V133" s="294"/>
      <c r="W133" s="294"/>
      <c r="X133" s="294"/>
      <c r="Y133" s="277"/>
      <c r="Z133" s="277"/>
      <c r="AA133" s="277"/>
      <c r="AB133" s="277"/>
      <c r="AC133" s="277"/>
      <c r="AD133" s="277"/>
      <c r="AE133" s="277"/>
      <c r="AF133" s="277"/>
      <c r="AG133" s="277"/>
      <c r="AH133" s="277"/>
      <c r="AI133" s="277"/>
      <c r="AJ133" s="277"/>
      <c r="AK133" s="277"/>
      <c r="AL133" s="277"/>
      <c r="AM133" s="277"/>
      <c r="AN133" s="277"/>
      <c r="AO133" s="277"/>
      <c r="AP133" s="277"/>
      <c r="AQ133" s="277"/>
      <c r="AR133" s="277"/>
      <c r="AS133" s="277"/>
      <c r="AT133" s="277"/>
      <c r="AU133" s="277"/>
      <c r="AV133" s="277"/>
      <c r="AW133" s="277"/>
      <c r="AX133" s="277"/>
    </row>
    <row r="134" spans="1:50" ht="13.5" thickBot="1" x14ac:dyDescent="0.35">
      <c r="A134" s="368"/>
      <c r="B134" s="502" t="s">
        <v>36</v>
      </c>
      <c r="C134" s="503">
        <f>VLOOKUP(B134,'Primary Sources'!C16:D40,2,FALSE)</f>
        <v>863.83</v>
      </c>
      <c r="D134" s="1228"/>
      <c r="E134" s="1436">
        <f>IF('Primary Sources'!$F$53&gt;0,IF($B134&gt;0,VLOOKUP($B134,'Primary Sources'!$C$11:$N$50,9,FALSE),0)-('Existing Management Practices'!C$176+'Future Management Practices'!C$351)/'Primary Sources'!$F$53*VLOOKUP($B134,'Primary Sources'!$C$11:$N$50,4,FALSE),0)</f>
        <v>8.325117146985658</v>
      </c>
      <c r="F134" s="1436">
        <f>IF('Primary Sources'!$F$53&gt;0,IF($B134&gt;0,VLOOKUP($B134,'Primary Sources'!$C$11:$N$50,10,FALSE),0)-('Existing Management Practices'!D$176+'Future Management Practices'!D$351)/'Primary Sources'!$F$53*VLOOKUP($B134,'Primary Sources'!$C$11:$N$50,4,FALSE),0)</f>
        <v>1.6826523921252146</v>
      </c>
      <c r="G134" s="1436">
        <f>IF($B134&gt;0,VLOOKUP($B134,'Primary Sources'!$C$11:$O$50,11,FALSE),0)</f>
        <v>254.18611120834686</v>
      </c>
      <c r="H134" s="1437">
        <f>IF($B134&gt;0,VLOOKUP($B134,'Primary Sources'!$C$11:$O$50,12,FALSE),0)</f>
        <v>37.612299526577011</v>
      </c>
      <c r="I134" s="1432">
        <f>IF('Primary Sources'!$F$53&gt;0,IF($B134&gt;0,VLOOKUP($B134,'Primary Sources'!$C$11:$O$50,13,FALSE)-('Existing Management Practices'!G$176+'Future Management Practices'!G$388)/'Primary Sources'!$F$53*12*VLOOKUP($B134,'Primary Sources'!$C$11:$O$50,4,FALSE),0),0)</f>
        <v>14.606718262748354</v>
      </c>
      <c r="J134" s="1092"/>
      <c r="K134" s="1091"/>
      <c r="L134" s="1091"/>
      <c r="M134" s="1091"/>
      <c r="N134" s="294"/>
      <c r="O134" s="294"/>
      <c r="P134" s="294"/>
      <c r="Q134" s="294"/>
      <c r="R134" s="294"/>
      <c r="S134" s="294"/>
      <c r="T134" s="294"/>
      <c r="U134" s="294"/>
      <c r="V134" s="294"/>
      <c r="W134" s="294"/>
      <c r="X134" s="294"/>
      <c r="Y134" s="277"/>
      <c r="Z134" s="277"/>
      <c r="AA134" s="277"/>
      <c r="AB134" s="277"/>
      <c r="AC134" s="277"/>
      <c r="AD134" s="277"/>
      <c r="AE134" s="277"/>
      <c r="AF134" s="277"/>
      <c r="AG134" s="277"/>
      <c r="AH134" s="277"/>
      <c r="AI134" s="277"/>
      <c r="AJ134" s="277"/>
      <c r="AK134" s="277"/>
      <c r="AL134" s="277"/>
      <c r="AM134" s="277"/>
      <c r="AN134" s="277"/>
      <c r="AO134" s="277"/>
      <c r="AP134" s="277"/>
      <c r="AQ134" s="277"/>
      <c r="AR134" s="277"/>
      <c r="AS134" s="277"/>
      <c r="AT134" s="277"/>
      <c r="AU134" s="277"/>
      <c r="AV134" s="277"/>
      <c r="AW134" s="277"/>
      <c r="AX134" s="277"/>
    </row>
    <row r="135" spans="1:50" ht="13" x14ac:dyDescent="0.3">
      <c r="A135" s="368"/>
      <c r="B135" s="505"/>
      <c r="C135" s="506"/>
      <c r="D135" s="507"/>
      <c r="E135" s="508" t="s">
        <v>10</v>
      </c>
      <c r="F135" s="508" t="s">
        <v>11</v>
      </c>
      <c r="G135" s="508" t="s">
        <v>12</v>
      </c>
      <c r="H135" s="509" t="s">
        <v>13</v>
      </c>
      <c r="I135" s="837" t="s">
        <v>14</v>
      </c>
      <c r="J135" s="1092"/>
      <c r="K135" s="1091"/>
      <c r="L135" s="1091"/>
      <c r="M135" s="1091"/>
      <c r="N135" s="294"/>
      <c r="O135" s="294"/>
      <c r="P135" s="294"/>
      <c r="Q135" s="294"/>
      <c r="R135" s="294"/>
      <c r="S135" s="294"/>
      <c r="T135" s="294"/>
      <c r="U135" s="294"/>
      <c r="V135" s="294"/>
      <c r="W135" s="294"/>
      <c r="X135" s="294"/>
      <c r="Y135" s="277"/>
      <c r="Z135" s="277"/>
      <c r="AA135" s="277"/>
      <c r="AB135" s="277"/>
      <c r="AC135" s="277"/>
      <c r="AD135" s="277"/>
      <c r="AE135" s="277"/>
      <c r="AF135" s="277"/>
      <c r="AG135" s="277"/>
      <c r="AH135" s="277"/>
      <c r="AI135" s="277"/>
      <c r="AJ135" s="277"/>
      <c r="AK135" s="277"/>
      <c r="AL135" s="277"/>
      <c r="AM135" s="277"/>
      <c r="AN135" s="277"/>
      <c r="AO135" s="277"/>
      <c r="AP135" s="277"/>
      <c r="AQ135" s="277"/>
      <c r="AR135" s="277"/>
      <c r="AS135" s="277"/>
      <c r="AT135" s="277"/>
      <c r="AU135" s="277"/>
      <c r="AV135" s="277"/>
      <c r="AW135" s="277"/>
      <c r="AX135" s="277"/>
    </row>
    <row r="136" spans="1:50" ht="13.5" thickBot="1" x14ac:dyDescent="0.35">
      <c r="A136" s="368"/>
      <c r="B136" s="510"/>
      <c r="C136" s="511"/>
      <c r="D136" s="275" t="s">
        <v>395</v>
      </c>
      <c r="E136" s="512" t="s">
        <v>392</v>
      </c>
      <c r="F136" s="512" t="s">
        <v>392</v>
      </c>
      <c r="G136" s="512" t="s">
        <v>392</v>
      </c>
      <c r="H136" s="513" t="s">
        <v>393</v>
      </c>
      <c r="I136" s="838" t="s">
        <v>394</v>
      </c>
      <c r="J136" s="1092"/>
      <c r="K136" s="1091"/>
      <c r="L136" s="1091"/>
      <c r="M136" s="1091"/>
      <c r="N136" s="294"/>
      <c r="O136" s="294"/>
      <c r="P136" s="294"/>
      <c r="Q136" s="294"/>
      <c r="R136" s="294"/>
      <c r="S136" s="294"/>
      <c r="T136" s="294"/>
      <c r="U136" s="294"/>
      <c r="V136" s="294"/>
      <c r="W136" s="294"/>
      <c r="X136" s="294"/>
      <c r="Y136" s="277"/>
      <c r="Z136" s="277"/>
      <c r="AA136" s="277"/>
      <c r="AB136" s="277"/>
      <c r="AC136" s="277"/>
      <c r="AD136" s="277"/>
      <c r="AE136" s="277"/>
      <c r="AF136" s="277"/>
      <c r="AG136" s="277"/>
      <c r="AH136" s="277"/>
      <c r="AI136" s="277"/>
      <c r="AJ136" s="277"/>
      <c r="AK136" s="277"/>
      <c r="AL136" s="277"/>
      <c r="AM136" s="277"/>
      <c r="AN136" s="277"/>
      <c r="AO136" s="277"/>
      <c r="AP136" s="277"/>
      <c r="AQ136" s="277"/>
      <c r="AR136" s="277"/>
      <c r="AS136" s="277"/>
      <c r="AT136" s="277"/>
      <c r="AU136" s="277"/>
      <c r="AV136" s="277"/>
      <c r="AW136" s="277"/>
      <c r="AX136" s="277"/>
    </row>
    <row r="137" spans="1:50" ht="13" x14ac:dyDescent="0.3">
      <c r="A137" s="368"/>
      <c r="B137" s="504" t="s">
        <v>37</v>
      </c>
      <c r="C137" s="514" t="s">
        <v>396</v>
      </c>
      <c r="D137" s="1701"/>
      <c r="E137" s="1430">
        <f>IF($B137&gt;0,VLOOKUP($B137,'Primary Sources'!$C$11:$N$50,9,FALSE),0)</f>
        <v>2.5</v>
      </c>
      <c r="F137" s="1430">
        <f>IF($B137&gt;0,VLOOKUP($B137,'Primary Sources'!$C$11:$N$50,10,FALSE),0)</f>
        <v>0.2</v>
      </c>
      <c r="G137" s="1430">
        <f>IF($B137&gt;0,VLOOKUP($B137,'Primary Sources'!$C$11:$N$50,11,FALSE),0)</f>
        <v>100</v>
      </c>
      <c r="H137" s="1431">
        <f>IF($B137&gt;0,VLOOKUP($B137,'Primary Sources'!$C$11:$N$50,12,FALSE),0)</f>
        <v>12</v>
      </c>
      <c r="I137" s="1432">
        <f>IF($B137&gt;0,VLOOKUP($B137,'Primary Sources'!$C$11:$O$50,13,FALSE),0)</f>
        <v>1.1942903317915834</v>
      </c>
      <c r="J137" s="1092"/>
      <c r="K137" s="1091"/>
      <c r="L137" s="1091"/>
      <c r="M137" s="1091"/>
      <c r="N137" s="294"/>
      <c r="O137" s="294"/>
      <c r="P137" s="294"/>
      <c r="Q137" s="294"/>
      <c r="R137" s="294"/>
      <c r="S137" s="294"/>
      <c r="T137" s="294"/>
      <c r="U137" s="294"/>
      <c r="V137" s="294"/>
      <c r="W137" s="294"/>
      <c r="X137" s="294"/>
      <c r="Y137" s="277"/>
      <c r="Z137" s="277"/>
      <c r="AA137" s="277"/>
      <c r="AB137" s="277"/>
      <c r="AC137" s="277"/>
      <c r="AD137" s="277"/>
      <c r="AE137" s="277"/>
      <c r="AF137" s="277"/>
      <c r="AG137" s="277"/>
      <c r="AH137" s="277"/>
      <c r="AI137" s="277"/>
      <c r="AJ137" s="277"/>
      <c r="AK137" s="277"/>
      <c r="AL137" s="277"/>
      <c r="AM137" s="277"/>
      <c r="AN137" s="277"/>
      <c r="AO137" s="277"/>
      <c r="AP137" s="277"/>
      <c r="AQ137" s="277"/>
      <c r="AR137" s="277"/>
      <c r="AS137" s="277"/>
      <c r="AT137" s="277"/>
      <c r="AU137" s="277"/>
      <c r="AV137" s="277"/>
      <c r="AW137" s="277"/>
      <c r="AX137" s="277"/>
    </row>
    <row r="138" spans="1:50" ht="13" x14ac:dyDescent="0.3">
      <c r="A138" s="368"/>
      <c r="B138" s="504" t="s">
        <v>38</v>
      </c>
      <c r="C138" s="514" t="s">
        <v>396</v>
      </c>
      <c r="D138" s="1229"/>
      <c r="E138" s="1433">
        <f>IF($B138&gt;0,VLOOKUP($B138,'Primary Sources'!$C$11:$N$50,9,FALSE),0)</f>
        <v>4.5999999999999996</v>
      </c>
      <c r="F138" s="1433">
        <f>IF($B138&gt;0,VLOOKUP($B138,'Primary Sources'!$C$11:$N$50,10,FALSE),0)</f>
        <v>0.7</v>
      </c>
      <c r="G138" s="1433">
        <f>IF($B138&gt;0,VLOOKUP($B138,'Primary Sources'!$C$11:$N$50,11,FALSE),0)</f>
        <v>100</v>
      </c>
      <c r="H138" s="1434">
        <f>IF($B138&gt;0,VLOOKUP($B138,'Primary Sources'!$C$11:$N$50,12,FALSE),0)</f>
        <v>39</v>
      </c>
      <c r="I138" s="1435">
        <f>IF($B138&gt;0,VLOOKUP($B138,'Primary Sources'!$C$11:$O$50,13,FALSE),0)</f>
        <v>1.1942903317915834</v>
      </c>
      <c r="J138" s="1092"/>
      <c r="K138" s="1091"/>
      <c r="L138" s="1091"/>
      <c r="M138" s="1091"/>
      <c r="N138" s="294"/>
      <c r="O138" s="294"/>
      <c r="P138" s="294"/>
      <c r="Q138" s="294"/>
      <c r="R138" s="294"/>
      <c r="S138" s="294"/>
      <c r="T138" s="294"/>
      <c r="U138" s="294"/>
      <c r="V138" s="294"/>
      <c r="W138" s="294"/>
      <c r="X138" s="294"/>
      <c r="Y138" s="277"/>
      <c r="Z138" s="277"/>
      <c r="AA138" s="277"/>
      <c r="AB138" s="277"/>
      <c r="AC138" s="277"/>
      <c r="AD138" s="277"/>
      <c r="AE138" s="277"/>
      <c r="AF138" s="277"/>
      <c r="AG138" s="277"/>
      <c r="AH138" s="277"/>
      <c r="AI138" s="277"/>
      <c r="AJ138" s="277"/>
      <c r="AK138" s="277"/>
      <c r="AL138" s="277"/>
      <c r="AM138" s="277"/>
      <c r="AN138" s="277"/>
      <c r="AO138" s="277"/>
      <c r="AP138" s="277"/>
      <c r="AQ138" s="277"/>
      <c r="AR138" s="277"/>
      <c r="AS138" s="277"/>
      <c r="AT138" s="277"/>
      <c r="AU138" s="277"/>
      <c r="AV138" s="277"/>
      <c r="AW138" s="277"/>
      <c r="AX138" s="277"/>
    </row>
    <row r="139" spans="1:50" ht="13" x14ac:dyDescent="0.3">
      <c r="A139" s="368"/>
      <c r="B139" s="504" t="s">
        <v>38</v>
      </c>
      <c r="C139" s="514" t="s">
        <v>396</v>
      </c>
      <c r="D139" s="1229"/>
      <c r="E139" s="1433">
        <f>IF($B139&gt;0,VLOOKUP($B139,'Primary Sources'!$C$11:$N$50,9,FALSE),0)</f>
        <v>4.5999999999999996</v>
      </c>
      <c r="F139" s="1433">
        <f>IF($B139&gt;0,VLOOKUP($B139,'Primary Sources'!$C$11:$N$50,10,FALSE),0)</f>
        <v>0.7</v>
      </c>
      <c r="G139" s="1433">
        <f>IF($B139&gt;0,VLOOKUP($B139,'Primary Sources'!$C$11:$N$50,11,FALSE),0)</f>
        <v>100</v>
      </c>
      <c r="H139" s="1434">
        <f>IF($B139&gt;0,VLOOKUP($B139,'Primary Sources'!$C$11:$N$50,12,FALSE),0)</f>
        <v>39</v>
      </c>
      <c r="I139" s="1435">
        <f>IF($B139&gt;0,VLOOKUP($B139,'Primary Sources'!$C$11:$O$50,13,FALSE),0)</f>
        <v>1.1942903317915834</v>
      </c>
      <c r="J139" s="1092"/>
      <c r="K139" s="1091"/>
      <c r="L139" s="1091"/>
      <c r="M139" s="1091"/>
      <c r="N139" s="294"/>
      <c r="O139" s="294"/>
      <c r="P139" s="294"/>
      <c r="Q139" s="294"/>
      <c r="R139" s="294"/>
      <c r="S139" s="294"/>
      <c r="T139" s="294"/>
      <c r="U139" s="294"/>
      <c r="V139" s="294"/>
      <c r="W139" s="294"/>
      <c r="X139" s="294"/>
      <c r="Y139" s="277"/>
      <c r="Z139" s="277"/>
      <c r="AA139" s="277"/>
      <c r="AB139" s="277"/>
      <c r="AC139" s="277"/>
      <c r="AD139" s="277"/>
      <c r="AE139" s="277"/>
      <c r="AF139" s="277"/>
      <c r="AG139" s="277"/>
      <c r="AH139" s="277"/>
      <c r="AI139" s="277"/>
      <c r="AJ139" s="277"/>
      <c r="AK139" s="277"/>
      <c r="AL139" s="277"/>
      <c r="AM139" s="277"/>
      <c r="AN139" s="277"/>
      <c r="AO139" s="277"/>
      <c r="AP139" s="277"/>
      <c r="AQ139" s="277"/>
      <c r="AR139" s="277"/>
      <c r="AS139" s="277"/>
      <c r="AT139" s="277"/>
      <c r="AU139" s="277"/>
      <c r="AV139" s="277"/>
      <c r="AW139" s="277"/>
      <c r="AX139" s="277"/>
    </row>
    <row r="140" spans="1:50" ht="13" x14ac:dyDescent="0.3">
      <c r="A140" s="368"/>
      <c r="B140" s="504" t="s">
        <v>38</v>
      </c>
      <c r="C140" s="514" t="s">
        <v>396</v>
      </c>
      <c r="D140" s="1229"/>
      <c r="E140" s="1433">
        <f>IF($B140&gt;0,VLOOKUP($B140,'Primary Sources'!$C$11:$N$50,9,FALSE),0)</f>
        <v>4.5999999999999996</v>
      </c>
      <c r="F140" s="1433">
        <f>IF($B140&gt;0,VLOOKUP($B140,'Primary Sources'!$C$11:$N$50,10,FALSE),0)</f>
        <v>0.7</v>
      </c>
      <c r="G140" s="1433">
        <f>IF($B140&gt;0,VLOOKUP($B140,'Primary Sources'!$C$11:$N$50,11,FALSE),0)</f>
        <v>100</v>
      </c>
      <c r="H140" s="1434">
        <f>IF($B140&gt;0,VLOOKUP($B140,'Primary Sources'!$C$11:$N$50,12,FALSE),0)</f>
        <v>39</v>
      </c>
      <c r="I140" s="1435">
        <f>IF($B140&gt;0,VLOOKUP($B140,'Primary Sources'!$C$11:$O$50,13,FALSE),0)</f>
        <v>1.1942903317915834</v>
      </c>
      <c r="J140" s="1092"/>
      <c r="K140" s="1091"/>
      <c r="L140" s="1091"/>
      <c r="M140" s="1091"/>
      <c r="N140" s="294"/>
      <c r="O140" s="294"/>
      <c r="P140" s="294"/>
      <c r="Q140" s="294"/>
      <c r="R140" s="294"/>
      <c r="S140" s="294"/>
      <c r="T140" s="294"/>
      <c r="U140" s="294"/>
      <c r="V140" s="294"/>
      <c r="W140" s="294"/>
      <c r="X140" s="294"/>
      <c r="Y140" s="277"/>
      <c r="Z140" s="277"/>
      <c r="AA140" s="277"/>
      <c r="AB140" s="277"/>
      <c r="AC140" s="277"/>
      <c r="AD140" s="277"/>
      <c r="AE140" s="277"/>
      <c r="AF140" s="277"/>
      <c r="AG140" s="277"/>
      <c r="AH140" s="277"/>
      <c r="AI140" s="277"/>
      <c r="AJ140" s="277"/>
      <c r="AK140" s="277"/>
      <c r="AL140" s="277"/>
      <c r="AM140" s="277"/>
      <c r="AN140" s="277"/>
      <c r="AO140" s="277"/>
      <c r="AP140" s="277"/>
      <c r="AQ140" s="277"/>
      <c r="AR140" s="277"/>
      <c r="AS140" s="277"/>
      <c r="AT140" s="277"/>
      <c r="AU140" s="277"/>
      <c r="AV140" s="277"/>
      <c r="AW140" s="277"/>
      <c r="AX140" s="277"/>
    </row>
    <row r="141" spans="1:50" ht="13" x14ac:dyDescent="0.3">
      <c r="A141" s="368"/>
      <c r="B141" s="504" t="s">
        <v>38</v>
      </c>
      <c r="C141" s="514" t="s">
        <v>396</v>
      </c>
      <c r="D141" s="1229"/>
      <c r="E141" s="1433">
        <f>IF($B141&gt;0,VLOOKUP($B141,'Primary Sources'!$C$11:$N$50,9,FALSE),0)</f>
        <v>4.5999999999999996</v>
      </c>
      <c r="F141" s="1433">
        <f>IF($B141&gt;0,VLOOKUP($B141,'Primary Sources'!$C$11:$N$50,10,FALSE),0)</f>
        <v>0.7</v>
      </c>
      <c r="G141" s="1433">
        <f>IF($B141&gt;0,VLOOKUP($B141,'Primary Sources'!$C$11:$N$50,11,FALSE),0)</f>
        <v>100</v>
      </c>
      <c r="H141" s="1434">
        <f>IF($B141&gt;0,VLOOKUP($B141,'Primary Sources'!$C$11:$N$50,12,FALSE),0)</f>
        <v>39</v>
      </c>
      <c r="I141" s="1435">
        <f>IF($B141&gt;0,VLOOKUP($B141,'Primary Sources'!$C$11:$O$50,13,FALSE),0)</f>
        <v>1.1942903317915834</v>
      </c>
      <c r="J141" s="1092"/>
      <c r="K141" s="1091"/>
      <c r="L141" s="1091"/>
      <c r="M141" s="1091"/>
      <c r="N141" s="294"/>
      <c r="O141" s="294"/>
      <c r="P141" s="294"/>
      <c r="Q141" s="294"/>
      <c r="R141" s="294"/>
      <c r="S141" s="294"/>
      <c r="T141" s="294"/>
      <c r="U141" s="294"/>
      <c r="V141" s="294"/>
      <c r="W141" s="294"/>
      <c r="X141" s="294"/>
      <c r="Y141" s="277"/>
      <c r="Z141" s="277"/>
      <c r="AA141" s="277"/>
      <c r="AB141" s="277"/>
      <c r="AC141" s="277"/>
      <c r="AD141" s="277"/>
      <c r="AE141" s="277"/>
      <c r="AF141" s="277"/>
      <c r="AG141" s="277"/>
      <c r="AH141" s="277"/>
      <c r="AI141" s="277"/>
      <c r="AJ141" s="277"/>
      <c r="AK141" s="277"/>
      <c r="AL141" s="277"/>
      <c r="AM141" s="277"/>
      <c r="AN141" s="277"/>
      <c r="AO141" s="277"/>
      <c r="AP141" s="277"/>
      <c r="AQ141" s="277"/>
      <c r="AR141" s="277"/>
      <c r="AS141" s="277"/>
      <c r="AT141" s="277"/>
      <c r="AU141" s="277"/>
      <c r="AV141" s="277"/>
      <c r="AW141" s="277"/>
      <c r="AX141" s="277"/>
    </row>
    <row r="142" spans="1:50" ht="13.5" thickBot="1" x14ac:dyDescent="0.35">
      <c r="A142" s="368"/>
      <c r="B142" s="515" t="s">
        <v>37</v>
      </c>
      <c r="C142" s="516" t="s">
        <v>396</v>
      </c>
      <c r="D142" s="517">
        <f>SUM(D129:D134)-SUM(D137:D141)</f>
        <v>0</v>
      </c>
      <c r="E142" s="1438">
        <f>IF($B142&gt;0,VLOOKUP($B142,'Primary Sources'!$C$11:$N$50,9,FALSE),0)</f>
        <v>2.5</v>
      </c>
      <c r="F142" s="1438">
        <f>IF($B142&gt;0,VLOOKUP($B142,'Primary Sources'!$C$11:$N$50,10,FALSE),0)</f>
        <v>0.2</v>
      </c>
      <c r="G142" s="1438">
        <f>IF($B142&gt;0,VLOOKUP($B142,'Primary Sources'!$C$11:$N$50,11,FALSE),0)</f>
        <v>100</v>
      </c>
      <c r="H142" s="1439">
        <f>IF($B142&gt;0,VLOOKUP($B142,'Primary Sources'!$C$11:$N$50,12,FALSE),0)</f>
        <v>12</v>
      </c>
      <c r="I142" s="1439">
        <f>IF($B142&gt;0,VLOOKUP($B142,'Primary Sources'!$C$11:$O$50,13,FALSE),0)</f>
        <v>1.1942903317915834</v>
      </c>
      <c r="J142" s="1090"/>
      <c r="K142" s="1091"/>
      <c r="L142" s="1091"/>
      <c r="M142" s="1091"/>
      <c r="N142" s="294"/>
      <c r="O142" s="294"/>
      <c r="P142" s="294"/>
      <c r="Q142" s="294"/>
      <c r="R142" s="294"/>
      <c r="S142" s="294"/>
      <c r="T142" s="294"/>
      <c r="U142" s="294"/>
      <c r="V142" s="294"/>
      <c r="W142" s="294"/>
      <c r="X142" s="294"/>
      <c r="Y142" s="277"/>
      <c r="Z142" s="277"/>
      <c r="AA142" s="277"/>
      <c r="AB142" s="277"/>
      <c r="AC142" s="277"/>
      <c r="AD142" s="277"/>
      <c r="AE142" s="277"/>
      <c r="AF142" s="277"/>
      <c r="AG142" s="277"/>
      <c r="AH142" s="277"/>
      <c r="AI142" s="277"/>
      <c r="AJ142" s="277"/>
      <c r="AK142" s="277"/>
      <c r="AL142" s="277"/>
      <c r="AM142" s="277"/>
      <c r="AN142" s="277"/>
      <c r="AO142" s="277"/>
      <c r="AP142" s="277"/>
      <c r="AQ142" s="277"/>
      <c r="AR142" s="277"/>
      <c r="AS142" s="277"/>
      <c r="AT142" s="277"/>
      <c r="AU142" s="277"/>
      <c r="AV142" s="277"/>
      <c r="AW142" s="277"/>
      <c r="AX142" s="277"/>
    </row>
    <row r="143" spans="1:50" ht="14" hidden="1" thickTop="1" thickBot="1" x14ac:dyDescent="0.35">
      <c r="A143" s="368"/>
      <c r="B143" s="294"/>
      <c r="C143" s="201"/>
      <c r="D143" s="157"/>
      <c r="E143" s="939"/>
      <c r="F143" s="939"/>
      <c r="G143" s="939"/>
      <c r="H143" s="940"/>
      <c r="I143" s="940"/>
      <c r="J143" s="277"/>
      <c r="K143" s="294"/>
      <c r="L143" s="294"/>
      <c r="M143" s="294"/>
      <c r="N143" s="294"/>
      <c r="O143" s="294"/>
      <c r="P143" s="294"/>
      <c r="Q143" s="294"/>
      <c r="R143" s="294"/>
      <c r="S143" s="294"/>
      <c r="T143" s="294"/>
      <c r="U143" s="294"/>
      <c r="V143" s="294"/>
      <c r="W143" s="294"/>
      <c r="X143" s="294"/>
      <c r="Y143" s="277"/>
      <c r="Z143" s="277"/>
      <c r="AA143" s="277"/>
      <c r="AB143" s="277"/>
      <c r="AC143" s="277"/>
      <c r="AD143" s="277"/>
      <c r="AE143" s="277"/>
      <c r="AF143" s="277"/>
      <c r="AG143" s="277"/>
      <c r="AH143" s="277"/>
      <c r="AI143" s="277"/>
      <c r="AJ143" s="277"/>
      <c r="AK143" s="277"/>
      <c r="AL143" s="277"/>
      <c r="AM143" s="277"/>
      <c r="AN143" s="277"/>
      <c r="AO143" s="277"/>
      <c r="AP143" s="277"/>
      <c r="AQ143" s="277"/>
      <c r="AR143" s="277"/>
      <c r="AS143" s="277"/>
      <c r="AT143" s="277"/>
      <c r="AU143" s="277"/>
      <c r="AV143" s="277"/>
      <c r="AW143" s="277"/>
      <c r="AX143" s="277"/>
    </row>
    <row r="144" spans="1:50" ht="14" hidden="1" thickTop="1" thickBot="1" x14ac:dyDescent="0.35">
      <c r="A144" s="368"/>
      <c r="B144" s="294"/>
      <c r="C144" s="201"/>
      <c r="D144" s="157"/>
      <c r="E144" s="939"/>
      <c r="F144" s="939"/>
      <c r="G144" s="939"/>
      <c r="H144" s="940"/>
      <c r="I144" s="940"/>
      <c r="J144" s="277"/>
      <c r="K144" s="294"/>
      <c r="L144" s="294"/>
      <c r="M144" s="294"/>
      <c r="N144" s="294"/>
      <c r="O144" s="294"/>
      <c r="P144" s="294"/>
      <c r="Q144" s="294"/>
      <c r="R144" s="294"/>
      <c r="S144" s="294"/>
      <c r="T144" s="294"/>
      <c r="U144" s="294"/>
      <c r="V144" s="294"/>
      <c r="W144" s="294"/>
      <c r="X144" s="294"/>
      <c r="Y144" s="277"/>
      <c r="Z144" s="277"/>
      <c r="AA144" s="277"/>
      <c r="AB144" s="277"/>
      <c r="AC144" s="277"/>
      <c r="AD144" s="277"/>
      <c r="AE144" s="277"/>
      <c r="AF144" s="277"/>
      <c r="AG144" s="277"/>
      <c r="AH144" s="277"/>
      <c r="AI144" s="277"/>
      <c r="AJ144" s="277"/>
      <c r="AK144" s="277"/>
      <c r="AL144" s="277"/>
      <c r="AM144" s="277"/>
      <c r="AN144" s="277"/>
      <c r="AO144" s="277"/>
      <c r="AP144" s="277"/>
      <c r="AQ144" s="277"/>
      <c r="AR144" s="277"/>
      <c r="AS144" s="277"/>
      <c r="AT144" s="277"/>
      <c r="AU144" s="277"/>
      <c r="AV144" s="277"/>
      <c r="AW144" s="277"/>
      <c r="AX144" s="277"/>
    </row>
    <row r="145" spans="1:50" ht="14" hidden="1" thickTop="1" thickBot="1" x14ac:dyDescent="0.35">
      <c r="A145" s="368"/>
      <c r="B145" s="294" t="str">
        <f>'Primary Sources'!C11</f>
        <v>LDR (&lt;1du/acre)</v>
      </c>
      <c r="C145" s="201"/>
      <c r="D145" s="157"/>
      <c r="E145" s="939"/>
      <c r="F145" s="939"/>
      <c r="G145" s="939"/>
      <c r="H145" s="940"/>
      <c r="I145" s="940"/>
      <c r="J145" s="277"/>
      <c r="K145" s="294"/>
      <c r="L145" s="294"/>
      <c r="M145" s="294"/>
      <c r="N145" s="294"/>
      <c r="O145" s="294"/>
      <c r="P145" s="294"/>
      <c r="Q145" s="294"/>
      <c r="R145" s="294"/>
      <c r="S145" s="294"/>
      <c r="T145" s="294"/>
      <c r="U145" s="294"/>
      <c r="V145" s="294"/>
      <c r="W145" s="294"/>
      <c r="X145" s="294"/>
      <c r="Y145" s="277"/>
      <c r="Z145" s="277"/>
      <c r="AA145" s="277"/>
      <c r="AB145" s="277"/>
      <c r="AC145" s="277"/>
      <c r="AD145" s="277"/>
      <c r="AE145" s="277"/>
      <c r="AF145" s="277"/>
      <c r="AG145" s="277"/>
      <c r="AH145" s="277"/>
      <c r="AI145" s="277"/>
      <c r="AJ145" s="277"/>
      <c r="AK145" s="277"/>
      <c r="AL145" s="277"/>
      <c r="AM145" s="277"/>
      <c r="AN145" s="277"/>
      <c r="AO145" s="277"/>
      <c r="AP145" s="277"/>
      <c r="AQ145" s="277"/>
      <c r="AR145" s="277"/>
      <c r="AS145" s="277"/>
      <c r="AT145" s="277"/>
      <c r="AU145" s="277"/>
      <c r="AV145" s="277"/>
      <c r="AW145" s="277"/>
      <c r="AX145" s="277"/>
    </row>
    <row r="146" spans="1:50" ht="14" hidden="1" thickTop="1" thickBot="1" x14ac:dyDescent="0.35">
      <c r="A146" s="368"/>
      <c r="B146" s="294" t="str">
        <f>'Primary Sources'!C12</f>
        <v>MDR (1-4 du/acre)</v>
      </c>
      <c r="C146" s="201"/>
      <c r="D146" s="157"/>
      <c r="E146" s="939"/>
      <c r="F146" s="939"/>
      <c r="G146" s="939"/>
      <c r="H146" s="940"/>
      <c r="I146" s="940"/>
      <c r="J146" s="277"/>
      <c r="K146" s="294"/>
      <c r="L146" s="294"/>
      <c r="M146" s="294"/>
      <c r="N146" s="294"/>
      <c r="O146" s="294"/>
      <c r="P146" s="294"/>
      <c r="Q146" s="294"/>
      <c r="R146" s="294"/>
      <c r="S146" s="294"/>
      <c r="T146" s="294"/>
      <c r="U146" s="294"/>
      <c r="V146" s="294"/>
      <c r="W146" s="294"/>
      <c r="X146" s="294"/>
      <c r="Y146" s="277"/>
      <c r="Z146" s="277"/>
      <c r="AA146" s="277"/>
      <c r="AB146" s="277"/>
      <c r="AC146" s="277"/>
      <c r="AD146" s="277"/>
      <c r="AE146" s="277"/>
      <c r="AF146" s="277"/>
      <c r="AG146" s="277"/>
      <c r="AH146" s="277"/>
      <c r="AI146" s="277"/>
      <c r="AJ146" s="277"/>
      <c r="AK146" s="277"/>
      <c r="AL146" s="277"/>
      <c r="AM146" s="277"/>
      <c r="AN146" s="277"/>
      <c r="AO146" s="277"/>
      <c r="AP146" s="277"/>
      <c r="AQ146" s="277"/>
      <c r="AR146" s="277"/>
      <c r="AS146" s="277"/>
      <c r="AT146" s="277"/>
      <c r="AU146" s="277"/>
      <c r="AV146" s="277"/>
      <c r="AW146" s="277"/>
      <c r="AX146" s="277"/>
    </row>
    <row r="147" spans="1:50" ht="14" hidden="1" thickTop="1" thickBot="1" x14ac:dyDescent="0.35">
      <c r="A147" s="368"/>
      <c r="B147" s="294" t="str">
        <f>'Primary Sources'!C13</f>
        <v>HDR (&gt;4 du/acre)</v>
      </c>
      <c r="C147" s="201"/>
      <c r="D147" s="157"/>
      <c r="E147" s="939"/>
      <c r="F147" s="939"/>
      <c r="G147" s="939"/>
      <c r="H147" s="940"/>
      <c r="I147" s="940"/>
      <c r="J147" s="277"/>
      <c r="K147" s="294"/>
      <c r="L147" s="294"/>
      <c r="M147" s="294"/>
      <c r="N147" s="294"/>
      <c r="O147" s="294"/>
      <c r="P147" s="294"/>
      <c r="Q147" s="294"/>
      <c r="R147" s="294"/>
      <c r="S147" s="294"/>
      <c r="T147" s="294"/>
      <c r="U147" s="294"/>
      <c r="V147" s="294"/>
      <c r="W147" s="294"/>
      <c r="X147" s="294"/>
      <c r="Y147" s="277"/>
      <c r="Z147" s="277"/>
      <c r="AA147" s="277"/>
      <c r="AB147" s="277"/>
      <c r="AC147" s="277"/>
      <c r="AD147" s="277"/>
      <c r="AE147" s="277"/>
      <c r="AF147" s="277"/>
      <c r="AG147" s="277"/>
      <c r="AH147" s="277"/>
      <c r="AI147" s="277"/>
      <c r="AJ147" s="277"/>
      <c r="AK147" s="277"/>
      <c r="AL147" s="277"/>
      <c r="AM147" s="277"/>
      <c r="AN147" s="277"/>
      <c r="AO147" s="277"/>
      <c r="AP147" s="277"/>
      <c r="AQ147" s="277"/>
      <c r="AR147" s="277"/>
      <c r="AS147" s="277"/>
      <c r="AT147" s="277"/>
      <c r="AU147" s="277"/>
      <c r="AV147" s="277"/>
      <c r="AW147" s="277"/>
      <c r="AX147" s="277"/>
    </row>
    <row r="148" spans="1:50" ht="14" hidden="1" thickTop="1" thickBot="1" x14ac:dyDescent="0.35">
      <c r="A148" s="368"/>
      <c r="B148" s="294" t="str">
        <f>'Primary Sources'!C14</f>
        <v>Multifamily</v>
      </c>
      <c r="C148" s="201"/>
      <c r="D148" s="157"/>
      <c r="E148" s="939"/>
      <c r="F148" s="939"/>
      <c r="G148" s="939"/>
      <c r="H148" s="940"/>
      <c r="I148" s="940"/>
      <c r="J148" s="277"/>
      <c r="K148" s="294"/>
      <c r="L148" s="294"/>
      <c r="M148" s="294"/>
      <c r="N148" s="294"/>
      <c r="O148" s="294"/>
      <c r="P148" s="294"/>
      <c r="Q148" s="294"/>
      <c r="R148" s="294"/>
      <c r="S148" s="294"/>
      <c r="T148" s="294"/>
      <c r="U148" s="294"/>
      <c r="V148" s="294"/>
      <c r="W148" s="294"/>
      <c r="X148" s="294"/>
      <c r="Y148" s="277"/>
      <c r="Z148" s="277"/>
      <c r="AA148" s="277"/>
      <c r="AB148" s="277"/>
      <c r="AC148" s="277"/>
      <c r="AD148" s="277"/>
      <c r="AE148" s="277"/>
      <c r="AF148" s="277"/>
      <c r="AG148" s="277"/>
      <c r="AH148" s="277"/>
      <c r="AI148" s="277"/>
      <c r="AJ148" s="277"/>
      <c r="AK148" s="277"/>
      <c r="AL148" s="277"/>
      <c r="AM148" s="277"/>
      <c r="AN148" s="277"/>
      <c r="AO148" s="277"/>
      <c r="AP148" s="277"/>
      <c r="AQ148" s="277"/>
      <c r="AR148" s="277"/>
      <c r="AS148" s="277"/>
      <c r="AT148" s="277"/>
      <c r="AU148" s="277"/>
      <c r="AV148" s="277"/>
      <c r="AW148" s="277"/>
      <c r="AX148" s="277"/>
    </row>
    <row r="149" spans="1:50" ht="14" hidden="1" thickTop="1" thickBot="1" x14ac:dyDescent="0.35">
      <c r="A149" s="368"/>
      <c r="B149" s="294" t="str">
        <f>'Primary Sources'!C15</f>
        <v>Vacant Lots</v>
      </c>
      <c r="C149" s="201"/>
      <c r="D149" s="157"/>
      <c r="E149" s="939"/>
      <c r="F149" s="939"/>
      <c r="G149" s="939"/>
      <c r="H149" s="940"/>
      <c r="I149" s="940"/>
      <c r="J149" s="277"/>
      <c r="K149" s="294"/>
      <c r="L149" s="294"/>
      <c r="M149" s="294"/>
      <c r="N149" s="294"/>
      <c r="O149" s="294"/>
      <c r="P149" s="294"/>
      <c r="Q149" s="294"/>
      <c r="R149" s="294"/>
      <c r="S149" s="294"/>
      <c r="T149" s="294"/>
      <c r="U149" s="294"/>
      <c r="V149" s="294"/>
      <c r="W149" s="294"/>
      <c r="X149" s="294"/>
      <c r="Y149" s="277"/>
      <c r="Z149" s="277"/>
      <c r="AA149" s="277"/>
      <c r="AB149" s="277"/>
      <c r="AC149" s="277"/>
      <c r="AD149" s="277"/>
      <c r="AE149" s="277"/>
      <c r="AF149" s="277"/>
      <c r="AG149" s="277"/>
      <c r="AH149" s="277"/>
      <c r="AI149" s="277"/>
      <c r="AJ149" s="277"/>
      <c r="AK149" s="277"/>
      <c r="AL149" s="277"/>
      <c r="AM149" s="277"/>
      <c r="AN149" s="277"/>
      <c r="AO149" s="277"/>
      <c r="AP149" s="277"/>
      <c r="AQ149" s="277"/>
      <c r="AR149" s="277"/>
      <c r="AS149" s="277"/>
      <c r="AT149" s="277"/>
      <c r="AU149" s="277"/>
      <c r="AV149" s="277"/>
      <c r="AW149" s="277"/>
      <c r="AX149" s="277"/>
    </row>
    <row r="150" spans="1:50" ht="14" hidden="1" thickTop="1" thickBot="1" x14ac:dyDescent="0.35">
      <c r="A150" s="368"/>
      <c r="B150" s="294">
        <f>'Primary Sources'!C16</f>
        <v>0</v>
      </c>
      <c r="C150" s="201"/>
      <c r="D150" s="157"/>
      <c r="E150" s="939"/>
      <c r="F150" s="939"/>
      <c r="G150" s="939"/>
      <c r="H150" s="940"/>
      <c r="I150" s="940"/>
      <c r="J150" s="277"/>
      <c r="K150" s="294"/>
      <c r="L150" s="294"/>
      <c r="M150" s="294"/>
      <c r="N150" s="294"/>
      <c r="O150" s="294"/>
      <c r="P150" s="294"/>
      <c r="Q150" s="294"/>
      <c r="R150" s="294"/>
      <c r="S150" s="294"/>
      <c r="T150" s="294"/>
      <c r="U150" s="294"/>
      <c r="V150" s="294"/>
      <c r="W150" s="294"/>
      <c r="X150" s="294"/>
      <c r="Y150" s="277"/>
      <c r="Z150" s="277"/>
      <c r="AA150" s="277"/>
      <c r="AB150" s="277"/>
      <c r="AC150" s="277"/>
      <c r="AD150" s="277"/>
      <c r="AE150" s="277"/>
      <c r="AF150" s="277"/>
      <c r="AG150" s="277"/>
      <c r="AH150" s="277"/>
      <c r="AI150" s="277"/>
      <c r="AJ150" s="277"/>
      <c r="AK150" s="277"/>
      <c r="AL150" s="277"/>
      <c r="AM150" s="277"/>
      <c r="AN150" s="277"/>
      <c r="AO150" s="277"/>
      <c r="AP150" s="277"/>
      <c r="AQ150" s="277"/>
      <c r="AR150" s="277"/>
      <c r="AS150" s="277"/>
      <c r="AT150" s="277"/>
      <c r="AU150" s="277"/>
      <c r="AV150" s="277"/>
      <c r="AW150" s="277"/>
      <c r="AX150" s="277"/>
    </row>
    <row r="151" spans="1:50" ht="14" hidden="1" thickTop="1" thickBot="1" x14ac:dyDescent="0.35">
      <c r="A151" s="368"/>
      <c r="B151" s="294">
        <f>'Primary Sources'!C18</f>
        <v>0</v>
      </c>
      <c r="C151" s="201"/>
      <c r="D151" s="157"/>
      <c r="E151" s="939"/>
      <c r="F151" s="939"/>
      <c r="G151" s="939"/>
      <c r="H151" s="940"/>
      <c r="I151" s="940"/>
      <c r="J151" s="277"/>
      <c r="K151" s="294"/>
      <c r="L151" s="294"/>
      <c r="M151" s="294"/>
      <c r="N151" s="294"/>
      <c r="O151" s="294"/>
      <c r="P151" s="294"/>
      <c r="Q151" s="294"/>
      <c r="R151" s="294"/>
      <c r="S151" s="294"/>
      <c r="T151" s="294"/>
      <c r="U151" s="294"/>
      <c r="V151" s="294"/>
      <c r="W151" s="294"/>
      <c r="X151" s="294"/>
      <c r="Y151" s="277"/>
      <c r="Z151" s="277"/>
      <c r="AA151" s="277"/>
      <c r="AB151" s="277"/>
      <c r="AC151" s="277"/>
      <c r="AD151" s="277"/>
      <c r="AE151" s="277"/>
      <c r="AF151" s="277"/>
      <c r="AG151" s="277"/>
      <c r="AH151" s="277"/>
      <c r="AI151" s="277"/>
      <c r="AJ151" s="277"/>
      <c r="AK151" s="277"/>
      <c r="AL151" s="277"/>
      <c r="AM151" s="277"/>
      <c r="AN151" s="277"/>
      <c r="AO151" s="277"/>
      <c r="AP151" s="277"/>
      <c r="AQ151" s="277"/>
      <c r="AR151" s="277"/>
      <c r="AS151" s="277"/>
      <c r="AT151" s="277"/>
      <c r="AU151" s="277"/>
      <c r="AV151" s="277"/>
      <c r="AW151" s="277"/>
      <c r="AX151" s="277"/>
    </row>
    <row r="152" spans="1:50" ht="14" hidden="1" thickTop="1" thickBot="1" x14ac:dyDescent="0.35">
      <c r="A152" s="368"/>
      <c r="B152" s="294" t="e">
        <f>'Primary Sources'!#REF!</f>
        <v>#REF!</v>
      </c>
      <c r="C152" s="201"/>
      <c r="D152" s="157"/>
      <c r="E152" s="939"/>
      <c r="F152" s="939"/>
      <c r="G152" s="939"/>
      <c r="H152" s="940"/>
      <c r="I152" s="940"/>
      <c r="J152" s="277"/>
      <c r="K152" s="294"/>
      <c r="L152" s="294"/>
      <c r="M152" s="294"/>
      <c r="N152" s="294"/>
      <c r="O152" s="294"/>
      <c r="P152" s="294"/>
      <c r="Q152" s="294"/>
      <c r="R152" s="294"/>
      <c r="S152" s="294"/>
      <c r="T152" s="294"/>
      <c r="U152" s="294"/>
      <c r="V152" s="294"/>
      <c r="W152" s="294"/>
      <c r="X152" s="294"/>
      <c r="Y152" s="277"/>
      <c r="Z152" s="277"/>
      <c r="AA152" s="277"/>
      <c r="AB152" s="277"/>
      <c r="AC152" s="277"/>
      <c r="AD152" s="277"/>
      <c r="AE152" s="277"/>
      <c r="AF152" s="277"/>
      <c r="AG152" s="277"/>
      <c r="AH152" s="277"/>
      <c r="AI152" s="277"/>
      <c r="AJ152" s="277"/>
      <c r="AK152" s="277"/>
      <c r="AL152" s="277"/>
      <c r="AM152" s="277"/>
      <c r="AN152" s="277"/>
      <c r="AO152" s="277"/>
      <c r="AP152" s="277"/>
      <c r="AQ152" s="277"/>
      <c r="AR152" s="277"/>
      <c r="AS152" s="277"/>
      <c r="AT152" s="277"/>
      <c r="AU152" s="277"/>
      <c r="AV152" s="277"/>
      <c r="AW152" s="277"/>
      <c r="AX152" s="277"/>
    </row>
    <row r="153" spans="1:50" ht="14" hidden="1" thickTop="1" thickBot="1" x14ac:dyDescent="0.35">
      <c r="A153" s="368"/>
      <c r="B153" s="294">
        <f>'Primary Sources'!C19</f>
        <v>0</v>
      </c>
      <c r="C153" s="201"/>
      <c r="D153" s="157"/>
      <c r="E153" s="939"/>
      <c r="F153" s="939"/>
      <c r="G153" s="939"/>
      <c r="H153" s="940"/>
      <c r="I153" s="940"/>
      <c r="J153" s="277"/>
      <c r="K153" s="294"/>
      <c r="L153" s="294"/>
      <c r="M153" s="294"/>
      <c r="N153" s="294"/>
      <c r="O153" s="294"/>
      <c r="P153" s="294"/>
      <c r="Q153" s="294"/>
      <c r="R153" s="294"/>
      <c r="S153" s="294"/>
      <c r="T153" s="294"/>
      <c r="U153" s="294"/>
      <c r="V153" s="294"/>
      <c r="W153" s="294"/>
      <c r="X153" s="294"/>
      <c r="Y153" s="277"/>
      <c r="Z153" s="277"/>
      <c r="AA153" s="277"/>
      <c r="AB153" s="277"/>
      <c r="AC153" s="277"/>
      <c r="AD153" s="277"/>
      <c r="AE153" s="277"/>
      <c r="AF153" s="277"/>
      <c r="AG153" s="277"/>
      <c r="AH153" s="277"/>
      <c r="AI153" s="277"/>
      <c r="AJ153" s="277"/>
      <c r="AK153" s="277"/>
      <c r="AL153" s="277"/>
      <c r="AM153" s="277"/>
      <c r="AN153" s="277"/>
      <c r="AO153" s="277"/>
      <c r="AP153" s="277"/>
      <c r="AQ153" s="277"/>
      <c r="AR153" s="277"/>
      <c r="AS153" s="277"/>
      <c r="AT153" s="277"/>
      <c r="AU153" s="277"/>
      <c r="AV153" s="277"/>
      <c r="AW153" s="277"/>
      <c r="AX153" s="277"/>
    </row>
    <row r="154" spans="1:50" ht="14" hidden="1" thickTop="1" thickBot="1" x14ac:dyDescent="0.35">
      <c r="A154" s="368"/>
      <c r="B154" s="294">
        <f>'Primary Sources'!C20</f>
        <v>0</v>
      </c>
      <c r="C154" s="201"/>
      <c r="D154" s="157"/>
      <c r="E154" s="939"/>
      <c r="F154" s="939"/>
      <c r="G154" s="939"/>
      <c r="H154" s="940"/>
      <c r="I154" s="940"/>
      <c r="J154" s="277"/>
      <c r="K154" s="294"/>
      <c r="L154" s="294"/>
      <c r="M154" s="294"/>
      <c r="N154" s="294"/>
      <c r="O154" s="294"/>
      <c r="P154" s="294"/>
      <c r="Q154" s="294"/>
      <c r="R154" s="294"/>
      <c r="S154" s="294"/>
      <c r="T154" s="294"/>
      <c r="U154" s="294"/>
      <c r="V154" s="294"/>
      <c r="W154" s="294"/>
      <c r="X154" s="294"/>
      <c r="Y154" s="277"/>
      <c r="Z154" s="277"/>
      <c r="AA154" s="277"/>
      <c r="AB154" s="277"/>
      <c r="AC154" s="277"/>
      <c r="AD154" s="277"/>
      <c r="AE154" s="277"/>
      <c r="AF154" s="277"/>
      <c r="AG154" s="277"/>
      <c r="AH154" s="277"/>
      <c r="AI154" s="277"/>
      <c r="AJ154" s="277"/>
      <c r="AK154" s="277"/>
      <c r="AL154" s="277"/>
      <c r="AM154" s="277"/>
      <c r="AN154" s="277"/>
      <c r="AO154" s="277"/>
      <c r="AP154" s="277"/>
      <c r="AQ154" s="277"/>
      <c r="AR154" s="277"/>
      <c r="AS154" s="277"/>
      <c r="AT154" s="277"/>
      <c r="AU154" s="277"/>
      <c r="AV154" s="277"/>
      <c r="AW154" s="277"/>
      <c r="AX154" s="277"/>
    </row>
    <row r="155" spans="1:50" ht="14" hidden="1" thickTop="1" thickBot="1" x14ac:dyDescent="0.35">
      <c r="A155" s="368"/>
      <c r="B155" s="294">
        <f>'Primary Sources'!C21</f>
        <v>0</v>
      </c>
      <c r="C155" s="201"/>
      <c r="D155" s="157"/>
      <c r="E155" s="939"/>
      <c r="F155" s="939"/>
      <c r="G155" s="939"/>
      <c r="H155" s="940"/>
      <c r="I155" s="940"/>
      <c r="J155" s="277"/>
      <c r="K155" s="294"/>
      <c r="L155" s="294"/>
      <c r="M155" s="294"/>
      <c r="N155" s="294"/>
      <c r="O155" s="294"/>
      <c r="P155" s="294"/>
      <c r="Q155" s="294"/>
      <c r="R155" s="294"/>
      <c r="S155" s="294"/>
      <c r="T155" s="294"/>
      <c r="U155" s="294"/>
      <c r="V155" s="294"/>
      <c r="W155" s="294"/>
      <c r="X155" s="294"/>
      <c r="Y155" s="277"/>
      <c r="Z155" s="277"/>
      <c r="AA155" s="277"/>
      <c r="AB155" s="277"/>
      <c r="AC155" s="277"/>
      <c r="AD155" s="277"/>
      <c r="AE155" s="277"/>
      <c r="AF155" s="277"/>
      <c r="AG155" s="277"/>
      <c r="AH155" s="277"/>
      <c r="AI155" s="277"/>
      <c r="AJ155" s="277"/>
      <c r="AK155" s="277"/>
      <c r="AL155" s="277"/>
      <c r="AM155" s="277"/>
      <c r="AN155" s="277"/>
      <c r="AO155" s="277"/>
      <c r="AP155" s="277"/>
      <c r="AQ155" s="277"/>
      <c r="AR155" s="277"/>
      <c r="AS155" s="277"/>
      <c r="AT155" s="277"/>
      <c r="AU155" s="277"/>
      <c r="AV155" s="277"/>
      <c r="AW155" s="277"/>
      <c r="AX155" s="277"/>
    </row>
    <row r="156" spans="1:50" ht="14" hidden="1" thickTop="1" thickBot="1" x14ac:dyDescent="0.35">
      <c r="A156" s="368"/>
      <c r="B156" s="294" t="str">
        <f>'Primary Sources'!C22</f>
        <v>Commercial</v>
      </c>
      <c r="C156" s="201"/>
      <c r="D156" s="157"/>
      <c r="E156" s="939"/>
      <c r="F156" s="939"/>
      <c r="G156" s="939"/>
      <c r="H156" s="940"/>
      <c r="I156" s="940"/>
      <c r="J156" s="277"/>
      <c r="K156" s="294"/>
      <c r="L156" s="294"/>
      <c r="M156" s="294"/>
      <c r="N156" s="294"/>
      <c r="O156" s="294"/>
      <c r="P156" s="294"/>
      <c r="Q156" s="294"/>
      <c r="R156" s="294"/>
      <c r="S156" s="294"/>
      <c r="T156" s="294"/>
      <c r="U156" s="294"/>
      <c r="V156" s="294"/>
      <c r="W156" s="294"/>
      <c r="X156" s="294"/>
      <c r="Y156" s="277"/>
      <c r="Z156" s="277"/>
      <c r="AA156" s="277"/>
      <c r="AB156" s="277"/>
      <c r="AC156" s="277"/>
      <c r="AD156" s="277"/>
      <c r="AE156" s="277"/>
      <c r="AF156" s="277"/>
      <c r="AG156" s="277"/>
      <c r="AH156" s="277"/>
      <c r="AI156" s="277"/>
      <c r="AJ156" s="277"/>
      <c r="AK156" s="277"/>
      <c r="AL156" s="277"/>
      <c r="AM156" s="277"/>
      <c r="AN156" s="277"/>
      <c r="AO156" s="277"/>
      <c r="AP156" s="277"/>
      <c r="AQ156" s="277"/>
      <c r="AR156" s="277"/>
      <c r="AS156" s="277"/>
      <c r="AT156" s="277"/>
      <c r="AU156" s="277"/>
      <c r="AV156" s="277"/>
      <c r="AW156" s="277"/>
      <c r="AX156" s="277"/>
    </row>
    <row r="157" spans="1:50" ht="14" hidden="1" thickTop="1" thickBot="1" x14ac:dyDescent="0.35">
      <c r="A157" s="368"/>
      <c r="B157" s="294" t="str">
        <f>'Primary Sources'!C23</f>
        <v>Institutional</v>
      </c>
      <c r="C157" s="201"/>
      <c r="D157" s="157"/>
      <c r="E157" s="939"/>
      <c r="F157" s="939"/>
      <c r="G157" s="939"/>
      <c r="H157" s="940"/>
      <c r="I157" s="940"/>
      <c r="J157" s="277"/>
      <c r="K157" s="294"/>
      <c r="L157" s="294"/>
      <c r="M157" s="294"/>
      <c r="N157" s="294"/>
      <c r="O157" s="294"/>
      <c r="P157" s="294"/>
      <c r="Q157" s="294"/>
      <c r="R157" s="294"/>
      <c r="S157" s="294"/>
      <c r="T157" s="294"/>
      <c r="U157" s="294"/>
      <c r="V157" s="294"/>
      <c r="W157" s="294"/>
      <c r="X157" s="294"/>
      <c r="Y157" s="277"/>
      <c r="Z157" s="277"/>
      <c r="AA157" s="277"/>
      <c r="AB157" s="277"/>
      <c r="AC157" s="277"/>
      <c r="AD157" s="277"/>
      <c r="AE157" s="277"/>
      <c r="AF157" s="277"/>
      <c r="AG157" s="277"/>
      <c r="AH157" s="277"/>
      <c r="AI157" s="277"/>
      <c r="AJ157" s="277"/>
      <c r="AK157" s="277"/>
      <c r="AL157" s="277"/>
      <c r="AM157" s="277"/>
      <c r="AN157" s="277"/>
      <c r="AO157" s="277"/>
      <c r="AP157" s="277"/>
      <c r="AQ157" s="277"/>
      <c r="AR157" s="277"/>
      <c r="AS157" s="277"/>
      <c r="AT157" s="277"/>
      <c r="AU157" s="277"/>
      <c r="AV157" s="277"/>
      <c r="AW157" s="277"/>
      <c r="AX157" s="277"/>
    </row>
    <row r="158" spans="1:50" ht="14" hidden="1" thickTop="1" thickBot="1" x14ac:dyDescent="0.35">
      <c r="A158" s="368"/>
      <c r="B158" s="294">
        <f>'Primary Sources'!C24</f>
        <v>0</v>
      </c>
      <c r="C158" s="201"/>
      <c r="D158" s="157"/>
      <c r="E158" s="939"/>
      <c r="F158" s="939"/>
      <c r="G158" s="939"/>
      <c r="H158" s="940"/>
      <c r="I158" s="940"/>
      <c r="J158" s="277"/>
      <c r="K158" s="294"/>
      <c r="L158" s="294"/>
      <c r="M158" s="294"/>
      <c r="N158" s="294"/>
      <c r="O158" s="294"/>
      <c r="P158" s="294"/>
      <c r="Q158" s="294"/>
      <c r="R158" s="294"/>
      <c r="S158" s="294"/>
      <c r="T158" s="294"/>
      <c r="U158" s="294"/>
      <c r="V158" s="294"/>
      <c r="W158" s="294"/>
      <c r="X158" s="294"/>
      <c r="Y158" s="277"/>
      <c r="Z158" s="277"/>
      <c r="AA158" s="277"/>
      <c r="AB158" s="277"/>
      <c r="AC158" s="277"/>
      <c r="AD158" s="277"/>
      <c r="AE158" s="277"/>
      <c r="AF158" s="277"/>
      <c r="AG158" s="277"/>
      <c r="AH158" s="277"/>
      <c r="AI158" s="277"/>
      <c r="AJ158" s="277"/>
      <c r="AK158" s="277"/>
      <c r="AL158" s="277"/>
      <c r="AM158" s="277"/>
      <c r="AN158" s="277"/>
      <c r="AO158" s="277"/>
      <c r="AP158" s="277"/>
      <c r="AQ158" s="277"/>
      <c r="AR158" s="277"/>
      <c r="AS158" s="277"/>
      <c r="AT158" s="277"/>
      <c r="AU158" s="277"/>
      <c r="AV158" s="277"/>
      <c r="AW158" s="277"/>
      <c r="AX158" s="277"/>
    </row>
    <row r="159" spans="1:50" ht="14" hidden="1" thickTop="1" thickBot="1" x14ac:dyDescent="0.35">
      <c r="A159" s="368"/>
      <c r="B159" s="294">
        <f>'Primary Sources'!C25</f>
        <v>0</v>
      </c>
      <c r="C159" s="201"/>
      <c r="D159" s="157"/>
      <c r="E159" s="939"/>
      <c r="F159" s="939"/>
      <c r="G159" s="939"/>
      <c r="H159" s="940"/>
      <c r="I159" s="940"/>
      <c r="J159" s="277"/>
      <c r="K159" s="294"/>
      <c r="L159" s="294"/>
      <c r="M159" s="294"/>
      <c r="N159" s="294"/>
      <c r="O159" s="294"/>
      <c r="P159" s="294"/>
      <c r="Q159" s="294"/>
      <c r="R159" s="294"/>
      <c r="S159" s="294"/>
      <c r="T159" s="294"/>
      <c r="U159" s="294"/>
      <c r="V159" s="294"/>
      <c r="W159" s="294"/>
      <c r="X159" s="294"/>
      <c r="Y159" s="277"/>
      <c r="Z159" s="277"/>
      <c r="AA159" s="277"/>
      <c r="AB159" s="277"/>
      <c r="AC159" s="277"/>
      <c r="AD159" s="277"/>
      <c r="AE159" s="277"/>
      <c r="AF159" s="277"/>
      <c r="AG159" s="277"/>
      <c r="AH159" s="277"/>
      <c r="AI159" s="277"/>
      <c r="AJ159" s="277"/>
      <c r="AK159" s="277"/>
      <c r="AL159" s="277"/>
      <c r="AM159" s="277"/>
      <c r="AN159" s="277"/>
      <c r="AO159" s="277"/>
      <c r="AP159" s="277"/>
      <c r="AQ159" s="277"/>
      <c r="AR159" s="277"/>
      <c r="AS159" s="277"/>
      <c r="AT159" s="277"/>
      <c r="AU159" s="277"/>
      <c r="AV159" s="277"/>
      <c r="AW159" s="277"/>
      <c r="AX159" s="277"/>
    </row>
    <row r="160" spans="1:50" ht="14" hidden="1" thickTop="1" thickBot="1" x14ac:dyDescent="0.35">
      <c r="A160" s="368"/>
      <c r="B160" s="294">
        <f>'Primary Sources'!C26</f>
        <v>0</v>
      </c>
      <c r="C160" s="201"/>
      <c r="D160" s="157"/>
      <c r="E160" s="939"/>
      <c r="F160" s="939"/>
      <c r="G160" s="939"/>
      <c r="H160" s="940"/>
      <c r="I160" s="940"/>
      <c r="J160" s="277"/>
      <c r="K160" s="294"/>
      <c r="L160" s="294"/>
      <c r="M160" s="294"/>
      <c r="N160" s="294"/>
      <c r="O160" s="294"/>
      <c r="P160" s="294"/>
      <c r="Q160" s="294"/>
      <c r="R160" s="294"/>
      <c r="S160" s="294"/>
      <c r="T160" s="294"/>
      <c r="U160" s="294"/>
      <c r="V160" s="294"/>
      <c r="W160" s="294"/>
      <c r="X160" s="294"/>
      <c r="Y160" s="277"/>
      <c r="Z160" s="277"/>
      <c r="AA160" s="277"/>
      <c r="AB160" s="277"/>
      <c r="AC160" s="277"/>
      <c r="AD160" s="277"/>
      <c r="AE160" s="277"/>
      <c r="AF160" s="277"/>
      <c r="AG160" s="277"/>
      <c r="AH160" s="277"/>
      <c r="AI160" s="277"/>
      <c r="AJ160" s="277"/>
      <c r="AK160" s="277"/>
      <c r="AL160" s="277"/>
      <c r="AM160" s="277"/>
      <c r="AN160" s="277"/>
      <c r="AO160" s="277"/>
      <c r="AP160" s="277"/>
      <c r="AQ160" s="277"/>
      <c r="AR160" s="277"/>
      <c r="AS160" s="277"/>
      <c r="AT160" s="277"/>
      <c r="AU160" s="277"/>
      <c r="AV160" s="277"/>
      <c r="AW160" s="277"/>
      <c r="AX160" s="277"/>
    </row>
    <row r="161" spans="1:50" ht="14" hidden="1" thickTop="1" thickBot="1" x14ac:dyDescent="0.35">
      <c r="A161" s="368"/>
      <c r="B161" s="294" t="str">
        <f>'Primary Sources'!C27</f>
        <v>Roadway</v>
      </c>
      <c r="C161" s="201"/>
      <c r="D161" s="157"/>
      <c r="E161" s="939"/>
      <c r="F161" s="939"/>
      <c r="G161" s="939"/>
      <c r="H161" s="940"/>
      <c r="I161" s="940"/>
      <c r="J161" s="277"/>
      <c r="K161" s="294"/>
      <c r="L161" s="294"/>
      <c r="M161" s="294"/>
      <c r="N161" s="294"/>
      <c r="O161" s="294"/>
      <c r="P161" s="294"/>
      <c r="Q161" s="294"/>
      <c r="R161" s="294"/>
      <c r="S161" s="294"/>
      <c r="T161" s="294"/>
      <c r="U161" s="294"/>
      <c r="V161" s="294"/>
      <c r="W161" s="294"/>
      <c r="X161" s="294"/>
      <c r="Y161" s="277"/>
      <c r="Z161" s="277"/>
      <c r="AA161" s="277"/>
      <c r="AB161" s="277"/>
      <c r="AC161" s="277"/>
      <c r="AD161" s="277"/>
      <c r="AE161" s="277"/>
      <c r="AF161" s="277"/>
      <c r="AG161" s="277"/>
      <c r="AH161" s="277"/>
      <c r="AI161" s="277"/>
      <c r="AJ161" s="277"/>
      <c r="AK161" s="277"/>
      <c r="AL161" s="277"/>
      <c r="AM161" s="277"/>
      <c r="AN161" s="277"/>
      <c r="AO161" s="277"/>
      <c r="AP161" s="277"/>
      <c r="AQ161" s="277"/>
      <c r="AR161" s="277"/>
      <c r="AS161" s="277"/>
      <c r="AT161" s="277"/>
      <c r="AU161" s="277"/>
      <c r="AV161" s="277"/>
      <c r="AW161" s="277"/>
      <c r="AX161" s="277"/>
    </row>
    <row r="162" spans="1:50" ht="14" hidden="1" thickTop="1" thickBot="1" x14ac:dyDescent="0.35">
      <c r="A162" s="368"/>
      <c r="B162" s="294">
        <f>'Primary Sources'!C28</f>
        <v>0</v>
      </c>
      <c r="C162" s="201"/>
      <c r="D162" s="157"/>
      <c r="E162" s="939"/>
      <c r="F162" s="939"/>
      <c r="G162" s="939"/>
      <c r="H162" s="940"/>
      <c r="I162" s="940"/>
      <c r="J162" s="277"/>
      <c r="K162" s="294"/>
      <c r="L162" s="294"/>
      <c r="M162" s="294"/>
      <c r="N162" s="294"/>
      <c r="O162" s="294"/>
      <c r="P162" s="294"/>
      <c r="Q162" s="294"/>
      <c r="R162" s="294"/>
      <c r="S162" s="294"/>
      <c r="T162" s="294"/>
      <c r="U162" s="294"/>
      <c r="V162" s="294"/>
      <c r="W162" s="294"/>
      <c r="X162" s="294"/>
      <c r="Y162" s="277"/>
      <c r="Z162" s="277"/>
      <c r="AA162" s="277"/>
      <c r="AB162" s="277"/>
      <c r="AC162" s="277"/>
      <c r="AD162" s="277"/>
      <c r="AE162" s="277"/>
      <c r="AF162" s="277"/>
      <c r="AG162" s="277"/>
      <c r="AH162" s="277"/>
      <c r="AI162" s="277"/>
      <c r="AJ162" s="277"/>
      <c r="AK162" s="277"/>
      <c r="AL162" s="277"/>
      <c r="AM162" s="277"/>
      <c r="AN162" s="277"/>
      <c r="AO162" s="277"/>
      <c r="AP162" s="277"/>
      <c r="AQ162" s="277"/>
      <c r="AR162" s="277"/>
      <c r="AS162" s="277"/>
      <c r="AT162" s="277"/>
      <c r="AU162" s="277"/>
      <c r="AV162" s="277"/>
      <c r="AW162" s="277"/>
      <c r="AX162" s="277"/>
    </row>
    <row r="163" spans="1:50" ht="14" hidden="1" thickTop="1" thickBot="1" x14ac:dyDescent="0.35">
      <c r="A163" s="368"/>
      <c r="B163" s="294">
        <f>'Primary Sources'!C29</f>
        <v>0</v>
      </c>
      <c r="C163" s="201"/>
      <c r="D163" s="157"/>
      <c r="E163" s="939"/>
      <c r="F163" s="939"/>
      <c r="G163" s="939"/>
      <c r="H163" s="940"/>
      <c r="I163" s="940"/>
      <c r="J163" s="277"/>
      <c r="K163" s="294"/>
      <c r="L163" s="294"/>
      <c r="M163" s="294"/>
      <c r="N163" s="294"/>
      <c r="O163" s="294"/>
      <c r="P163" s="294"/>
      <c r="Q163" s="294"/>
      <c r="R163" s="294"/>
      <c r="S163" s="294"/>
      <c r="T163" s="294"/>
      <c r="U163" s="294"/>
      <c r="V163" s="294"/>
      <c r="W163" s="294"/>
      <c r="X163" s="294"/>
      <c r="Y163" s="277"/>
      <c r="Z163" s="277"/>
      <c r="AA163" s="277"/>
      <c r="AB163" s="277"/>
      <c r="AC163" s="277"/>
      <c r="AD163" s="277"/>
      <c r="AE163" s="277"/>
      <c r="AF163" s="277"/>
      <c r="AG163" s="277"/>
      <c r="AH163" s="277"/>
      <c r="AI163" s="277"/>
      <c r="AJ163" s="277"/>
      <c r="AK163" s="277"/>
      <c r="AL163" s="277"/>
      <c r="AM163" s="277"/>
      <c r="AN163" s="277"/>
      <c r="AO163" s="277"/>
      <c r="AP163" s="277"/>
      <c r="AQ163" s="277"/>
      <c r="AR163" s="277"/>
      <c r="AS163" s="277"/>
      <c r="AT163" s="277"/>
      <c r="AU163" s="277"/>
      <c r="AV163" s="277"/>
      <c r="AW163" s="277"/>
      <c r="AX163" s="277"/>
    </row>
    <row r="164" spans="1:50" ht="14" hidden="1" thickTop="1" thickBot="1" x14ac:dyDescent="0.35">
      <c r="A164" s="368"/>
      <c r="B164" s="294">
        <f>'Primary Sources'!C30</f>
        <v>0</v>
      </c>
      <c r="C164" s="201"/>
      <c r="D164" s="157"/>
      <c r="E164" s="939"/>
      <c r="F164" s="939"/>
      <c r="G164" s="939"/>
      <c r="H164" s="940"/>
      <c r="I164" s="940"/>
      <c r="J164" s="277"/>
      <c r="K164" s="294"/>
      <c r="L164" s="294"/>
      <c r="M164" s="294"/>
      <c r="N164" s="294"/>
      <c r="O164" s="294"/>
      <c r="P164" s="294"/>
      <c r="Q164" s="294"/>
      <c r="R164" s="294"/>
      <c r="S164" s="294"/>
      <c r="T164" s="294"/>
      <c r="U164" s="294"/>
      <c r="V164" s="294"/>
      <c r="W164" s="294"/>
      <c r="X164" s="294"/>
      <c r="Y164" s="277"/>
      <c r="Z164" s="277"/>
      <c r="AA164" s="277"/>
      <c r="AB164" s="277"/>
      <c r="AC164" s="277"/>
      <c r="AD164" s="277"/>
      <c r="AE164" s="277"/>
      <c r="AF164" s="277"/>
      <c r="AG164" s="277"/>
      <c r="AH164" s="277"/>
      <c r="AI164" s="277"/>
      <c r="AJ164" s="277"/>
      <c r="AK164" s="277"/>
      <c r="AL164" s="277"/>
      <c r="AM164" s="277"/>
      <c r="AN164" s="277"/>
      <c r="AO164" s="277"/>
      <c r="AP164" s="277"/>
      <c r="AQ164" s="277"/>
      <c r="AR164" s="277"/>
      <c r="AS164" s="277"/>
      <c r="AT164" s="277"/>
      <c r="AU164" s="277"/>
      <c r="AV164" s="277"/>
      <c r="AW164" s="277"/>
      <c r="AX164" s="277"/>
    </row>
    <row r="165" spans="1:50" ht="14" hidden="1" thickTop="1" thickBot="1" x14ac:dyDescent="0.35">
      <c r="A165" s="368"/>
      <c r="B165" s="294">
        <f>'Primary Sources'!C31</f>
        <v>0</v>
      </c>
      <c r="C165" s="201"/>
      <c r="D165" s="157"/>
      <c r="E165" s="939"/>
      <c r="F165" s="939"/>
      <c r="G165" s="939"/>
      <c r="H165" s="940"/>
      <c r="I165" s="940"/>
      <c r="J165" s="277"/>
      <c r="K165" s="294"/>
      <c r="L165" s="294"/>
      <c r="M165" s="294"/>
      <c r="N165" s="294"/>
      <c r="O165" s="294"/>
      <c r="P165" s="294"/>
      <c r="Q165" s="294"/>
      <c r="R165" s="294"/>
      <c r="S165" s="294"/>
      <c r="T165" s="294"/>
      <c r="U165" s="294"/>
      <c r="V165" s="294"/>
      <c r="W165" s="294"/>
      <c r="X165" s="294"/>
      <c r="Y165" s="277"/>
      <c r="Z165" s="277"/>
      <c r="AA165" s="277"/>
      <c r="AB165" s="277"/>
      <c r="AC165" s="277"/>
      <c r="AD165" s="277"/>
      <c r="AE165" s="277"/>
      <c r="AF165" s="277"/>
      <c r="AG165" s="277"/>
      <c r="AH165" s="277"/>
      <c r="AI165" s="277"/>
      <c r="AJ165" s="277"/>
      <c r="AK165" s="277"/>
      <c r="AL165" s="277"/>
      <c r="AM165" s="277"/>
      <c r="AN165" s="277"/>
      <c r="AO165" s="277"/>
      <c r="AP165" s="277"/>
      <c r="AQ165" s="277"/>
      <c r="AR165" s="277"/>
      <c r="AS165" s="277"/>
      <c r="AT165" s="277"/>
      <c r="AU165" s="277"/>
      <c r="AV165" s="277"/>
      <c r="AW165" s="277"/>
      <c r="AX165" s="277"/>
    </row>
    <row r="166" spans="1:50" ht="14" hidden="1" thickTop="1" thickBot="1" x14ac:dyDescent="0.35">
      <c r="A166" s="368"/>
      <c r="B166" s="294" t="str">
        <f>'Primary Sources'!C32</f>
        <v>Industrial</v>
      </c>
      <c r="C166" s="201"/>
      <c r="D166" s="157"/>
      <c r="E166" s="939"/>
      <c r="F166" s="939"/>
      <c r="G166" s="939"/>
      <c r="H166" s="940"/>
      <c r="I166" s="940"/>
      <c r="J166" s="277"/>
      <c r="K166" s="294"/>
      <c r="L166" s="294"/>
      <c r="M166" s="294"/>
      <c r="N166" s="294"/>
      <c r="O166" s="294"/>
      <c r="P166" s="294"/>
      <c r="Q166" s="294"/>
      <c r="R166" s="294"/>
      <c r="S166" s="294"/>
      <c r="T166" s="294"/>
      <c r="U166" s="294"/>
      <c r="V166" s="294"/>
      <c r="W166" s="294"/>
      <c r="X166" s="294"/>
      <c r="Y166" s="277"/>
      <c r="Z166" s="277"/>
      <c r="AA166" s="277"/>
      <c r="AB166" s="277"/>
      <c r="AC166" s="277"/>
      <c r="AD166" s="277"/>
      <c r="AE166" s="277"/>
      <c r="AF166" s="277"/>
      <c r="AG166" s="277"/>
      <c r="AH166" s="277"/>
      <c r="AI166" s="277"/>
      <c r="AJ166" s="277"/>
      <c r="AK166" s="277"/>
      <c r="AL166" s="277"/>
      <c r="AM166" s="277"/>
      <c r="AN166" s="277"/>
      <c r="AO166" s="277"/>
      <c r="AP166" s="277"/>
      <c r="AQ166" s="277"/>
      <c r="AR166" s="277"/>
      <c r="AS166" s="277"/>
      <c r="AT166" s="277"/>
      <c r="AU166" s="277"/>
      <c r="AV166" s="277"/>
      <c r="AW166" s="277"/>
      <c r="AX166" s="277"/>
    </row>
    <row r="167" spans="1:50" ht="14" hidden="1" thickTop="1" thickBot="1" x14ac:dyDescent="0.35">
      <c r="A167" s="368"/>
      <c r="B167" s="294">
        <f>'Primary Sources'!C33</f>
        <v>0</v>
      </c>
      <c r="C167" s="201"/>
      <c r="D167" s="157"/>
      <c r="E167" s="939"/>
      <c r="F167" s="939"/>
      <c r="G167" s="939"/>
      <c r="H167" s="940"/>
      <c r="I167" s="940"/>
      <c r="J167" s="277"/>
      <c r="K167" s="294"/>
      <c r="L167" s="294"/>
      <c r="M167" s="294"/>
      <c r="N167" s="294"/>
      <c r="O167" s="294"/>
      <c r="P167" s="294"/>
      <c r="Q167" s="294"/>
      <c r="R167" s="294"/>
      <c r="S167" s="294"/>
      <c r="T167" s="294"/>
      <c r="U167" s="294"/>
      <c r="V167" s="294"/>
      <c r="W167" s="294"/>
      <c r="X167" s="294"/>
      <c r="Y167" s="277"/>
      <c r="Z167" s="277"/>
      <c r="AA167" s="277"/>
      <c r="AB167" s="277"/>
      <c r="AC167" s="277"/>
      <c r="AD167" s="277"/>
      <c r="AE167" s="277"/>
      <c r="AF167" s="277"/>
      <c r="AG167" s="277"/>
      <c r="AH167" s="277"/>
      <c r="AI167" s="277"/>
      <c r="AJ167" s="277"/>
      <c r="AK167" s="277"/>
      <c r="AL167" s="277"/>
      <c r="AM167" s="277"/>
      <c r="AN167" s="277"/>
      <c r="AO167" s="277"/>
      <c r="AP167" s="277"/>
      <c r="AQ167" s="277"/>
      <c r="AR167" s="277"/>
      <c r="AS167" s="277"/>
      <c r="AT167" s="277"/>
      <c r="AU167" s="277"/>
      <c r="AV167" s="277"/>
      <c r="AW167" s="277"/>
      <c r="AX167" s="277"/>
    </row>
    <row r="168" spans="1:50" ht="14" hidden="1" thickTop="1" thickBot="1" x14ac:dyDescent="0.35">
      <c r="A168" s="368"/>
      <c r="B168" s="294">
        <f>'Primary Sources'!C34</f>
        <v>0</v>
      </c>
      <c r="C168" s="201"/>
      <c r="D168" s="157"/>
      <c r="E168" s="939"/>
      <c r="F168" s="939"/>
      <c r="G168" s="939"/>
      <c r="H168" s="940"/>
      <c r="I168" s="940"/>
      <c r="J168" s="277"/>
      <c r="K168" s="294"/>
      <c r="L168" s="294"/>
      <c r="M168" s="294"/>
      <c r="N168" s="294"/>
      <c r="O168" s="294"/>
      <c r="P168" s="294"/>
      <c r="Q168" s="294"/>
      <c r="R168" s="294"/>
      <c r="S168" s="294"/>
      <c r="T168" s="294"/>
      <c r="U168" s="294"/>
      <c r="V168" s="294"/>
      <c r="W168" s="294"/>
      <c r="X168" s="294"/>
      <c r="Y168" s="277"/>
      <c r="Z168" s="277"/>
      <c r="AA168" s="277"/>
      <c r="AB168" s="277"/>
      <c r="AC168" s="277"/>
      <c r="AD168" s="277"/>
      <c r="AE168" s="277"/>
      <c r="AF168" s="277"/>
      <c r="AG168" s="277"/>
      <c r="AH168" s="277"/>
      <c r="AI168" s="277"/>
      <c r="AJ168" s="277"/>
      <c r="AK168" s="277"/>
      <c r="AL168" s="277"/>
      <c r="AM168" s="277"/>
      <c r="AN168" s="277"/>
      <c r="AO168" s="277"/>
      <c r="AP168" s="277"/>
      <c r="AQ168" s="277"/>
      <c r="AR168" s="277"/>
      <c r="AS168" s="277"/>
      <c r="AT168" s="277"/>
      <c r="AU168" s="277"/>
      <c r="AV168" s="277"/>
      <c r="AW168" s="277"/>
      <c r="AX168" s="277"/>
    </row>
    <row r="169" spans="1:50" ht="14" hidden="1" thickTop="1" thickBot="1" x14ac:dyDescent="0.35">
      <c r="A169" s="368"/>
      <c r="B169" s="294">
        <f>'Primary Sources'!C35</f>
        <v>0</v>
      </c>
      <c r="C169" s="201"/>
      <c r="D169" s="157"/>
      <c r="E169" s="939"/>
      <c r="F169" s="939"/>
      <c r="G169" s="939"/>
      <c r="H169" s="940"/>
      <c r="I169" s="940"/>
      <c r="J169" s="277"/>
      <c r="K169" s="294"/>
      <c r="L169" s="294"/>
      <c r="M169" s="294"/>
      <c r="N169" s="294"/>
      <c r="O169" s="294"/>
      <c r="P169" s="294"/>
      <c r="Q169" s="294"/>
      <c r="R169" s="294"/>
      <c r="S169" s="294"/>
      <c r="T169" s="294"/>
      <c r="U169" s="294"/>
      <c r="V169" s="294"/>
      <c r="W169" s="294"/>
      <c r="X169" s="294"/>
      <c r="Y169" s="277"/>
      <c r="Z169" s="277"/>
      <c r="AA169" s="277"/>
      <c r="AB169" s="277"/>
      <c r="AC169" s="277"/>
      <c r="AD169" s="277"/>
      <c r="AE169" s="277"/>
      <c r="AF169" s="277"/>
      <c r="AG169" s="277"/>
      <c r="AH169" s="277"/>
      <c r="AI169" s="277"/>
      <c r="AJ169" s="277"/>
      <c r="AK169" s="277"/>
      <c r="AL169" s="277"/>
      <c r="AM169" s="277"/>
      <c r="AN169" s="277"/>
      <c r="AO169" s="277"/>
      <c r="AP169" s="277"/>
      <c r="AQ169" s="277"/>
      <c r="AR169" s="277"/>
      <c r="AS169" s="277"/>
      <c r="AT169" s="277"/>
      <c r="AU169" s="277"/>
      <c r="AV169" s="277"/>
      <c r="AW169" s="277"/>
      <c r="AX169" s="277"/>
    </row>
    <row r="170" spans="1:50" ht="14" hidden="1" thickTop="1" thickBot="1" x14ac:dyDescent="0.35">
      <c r="A170" s="368"/>
      <c r="B170" s="294">
        <f>'Primary Sources'!C36</f>
        <v>0</v>
      </c>
      <c r="C170" s="201"/>
      <c r="D170" s="157"/>
      <c r="E170" s="939"/>
      <c r="F170" s="939"/>
      <c r="G170" s="939"/>
      <c r="H170" s="940"/>
      <c r="I170" s="940"/>
      <c r="J170" s="277"/>
      <c r="K170" s="294"/>
      <c r="L170" s="294"/>
      <c r="M170" s="294"/>
      <c r="N170" s="294"/>
      <c r="O170" s="294"/>
      <c r="P170" s="294"/>
      <c r="Q170" s="294"/>
      <c r="R170" s="294"/>
      <c r="S170" s="294"/>
      <c r="T170" s="294"/>
      <c r="U170" s="294"/>
      <c r="V170" s="294"/>
      <c r="W170" s="294"/>
      <c r="X170" s="294"/>
      <c r="Y170" s="277"/>
      <c r="Z170" s="277"/>
      <c r="AA170" s="277"/>
      <c r="AB170" s="277"/>
      <c r="AC170" s="277"/>
      <c r="AD170" s="277"/>
      <c r="AE170" s="277"/>
      <c r="AF170" s="277"/>
      <c r="AG170" s="277"/>
      <c r="AH170" s="277"/>
      <c r="AI170" s="277"/>
      <c r="AJ170" s="277"/>
      <c r="AK170" s="277"/>
      <c r="AL170" s="277"/>
      <c r="AM170" s="277"/>
      <c r="AN170" s="277"/>
      <c r="AO170" s="277"/>
      <c r="AP170" s="277"/>
      <c r="AQ170" s="277"/>
      <c r="AR170" s="277"/>
      <c r="AS170" s="277"/>
      <c r="AT170" s="277"/>
      <c r="AU170" s="277"/>
      <c r="AV170" s="277"/>
      <c r="AW170" s="277"/>
      <c r="AX170" s="277"/>
    </row>
    <row r="171" spans="1:50" ht="14" hidden="1" thickTop="1" thickBot="1" x14ac:dyDescent="0.35">
      <c r="A171" s="368"/>
      <c r="B171" s="294" t="str">
        <f>'Primary Sources'!C37</f>
        <v>Forest</v>
      </c>
      <c r="C171" s="201"/>
      <c r="D171" s="157"/>
      <c r="E171" s="939"/>
      <c r="F171" s="939"/>
      <c r="G171" s="939"/>
      <c r="H171" s="940"/>
      <c r="I171" s="940"/>
      <c r="J171" s="277"/>
      <c r="K171" s="294"/>
      <c r="L171" s="294"/>
      <c r="M171" s="294"/>
      <c r="N171" s="294"/>
      <c r="O171" s="294"/>
      <c r="P171" s="294"/>
      <c r="Q171" s="294"/>
      <c r="R171" s="294"/>
      <c r="S171" s="294"/>
      <c r="T171" s="294"/>
      <c r="U171" s="294"/>
      <c r="V171" s="294"/>
      <c r="W171" s="294"/>
      <c r="X171" s="294"/>
      <c r="Y171" s="277"/>
      <c r="Z171" s="277"/>
      <c r="AA171" s="277"/>
      <c r="AB171" s="277"/>
      <c r="AC171" s="277"/>
      <c r="AD171" s="277"/>
      <c r="AE171" s="277"/>
      <c r="AF171" s="277"/>
      <c r="AG171" s="277"/>
      <c r="AH171" s="277"/>
      <c r="AI171" s="277"/>
      <c r="AJ171" s="277"/>
      <c r="AK171" s="277"/>
      <c r="AL171" s="277"/>
      <c r="AM171" s="277"/>
      <c r="AN171" s="277"/>
      <c r="AO171" s="277"/>
      <c r="AP171" s="277"/>
      <c r="AQ171" s="277"/>
      <c r="AR171" s="277"/>
      <c r="AS171" s="277"/>
      <c r="AT171" s="277"/>
      <c r="AU171" s="277"/>
      <c r="AV171" s="277"/>
      <c r="AW171" s="277"/>
      <c r="AX171" s="277"/>
    </row>
    <row r="172" spans="1:50" ht="14" hidden="1" thickTop="1" thickBot="1" x14ac:dyDescent="0.35">
      <c r="A172" s="368"/>
      <c r="B172" s="294" t="str">
        <f>'Primary Sources'!C38</f>
        <v>Forest</v>
      </c>
      <c r="C172" s="201"/>
      <c r="D172" s="157"/>
      <c r="E172" s="939"/>
      <c r="F172" s="939"/>
      <c r="G172" s="939"/>
      <c r="H172" s="940"/>
      <c r="I172" s="940"/>
      <c r="J172" s="277"/>
      <c r="K172" s="294"/>
      <c r="L172" s="294"/>
      <c r="M172" s="294"/>
      <c r="N172" s="294"/>
      <c r="O172" s="294"/>
      <c r="P172" s="294"/>
      <c r="Q172" s="294"/>
      <c r="R172" s="294"/>
      <c r="S172" s="294"/>
      <c r="T172" s="294"/>
      <c r="U172" s="294"/>
      <c r="V172" s="294"/>
      <c r="W172" s="294"/>
      <c r="X172" s="294"/>
      <c r="Y172" s="277"/>
      <c r="Z172" s="277"/>
      <c r="AA172" s="277"/>
      <c r="AB172" s="277"/>
      <c r="AC172" s="277"/>
      <c r="AD172" s="277"/>
      <c r="AE172" s="277"/>
      <c r="AF172" s="277"/>
      <c r="AG172" s="277"/>
      <c r="AH172" s="277"/>
      <c r="AI172" s="277"/>
      <c r="AJ172" s="277"/>
      <c r="AK172" s="277"/>
      <c r="AL172" s="277"/>
      <c r="AM172" s="277"/>
      <c r="AN172" s="277"/>
      <c r="AO172" s="277"/>
      <c r="AP172" s="277"/>
      <c r="AQ172" s="277"/>
      <c r="AR172" s="277"/>
      <c r="AS172" s="277"/>
      <c r="AT172" s="277"/>
      <c r="AU172" s="277"/>
      <c r="AV172" s="277"/>
      <c r="AW172" s="277"/>
      <c r="AX172" s="277"/>
    </row>
    <row r="173" spans="1:50" ht="14" hidden="1" thickTop="1" thickBot="1" x14ac:dyDescent="0.35">
      <c r="A173" s="368"/>
      <c r="B173" s="294" t="str">
        <f>'Primary Sources'!C39</f>
        <v>Forest</v>
      </c>
      <c r="C173" s="201"/>
      <c r="D173" s="157"/>
      <c r="E173" s="939"/>
      <c r="F173" s="939"/>
      <c r="G173" s="939"/>
      <c r="H173" s="940"/>
      <c r="I173" s="940"/>
      <c r="J173" s="277"/>
      <c r="K173" s="294"/>
      <c r="L173" s="294"/>
      <c r="M173" s="294"/>
      <c r="N173" s="294"/>
      <c r="O173" s="294"/>
      <c r="P173" s="294"/>
      <c r="Q173" s="294"/>
      <c r="R173" s="294"/>
      <c r="S173" s="294"/>
      <c r="T173" s="294"/>
      <c r="U173" s="294"/>
      <c r="V173" s="294"/>
      <c r="W173" s="294"/>
      <c r="X173" s="294"/>
      <c r="Y173" s="277"/>
      <c r="Z173" s="277"/>
      <c r="AA173" s="277"/>
      <c r="AB173" s="277"/>
      <c r="AC173" s="277"/>
      <c r="AD173" s="277"/>
      <c r="AE173" s="277"/>
      <c r="AF173" s="277"/>
      <c r="AG173" s="277"/>
      <c r="AH173" s="277"/>
      <c r="AI173" s="277"/>
      <c r="AJ173" s="277"/>
      <c r="AK173" s="277"/>
      <c r="AL173" s="277"/>
      <c r="AM173" s="277"/>
      <c r="AN173" s="277"/>
      <c r="AO173" s="277"/>
      <c r="AP173" s="277"/>
      <c r="AQ173" s="277"/>
      <c r="AR173" s="277"/>
      <c r="AS173" s="277"/>
      <c r="AT173" s="277"/>
      <c r="AU173" s="277"/>
      <c r="AV173" s="277"/>
      <c r="AW173" s="277"/>
      <c r="AX173" s="277"/>
    </row>
    <row r="174" spans="1:50" ht="14" hidden="1" thickTop="1" thickBot="1" x14ac:dyDescent="0.35">
      <c r="A174" s="368"/>
      <c r="B174" s="294" t="str">
        <f>'Primary Sources'!C40</f>
        <v>Forest</v>
      </c>
      <c r="C174" s="201"/>
      <c r="D174" s="157"/>
      <c r="E174" s="939"/>
      <c r="F174" s="939"/>
      <c r="G174" s="939"/>
      <c r="H174" s="940"/>
      <c r="I174" s="940"/>
      <c r="J174" s="277"/>
      <c r="K174" s="294"/>
      <c r="L174" s="294"/>
      <c r="M174" s="294"/>
      <c r="N174" s="294"/>
      <c r="O174" s="294"/>
      <c r="P174" s="294"/>
      <c r="Q174" s="294"/>
      <c r="R174" s="294"/>
      <c r="S174" s="294"/>
      <c r="T174" s="294"/>
      <c r="U174" s="294"/>
      <c r="V174" s="294"/>
      <c r="W174" s="294"/>
      <c r="X174" s="294"/>
      <c r="Y174" s="277"/>
      <c r="Z174" s="277"/>
      <c r="AA174" s="277"/>
      <c r="AB174" s="277"/>
      <c r="AC174" s="277"/>
      <c r="AD174" s="277"/>
      <c r="AE174" s="277"/>
      <c r="AF174" s="277"/>
      <c r="AG174" s="277"/>
      <c r="AH174" s="277"/>
      <c r="AI174" s="277"/>
      <c r="AJ174" s="277"/>
      <c r="AK174" s="277"/>
      <c r="AL174" s="277"/>
      <c r="AM174" s="277"/>
      <c r="AN174" s="277"/>
      <c r="AO174" s="277"/>
      <c r="AP174" s="277"/>
      <c r="AQ174" s="277"/>
      <c r="AR174" s="277"/>
      <c r="AS174" s="277"/>
      <c r="AT174" s="277"/>
      <c r="AU174" s="277"/>
      <c r="AV174" s="277"/>
      <c r="AW174" s="277"/>
      <c r="AX174" s="277"/>
    </row>
    <row r="175" spans="1:50" ht="14" hidden="1" thickTop="1" thickBot="1" x14ac:dyDescent="0.35">
      <c r="A175" s="368"/>
      <c r="B175" s="294">
        <f>'Primary Sources'!C41</f>
        <v>0</v>
      </c>
      <c r="C175" s="201"/>
      <c r="D175" s="157"/>
      <c r="E175" s="939"/>
      <c r="F175" s="939"/>
      <c r="G175" s="939"/>
      <c r="H175" s="940"/>
      <c r="I175" s="940"/>
      <c r="J175" s="277"/>
      <c r="K175" s="294"/>
      <c r="L175" s="294"/>
      <c r="M175" s="294"/>
      <c r="N175" s="294"/>
      <c r="O175" s="294"/>
      <c r="P175" s="294"/>
      <c r="Q175" s="294"/>
      <c r="R175" s="294"/>
      <c r="S175" s="294"/>
      <c r="T175" s="294"/>
      <c r="U175" s="294"/>
      <c r="V175" s="294"/>
      <c r="W175" s="294"/>
      <c r="X175" s="294"/>
      <c r="Y175" s="277"/>
      <c r="Z175" s="277"/>
      <c r="AA175" s="277"/>
      <c r="AB175" s="277"/>
      <c r="AC175" s="277"/>
      <c r="AD175" s="277"/>
      <c r="AE175" s="277"/>
      <c r="AF175" s="277"/>
      <c r="AG175" s="277"/>
      <c r="AH175" s="277"/>
      <c r="AI175" s="277"/>
      <c r="AJ175" s="277"/>
      <c r="AK175" s="277"/>
      <c r="AL175" s="277"/>
      <c r="AM175" s="277"/>
      <c r="AN175" s="277"/>
      <c r="AO175" s="277"/>
      <c r="AP175" s="277"/>
      <c r="AQ175" s="277"/>
      <c r="AR175" s="277"/>
      <c r="AS175" s="277"/>
      <c r="AT175" s="277"/>
      <c r="AU175" s="277"/>
      <c r="AV175" s="277"/>
      <c r="AW175" s="277"/>
      <c r="AX175" s="277"/>
    </row>
    <row r="176" spans="1:50" ht="14" hidden="1" thickTop="1" thickBot="1" x14ac:dyDescent="0.35">
      <c r="A176" s="368"/>
      <c r="B176" s="294" t="str">
        <f>'Primary Sources'!C42</f>
        <v>Rural</v>
      </c>
      <c r="C176" s="201"/>
      <c r="D176" s="157"/>
      <c r="E176" s="939"/>
      <c r="F176" s="939"/>
      <c r="G176" s="939"/>
      <c r="H176" s="940"/>
      <c r="I176" s="940"/>
      <c r="J176" s="277"/>
      <c r="K176" s="294"/>
      <c r="L176" s="294"/>
      <c r="M176" s="294"/>
      <c r="N176" s="294"/>
      <c r="O176" s="294"/>
      <c r="P176" s="294"/>
      <c r="Q176" s="294"/>
      <c r="R176" s="294"/>
      <c r="S176" s="294"/>
      <c r="T176" s="294"/>
      <c r="U176" s="294"/>
      <c r="V176" s="294"/>
      <c r="W176" s="294"/>
      <c r="X176" s="294"/>
      <c r="Y176" s="277"/>
      <c r="Z176" s="277"/>
      <c r="AA176" s="277"/>
      <c r="AB176" s="277"/>
      <c r="AC176" s="277"/>
      <c r="AD176" s="277"/>
      <c r="AE176" s="277"/>
      <c r="AF176" s="277"/>
      <c r="AG176" s="277"/>
      <c r="AH176" s="277"/>
      <c r="AI176" s="277"/>
      <c r="AJ176" s="277"/>
      <c r="AK176" s="277"/>
      <c r="AL176" s="277"/>
      <c r="AM176" s="277"/>
      <c r="AN176" s="277"/>
      <c r="AO176" s="277"/>
      <c r="AP176" s="277"/>
      <c r="AQ176" s="277"/>
      <c r="AR176" s="277"/>
      <c r="AS176" s="277"/>
      <c r="AT176" s="277"/>
      <c r="AU176" s="277"/>
      <c r="AV176" s="277"/>
      <c r="AW176" s="277"/>
      <c r="AX176" s="277"/>
    </row>
    <row r="177" spans="1:63" ht="14" hidden="1" thickTop="1" thickBot="1" x14ac:dyDescent="0.35">
      <c r="A177" s="368"/>
      <c r="B177" s="294" t="str">
        <f>'Primary Sources'!C43</f>
        <v>Rural</v>
      </c>
      <c r="C177" s="201"/>
      <c r="D177" s="157"/>
      <c r="E177" s="939"/>
      <c r="F177" s="939"/>
      <c r="G177" s="939"/>
      <c r="H177" s="940"/>
      <c r="I177" s="940"/>
      <c r="J177" s="277"/>
      <c r="K177" s="294"/>
      <c r="L177" s="294"/>
      <c r="M177" s="294"/>
      <c r="N177" s="294"/>
      <c r="O177" s="294"/>
      <c r="P177" s="294"/>
      <c r="Q177" s="294"/>
      <c r="R177" s="294"/>
      <c r="S177" s="294"/>
      <c r="T177" s="294"/>
      <c r="U177" s="294"/>
      <c r="V177" s="294"/>
      <c r="W177" s="294"/>
      <c r="X177" s="294"/>
      <c r="Y177" s="277"/>
      <c r="Z177" s="277"/>
      <c r="AA177" s="277"/>
      <c r="AB177" s="277"/>
      <c r="AC177" s="277"/>
      <c r="AD177" s="277"/>
      <c r="AE177" s="277"/>
      <c r="AF177" s="277"/>
      <c r="AG177" s="277"/>
      <c r="AH177" s="277"/>
      <c r="AI177" s="277"/>
      <c r="AJ177" s="277"/>
      <c r="AK177" s="277"/>
      <c r="AL177" s="277"/>
      <c r="AM177" s="277"/>
      <c r="AN177" s="277"/>
      <c r="AO177" s="277"/>
      <c r="AP177" s="277"/>
      <c r="AQ177" s="277"/>
      <c r="AR177" s="277"/>
      <c r="AS177" s="277"/>
      <c r="AT177" s="277"/>
      <c r="AU177" s="277"/>
      <c r="AV177" s="277"/>
      <c r="AW177" s="277"/>
      <c r="AX177" s="277"/>
    </row>
    <row r="178" spans="1:63" ht="14" hidden="1" thickTop="1" thickBot="1" x14ac:dyDescent="0.35">
      <c r="A178" s="368"/>
      <c r="B178" s="294" t="str">
        <f>'Primary Sources'!C44</f>
        <v>Rural</v>
      </c>
      <c r="C178" s="201"/>
      <c r="D178" s="157"/>
      <c r="E178" s="939"/>
      <c r="F178" s="939"/>
      <c r="G178" s="939"/>
      <c r="H178" s="940"/>
      <c r="I178" s="940"/>
      <c r="J178" s="277"/>
      <c r="K178" s="294"/>
      <c r="L178" s="294"/>
      <c r="M178" s="294"/>
      <c r="N178" s="294"/>
      <c r="O178" s="294"/>
      <c r="P178" s="294"/>
      <c r="Q178" s="294"/>
      <c r="R178" s="294"/>
      <c r="S178" s="294"/>
      <c r="T178" s="294"/>
      <c r="U178" s="294"/>
      <c r="V178" s="294"/>
      <c r="W178" s="294"/>
      <c r="X178" s="294"/>
      <c r="Y178" s="277"/>
      <c r="Z178" s="277"/>
      <c r="AA178" s="277"/>
      <c r="AB178" s="277"/>
      <c r="AC178" s="277"/>
      <c r="AD178" s="277"/>
      <c r="AE178" s="277"/>
      <c r="AF178" s="277"/>
      <c r="AG178" s="277"/>
      <c r="AH178" s="277"/>
      <c r="AI178" s="277"/>
      <c r="AJ178" s="277"/>
      <c r="AK178" s="277"/>
      <c r="AL178" s="277"/>
      <c r="AM178" s="277"/>
      <c r="AN178" s="277"/>
      <c r="AO178" s="277"/>
      <c r="AP178" s="277"/>
      <c r="AQ178" s="277"/>
      <c r="AR178" s="277"/>
      <c r="AS178" s="277"/>
      <c r="AT178" s="277"/>
      <c r="AU178" s="277"/>
      <c r="AV178" s="277"/>
      <c r="AW178" s="277"/>
      <c r="AX178" s="277"/>
    </row>
    <row r="179" spans="1:63" ht="14" hidden="1" thickTop="1" thickBot="1" x14ac:dyDescent="0.35">
      <c r="A179" s="368"/>
      <c r="B179" s="294" t="str">
        <f>'Primary Sources'!C45</f>
        <v>Rural</v>
      </c>
      <c r="C179" s="201"/>
      <c r="D179" s="157"/>
      <c r="E179" s="939"/>
      <c r="F179" s="939"/>
      <c r="G179" s="939"/>
      <c r="H179" s="940"/>
      <c r="I179" s="940"/>
      <c r="J179" s="277"/>
      <c r="K179" s="294"/>
      <c r="L179" s="294"/>
      <c r="M179" s="294"/>
      <c r="N179" s="294"/>
      <c r="O179" s="294"/>
      <c r="P179" s="294"/>
      <c r="Q179" s="294"/>
      <c r="R179" s="294"/>
      <c r="S179" s="294"/>
      <c r="T179" s="294"/>
      <c r="U179" s="294"/>
      <c r="V179" s="294"/>
      <c r="W179" s="294"/>
      <c r="X179" s="294"/>
      <c r="Y179" s="277"/>
      <c r="Z179" s="277"/>
      <c r="AA179" s="277"/>
      <c r="AB179" s="277"/>
      <c r="AC179" s="277"/>
      <c r="AD179" s="277"/>
      <c r="AE179" s="277"/>
      <c r="AF179" s="277"/>
      <c r="AG179" s="277"/>
      <c r="AH179" s="277"/>
      <c r="AI179" s="277"/>
      <c r="AJ179" s="277"/>
      <c r="AK179" s="277"/>
      <c r="AL179" s="277"/>
      <c r="AM179" s="277"/>
      <c r="AN179" s="277"/>
      <c r="AO179" s="277"/>
      <c r="AP179" s="277"/>
      <c r="AQ179" s="277"/>
      <c r="AR179" s="277"/>
      <c r="AS179" s="277"/>
      <c r="AT179" s="277"/>
      <c r="AU179" s="277"/>
      <c r="AV179" s="277"/>
      <c r="AW179" s="277"/>
      <c r="AX179" s="277"/>
    </row>
    <row r="180" spans="1:63" ht="14" hidden="1" thickTop="1" thickBot="1" x14ac:dyDescent="0.35">
      <c r="A180" s="368"/>
      <c r="B180" s="294" t="str">
        <f>'Primary Sources'!C46</f>
        <v>Rural</v>
      </c>
      <c r="C180" s="201"/>
      <c r="D180" s="157"/>
      <c r="E180" s="939"/>
      <c r="F180" s="939"/>
      <c r="G180" s="939"/>
      <c r="H180" s="940"/>
      <c r="I180" s="940"/>
      <c r="J180" s="277"/>
      <c r="K180" s="294"/>
      <c r="L180" s="294"/>
      <c r="M180" s="294"/>
      <c r="N180" s="294"/>
      <c r="O180" s="294"/>
      <c r="P180" s="294"/>
      <c r="Q180" s="294"/>
      <c r="R180" s="294"/>
      <c r="S180" s="294"/>
      <c r="T180" s="294"/>
      <c r="U180" s="294"/>
      <c r="V180" s="294"/>
      <c r="W180" s="294"/>
      <c r="X180" s="294"/>
      <c r="Y180" s="277"/>
      <c r="Z180" s="277"/>
      <c r="AA180" s="277"/>
      <c r="AB180" s="277"/>
      <c r="AC180" s="277"/>
      <c r="AD180" s="277"/>
      <c r="AE180" s="277"/>
      <c r="AF180" s="277"/>
      <c r="AG180" s="277"/>
      <c r="AH180" s="277"/>
      <c r="AI180" s="277"/>
      <c r="AJ180" s="277"/>
      <c r="AK180" s="277"/>
      <c r="AL180" s="277"/>
      <c r="AM180" s="277"/>
      <c r="AN180" s="277"/>
      <c r="AO180" s="277"/>
      <c r="AP180" s="277"/>
      <c r="AQ180" s="277"/>
      <c r="AR180" s="277"/>
      <c r="AS180" s="277"/>
      <c r="AT180" s="277"/>
      <c r="AU180" s="277"/>
      <c r="AV180" s="277"/>
      <c r="AW180" s="277"/>
      <c r="AX180" s="277"/>
    </row>
    <row r="181" spans="1:63" ht="14" hidden="1" thickTop="1" thickBot="1" x14ac:dyDescent="0.35">
      <c r="A181" s="368"/>
      <c r="B181" s="294" t="str">
        <f>'Primary Sources'!C47</f>
        <v>Rural</v>
      </c>
      <c r="C181" s="201"/>
      <c r="D181" s="157"/>
      <c r="E181" s="939"/>
      <c r="F181" s="939"/>
      <c r="G181" s="939"/>
      <c r="H181" s="940"/>
      <c r="I181" s="940"/>
      <c r="J181" s="277"/>
      <c r="K181" s="294"/>
      <c r="L181" s="294"/>
      <c r="M181" s="294"/>
      <c r="N181" s="294"/>
      <c r="O181" s="294"/>
      <c r="P181" s="294"/>
      <c r="Q181" s="294"/>
      <c r="R181" s="294"/>
      <c r="S181" s="294"/>
      <c r="T181" s="294"/>
      <c r="U181" s="294"/>
      <c r="V181" s="294"/>
      <c r="W181" s="294"/>
      <c r="X181" s="294"/>
      <c r="Y181" s="277"/>
      <c r="Z181" s="277"/>
      <c r="AA181" s="277"/>
      <c r="AB181" s="277"/>
      <c r="AC181" s="277"/>
      <c r="AD181" s="277"/>
      <c r="AE181" s="277"/>
      <c r="AF181" s="277"/>
      <c r="AG181" s="277"/>
      <c r="AH181" s="277"/>
      <c r="AI181" s="277"/>
      <c r="AJ181" s="277"/>
      <c r="AK181" s="277"/>
      <c r="AL181" s="277"/>
      <c r="AM181" s="277"/>
      <c r="AN181" s="277"/>
      <c r="AO181" s="277"/>
      <c r="AP181" s="277"/>
      <c r="AQ181" s="277"/>
      <c r="AR181" s="277"/>
      <c r="AS181" s="277"/>
      <c r="AT181" s="277"/>
      <c r="AU181" s="277"/>
      <c r="AV181" s="277"/>
      <c r="AW181" s="277"/>
      <c r="AX181" s="277"/>
    </row>
    <row r="182" spans="1:63" ht="14" hidden="1" thickTop="1" thickBot="1" x14ac:dyDescent="0.35">
      <c r="A182" s="368"/>
      <c r="B182" s="294" t="str">
        <f>'Primary Sources'!C48</f>
        <v>Forest</v>
      </c>
      <c r="C182" s="201"/>
      <c r="D182" s="157"/>
      <c r="E182" s="939"/>
      <c r="F182" s="939"/>
      <c r="G182" s="939"/>
      <c r="H182" s="940"/>
      <c r="I182" s="940"/>
      <c r="J182" s="277"/>
      <c r="K182" s="294"/>
      <c r="L182" s="294"/>
      <c r="M182" s="294"/>
      <c r="N182" s="294"/>
      <c r="O182" s="294"/>
      <c r="P182" s="294"/>
      <c r="Q182" s="294"/>
      <c r="R182" s="294"/>
      <c r="S182" s="294"/>
      <c r="T182" s="294"/>
      <c r="U182" s="294"/>
      <c r="V182" s="294"/>
      <c r="W182" s="294"/>
      <c r="X182" s="294"/>
      <c r="Y182" s="277"/>
      <c r="Z182" s="277"/>
      <c r="AA182" s="277"/>
      <c r="AB182" s="277"/>
      <c r="AC182" s="277"/>
      <c r="AD182" s="277"/>
      <c r="AE182" s="277"/>
      <c r="AF182" s="277"/>
      <c r="AG182" s="277"/>
      <c r="AH182" s="277"/>
      <c r="AI182" s="277"/>
      <c r="AJ182" s="277"/>
      <c r="AK182" s="277"/>
      <c r="AL182" s="277"/>
      <c r="AM182" s="277"/>
      <c r="AN182" s="277"/>
      <c r="AO182" s="277"/>
      <c r="AP182" s="277"/>
      <c r="AQ182" s="277"/>
      <c r="AR182" s="277"/>
      <c r="AS182" s="277"/>
      <c r="AT182" s="277"/>
      <c r="AU182" s="277"/>
      <c r="AV182" s="277"/>
      <c r="AW182" s="277"/>
      <c r="AX182" s="277"/>
    </row>
    <row r="183" spans="1:63" ht="14" hidden="1" thickTop="1" thickBot="1" x14ac:dyDescent="0.35">
      <c r="A183" s="368"/>
      <c r="B183" s="294">
        <f>'Primary Sources'!C49</f>
        <v>76381.200000000012</v>
      </c>
      <c r="C183" s="201"/>
      <c r="D183" s="157"/>
      <c r="E183" s="939"/>
      <c r="F183" s="939"/>
      <c r="G183" s="939"/>
      <c r="H183" s="940"/>
      <c r="I183" s="940"/>
      <c r="J183" s="277"/>
      <c r="K183" s="294"/>
      <c r="L183" s="294"/>
      <c r="M183" s="294"/>
      <c r="N183" s="294"/>
      <c r="O183" s="294"/>
      <c r="P183" s="294"/>
      <c r="Q183" s="294"/>
      <c r="R183" s="294"/>
      <c r="S183" s="294"/>
      <c r="T183" s="294"/>
      <c r="U183" s="294"/>
      <c r="V183" s="294"/>
      <c r="W183" s="294"/>
      <c r="X183" s="294"/>
      <c r="Y183" s="277"/>
      <c r="Z183" s="277"/>
      <c r="AA183" s="277"/>
      <c r="AB183" s="277"/>
      <c r="AC183" s="277"/>
      <c r="AD183" s="277"/>
      <c r="AE183" s="277"/>
      <c r="AF183" s="277"/>
      <c r="AG183" s="277"/>
      <c r="AH183" s="277"/>
      <c r="AI183" s="277"/>
      <c r="AJ183" s="277"/>
      <c r="AK183" s="277"/>
      <c r="AL183" s="277"/>
      <c r="AM183" s="277"/>
      <c r="AN183" s="277"/>
      <c r="AO183" s="277"/>
      <c r="AP183" s="277"/>
      <c r="AQ183" s="277"/>
      <c r="AR183" s="277"/>
      <c r="AS183" s="277"/>
      <c r="AT183" s="277"/>
      <c r="AU183" s="277"/>
      <c r="AV183" s="277"/>
      <c r="AW183" s="277"/>
      <c r="AX183" s="277"/>
    </row>
    <row r="184" spans="1:63" s="277" customFormat="1" ht="14" thickTop="1" thickBot="1" x14ac:dyDescent="0.35">
      <c r="A184" s="368"/>
      <c r="B184" s="252"/>
      <c r="C184" s="518"/>
      <c r="D184" s="519"/>
      <c r="E184" s="520"/>
      <c r="F184" s="521"/>
      <c r="G184" s="520"/>
      <c r="K184" s="294"/>
      <c r="L184" s="294"/>
      <c r="M184" s="294"/>
      <c r="N184" s="294"/>
      <c r="O184" s="294"/>
      <c r="P184" s="294"/>
      <c r="Q184" s="294"/>
      <c r="R184" s="294"/>
      <c r="S184" s="294"/>
      <c r="T184" s="294"/>
      <c r="U184" s="294"/>
      <c r="V184" s="294"/>
      <c r="W184" s="294"/>
      <c r="X184" s="294"/>
    </row>
    <row r="185" spans="1:63" ht="21" thickTop="1" thickBot="1" x14ac:dyDescent="0.45">
      <c r="A185" s="368"/>
      <c r="B185" s="522" t="s">
        <v>397</v>
      </c>
      <c r="C185" s="523"/>
      <c r="D185" s="277"/>
      <c r="E185" s="277"/>
      <c r="F185" s="277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94"/>
      <c r="U185" s="294"/>
      <c r="V185" s="294"/>
      <c r="W185" s="294"/>
      <c r="X185" s="294"/>
      <c r="Y185" s="294"/>
      <c r="Z185" s="294"/>
      <c r="AA185" s="294"/>
      <c r="AB185" s="294"/>
      <c r="AC185" s="277"/>
      <c r="AD185" s="277"/>
      <c r="AE185" s="277"/>
      <c r="AF185" s="277"/>
      <c r="AG185" s="277"/>
      <c r="AH185" s="277"/>
      <c r="AI185" s="277"/>
      <c r="AJ185" s="277"/>
      <c r="AK185" s="277"/>
      <c r="AL185" s="277"/>
      <c r="AM185" s="277"/>
      <c r="AN185" s="277"/>
      <c r="AO185" s="277"/>
      <c r="AP185" s="277"/>
      <c r="AQ185" s="277"/>
      <c r="AR185" s="277"/>
      <c r="AS185" s="277"/>
      <c r="AT185" s="277"/>
      <c r="AU185" s="277"/>
      <c r="AV185" s="277"/>
      <c r="AW185" s="277"/>
      <c r="AX185" s="277"/>
      <c r="AY185" s="277"/>
      <c r="AZ185" s="277"/>
      <c r="BA185" s="277"/>
      <c r="BB185" s="277"/>
    </row>
    <row r="186" spans="1:63" ht="13" x14ac:dyDescent="0.3">
      <c r="A186" s="368"/>
      <c r="B186" s="32"/>
      <c r="C186" s="94"/>
      <c r="D186" s="728"/>
      <c r="E186" s="277"/>
      <c r="F186" s="277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94"/>
      <c r="U186" s="294"/>
      <c r="V186" s="294"/>
      <c r="W186" s="294"/>
      <c r="X186" s="294"/>
      <c r="Y186" s="294"/>
      <c r="Z186" s="294"/>
      <c r="AA186" s="294"/>
      <c r="AB186" s="294"/>
      <c r="AC186" s="277"/>
      <c r="AD186" s="277"/>
      <c r="AE186" s="277"/>
      <c r="AF186" s="277"/>
      <c r="AG186" s="277"/>
      <c r="AH186" s="277"/>
      <c r="AI186" s="277"/>
      <c r="AJ186" s="277"/>
      <c r="AK186" s="277"/>
      <c r="AL186" s="277"/>
      <c r="AM186" s="277"/>
      <c r="AN186" s="277"/>
      <c r="AO186" s="277"/>
      <c r="AP186" s="277"/>
      <c r="AQ186" s="277"/>
      <c r="AR186" s="277"/>
      <c r="AS186" s="277"/>
      <c r="AT186" s="277"/>
      <c r="AU186" s="277"/>
      <c r="AV186" s="277"/>
      <c r="AW186" s="277"/>
      <c r="AX186" s="277"/>
      <c r="AY186" s="277"/>
      <c r="AZ186" s="277"/>
      <c r="BA186" s="277"/>
      <c r="BB186" s="277"/>
    </row>
    <row r="187" spans="1:63" ht="13" x14ac:dyDescent="0.3">
      <c r="A187" s="368"/>
      <c r="B187" s="39" t="s">
        <v>398</v>
      </c>
      <c r="C187" s="1230">
        <v>0</v>
      </c>
      <c r="D187" s="728"/>
      <c r="E187" s="277"/>
      <c r="F187" s="277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94"/>
      <c r="U187" s="294"/>
      <c r="V187" s="294"/>
      <c r="W187" s="294"/>
      <c r="X187" s="294"/>
      <c r="Y187" s="294"/>
      <c r="Z187" s="294"/>
      <c r="AA187" s="294"/>
      <c r="AB187" s="294"/>
      <c r="AC187" s="277"/>
      <c r="AD187" s="277"/>
      <c r="AE187" s="277"/>
      <c r="AF187" s="277"/>
      <c r="AG187" s="277"/>
      <c r="AH187" s="277"/>
      <c r="AI187" s="277"/>
      <c r="AJ187" s="277"/>
      <c r="AK187" s="277"/>
      <c r="AL187" s="277"/>
      <c r="AM187" s="277"/>
      <c r="AN187" s="277"/>
      <c r="AO187" s="277"/>
      <c r="AP187" s="277"/>
      <c r="AQ187" s="277"/>
      <c r="AR187" s="277"/>
      <c r="AS187" s="277"/>
      <c r="AT187" s="277"/>
      <c r="AU187" s="277"/>
      <c r="AV187" s="277"/>
      <c r="AW187" s="277"/>
      <c r="AX187" s="277"/>
      <c r="AY187" s="277"/>
      <c r="AZ187" s="277"/>
      <c r="BA187" s="277"/>
      <c r="BB187" s="277"/>
    </row>
    <row r="188" spans="1:63" ht="13" x14ac:dyDescent="0.3">
      <c r="A188" s="368"/>
      <c r="B188" s="39" t="s">
        <v>399</v>
      </c>
      <c r="C188" s="1231"/>
      <c r="D188" s="277"/>
      <c r="E188" s="277"/>
      <c r="F188" s="277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94"/>
      <c r="U188" s="294"/>
      <c r="V188" s="294"/>
      <c r="W188" s="294"/>
      <c r="X188" s="294"/>
      <c r="Y188" s="294"/>
      <c r="Z188" s="294"/>
      <c r="AA188" s="294"/>
      <c r="AB188" s="294"/>
      <c r="AC188" s="277"/>
      <c r="AD188" s="277"/>
      <c r="AE188" s="277"/>
      <c r="AF188" s="277"/>
      <c r="AG188" s="277"/>
      <c r="AH188" s="277"/>
      <c r="AI188" s="277"/>
      <c r="AJ188" s="277"/>
      <c r="AK188" s="277"/>
      <c r="AL188" s="277"/>
      <c r="AM188" s="277"/>
      <c r="AN188" s="277"/>
      <c r="AO188" s="277"/>
      <c r="AP188" s="277"/>
      <c r="AQ188" s="277"/>
      <c r="AR188" s="277"/>
      <c r="AS188" s="277"/>
      <c r="AT188" s="277"/>
      <c r="AU188" s="277"/>
      <c r="AV188" s="277"/>
      <c r="AW188" s="277"/>
      <c r="AX188" s="277"/>
      <c r="AY188" s="277"/>
      <c r="AZ188" s="277"/>
      <c r="BA188" s="277"/>
      <c r="BB188" s="277"/>
    </row>
    <row r="189" spans="1:63" ht="13.5" thickBot="1" x14ac:dyDescent="0.35">
      <c r="A189" s="368"/>
      <c r="B189" s="97" t="s">
        <v>400</v>
      </c>
      <c r="C189" s="1232"/>
      <c r="D189" s="277"/>
      <c r="E189" s="277"/>
      <c r="F189" s="277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94"/>
      <c r="U189" s="294"/>
      <c r="V189" s="294"/>
      <c r="W189" s="294"/>
      <c r="X189" s="294"/>
      <c r="Y189" s="294"/>
      <c r="Z189" s="294"/>
      <c r="AA189" s="294"/>
      <c r="AB189" s="294"/>
      <c r="AC189" s="277"/>
      <c r="AD189" s="277"/>
      <c r="AE189" s="277"/>
      <c r="AF189" s="277"/>
      <c r="AG189" s="277"/>
      <c r="AH189" s="277"/>
      <c r="AI189" s="277"/>
      <c r="AJ189" s="277"/>
      <c r="AK189" s="277"/>
      <c r="AL189" s="277"/>
      <c r="AM189" s="277"/>
      <c r="AN189" s="277"/>
      <c r="AO189" s="277"/>
      <c r="AP189" s="277"/>
      <c r="AQ189" s="277"/>
      <c r="AR189" s="277"/>
      <c r="AS189" s="277"/>
      <c r="AT189" s="277"/>
      <c r="AU189" s="277"/>
      <c r="AV189" s="277"/>
      <c r="AW189" s="277"/>
      <c r="AX189" s="277"/>
      <c r="AY189" s="277"/>
      <c r="AZ189" s="277"/>
      <c r="BA189" s="277"/>
      <c r="BB189" s="277"/>
    </row>
    <row r="190" spans="1:63" ht="14" thickTop="1" thickBot="1" x14ac:dyDescent="0.35">
      <c r="A190" s="368"/>
      <c r="D190" s="277"/>
      <c r="E190" s="277"/>
      <c r="F190" s="277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94"/>
      <c r="U190" s="294"/>
      <c r="V190" s="294"/>
      <c r="W190" s="294"/>
      <c r="X190" s="294"/>
      <c r="Y190" s="294"/>
      <c r="Z190" s="294"/>
      <c r="AA190" s="294"/>
      <c r="AB190" s="294"/>
      <c r="AC190" s="277"/>
      <c r="AD190" s="277"/>
      <c r="AE190" s="277"/>
      <c r="AF190" s="277"/>
      <c r="AG190" s="277"/>
      <c r="AH190" s="277"/>
      <c r="AI190" s="277"/>
      <c r="AJ190" s="277"/>
      <c r="AK190" s="277"/>
      <c r="AL190" s="277"/>
      <c r="AM190" s="277"/>
      <c r="AN190" s="277"/>
      <c r="AO190" s="277"/>
      <c r="AP190" s="277"/>
      <c r="AQ190" s="277"/>
      <c r="AR190" s="277"/>
      <c r="AS190" s="277"/>
      <c r="AT190" s="277"/>
      <c r="AU190" s="277"/>
      <c r="AV190" s="277"/>
      <c r="AW190" s="277"/>
      <c r="AX190" s="277"/>
      <c r="AY190" s="277"/>
      <c r="AZ190" s="277"/>
      <c r="BA190" s="277"/>
      <c r="BB190" s="277"/>
      <c r="BC190" s="277"/>
      <c r="BD190" s="277"/>
      <c r="BE190" s="277"/>
      <c r="BF190" s="277"/>
      <c r="BG190" s="277"/>
      <c r="BH190" s="277"/>
      <c r="BI190" s="277"/>
      <c r="BJ190" s="277"/>
      <c r="BK190" s="277"/>
    </row>
    <row r="191" spans="1:63" ht="21" customHeight="1" thickTop="1" x14ac:dyDescent="0.3">
      <c r="A191" s="368"/>
      <c r="B191" s="1913" t="s">
        <v>401</v>
      </c>
      <c r="C191" s="1914"/>
      <c r="D191" s="1914"/>
      <c r="E191" s="1914"/>
      <c r="F191" s="1914"/>
      <c r="G191" s="1914"/>
      <c r="H191" s="1915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94"/>
      <c r="U191" s="294"/>
      <c r="V191" s="294"/>
      <c r="W191" s="294"/>
      <c r="X191" s="294"/>
      <c r="Y191" s="294"/>
      <c r="AK191" s="277"/>
      <c r="AL191" s="277"/>
      <c r="AM191" s="277"/>
      <c r="AN191" s="277"/>
      <c r="AO191" s="277"/>
      <c r="AP191" s="277"/>
      <c r="AQ191" s="277"/>
      <c r="AR191" s="277"/>
      <c r="AS191" s="277"/>
      <c r="AT191" s="277"/>
      <c r="AU191" s="277"/>
      <c r="AV191" s="277"/>
      <c r="AW191" s="277"/>
      <c r="AX191" s="277"/>
      <c r="AY191" s="277"/>
      <c r="AZ191" s="277"/>
      <c r="BA191" s="277"/>
      <c r="BB191" s="277"/>
      <c r="BC191" s="277"/>
      <c r="BD191" s="277"/>
      <c r="BE191" s="277"/>
      <c r="BF191" s="277"/>
      <c r="BG191" s="277"/>
      <c r="BH191" s="277"/>
      <c r="BI191" s="277"/>
      <c r="BJ191" s="277"/>
      <c r="BK191" s="277"/>
    </row>
    <row r="192" spans="1:63" ht="13.5" thickBot="1" x14ac:dyDescent="0.35">
      <c r="A192" s="368"/>
      <c r="B192" s="1916"/>
      <c r="C192" s="1917"/>
      <c r="D192" s="1917"/>
      <c r="E192" s="1917"/>
      <c r="F192" s="1917"/>
      <c r="G192" s="1917"/>
      <c r="H192" s="1918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94"/>
      <c r="U192" s="294"/>
      <c r="V192" s="294"/>
      <c r="W192" s="294"/>
      <c r="X192" s="294"/>
      <c r="AK192" s="277"/>
      <c r="AL192" s="277"/>
      <c r="AM192" s="277"/>
      <c r="AN192" s="277"/>
      <c r="AO192" s="277"/>
      <c r="AP192" s="277"/>
      <c r="AQ192" s="277"/>
      <c r="AR192" s="277"/>
      <c r="AS192" s="277"/>
      <c r="AT192" s="277"/>
      <c r="AU192" s="277"/>
      <c r="AV192" s="277"/>
      <c r="AW192" s="277"/>
      <c r="AX192" s="277"/>
      <c r="AY192" s="277"/>
      <c r="AZ192" s="277"/>
      <c r="BA192" s="277"/>
      <c r="BB192" s="277"/>
      <c r="BC192" s="277"/>
      <c r="BD192" s="277"/>
      <c r="BE192" s="277"/>
      <c r="BF192" s="277"/>
      <c r="BG192" s="277"/>
      <c r="BH192" s="277"/>
      <c r="BI192" s="277"/>
      <c r="BJ192" s="277"/>
      <c r="BK192" s="277"/>
    </row>
    <row r="193" spans="1:63" ht="20" x14ac:dyDescent="0.4">
      <c r="A193" s="368"/>
      <c r="B193" s="527" t="s">
        <v>402</v>
      </c>
      <c r="C193" s="528" t="s">
        <v>403</v>
      </c>
      <c r="D193" s="1919" t="s">
        <v>404</v>
      </c>
      <c r="E193" s="1919"/>
      <c r="F193" s="1919"/>
      <c r="G193" s="1920" t="s">
        <v>405</v>
      </c>
      <c r="H193" s="1922" t="s">
        <v>406</v>
      </c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94"/>
      <c r="U193" s="294"/>
      <c r="V193" s="294"/>
      <c r="W193" s="294"/>
      <c r="X193" s="294"/>
      <c r="Y193" s="294"/>
      <c r="Z193" s="294"/>
      <c r="AK193" s="277"/>
      <c r="AL193" s="277"/>
      <c r="AM193" s="277"/>
      <c r="AN193" s="277"/>
      <c r="AO193" s="277"/>
      <c r="AP193" s="277"/>
      <c r="AQ193" s="277"/>
      <c r="AR193" s="277"/>
      <c r="AS193" s="277"/>
      <c r="AT193" s="277"/>
      <c r="AU193" s="277"/>
      <c r="AV193" s="277"/>
      <c r="AW193" s="277"/>
      <c r="AX193" s="277"/>
      <c r="AY193" s="277"/>
      <c r="AZ193" s="277"/>
      <c r="BA193" s="277"/>
      <c r="BB193" s="277"/>
      <c r="BC193" s="277"/>
      <c r="BD193" s="277"/>
      <c r="BE193" s="277"/>
      <c r="BF193" s="277"/>
      <c r="BG193" s="277"/>
      <c r="BH193" s="277"/>
      <c r="BI193" s="277"/>
      <c r="BJ193" s="277"/>
      <c r="BK193" s="277"/>
    </row>
    <row r="194" spans="1:63" ht="24.75" customHeight="1" x14ac:dyDescent="0.3">
      <c r="A194" s="368"/>
      <c r="B194" s="498" t="s">
        <v>317</v>
      </c>
      <c r="C194" s="529" t="s">
        <v>338</v>
      </c>
      <c r="D194" s="529" t="s">
        <v>10</v>
      </c>
      <c r="E194" s="529" t="s">
        <v>11</v>
      </c>
      <c r="F194" s="529" t="s">
        <v>12</v>
      </c>
      <c r="G194" s="1921"/>
      <c r="H194" s="1923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94"/>
      <c r="U194" s="294"/>
      <c r="V194" s="294"/>
      <c r="W194" s="294"/>
      <c r="X194" s="294"/>
      <c r="Y194" s="294"/>
      <c r="Z194" s="294"/>
      <c r="AA194" s="294"/>
      <c r="AK194" s="277"/>
      <c r="AL194" s="277"/>
      <c r="AM194" s="277"/>
      <c r="AN194" s="277"/>
      <c r="AO194" s="277"/>
      <c r="AP194" s="277"/>
      <c r="AQ194" s="277"/>
      <c r="AR194" s="277"/>
      <c r="AS194" s="277"/>
      <c r="AT194" s="277"/>
      <c r="AU194" s="277"/>
      <c r="AV194" s="277"/>
      <c r="AW194" s="277"/>
      <c r="AX194" s="277"/>
      <c r="AY194" s="277"/>
      <c r="AZ194" s="277"/>
      <c r="BA194" s="277"/>
      <c r="BB194" s="277"/>
      <c r="BC194" s="277"/>
      <c r="BD194" s="277"/>
      <c r="BE194" s="277"/>
      <c r="BF194" s="277"/>
      <c r="BG194" s="277"/>
      <c r="BH194" s="277"/>
      <c r="BI194" s="277"/>
      <c r="BJ194" s="277"/>
      <c r="BK194" s="277"/>
    </row>
    <row r="195" spans="1:63" ht="24.75" customHeight="1" x14ac:dyDescent="0.3">
      <c r="A195" s="368"/>
      <c r="B195" s="498" t="s">
        <v>324</v>
      </c>
      <c r="C195" s="529"/>
      <c r="D195" s="1001"/>
      <c r="E195" s="1001"/>
      <c r="F195" s="1001"/>
      <c r="G195" s="988"/>
      <c r="H195" s="98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94"/>
      <c r="U195" s="294"/>
      <c r="V195" s="294"/>
      <c r="W195" s="294"/>
      <c r="X195" s="294"/>
      <c r="Y195" s="294"/>
      <c r="Z195" s="294"/>
      <c r="AA195" s="294"/>
      <c r="AK195" s="277"/>
      <c r="AL195" s="277"/>
      <c r="AM195" s="277"/>
      <c r="AN195" s="277"/>
      <c r="AO195" s="277"/>
      <c r="AP195" s="277"/>
      <c r="AQ195" s="277"/>
      <c r="AR195" s="277"/>
      <c r="AS195" s="277"/>
      <c r="AT195" s="277"/>
      <c r="AU195" s="277"/>
      <c r="AV195" s="277"/>
      <c r="AW195" s="277"/>
      <c r="AX195" s="277"/>
      <c r="AY195" s="277"/>
      <c r="AZ195" s="277"/>
      <c r="BA195" s="277"/>
      <c r="BB195" s="277"/>
      <c r="BC195" s="277"/>
      <c r="BD195" s="277"/>
      <c r="BE195" s="277"/>
      <c r="BF195" s="277"/>
      <c r="BG195" s="277"/>
      <c r="BH195" s="277"/>
      <c r="BI195" s="277"/>
      <c r="BJ195" s="277"/>
      <c r="BK195" s="277"/>
    </row>
    <row r="196" spans="1:63" ht="24.75" customHeight="1" x14ac:dyDescent="0.3">
      <c r="A196" s="368"/>
      <c r="B196" s="498" t="str">
        <f>'Retrofit Worksheet'!B66</f>
        <v>ESD</v>
      </c>
      <c r="C196" s="1628"/>
      <c r="D196" s="1629"/>
      <c r="E196" s="1629"/>
      <c r="F196" s="1629"/>
      <c r="G196" s="1630"/>
      <c r="H196" s="1631"/>
      <c r="I196" s="1004"/>
      <c r="J196" s="277"/>
      <c r="K196" s="277"/>
      <c r="L196" s="277"/>
      <c r="M196" s="1044"/>
      <c r="N196" s="277"/>
      <c r="O196" s="277"/>
      <c r="P196" s="277"/>
      <c r="Q196" s="277"/>
      <c r="R196" s="277"/>
      <c r="S196" s="277"/>
      <c r="T196" s="294"/>
      <c r="U196" s="294"/>
      <c r="V196" s="294"/>
      <c r="W196" s="294"/>
      <c r="X196" s="294"/>
      <c r="Y196" s="294"/>
      <c r="Z196" s="294"/>
      <c r="AA196" s="294"/>
      <c r="AK196" s="277"/>
      <c r="AL196" s="277"/>
      <c r="AM196" s="277"/>
      <c r="AN196" s="277"/>
      <c r="AO196" s="277"/>
      <c r="AP196" s="277"/>
      <c r="AQ196" s="277"/>
      <c r="AR196" s="277"/>
      <c r="AS196" s="277"/>
      <c r="AT196" s="277"/>
      <c r="AU196" s="277"/>
      <c r="AV196" s="277"/>
      <c r="AW196" s="277"/>
      <c r="AX196" s="277"/>
      <c r="AY196" s="277"/>
      <c r="AZ196" s="277"/>
      <c r="BA196" s="277"/>
      <c r="BB196" s="277"/>
      <c r="BC196" s="277"/>
      <c r="BD196" s="277"/>
      <c r="BE196" s="277"/>
      <c r="BF196" s="277"/>
      <c r="BG196" s="277"/>
      <c r="BH196" s="277"/>
      <c r="BI196" s="277"/>
      <c r="BJ196" s="277"/>
      <c r="BK196" s="277"/>
    </row>
    <row r="197" spans="1:63" ht="13" x14ac:dyDescent="0.3">
      <c r="A197" s="368"/>
      <c r="B197" s="1625" t="str">
        <f>'Retrofit Worksheet'!B67</f>
        <v>Green Roof (AGRE)</v>
      </c>
      <c r="C197" s="1440">
        <f>SUMIF('Retrofit Worksheet'!$B$22:$B$55,$B197,'Retrofit Worksheet'!C$22:C$55)</f>
        <v>0</v>
      </c>
      <c r="D197" s="1441">
        <f>SUMIF('Retrofit Worksheet'!$B$22:$B$55,$B197,'Retrofit Worksheet'!AG$22:AG$55)</f>
        <v>0</v>
      </c>
      <c r="E197" s="1441">
        <f>SUMIF('Retrofit Worksheet'!$B$22:$B$55,$B197,'Retrofit Worksheet'!AH$22:AH$55)</f>
        <v>0</v>
      </c>
      <c r="F197" s="1441">
        <f>SUMIF('Retrofit Worksheet'!$B$22:$B$55,$B197,'Retrofit Worksheet'!AI$22:AI$55)</f>
        <v>0</v>
      </c>
      <c r="G197" s="1442">
        <f>SUMIF('Retrofit Worksheet'!$B$22:$B$55,$B197,'Retrofit Worksheet'!AJ$22:AJ$55)</f>
        <v>0</v>
      </c>
      <c r="H197" s="1443">
        <f>SUMIF('Retrofit Worksheet'!$B$22:$B$55,$B197,'Retrofit Worksheet'!AK$22:AK$55)</f>
        <v>0</v>
      </c>
      <c r="I197" s="277"/>
      <c r="J197" s="277"/>
      <c r="K197" s="277"/>
      <c r="L197" s="277"/>
      <c r="M197" s="1044"/>
      <c r="N197" s="277"/>
      <c r="O197" s="277"/>
      <c r="P197" s="277"/>
      <c r="Q197" s="277"/>
      <c r="R197" s="277"/>
      <c r="S197" s="277"/>
      <c r="T197" s="294"/>
      <c r="U197" s="294"/>
      <c r="V197" s="294"/>
      <c r="W197" s="294"/>
      <c r="X197" s="294"/>
      <c r="Y197" s="294"/>
      <c r="Z197" s="294"/>
      <c r="AA197" s="294"/>
      <c r="AK197" s="277"/>
      <c r="AL197" s="277"/>
      <c r="AM197" s="277"/>
      <c r="AN197" s="277"/>
      <c r="AO197" s="277"/>
      <c r="AP197" s="277"/>
      <c r="AQ197" s="277"/>
      <c r="AR197" s="277"/>
      <c r="AS197" s="277"/>
      <c r="AT197" s="277"/>
      <c r="AU197" s="277"/>
      <c r="AV197" s="277"/>
      <c r="AW197" s="277"/>
      <c r="AX197" s="277"/>
      <c r="AY197" s="277"/>
      <c r="AZ197" s="277"/>
      <c r="BA197" s="277"/>
      <c r="BB197" s="277"/>
      <c r="BC197" s="277"/>
      <c r="BD197" s="277"/>
      <c r="BE197" s="277"/>
      <c r="BF197" s="277"/>
      <c r="BG197" s="277"/>
      <c r="BH197" s="277"/>
      <c r="BI197" s="277"/>
      <c r="BJ197" s="277"/>
      <c r="BK197" s="277"/>
    </row>
    <row r="198" spans="1:63" ht="13" x14ac:dyDescent="0.3">
      <c r="A198" s="368"/>
      <c r="B198" s="1625" t="str">
        <f>'Retrofit Worksheet'!B68</f>
        <v>Permeable Pavement (APRP)</v>
      </c>
      <c r="C198" s="1440">
        <f>SUMIF('Retrofit Worksheet'!$B$22:$B$55,$B198,'Retrofit Worksheet'!C$22:C$55)</f>
        <v>0</v>
      </c>
      <c r="D198" s="1441">
        <f>SUMIF('Retrofit Worksheet'!$B$22:$B$55,$B198,'Retrofit Worksheet'!AG$22:AG$55)</f>
        <v>0</v>
      </c>
      <c r="E198" s="1441">
        <f>SUMIF('Retrofit Worksheet'!$B$22:$B$55,$B198,'Retrofit Worksheet'!AH$22:AH$55)</f>
        <v>0</v>
      </c>
      <c r="F198" s="1441">
        <f>SUMIF('Retrofit Worksheet'!$B$22:$B$55,$B198,'Retrofit Worksheet'!AI$22:AI$55)</f>
        <v>0</v>
      </c>
      <c r="G198" s="1442">
        <f>SUMIF('Retrofit Worksheet'!$B$22:$B$55,$B198,'Retrofit Worksheet'!AJ$22:AJ$55)</f>
        <v>0</v>
      </c>
      <c r="H198" s="1443">
        <f>SUMIF('Retrofit Worksheet'!$B$22:$B$55,$B198,'Retrofit Worksheet'!AK$22:AK$55)</f>
        <v>0</v>
      </c>
      <c r="I198" s="277"/>
      <c r="J198" s="277"/>
      <c r="K198" s="277"/>
      <c r="L198" s="277"/>
      <c r="M198" s="1044"/>
      <c r="N198" s="277"/>
      <c r="O198" s="277"/>
      <c r="P198" s="277"/>
      <c r="Q198" s="277"/>
      <c r="R198" s="277"/>
      <c r="S198" s="277"/>
      <c r="T198" s="294"/>
      <c r="U198" s="294"/>
      <c r="V198" s="294"/>
      <c r="W198" s="294"/>
      <c r="X198" s="294"/>
      <c r="Y198" s="294"/>
      <c r="Z198" s="294"/>
      <c r="AA198" s="294"/>
      <c r="AK198" s="277"/>
      <c r="AL198" s="277"/>
      <c r="AM198" s="277"/>
      <c r="AN198" s="277"/>
      <c r="AO198" s="277"/>
      <c r="AP198" s="277"/>
      <c r="AQ198" s="277"/>
      <c r="AR198" s="277"/>
      <c r="AS198" s="277"/>
      <c r="AT198" s="277"/>
      <c r="AU198" s="277"/>
      <c r="AV198" s="277"/>
      <c r="AW198" s="277"/>
      <c r="AX198" s="277"/>
      <c r="AY198" s="277"/>
      <c r="AZ198" s="277"/>
      <c r="BA198" s="277"/>
      <c r="BB198" s="277"/>
      <c r="BC198" s="277"/>
      <c r="BD198" s="277"/>
      <c r="BE198" s="277"/>
      <c r="BF198" s="277"/>
      <c r="BG198" s="277"/>
      <c r="BH198" s="277"/>
      <c r="BI198" s="277"/>
      <c r="BJ198" s="277"/>
      <c r="BK198" s="277"/>
    </row>
    <row r="199" spans="1:63" ht="13" x14ac:dyDescent="0.3">
      <c r="A199" s="368"/>
      <c r="B199" s="1625" t="str">
        <f>'Retrofit Worksheet'!B69</f>
        <v>Rooftop Disconnection (NDRR)</v>
      </c>
      <c r="C199" s="1440">
        <f>SUMIF('Retrofit Worksheet'!$B$22:$B$55,$B199,'Retrofit Worksheet'!C$22:C$55)</f>
        <v>0</v>
      </c>
      <c r="D199" s="1441">
        <f>SUMIF('Retrofit Worksheet'!$B$22:$B$55,$B199,'Retrofit Worksheet'!AG$22:AG$55)</f>
        <v>0</v>
      </c>
      <c r="E199" s="1441">
        <f>SUMIF('Retrofit Worksheet'!$B$22:$B$55,$B199,'Retrofit Worksheet'!AH$22:AH$55)</f>
        <v>0</v>
      </c>
      <c r="F199" s="1441">
        <f>SUMIF('Retrofit Worksheet'!$B$22:$B$55,$B199,'Retrofit Worksheet'!AI$22:AI$55)</f>
        <v>0</v>
      </c>
      <c r="G199" s="1442">
        <f>SUMIF('Retrofit Worksheet'!$B$22:$B$55,$B199,'Retrofit Worksheet'!AJ$22:AJ$55)</f>
        <v>0</v>
      </c>
      <c r="H199" s="1443">
        <f>SUMIF('Retrofit Worksheet'!$B$22:$B$55,$B199,'Retrofit Worksheet'!AK$22:AK$55)</f>
        <v>0</v>
      </c>
      <c r="I199" s="277"/>
      <c r="J199" s="277"/>
      <c r="K199" s="277"/>
      <c r="L199" s="277"/>
      <c r="M199" s="1044"/>
      <c r="N199" s="277"/>
      <c r="O199" s="277"/>
      <c r="P199" s="277"/>
      <c r="Q199" s="277"/>
      <c r="R199" s="277"/>
      <c r="S199" s="277"/>
      <c r="T199" s="294"/>
      <c r="U199" s="294"/>
      <c r="V199" s="294"/>
      <c r="W199" s="294"/>
      <c r="X199" s="294"/>
      <c r="Y199" s="294"/>
      <c r="Z199" s="294"/>
      <c r="AA199" s="294"/>
      <c r="AK199" s="277"/>
      <c r="AL199" s="277"/>
      <c r="AM199" s="277"/>
      <c r="AN199" s="277"/>
      <c r="AO199" s="277"/>
      <c r="AP199" s="277"/>
      <c r="AQ199" s="277"/>
      <c r="AR199" s="277"/>
      <c r="AS199" s="277"/>
      <c r="AT199" s="277"/>
      <c r="AU199" s="277"/>
      <c r="AV199" s="277"/>
      <c r="AW199" s="277"/>
      <c r="AX199" s="277"/>
      <c r="AY199" s="277"/>
      <c r="AZ199" s="277"/>
      <c r="BA199" s="277"/>
      <c r="BB199" s="277"/>
      <c r="BC199" s="277"/>
      <c r="BD199" s="277"/>
      <c r="BE199" s="277"/>
      <c r="BF199" s="277"/>
      <c r="BG199" s="277"/>
      <c r="BH199" s="277"/>
      <c r="BI199" s="277"/>
      <c r="BJ199" s="277"/>
      <c r="BK199" s="277"/>
    </row>
    <row r="200" spans="1:63" ht="13" x14ac:dyDescent="0.3">
      <c r="A200" s="368"/>
      <c r="B200" s="1625" t="str">
        <f>'Retrofit Worksheet'!B70</f>
        <v>Sheetflow to Open Space (NSCA)</v>
      </c>
      <c r="C200" s="1440">
        <f>SUMIF('Retrofit Worksheet'!$B$22:$B$55,$B200,'Retrofit Worksheet'!C$22:C$55)</f>
        <v>0</v>
      </c>
      <c r="D200" s="1441">
        <f>SUMIF('Retrofit Worksheet'!$B$22:$B$55,$B200,'Retrofit Worksheet'!AG$22:AG$55)</f>
        <v>0</v>
      </c>
      <c r="E200" s="1441">
        <f>SUMIF('Retrofit Worksheet'!$B$22:$B$55,$B200,'Retrofit Worksheet'!AH$22:AH$55)</f>
        <v>0</v>
      </c>
      <c r="F200" s="1441">
        <f>SUMIF('Retrofit Worksheet'!$B$22:$B$55,$B200,'Retrofit Worksheet'!AI$22:AI$55)</f>
        <v>0</v>
      </c>
      <c r="G200" s="1442">
        <f>SUMIF('Retrofit Worksheet'!$B$22:$B$55,$B200,'Retrofit Worksheet'!AJ$22:AJ$55)</f>
        <v>0</v>
      </c>
      <c r="H200" s="1443">
        <f>SUMIF('Retrofit Worksheet'!$B$22:$B$55,$B200,'Retrofit Worksheet'!AK$22:AK$55)</f>
        <v>0</v>
      </c>
      <c r="I200" s="277"/>
      <c r="J200" s="277"/>
      <c r="K200" s="277"/>
      <c r="L200" s="277"/>
      <c r="M200" s="1044"/>
      <c r="N200" s="277"/>
      <c r="O200" s="277"/>
      <c r="P200" s="277"/>
      <c r="Q200" s="277"/>
      <c r="R200" s="277"/>
      <c r="S200" s="277"/>
      <c r="T200" s="294"/>
      <c r="U200" s="294"/>
      <c r="V200" s="294"/>
      <c r="W200" s="294"/>
      <c r="X200" s="294"/>
      <c r="Y200" s="294"/>
      <c r="Z200" s="294"/>
      <c r="AA200" s="294"/>
      <c r="AK200" s="277"/>
      <c r="AL200" s="277"/>
      <c r="AM200" s="277"/>
      <c r="AN200" s="277"/>
      <c r="AO200" s="277"/>
      <c r="AP200" s="277"/>
      <c r="AQ200" s="277"/>
      <c r="AR200" s="277"/>
      <c r="AS200" s="277"/>
      <c r="AT200" s="277"/>
      <c r="AU200" s="277"/>
      <c r="AV200" s="277"/>
      <c r="AW200" s="277"/>
      <c r="AX200" s="277"/>
      <c r="AY200" s="277"/>
      <c r="AZ200" s="277"/>
      <c r="BA200" s="277"/>
      <c r="BB200" s="277"/>
      <c r="BC200" s="277"/>
      <c r="BD200" s="277"/>
      <c r="BE200" s="277"/>
      <c r="BF200" s="277"/>
      <c r="BG200" s="277"/>
      <c r="BH200" s="277"/>
      <c r="BI200" s="277"/>
      <c r="BJ200" s="277"/>
      <c r="BK200" s="277"/>
    </row>
    <row r="201" spans="1:63" ht="13" x14ac:dyDescent="0.3">
      <c r="A201" s="368"/>
      <c r="B201" s="1625" t="str">
        <f>'Retrofit Worksheet'!B71</f>
        <v>Raintanks and Cisterns (MRWH)</v>
      </c>
      <c r="C201" s="1440">
        <f>SUMIF('Retrofit Worksheet'!$B$22:$B$55,$B201,'Retrofit Worksheet'!C$22:C$55)</f>
        <v>0</v>
      </c>
      <c r="D201" s="1441">
        <f>SUMIF('Retrofit Worksheet'!$B$22:$B$55,$B201,'Retrofit Worksheet'!AG$22:AG$55)</f>
        <v>0</v>
      </c>
      <c r="E201" s="1441">
        <f>SUMIF('Retrofit Worksheet'!$B$22:$B$55,$B201,'Retrofit Worksheet'!AH$22:AH$55)</f>
        <v>0</v>
      </c>
      <c r="F201" s="1441">
        <f>SUMIF('Retrofit Worksheet'!$B$22:$B$55,$B201,'Retrofit Worksheet'!AI$22:AI$55)</f>
        <v>0</v>
      </c>
      <c r="G201" s="1442">
        <f>SUMIF('Retrofit Worksheet'!$B$22:$B$55,$B201,'Retrofit Worksheet'!AJ$22:AJ$55)</f>
        <v>0</v>
      </c>
      <c r="H201" s="1443">
        <f>SUMIF('Retrofit Worksheet'!$B$22:$B$55,$B201,'Retrofit Worksheet'!AK$22:AK$55)</f>
        <v>0</v>
      </c>
      <c r="I201" s="277"/>
      <c r="J201" s="277"/>
      <c r="K201" s="277"/>
      <c r="L201" s="277"/>
      <c r="M201" s="1044"/>
      <c r="N201" s="277"/>
      <c r="O201" s="277"/>
      <c r="P201" s="277"/>
      <c r="Q201" s="277"/>
      <c r="R201" s="277"/>
      <c r="S201" s="277"/>
      <c r="T201" s="294"/>
      <c r="U201" s="294"/>
      <c r="V201" s="294"/>
      <c r="W201" s="294"/>
      <c r="X201" s="294"/>
      <c r="Y201" s="294"/>
      <c r="Z201" s="294"/>
      <c r="AA201" s="294"/>
      <c r="AK201" s="277"/>
      <c r="AL201" s="277"/>
      <c r="AM201" s="277"/>
      <c r="AN201" s="277"/>
      <c r="AO201" s="277"/>
      <c r="AP201" s="277"/>
      <c r="AQ201" s="277"/>
      <c r="AR201" s="277"/>
      <c r="AS201" s="277"/>
      <c r="AT201" s="277"/>
      <c r="AU201" s="277"/>
      <c r="AV201" s="277"/>
      <c r="AW201" s="277"/>
      <c r="AX201" s="277"/>
      <c r="AY201" s="277"/>
      <c r="AZ201" s="277"/>
      <c r="BA201" s="277"/>
      <c r="BB201" s="277"/>
      <c r="BC201" s="277"/>
      <c r="BD201" s="277"/>
      <c r="BE201" s="277"/>
      <c r="BF201" s="277"/>
      <c r="BG201" s="277"/>
      <c r="BH201" s="277"/>
      <c r="BI201" s="277"/>
      <c r="BJ201" s="277"/>
      <c r="BK201" s="277"/>
    </row>
    <row r="202" spans="1:63" ht="13" x14ac:dyDescent="0.3">
      <c r="A202" s="368"/>
      <c r="B202" s="1625" t="e">
        <f>'Retrofit Worksheet'!#REF!</f>
        <v>#REF!</v>
      </c>
      <c r="C202" s="1440">
        <f>SUMIF('Retrofit Worksheet'!$B$22:$B$55,$B202,'Retrofit Worksheet'!C$22:C$55)</f>
        <v>0</v>
      </c>
      <c r="D202" s="1441">
        <f>SUMIF('Retrofit Worksheet'!$B$22:$B$55,$B202,'Retrofit Worksheet'!AG$22:AG$55)</f>
        <v>0</v>
      </c>
      <c r="E202" s="1441">
        <f>SUMIF('Retrofit Worksheet'!$B$22:$B$55,$B202,'Retrofit Worksheet'!AH$22:AH$55)</f>
        <v>0</v>
      </c>
      <c r="F202" s="1441">
        <f>SUMIF('Retrofit Worksheet'!$B$22:$B$55,$B202,'Retrofit Worksheet'!AI$22:AI$55)</f>
        <v>0</v>
      </c>
      <c r="G202" s="1442">
        <f>SUMIF('Retrofit Worksheet'!$B$22:$B$55,$B202,'Retrofit Worksheet'!AJ$22:AJ$55)</f>
        <v>0</v>
      </c>
      <c r="H202" s="1443">
        <f>SUMIF('Retrofit Worksheet'!$B$22:$B$55,$B202,'Retrofit Worksheet'!AK$22:AK$55)</f>
        <v>0</v>
      </c>
      <c r="I202" s="277"/>
      <c r="J202" s="277"/>
      <c r="K202" s="277"/>
      <c r="L202" s="277"/>
      <c r="M202" s="1044"/>
      <c r="N202" s="277"/>
      <c r="O202" s="277"/>
      <c r="P202" s="277"/>
      <c r="Q202" s="277"/>
      <c r="R202" s="277"/>
      <c r="S202" s="277"/>
      <c r="T202" s="294"/>
      <c r="U202" s="294"/>
      <c r="V202" s="294"/>
      <c r="W202" s="294"/>
      <c r="X202" s="294"/>
      <c r="Y202" s="294"/>
      <c r="Z202" s="294"/>
      <c r="AA202" s="294"/>
      <c r="AK202" s="277"/>
      <c r="AL202" s="277"/>
      <c r="AM202" s="277"/>
      <c r="AN202" s="277"/>
      <c r="AO202" s="277"/>
      <c r="AP202" s="277"/>
      <c r="AQ202" s="277"/>
      <c r="AR202" s="277"/>
      <c r="AS202" s="277"/>
      <c r="AT202" s="277"/>
      <c r="AU202" s="277"/>
      <c r="AV202" s="277"/>
      <c r="AW202" s="277"/>
      <c r="AX202" s="277"/>
      <c r="AY202" s="277"/>
      <c r="AZ202" s="277"/>
      <c r="BA202" s="277"/>
      <c r="BB202" s="277"/>
      <c r="BC202" s="277"/>
      <c r="BD202" s="277"/>
      <c r="BE202" s="277"/>
      <c r="BF202" s="277"/>
      <c r="BG202" s="277"/>
      <c r="BH202" s="277"/>
      <c r="BI202" s="277"/>
      <c r="BJ202" s="277"/>
      <c r="BK202" s="277"/>
    </row>
    <row r="203" spans="1:63" ht="13" x14ac:dyDescent="0.3">
      <c r="A203" s="368"/>
      <c r="B203" s="498" t="str">
        <f>'Retrofit Worksheet'!B72</f>
        <v>STRUCTURAL</v>
      </c>
      <c r="C203" s="1628"/>
      <c r="D203" s="1629"/>
      <c r="E203" s="1629"/>
      <c r="F203" s="1629"/>
      <c r="G203" s="1630"/>
      <c r="H203" s="1631"/>
      <c r="I203" s="277"/>
      <c r="J203" s="277"/>
      <c r="K203" s="277"/>
      <c r="L203" s="277"/>
      <c r="M203" s="1044"/>
      <c r="N203" s="277"/>
      <c r="O203" s="277"/>
      <c r="P203" s="277"/>
      <c r="Q203" s="277"/>
      <c r="R203" s="277"/>
      <c r="S203" s="277"/>
      <c r="T203" s="294"/>
      <c r="U203" s="294"/>
      <c r="V203" s="294"/>
      <c r="W203" s="294"/>
      <c r="X203" s="294"/>
      <c r="Y203" s="294"/>
      <c r="Z203" s="294"/>
      <c r="AA203" s="294"/>
      <c r="AK203" s="277"/>
      <c r="AL203" s="277"/>
      <c r="AM203" s="277"/>
      <c r="AN203" s="277"/>
      <c r="AO203" s="277"/>
      <c r="AP203" s="277"/>
      <c r="AQ203" s="277"/>
      <c r="AR203" s="277"/>
      <c r="AS203" s="277"/>
      <c r="AT203" s="277"/>
      <c r="AU203" s="277"/>
      <c r="AV203" s="277"/>
      <c r="AW203" s="277"/>
      <c r="AX203" s="277"/>
      <c r="AY203" s="277"/>
      <c r="AZ203" s="277"/>
      <c r="BA203" s="277"/>
      <c r="BB203" s="277"/>
      <c r="BC203" s="277"/>
      <c r="BD203" s="277"/>
      <c r="BE203" s="277"/>
      <c r="BF203" s="277"/>
      <c r="BG203" s="277"/>
      <c r="BH203" s="277"/>
      <c r="BI203" s="277"/>
      <c r="BJ203" s="277"/>
      <c r="BK203" s="277"/>
    </row>
    <row r="204" spans="1:63" ht="13" x14ac:dyDescent="0.3">
      <c r="A204" s="368"/>
      <c r="B204" s="1625" t="str">
        <f>'Retrofit Worksheet'!B73</f>
        <v>Wet Pond (PWET PPKT PWED)</v>
      </c>
      <c r="C204" s="1440">
        <f>SUMIF('Retrofit Worksheet'!$B$22:$B$55,$B204,'Retrofit Worksheet'!C$22:C$55)</f>
        <v>0</v>
      </c>
      <c r="D204" s="1441">
        <f>SUMIF('Retrofit Worksheet'!$B$22:$B$55,$B204,'Retrofit Worksheet'!AG$22:AG$55)</f>
        <v>0</v>
      </c>
      <c r="E204" s="1441">
        <f>SUMIF('Retrofit Worksheet'!$B$22:$B$55,$B204,'Retrofit Worksheet'!AH$22:AH$55)</f>
        <v>0</v>
      </c>
      <c r="F204" s="1441">
        <f>SUMIF('Retrofit Worksheet'!$B$22:$B$55,$B204,'Retrofit Worksheet'!AI$22:AI$55)</f>
        <v>0</v>
      </c>
      <c r="G204" s="1442">
        <f>SUMIF('Retrofit Worksheet'!$B$22:$B$55,$B204,'Retrofit Worksheet'!AJ$22:AJ$55)</f>
        <v>0</v>
      </c>
      <c r="H204" s="1443">
        <f>SUMIF('Retrofit Worksheet'!$B$22:$B$55,$B204,'Retrofit Worksheet'!AK$22:AK$55)</f>
        <v>0</v>
      </c>
      <c r="I204" s="277"/>
      <c r="J204" s="277"/>
      <c r="K204" s="277"/>
      <c r="L204" s="277"/>
      <c r="M204" s="1044"/>
      <c r="N204" s="277"/>
      <c r="O204" s="277"/>
      <c r="P204" s="277"/>
      <c r="Q204" s="277"/>
      <c r="R204" s="277"/>
      <c r="S204" s="277"/>
      <c r="T204" s="294"/>
      <c r="U204" s="294"/>
      <c r="V204" s="294"/>
      <c r="W204" s="294"/>
      <c r="X204" s="294"/>
      <c r="Y204" s="294"/>
      <c r="Z204" s="294"/>
      <c r="AA204" s="294"/>
      <c r="AK204" s="277"/>
      <c r="AL204" s="277"/>
      <c r="AM204" s="277"/>
      <c r="AN204" s="277"/>
      <c r="AO204" s="277"/>
      <c r="AP204" s="277"/>
      <c r="AQ204" s="277"/>
      <c r="AR204" s="277"/>
      <c r="AS204" s="277"/>
      <c r="AT204" s="277"/>
      <c r="AU204" s="277"/>
      <c r="AV204" s="277"/>
      <c r="AW204" s="277"/>
      <c r="AX204" s="277"/>
      <c r="AY204" s="277"/>
      <c r="AZ204" s="277"/>
      <c r="BA204" s="277"/>
      <c r="BB204" s="277"/>
      <c r="BC204" s="277"/>
      <c r="BD204" s="277"/>
      <c r="BE204" s="277"/>
      <c r="BF204" s="277"/>
      <c r="BG204" s="277"/>
      <c r="BH204" s="277"/>
      <c r="BI204" s="277"/>
      <c r="BJ204" s="277"/>
      <c r="BK204" s="277"/>
    </row>
    <row r="205" spans="1:63" ht="13" x14ac:dyDescent="0.3">
      <c r="A205" s="368"/>
      <c r="B205" s="1625" t="str">
        <f>'Retrofit Worksheet'!B74</f>
        <v>Wetland (WSHW)</v>
      </c>
      <c r="C205" s="1440">
        <f>SUMIF('Retrofit Worksheet'!$B$22:$B$55,$B205,'Retrofit Worksheet'!C$22:C$55)</f>
        <v>0</v>
      </c>
      <c r="D205" s="1441">
        <f>SUMIF('Retrofit Worksheet'!$B$22:$B$55,$B205,'Retrofit Worksheet'!AG$22:AG$55)</f>
        <v>0</v>
      </c>
      <c r="E205" s="1441">
        <f>SUMIF('Retrofit Worksheet'!$B$22:$B$55,$B205,'Retrofit Worksheet'!AH$22:AH$55)</f>
        <v>0</v>
      </c>
      <c r="F205" s="1441">
        <f>SUMIF('Retrofit Worksheet'!$B$22:$B$55,$B205,'Retrofit Worksheet'!AI$22:AI$55)</f>
        <v>0</v>
      </c>
      <c r="G205" s="1442">
        <f>SUMIF('Retrofit Worksheet'!$B$22:$B$55,$B205,'Retrofit Worksheet'!AJ$22:AJ$55)</f>
        <v>0</v>
      </c>
      <c r="H205" s="1443">
        <f>SUMIF('Retrofit Worksheet'!$B$22:$B$55,$B205,'Retrofit Worksheet'!AK$22:AK$55)</f>
        <v>0</v>
      </c>
      <c r="I205" s="277"/>
      <c r="J205" s="277"/>
      <c r="K205" s="277"/>
      <c r="L205" s="277"/>
      <c r="M205" s="1044"/>
      <c r="N205" s="277"/>
      <c r="O205" s="277"/>
      <c r="P205" s="277"/>
      <c r="Q205" s="277"/>
      <c r="R205" s="277"/>
      <c r="S205" s="277"/>
      <c r="T205" s="294"/>
      <c r="U205" s="294"/>
      <c r="V205" s="294"/>
      <c r="W205" s="294"/>
      <c r="X205" s="294"/>
      <c r="Y205" s="294"/>
      <c r="Z205" s="294"/>
      <c r="AA205" s="294"/>
      <c r="AK205" s="277"/>
      <c r="AL205" s="277"/>
      <c r="AM205" s="277"/>
      <c r="AN205" s="277"/>
      <c r="AO205" s="277"/>
      <c r="AP205" s="277"/>
      <c r="AQ205" s="277"/>
      <c r="AR205" s="277"/>
      <c r="AS205" s="277"/>
      <c r="AT205" s="277"/>
      <c r="AU205" s="277"/>
      <c r="AV205" s="277"/>
      <c r="AW205" s="277"/>
      <c r="AX205" s="277"/>
      <c r="AY205" s="277"/>
      <c r="AZ205" s="277"/>
      <c r="BA205" s="277"/>
      <c r="BB205" s="277"/>
      <c r="BC205" s="277"/>
      <c r="BD205" s="277"/>
      <c r="BE205" s="277"/>
      <c r="BF205" s="277"/>
      <c r="BG205" s="277"/>
      <c r="BH205" s="277"/>
      <c r="BI205" s="277"/>
      <c r="BJ205" s="277"/>
      <c r="BK205" s="277"/>
    </row>
    <row r="206" spans="1:63" ht="13" x14ac:dyDescent="0.3">
      <c r="A206" s="368"/>
      <c r="B206" s="1625" t="str">
        <f>'Retrofit Worksheet'!B75</f>
        <v>Infiltration Practices (IBAS ITRN)</v>
      </c>
      <c r="C206" s="1440">
        <f>SUMIF('Retrofit Worksheet'!$B$22:$B$55,$B206,'Retrofit Worksheet'!C$22:C$55)</f>
        <v>0</v>
      </c>
      <c r="D206" s="1441">
        <f>SUMIF('Retrofit Worksheet'!$B$22:$B$55,$B206,'Retrofit Worksheet'!AG$22:AG$55)</f>
        <v>0</v>
      </c>
      <c r="E206" s="1441">
        <f>SUMIF('Retrofit Worksheet'!$B$22:$B$55,$B206,'Retrofit Worksheet'!AH$22:AH$55)</f>
        <v>0</v>
      </c>
      <c r="F206" s="1441">
        <f>SUMIF('Retrofit Worksheet'!$B$22:$B$55,$B206,'Retrofit Worksheet'!AI$22:AI$55)</f>
        <v>0</v>
      </c>
      <c r="G206" s="1442">
        <f>SUMIF('Retrofit Worksheet'!$B$22:$B$55,$B206,'Retrofit Worksheet'!AJ$22:AJ$55)</f>
        <v>0</v>
      </c>
      <c r="H206" s="1443">
        <f>SUMIF('Retrofit Worksheet'!$B$22:$B$55,$B206,'Retrofit Worksheet'!AK$22:AK$55)</f>
        <v>0</v>
      </c>
      <c r="I206" s="277"/>
      <c r="J206" s="277"/>
      <c r="K206" s="277"/>
      <c r="L206" s="277"/>
      <c r="M206" s="1044"/>
      <c r="N206" s="277"/>
      <c r="O206" s="277"/>
      <c r="P206" s="277"/>
      <c r="Q206" s="277"/>
      <c r="R206" s="277"/>
      <c r="S206" s="277"/>
      <c r="T206" s="294"/>
      <c r="U206" s="294"/>
      <c r="V206" s="294"/>
      <c r="W206" s="294"/>
      <c r="X206" s="294"/>
      <c r="Y206" s="294"/>
      <c r="Z206" s="294"/>
      <c r="AA206" s="294"/>
      <c r="AK206" s="277"/>
      <c r="AL206" s="277"/>
      <c r="AM206" s="277"/>
      <c r="AN206" s="277"/>
      <c r="AO206" s="277"/>
      <c r="AP206" s="277"/>
      <c r="AQ206" s="277"/>
      <c r="AR206" s="277"/>
      <c r="AS206" s="277"/>
      <c r="AT206" s="277"/>
      <c r="AU206" s="277"/>
      <c r="AV206" s="277"/>
      <c r="AW206" s="277"/>
      <c r="AX206" s="277"/>
      <c r="AY206" s="277"/>
      <c r="AZ206" s="277"/>
      <c r="BA206" s="277"/>
      <c r="BB206" s="277"/>
      <c r="BC206" s="277"/>
      <c r="BD206" s="277"/>
      <c r="BE206" s="277"/>
      <c r="BF206" s="277"/>
      <c r="BG206" s="277"/>
      <c r="BH206" s="277"/>
      <c r="BI206" s="277"/>
      <c r="BJ206" s="277"/>
      <c r="BK206" s="277"/>
    </row>
    <row r="207" spans="1:63" ht="13" x14ac:dyDescent="0.3">
      <c r="A207" s="368"/>
      <c r="B207" s="1625" t="str">
        <f>'Retrofit Worksheet'!B76</f>
        <v>Bioretention (FBIO MMBR)</v>
      </c>
      <c r="C207" s="1440">
        <f>SUMIF('Retrofit Worksheet'!$B$22:$B$55,$B207,'Retrofit Worksheet'!C$22:C$55)</f>
        <v>9.9</v>
      </c>
      <c r="D207" s="1441">
        <f>SUMIF('Retrofit Worksheet'!$B$22:$B$55,$B207,'Retrofit Worksheet'!AG$22:AG$55)</f>
        <v>88.676436649160593</v>
      </c>
      <c r="E207" s="1441">
        <f>SUMIF('Retrofit Worksheet'!$B$22:$B$55,$B207,'Retrofit Worksheet'!AH$22:AH$55)</f>
        <v>19.737716478614736</v>
      </c>
      <c r="F207" s="1441">
        <f>SUMIF('Retrofit Worksheet'!$B$22:$B$55,$B207,'Retrofit Worksheet'!AI$22:AI$55)</f>
        <v>1583.299792385965</v>
      </c>
      <c r="G207" s="1442">
        <f>SUMIF('Retrofit Worksheet'!$B$22:$B$55,$B207,'Retrofit Worksheet'!AJ$22:AJ$55)</f>
        <v>1087.3737754112346</v>
      </c>
      <c r="H207" s="1443">
        <f>SUMIF('Retrofit Worksheet'!$B$22:$B$55,$B207,'Retrofit Worksheet'!AK$22:AK$55)</f>
        <v>6.8188856755871949</v>
      </c>
      <c r="I207" s="277"/>
      <c r="J207" s="277"/>
      <c r="K207" s="277"/>
      <c r="L207" s="277"/>
      <c r="M207" s="1044"/>
      <c r="N207" s="277"/>
      <c r="O207" s="277"/>
      <c r="P207" s="277"/>
      <c r="Q207" s="277"/>
      <c r="R207" s="277"/>
      <c r="S207" s="277"/>
      <c r="T207" s="294"/>
      <c r="U207" s="294"/>
      <c r="V207" s="294"/>
      <c r="W207" s="294"/>
      <c r="X207" s="294"/>
      <c r="Y207" s="294"/>
      <c r="Z207" s="294"/>
      <c r="AA207" s="294"/>
      <c r="AK207" s="277"/>
      <c r="AL207" s="277"/>
      <c r="AM207" s="277"/>
      <c r="AN207" s="277"/>
      <c r="AO207" s="277"/>
      <c r="AP207" s="277"/>
      <c r="AQ207" s="277"/>
      <c r="AR207" s="277"/>
      <c r="AS207" s="277"/>
      <c r="AT207" s="277"/>
      <c r="AU207" s="277"/>
      <c r="AV207" s="277"/>
      <c r="AW207" s="277"/>
      <c r="AX207" s="277"/>
      <c r="AY207" s="277"/>
      <c r="AZ207" s="277"/>
      <c r="BA207" s="277"/>
      <c r="BB207" s="277"/>
      <c r="BC207" s="277"/>
      <c r="BD207" s="277"/>
      <c r="BE207" s="277"/>
      <c r="BF207" s="277"/>
      <c r="BG207" s="277"/>
      <c r="BH207" s="277"/>
      <c r="BI207" s="277"/>
      <c r="BJ207" s="277"/>
      <c r="BK207" s="277"/>
    </row>
    <row r="208" spans="1:63" ht="13" x14ac:dyDescent="0.3">
      <c r="A208" s="368"/>
      <c r="B208" s="1625" t="str">
        <f>'Retrofit Worksheet'!B77</f>
        <v>Filters (FSND FUND)</v>
      </c>
      <c r="C208" s="1440">
        <f>SUMIF('Retrofit Worksheet'!$B$22:$B$55,$B208,'Retrofit Worksheet'!C$22:C$55)</f>
        <v>0</v>
      </c>
      <c r="D208" s="1441">
        <f>SUMIF('Retrofit Worksheet'!$B$22:$B$55,$B208,'Retrofit Worksheet'!AG$22:AG$55)</f>
        <v>0</v>
      </c>
      <c r="E208" s="1441">
        <f>SUMIF('Retrofit Worksheet'!$B$22:$B$55,$B208,'Retrofit Worksheet'!AH$22:AH$55)</f>
        <v>0</v>
      </c>
      <c r="F208" s="1441">
        <f>SUMIF('Retrofit Worksheet'!$B$22:$B$55,$B208,'Retrofit Worksheet'!AI$22:AI$55)</f>
        <v>0</v>
      </c>
      <c r="G208" s="1442">
        <f>SUMIF('Retrofit Worksheet'!$B$22:$B$55,$B208,'Retrofit Worksheet'!AJ$22:AJ$55)</f>
        <v>0</v>
      </c>
      <c r="H208" s="1443">
        <f>SUMIF('Retrofit Worksheet'!$B$22:$B$55,$B208,'Retrofit Worksheet'!AK$22:AK$55)</f>
        <v>0</v>
      </c>
      <c r="I208" s="277"/>
      <c r="J208" s="277"/>
      <c r="K208" s="277"/>
      <c r="L208" s="277"/>
      <c r="M208" s="1044"/>
      <c r="N208" s="277"/>
      <c r="O208" s="277"/>
      <c r="P208" s="277"/>
      <c r="Q208" s="277"/>
      <c r="R208" s="277"/>
      <c r="S208" s="277"/>
      <c r="T208" s="294"/>
      <c r="U208" s="294"/>
      <c r="V208" s="294"/>
      <c r="W208" s="294"/>
      <c r="X208" s="294"/>
      <c r="Y208" s="294"/>
      <c r="Z208" s="294"/>
      <c r="AA208" s="294"/>
      <c r="AK208" s="277"/>
      <c r="AL208" s="277"/>
      <c r="AM208" s="277"/>
      <c r="AN208" s="277"/>
      <c r="AO208" s="277"/>
      <c r="AP208" s="277"/>
      <c r="AQ208" s="277"/>
      <c r="AR208" s="277"/>
      <c r="AS208" s="277"/>
      <c r="AT208" s="277"/>
      <c r="AU208" s="277"/>
      <c r="AV208" s="277"/>
      <c r="AW208" s="277"/>
      <c r="AX208" s="277"/>
      <c r="AY208" s="277"/>
      <c r="AZ208" s="277"/>
      <c r="BA208" s="277"/>
      <c r="BB208" s="277"/>
      <c r="BC208" s="277"/>
      <c r="BD208" s="277"/>
      <c r="BE208" s="277"/>
      <c r="BF208" s="277"/>
      <c r="BG208" s="277"/>
      <c r="BH208" s="277"/>
      <c r="BI208" s="277"/>
      <c r="BJ208" s="277"/>
      <c r="BK208" s="277"/>
    </row>
    <row r="209" spans="1:207" ht="13" x14ac:dyDescent="0.3">
      <c r="A209" s="368"/>
      <c r="B209" s="1625" t="str">
        <f>'Retrofit Worksheet'!B78</f>
        <v>Dry Swale (ODSW MSWB )</v>
      </c>
      <c r="C209" s="1440">
        <f>SUMIF('Retrofit Worksheet'!$B$22:$B$55,$B209,'Retrofit Worksheet'!C$22:C$55)</f>
        <v>0</v>
      </c>
      <c r="D209" s="1441">
        <f>SUMIF('Retrofit Worksheet'!$B$22:$B$55,$B209,'Retrofit Worksheet'!AG$22:AG$55)</f>
        <v>0</v>
      </c>
      <c r="E209" s="1441">
        <f>SUMIF('Retrofit Worksheet'!$B$22:$B$55,$B209,'Retrofit Worksheet'!AH$22:AH$55)</f>
        <v>0</v>
      </c>
      <c r="F209" s="1441">
        <f>SUMIF('Retrofit Worksheet'!$B$22:$B$55,$B209,'Retrofit Worksheet'!AI$22:AI$55)</f>
        <v>0</v>
      </c>
      <c r="G209" s="1442">
        <f>SUMIF('Retrofit Worksheet'!$B$22:$B$55,$B209,'Retrofit Worksheet'!AJ$22:AJ$55)</f>
        <v>0</v>
      </c>
      <c r="H209" s="1443">
        <f>SUMIF('Retrofit Worksheet'!$B$22:$B$55,$B209,'Retrofit Worksheet'!AK$22:AK$55)</f>
        <v>0</v>
      </c>
      <c r="I209" s="277"/>
      <c r="J209" s="277"/>
      <c r="K209" s="277"/>
      <c r="L209" s="277"/>
      <c r="M209" s="1044"/>
      <c r="N209" s="277"/>
      <c r="O209" s="277"/>
      <c r="P209" s="277"/>
      <c r="Q209" s="277"/>
      <c r="R209" s="277"/>
      <c r="S209" s="277"/>
      <c r="T209" s="294"/>
      <c r="U209" s="294"/>
      <c r="V209" s="294"/>
      <c r="W209" s="294"/>
      <c r="X209" s="294"/>
      <c r="Y209" s="294"/>
      <c r="Z209" s="294"/>
      <c r="AA209" s="294"/>
      <c r="AK209" s="277"/>
      <c r="AL209" s="277"/>
      <c r="AM209" s="277"/>
      <c r="AN209" s="277"/>
      <c r="AO209" s="277"/>
      <c r="AP209" s="277"/>
      <c r="AQ209" s="277"/>
      <c r="AR209" s="277"/>
      <c r="AS209" s="277"/>
      <c r="AT209" s="277"/>
      <c r="AU209" s="277"/>
      <c r="AV209" s="277"/>
      <c r="AW209" s="277"/>
      <c r="AX209" s="277"/>
      <c r="AY209" s="277"/>
      <c r="AZ209" s="277"/>
      <c r="BA209" s="277"/>
      <c r="BB209" s="277"/>
      <c r="BC209" s="277"/>
      <c r="BD209" s="277"/>
      <c r="BE209" s="277"/>
      <c r="BF209" s="277"/>
      <c r="BG209" s="277"/>
      <c r="BH209" s="277"/>
      <c r="BI209" s="277"/>
      <c r="BJ209" s="277"/>
      <c r="BK209" s="277"/>
    </row>
    <row r="210" spans="1:207" ht="13" x14ac:dyDescent="0.3">
      <c r="A210" s="368"/>
      <c r="B210" s="1625" t="str">
        <f>'Retrofit Worksheet'!B79</f>
        <v>Wet Swale (OWSW MSWW)</v>
      </c>
      <c r="C210" s="1440"/>
      <c r="D210" s="1441"/>
      <c r="E210" s="1441"/>
      <c r="F210" s="1441"/>
      <c r="G210" s="1442"/>
      <c r="H210" s="1443"/>
      <c r="I210" s="277"/>
      <c r="J210" s="277"/>
      <c r="K210" s="277"/>
      <c r="L210" s="277"/>
      <c r="M210" s="1044"/>
      <c r="N210" s="277"/>
      <c r="O210" s="277"/>
      <c r="P210" s="277"/>
      <c r="Q210" s="277"/>
      <c r="R210" s="277"/>
      <c r="S210" s="277"/>
      <c r="T210" s="294"/>
      <c r="U210" s="294"/>
      <c r="V210" s="294"/>
      <c r="W210" s="294"/>
      <c r="X210" s="294"/>
      <c r="Y210" s="294"/>
      <c r="Z210" s="294"/>
      <c r="AA210" s="294"/>
      <c r="AK210" s="277"/>
      <c r="AL210" s="277"/>
      <c r="AM210" s="277"/>
      <c r="AN210" s="277"/>
      <c r="AO210" s="277"/>
      <c r="AP210" s="277"/>
      <c r="AQ210" s="277"/>
      <c r="AR210" s="277"/>
      <c r="AS210" s="277"/>
      <c r="AT210" s="277"/>
      <c r="AU210" s="277"/>
      <c r="AV210" s="277"/>
      <c r="AW210" s="277"/>
      <c r="AX210" s="277"/>
      <c r="AY210" s="277"/>
      <c r="AZ210" s="277"/>
      <c r="BA210" s="277"/>
      <c r="BB210" s="277"/>
      <c r="BC210" s="277"/>
      <c r="BD210" s="277"/>
      <c r="BE210" s="277"/>
      <c r="BF210" s="277"/>
      <c r="BG210" s="277"/>
      <c r="BH210" s="277"/>
      <c r="BI210" s="277"/>
      <c r="BJ210" s="277"/>
      <c r="BK210" s="277"/>
    </row>
    <row r="211" spans="1:207" ht="13" x14ac:dyDescent="0.3">
      <c r="A211" s="368"/>
      <c r="B211" s="498" t="str">
        <f>'Retrofit Worksheet'!B80</f>
        <v>OTHER</v>
      </c>
      <c r="C211" s="1628"/>
      <c r="D211" s="1629"/>
      <c r="E211" s="1629"/>
      <c r="F211" s="1629"/>
      <c r="G211" s="1630"/>
      <c r="H211" s="1631"/>
      <c r="I211" s="277"/>
      <c r="J211" s="277"/>
      <c r="K211" s="277"/>
      <c r="L211" s="277"/>
      <c r="M211" s="1044"/>
      <c r="N211" s="277"/>
      <c r="O211" s="277"/>
      <c r="P211" s="277"/>
      <c r="Q211" s="277"/>
      <c r="R211" s="277"/>
      <c r="S211" s="277"/>
      <c r="T211" s="294"/>
      <c r="U211" s="294"/>
      <c r="V211" s="294"/>
      <c r="W211" s="294"/>
      <c r="X211" s="294"/>
      <c r="Y211" s="294"/>
      <c r="Z211" s="294"/>
      <c r="AA211" s="294"/>
      <c r="AK211" s="277"/>
      <c r="AL211" s="277"/>
      <c r="AM211" s="277"/>
      <c r="AN211" s="277"/>
      <c r="AO211" s="277"/>
      <c r="AP211" s="277"/>
      <c r="AQ211" s="277"/>
      <c r="AR211" s="277"/>
      <c r="AS211" s="277"/>
      <c r="AT211" s="277"/>
      <c r="AU211" s="277"/>
      <c r="AV211" s="277"/>
      <c r="AW211" s="277"/>
      <c r="AX211" s="277"/>
      <c r="AY211" s="277"/>
      <c r="AZ211" s="277"/>
      <c r="BA211" s="277"/>
      <c r="BB211" s="277"/>
      <c r="BC211" s="277"/>
      <c r="BD211" s="277"/>
      <c r="BE211" s="277"/>
      <c r="BF211" s="277"/>
      <c r="BG211" s="277"/>
      <c r="BH211" s="277"/>
      <c r="BI211" s="277"/>
      <c r="BJ211" s="277"/>
      <c r="BK211" s="277"/>
    </row>
    <row r="212" spans="1:207" ht="13" x14ac:dyDescent="0.3">
      <c r="A212" s="368"/>
      <c r="B212" s="1625" t="str">
        <f>'Retrofit Worksheet'!B81</f>
        <v>Dry Water Quantity Pond (XDPD)</v>
      </c>
      <c r="C212" s="1440"/>
      <c r="D212" s="1441"/>
      <c r="E212" s="1441"/>
      <c r="F212" s="1441"/>
      <c r="G212" s="1442"/>
      <c r="H212" s="1443"/>
      <c r="I212" s="277"/>
      <c r="J212" s="277"/>
      <c r="K212" s="277"/>
      <c r="L212" s="277"/>
      <c r="M212" s="1044"/>
      <c r="N212" s="277"/>
      <c r="O212" s="277"/>
      <c r="P212" s="277"/>
      <c r="Q212" s="277"/>
      <c r="R212" s="277"/>
      <c r="S212" s="277"/>
      <c r="T212" s="294"/>
      <c r="U212" s="294"/>
      <c r="V212" s="294"/>
      <c r="W212" s="294"/>
      <c r="X212" s="294"/>
      <c r="Y212" s="294"/>
      <c r="Z212" s="294"/>
      <c r="AA212" s="294"/>
      <c r="AK212" s="277"/>
      <c r="AL212" s="277"/>
      <c r="AM212" s="277"/>
      <c r="AN212" s="277"/>
      <c r="AO212" s="277"/>
      <c r="AP212" s="277"/>
      <c r="AQ212" s="277"/>
      <c r="AR212" s="277"/>
      <c r="AS212" s="277"/>
      <c r="AT212" s="277"/>
      <c r="AU212" s="277"/>
      <c r="AV212" s="277"/>
      <c r="AW212" s="277"/>
      <c r="AX212" s="277"/>
      <c r="AY212" s="277"/>
      <c r="AZ212" s="277"/>
      <c r="BA212" s="277"/>
      <c r="BB212" s="277"/>
      <c r="BC212" s="277"/>
      <c r="BD212" s="277"/>
      <c r="BE212" s="277"/>
      <c r="BF212" s="277"/>
      <c r="BG212" s="277"/>
      <c r="BH212" s="277"/>
      <c r="BI212" s="277"/>
      <c r="BJ212" s="277"/>
      <c r="BK212" s="277"/>
    </row>
    <row r="213" spans="1:207" ht="13" x14ac:dyDescent="0.3">
      <c r="A213" s="368"/>
      <c r="B213" s="1625" t="str">
        <f>'Retrofit Worksheet'!B82</f>
        <v>Dry Extended Detention Pond (XDED)</v>
      </c>
      <c r="C213" s="1440"/>
      <c r="D213" s="1441"/>
      <c r="E213" s="1441"/>
      <c r="F213" s="1441"/>
      <c r="G213" s="1442"/>
      <c r="H213" s="1443"/>
      <c r="I213" s="277"/>
      <c r="J213" s="277"/>
      <c r="K213" s="277"/>
      <c r="L213" s="277"/>
      <c r="M213" s="1044"/>
      <c r="N213" s="277"/>
      <c r="O213" s="277"/>
      <c r="P213" s="277"/>
      <c r="Q213" s="277"/>
      <c r="R213" s="277"/>
      <c r="S213" s="277"/>
      <c r="T213" s="294"/>
      <c r="U213" s="294"/>
      <c r="V213" s="294"/>
      <c r="W213" s="294"/>
      <c r="X213" s="294"/>
      <c r="Y213" s="294"/>
      <c r="Z213" s="294"/>
      <c r="AA213" s="294"/>
      <c r="AK213" s="277"/>
      <c r="AL213" s="277"/>
      <c r="AM213" s="277"/>
      <c r="AN213" s="277"/>
      <c r="AO213" s="277"/>
      <c r="AP213" s="277"/>
      <c r="AQ213" s="277"/>
      <c r="AR213" s="277"/>
      <c r="AS213" s="277"/>
      <c r="AT213" s="277"/>
      <c r="AU213" s="277"/>
      <c r="AV213" s="277"/>
      <c r="AW213" s="277"/>
      <c r="AX213" s="277"/>
      <c r="AY213" s="277"/>
      <c r="AZ213" s="277"/>
      <c r="BA213" s="277"/>
      <c r="BB213" s="277"/>
      <c r="BC213" s="277"/>
      <c r="BD213" s="277"/>
      <c r="BE213" s="277"/>
      <c r="BF213" s="277"/>
      <c r="BG213" s="277"/>
      <c r="BH213" s="277"/>
      <c r="BI213" s="277"/>
      <c r="BJ213" s="277"/>
      <c r="BK213" s="277"/>
    </row>
    <row r="214" spans="1:207" ht="13" x14ac:dyDescent="0.3">
      <c r="A214" s="368"/>
      <c r="B214" s="1625" t="str">
        <f>'Retrofit Worksheet'!B83</f>
        <v>Underground Detention (XOTH )</v>
      </c>
      <c r="C214" s="1440">
        <f>SUMIF('Retrofit Worksheet'!$B$22:$B$55,$B214,'Retrofit Worksheet'!C$22:C$55)</f>
        <v>0</v>
      </c>
      <c r="D214" s="1441">
        <f>SUMIF('Retrofit Worksheet'!$B$22:$B$55,$B214,'Retrofit Worksheet'!AG$22:AG$55)</f>
        <v>0</v>
      </c>
      <c r="E214" s="1441">
        <f>SUMIF('Retrofit Worksheet'!$B$22:$B$55,$B214,'Retrofit Worksheet'!AH$22:AH$55)</f>
        <v>0</v>
      </c>
      <c r="F214" s="1441">
        <f>SUMIF('Retrofit Worksheet'!$B$22:$B$55,$B214,'Retrofit Worksheet'!AI$22:AI$55)</f>
        <v>0</v>
      </c>
      <c r="G214" s="1442">
        <f>SUMIF('Retrofit Worksheet'!$B$22:$B$55,$B214,'Retrofit Worksheet'!AJ$22:AJ$55)</f>
        <v>0</v>
      </c>
      <c r="H214" s="1443">
        <f>SUMIF('Retrofit Worksheet'!$B$22:$B$55,$B214,'Retrofit Worksheet'!AK$22:AK$55)</f>
        <v>0</v>
      </c>
      <c r="I214" s="277"/>
      <c r="J214" s="277"/>
      <c r="K214" s="277"/>
      <c r="L214" s="277"/>
      <c r="M214" s="1044"/>
      <c r="N214" s="277"/>
      <c r="O214" s="277"/>
      <c r="P214" s="277"/>
      <c r="Q214" s="277"/>
      <c r="R214" s="277"/>
      <c r="S214" s="277"/>
      <c r="T214" s="294"/>
      <c r="U214" s="294"/>
      <c r="V214" s="294"/>
      <c r="W214" s="294"/>
      <c r="X214" s="294"/>
      <c r="Y214" s="294"/>
      <c r="Z214" s="294"/>
      <c r="AA214" s="294"/>
      <c r="AK214" s="277"/>
      <c r="AL214" s="277"/>
      <c r="AM214" s="277"/>
      <c r="AN214" s="277"/>
      <c r="AO214" s="277"/>
      <c r="AP214" s="277"/>
      <c r="AQ214" s="277"/>
      <c r="AR214" s="277"/>
      <c r="AS214" s="277"/>
      <c r="AT214" s="277"/>
      <c r="AU214" s="277"/>
      <c r="AV214" s="277"/>
      <c r="AW214" s="277"/>
      <c r="AX214" s="277"/>
      <c r="AY214" s="277"/>
      <c r="AZ214" s="277"/>
      <c r="BA214" s="277"/>
      <c r="BB214" s="277"/>
      <c r="BC214" s="277"/>
      <c r="BD214" s="277"/>
      <c r="BE214" s="277"/>
      <c r="BF214" s="277"/>
      <c r="BG214" s="277"/>
      <c r="BH214" s="277"/>
      <c r="BI214" s="277"/>
      <c r="BJ214" s="277"/>
      <c r="BK214" s="277"/>
    </row>
    <row r="215" spans="1:207" ht="13" x14ac:dyDescent="0.3">
      <c r="A215" s="368"/>
      <c r="B215" s="1625" t="str">
        <f>'Retrofit Worksheet'!B84</f>
        <v>Soil Amendments</v>
      </c>
      <c r="C215" s="1440">
        <f>SUMIF('Retrofit Worksheet'!$B$22:$B$55,$B215,'Retrofit Worksheet'!C$22:C$55)</f>
        <v>0</v>
      </c>
      <c r="D215" s="1441">
        <f>SUMIF('Retrofit Worksheet'!$B$22:$B$55,$B215,'Retrofit Worksheet'!AG$22:AG$55)</f>
        <v>0</v>
      </c>
      <c r="E215" s="1441">
        <f>SUMIF('Retrofit Worksheet'!$B$22:$B$55,$B215,'Retrofit Worksheet'!AH$22:AH$55)</f>
        <v>0</v>
      </c>
      <c r="F215" s="1441">
        <f>SUMIF('Retrofit Worksheet'!$B$22:$B$55,$B215,'Retrofit Worksheet'!AI$22:AI$55)</f>
        <v>0</v>
      </c>
      <c r="G215" s="1442">
        <f>SUMIF('Retrofit Worksheet'!$B$22:$B$55,$B215,'Retrofit Worksheet'!AJ$22:AJ$55)</f>
        <v>0</v>
      </c>
      <c r="H215" s="1443">
        <f>SUMIF('Retrofit Worksheet'!$B$22:$B$55,$B215,'Retrofit Worksheet'!AK$22:AK$55)</f>
        <v>0</v>
      </c>
      <c r="I215" s="277"/>
      <c r="J215" s="277"/>
      <c r="K215" s="277"/>
      <c r="L215" s="277"/>
      <c r="M215" s="1044"/>
      <c r="N215" s="277"/>
      <c r="O215" s="277"/>
      <c r="P215" s="277"/>
      <c r="Q215" s="277"/>
      <c r="R215" s="277"/>
      <c r="S215" s="277"/>
      <c r="T215" s="294"/>
      <c r="U215" s="294"/>
      <c r="V215" s="294"/>
      <c r="W215" s="294"/>
      <c r="X215" s="294"/>
      <c r="Y215" s="294"/>
      <c r="Z215" s="294"/>
      <c r="AA215" s="294"/>
      <c r="AK215" s="277"/>
      <c r="AL215" s="277"/>
      <c r="AM215" s="277"/>
      <c r="AN215" s="277"/>
      <c r="AO215" s="277"/>
      <c r="AP215" s="277"/>
      <c r="AQ215" s="277"/>
      <c r="AR215" s="277"/>
      <c r="AS215" s="277"/>
      <c r="AT215" s="277"/>
      <c r="AU215" s="277"/>
      <c r="AV215" s="277"/>
      <c r="AW215" s="277"/>
      <c r="AX215" s="277"/>
      <c r="AY215" s="277"/>
      <c r="AZ215" s="277"/>
      <c r="BA215" s="277"/>
      <c r="BB215" s="277"/>
      <c r="BC215" s="277"/>
      <c r="BD215" s="277"/>
      <c r="BE215" s="277"/>
      <c r="BF215" s="277"/>
      <c r="BG215" s="277"/>
      <c r="BH215" s="277"/>
      <c r="BI215" s="277"/>
      <c r="BJ215" s="277"/>
      <c r="BK215" s="277"/>
    </row>
    <row r="216" spans="1:207" ht="13" x14ac:dyDescent="0.3">
      <c r="A216" s="368"/>
      <c r="B216" s="1625" t="str">
        <f>'Retrofit Worksheet'!B85</f>
        <v>Grassed Filter Strips</v>
      </c>
      <c r="C216" s="1440">
        <f>SUMIF('Retrofit Worksheet'!$B$22:$B$55,$B216,'Retrofit Worksheet'!C$22:C$55)</f>
        <v>0</v>
      </c>
      <c r="D216" s="1441">
        <f>SUMIF('Retrofit Worksheet'!$B$22:$B$55,$B216,'Retrofit Worksheet'!AG$22:AG$55)</f>
        <v>0</v>
      </c>
      <c r="E216" s="1441">
        <f>SUMIF('Retrofit Worksheet'!$B$22:$B$55,$B216,'Retrofit Worksheet'!AH$22:AH$55)</f>
        <v>0</v>
      </c>
      <c r="F216" s="1441">
        <f>SUMIF('Retrofit Worksheet'!$B$22:$B$55,$B216,'Retrofit Worksheet'!AI$22:AI$55)</f>
        <v>0</v>
      </c>
      <c r="G216" s="1442">
        <f>SUMIF('Retrofit Worksheet'!$B$22:$B$55,$B216,'Retrofit Worksheet'!AJ$22:AJ$55)</f>
        <v>0</v>
      </c>
      <c r="H216" s="1443">
        <f>SUMIF('Retrofit Worksheet'!$B$22:$B$55,$B216,'Retrofit Worksheet'!AK$22:AK$55)</f>
        <v>0</v>
      </c>
      <c r="I216" s="277"/>
      <c r="J216" s="277"/>
      <c r="K216" s="277"/>
      <c r="L216" s="277"/>
      <c r="M216" s="1044"/>
      <c r="N216" s="277"/>
      <c r="O216" s="277"/>
      <c r="P216" s="277"/>
      <c r="Q216" s="277"/>
      <c r="R216" s="277"/>
      <c r="S216" s="277"/>
      <c r="T216" s="294"/>
      <c r="U216" s="294"/>
      <c r="V216" s="294"/>
      <c r="W216" s="294"/>
      <c r="X216" s="294"/>
      <c r="Y216" s="294"/>
      <c r="Z216" s="294"/>
      <c r="AA216" s="294"/>
      <c r="AK216" s="277"/>
      <c r="AL216" s="277"/>
      <c r="AM216" s="277"/>
      <c r="AN216" s="277"/>
      <c r="AO216" s="277"/>
      <c r="AP216" s="277"/>
      <c r="AQ216" s="277"/>
      <c r="AR216" s="277"/>
      <c r="AS216" s="277"/>
      <c r="AT216" s="277"/>
      <c r="AU216" s="277"/>
      <c r="AV216" s="277"/>
      <c r="AW216" s="277"/>
      <c r="AX216" s="277"/>
      <c r="AY216" s="277"/>
      <c r="AZ216" s="277"/>
      <c r="BA216" s="277"/>
      <c r="BB216" s="277"/>
      <c r="BC216" s="277"/>
      <c r="BD216" s="277"/>
      <c r="BE216" s="277"/>
      <c r="BF216" s="277"/>
      <c r="BG216" s="277"/>
      <c r="BH216" s="277"/>
      <c r="BI216" s="277"/>
      <c r="BJ216" s="277"/>
      <c r="BK216" s="277"/>
    </row>
    <row r="217" spans="1:207" ht="12.75" customHeight="1" x14ac:dyDescent="0.3">
      <c r="A217" s="368"/>
      <c r="B217" s="1625" t="str">
        <f>'Retrofit Worksheet'!B86</f>
        <v>Other Practice (User Defined)</v>
      </c>
      <c r="C217" s="1440">
        <f>SUMIF('Retrofit Worksheet'!$B$22:$B$55,$B217,'Retrofit Worksheet'!C$22:C$55)</f>
        <v>0</v>
      </c>
      <c r="D217" s="1441">
        <f>SUMIF('Retrofit Worksheet'!$B$22:$B$55,$B217,'Retrofit Worksheet'!AG$22:AG$55)</f>
        <v>0</v>
      </c>
      <c r="E217" s="1441">
        <f>SUMIF('Retrofit Worksheet'!$B$22:$B$55,$B217,'Retrofit Worksheet'!AH$22:AH$55)</f>
        <v>0</v>
      </c>
      <c r="F217" s="1441">
        <f>SUMIF('Retrofit Worksheet'!$B$22:$B$55,$B217,'Retrofit Worksheet'!AI$22:AI$55)</f>
        <v>0</v>
      </c>
      <c r="G217" s="1442">
        <f>SUMIF('Retrofit Worksheet'!$B$22:$B$55,$B217,'Retrofit Worksheet'!AJ$22:AJ$55)</f>
        <v>0</v>
      </c>
      <c r="H217" s="1443">
        <f>SUMIF('Retrofit Worksheet'!$B$22:$B$55,$B217,'Retrofit Worksheet'!AK$22:AK$55)</f>
        <v>0</v>
      </c>
      <c r="I217" s="277"/>
      <c r="J217" s="277"/>
      <c r="K217" s="277"/>
      <c r="L217" s="277"/>
      <c r="M217" s="1044"/>
      <c r="N217" s="277"/>
      <c r="O217" s="277"/>
      <c r="P217" s="277"/>
      <c r="Q217" s="277"/>
      <c r="R217" s="277"/>
      <c r="S217" s="277"/>
      <c r="T217" s="294"/>
      <c r="U217" s="294"/>
      <c r="V217" s="294"/>
      <c r="W217" s="294"/>
      <c r="X217" s="294"/>
      <c r="Y217" s="294"/>
      <c r="Z217" s="294"/>
      <c r="AA217" s="294"/>
      <c r="AK217" s="277"/>
      <c r="AL217" s="277"/>
      <c r="AM217" s="277"/>
      <c r="AN217" s="277"/>
      <c r="AO217" s="277"/>
      <c r="AP217" s="277"/>
      <c r="AQ217" s="277"/>
      <c r="AR217" s="277"/>
      <c r="AS217" s="277"/>
      <c r="AT217" s="277"/>
      <c r="AU217" s="277"/>
      <c r="AV217" s="277"/>
      <c r="AW217" s="277"/>
      <c r="AX217" s="277"/>
      <c r="AY217" s="277"/>
      <c r="AZ217" s="277"/>
      <c r="BA217" s="277"/>
      <c r="BB217" s="277"/>
      <c r="BC217" s="277"/>
      <c r="BD217" s="277"/>
      <c r="BE217" s="277"/>
      <c r="BF217" s="277"/>
      <c r="BG217" s="277"/>
      <c r="BH217" s="277"/>
      <c r="BI217" s="277"/>
      <c r="BJ217" s="277"/>
      <c r="BK217" s="277"/>
    </row>
    <row r="218" spans="1:207" customFormat="1" ht="13.5" thickBot="1" x14ac:dyDescent="0.35">
      <c r="A218" s="368"/>
      <c r="B218" s="1627"/>
      <c r="C218" s="1444">
        <f>SUMIF('Retrofit Worksheet'!$B$22:$B$55,$B218,'Retrofit Worksheet'!C$22:C$55)</f>
        <v>0</v>
      </c>
      <c r="D218" s="1445">
        <f>SUMIF('Retrofit Worksheet'!$B$22:$B$55,$B218,'Retrofit Worksheet'!AG$22:AG$55)</f>
        <v>0</v>
      </c>
      <c r="E218" s="1445">
        <f>SUMIF('Retrofit Worksheet'!$B$22:$B$55,$B218,'Retrofit Worksheet'!AH$22:AH$55)</f>
        <v>0</v>
      </c>
      <c r="F218" s="1445">
        <f>SUMIF('Retrofit Worksheet'!$B$22:$B$55,$B218,'Retrofit Worksheet'!AI$22:AI$55)</f>
        <v>0</v>
      </c>
      <c r="G218" s="1446">
        <f>SUMIF('Retrofit Worksheet'!$B$22:$B$55,$B218,'Retrofit Worksheet'!AJ$22:AJ$55)</f>
        <v>0</v>
      </c>
      <c r="H218" s="1447">
        <f>SUMIF('Retrofit Worksheet'!$B$22:$B$55,$B218,'Retrofit Worksheet'!AK$22:AK$55)</f>
        <v>0</v>
      </c>
      <c r="I218" s="277"/>
      <c r="J218" s="277"/>
      <c r="K218" s="277"/>
      <c r="L218" s="277"/>
      <c r="M218" s="1044"/>
      <c r="N218" s="277"/>
      <c r="O218" s="277"/>
      <c r="P218" s="277"/>
      <c r="Q218" s="277"/>
      <c r="R218" s="277"/>
      <c r="S218" s="277"/>
      <c r="T218" s="294"/>
      <c r="U218" s="294"/>
      <c r="V218" s="294"/>
      <c r="W218" s="294"/>
      <c r="X218" s="294"/>
      <c r="Y218" s="294"/>
      <c r="Z218" s="294"/>
      <c r="AA218" s="294"/>
      <c r="AB218" s="455"/>
      <c r="AC218" s="261"/>
      <c r="AD218" s="261"/>
      <c r="AE218" s="261"/>
      <c r="AF218" s="261"/>
      <c r="AG218" s="261"/>
      <c r="AH218" s="261"/>
      <c r="AI218" s="261"/>
      <c r="AJ218" s="261"/>
      <c r="AK218" s="277"/>
      <c r="AL218" s="277"/>
      <c r="AM218" s="277"/>
      <c r="AN218" s="277"/>
      <c r="AO218" s="277"/>
      <c r="AP218" s="277"/>
      <c r="AQ218" s="277"/>
      <c r="AR218" s="277"/>
      <c r="AS218" s="277"/>
      <c r="AT218" s="277"/>
      <c r="AU218" s="277"/>
      <c r="AV218" s="277"/>
      <c r="AW218" s="277"/>
      <c r="AX218" s="277"/>
      <c r="AY218" s="277"/>
      <c r="AZ218" s="277"/>
      <c r="BA218" s="277"/>
      <c r="BB218" s="277"/>
      <c r="BC218" s="277"/>
      <c r="BD218" s="277"/>
      <c r="BE218" s="277"/>
      <c r="BF218" s="277"/>
      <c r="BG218" s="277"/>
      <c r="BH218" s="277"/>
      <c r="BI218" s="277"/>
      <c r="BJ218" s="277"/>
      <c r="BK218" s="277"/>
      <c r="BL218" s="261"/>
      <c r="BM218" s="261"/>
      <c r="BN218" s="261"/>
      <c r="BO218" s="261"/>
      <c r="BP218" s="261"/>
      <c r="BQ218" s="261"/>
      <c r="BR218" s="261"/>
      <c r="BS218" s="261"/>
      <c r="BT218" s="261"/>
      <c r="BU218" s="261"/>
      <c r="BV218" s="261"/>
      <c r="BW218" s="261"/>
      <c r="BX218" s="261"/>
      <c r="BY218" s="261"/>
      <c r="BZ218" s="261"/>
      <c r="CA218" s="261"/>
      <c r="CB218" s="261"/>
      <c r="CC218" s="261"/>
      <c r="CD218" s="261"/>
      <c r="CE218" s="261"/>
      <c r="CF218" s="261"/>
      <c r="CG218" s="261"/>
      <c r="CH218" s="261"/>
      <c r="CI218" s="261"/>
      <c r="CJ218" s="261"/>
      <c r="CK218" s="261"/>
      <c r="CL218" s="261"/>
      <c r="CM218" s="261"/>
      <c r="CN218" s="261"/>
      <c r="CO218" s="261"/>
      <c r="CP218" s="261"/>
      <c r="CQ218" s="261"/>
      <c r="CR218" s="261"/>
      <c r="CS218" s="261"/>
      <c r="CT218" s="261"/>
      <c r="CU218" s="261"/>
      <c r="CV218" s="261"/>
      <c r="CW218" s="261"/>
      <c r="CX218" s="261"/>
      <c r="CY218" s="261"/>
      <c r="CZ218" s="261"/>
      <c r="DA218" s="261"/>
      <c r="DB218" s="261"/>
      <c r="DC218" s="261"/>
      <c r="DD218" s="261"/>
      <c r="DE218" s="261"/>
      <c r="DF218" s="261"/>
      <c r="DG218" s="261"/>
      <c r="DH218" s="261"/>
      <c r="DI218" s="261"/>
      <c r="DJ218" s="261"/>
      <c r="DK218" s="261"/>
      <c r="DL218" s="261"/>
      <c r="DM218" s="261"/>
      <c r="DN218" s="261"/>
      <c r="DO218" s="261"/>
      <c r="DP218" s="261"/>
      <c r="DQ218" s="261"/>
      <c r="DR218" s="261"/>
      <c r="DS218" s="261"/>
      <c r="DT218" s="261"/>
      <c r="DU218" s="261"/>
      <c r="DV218" s="261"/>
      <c r="DW218" s="261"/>
      <c r="DX218" s="261"/>
      <c r="DY218" s="261"/>
      <c r="DZ218" s="261"/>
      <c r="EA218" s="261"/>
      <c r="EB218" s="261"/>
      <c r="EC218" s="261"/>
      <c r="ED218" s="261"/>
      <c r="EE218" s="261"/>
      <c r="EF218" s="261"/>
      <c r="EG218" s="261"/>
      <c r="EH218" s="261"/>
      <c r="EI218" s="261"/>
      <c r="EJ218" s="261"/>
      <c r="EK218" s="261"/>
      <c r="EL218" s="261"/>
      <c r="EM218" s="261"/>
      <c r="EN218" s="261"/>
      <c r="EO218" s="261"/>
      <c r="EP218" s="261"/>
      <c r="EQ218" s="261"/>
      <c r="ER218" s="261"/>
      <c r="ES218" s="261"/>
      <c r="ET218" s="261"/>
      <c r="EU218" s="261"/>
      <c r="EV218" s="261"/>
      <c r="EW218" s="261"/>
      <c r="EX218" s="261"/>
      <c r="EY218" s="261"/>
      <c r="EZ218" s="261"/>
      <c r="FA218" s="261"/>
      <c r="FB218" s="261"/>
      <c r="FC218" s="261"/>
      <c r="FD218" s="261"/>
      <c r="FE218" s="261"/>
      <c r="FF218" s="261"/>
      <c r="FG218" s="261"/>
      <c r="FH218" s="261"/>
      <c r="FI218" s="261"/>
      <c r="FJ218" s="261"/>
      <c r="FK218" s="261"/>
      <c r="FL218" s="261"/>
      <c r="FM218" s="261"/>
      <c r="FN218" s="261"/>
      <c r="FO218" s="261"/>
      <c r="FP218" s="261"/>
      <c r="FQ218" s="261"/>
      <c r="FR218" s="261"/>
      <c r="FS218" s="261"/>
      <c r="FT218" s="261"/>
      <c r="FU218" s="261"/>
      <c r="FV218" s="261"/>
      <c r="FW218" s="261"/>
      <c r="FX218" s="261"/>
      <c r="FY218" s="261"/>
      <c r="FZ218" s="261"/>
      <c r="GA218" s="261"/>
      <c r="GB218" s="261"/>
      <c r="GC218" s="261"/>
      <c r="GD218" s="261"/>
      <c r="GE218" s="261"/>
      <c r="GF218" s="261"/>
      <c r="GG218" s="261"/>
      <c r="GH218" s="261"/>
      <c r="GI218" s="261"/>
      <c r="GJ218" s="261"/>
      <c r="GK218" s="261"/>
      <c r="GL218" s="261"/>
      <c r="GM218" s="261"/>
      <c r="GN218" s="261"/>
      <c r="GO218" s="261"/>
      <c r="GP218" s="261"/>
      <c r="GQ218" s="261"/>
      <c r="GR218" s="261"/>
      <c r="GS218" s="261"/>
      <c r="GT218" s="261"/>
      <c r="GU218" s="261"/>
      <c r="GV218" s="261"/>
      <c r="GW218" s="261"/>
      <c r="GX218" s="261"/>
      <c r="GY218" s="261"/>
    </row>
    <row r="219" spans="1:207" ht="13.5" thickBot="1" x14ac:dyDescent="0.35">
      <c r="A219" s="368"/>
      <c r="B219" s="532" t="s">
        <v>41</v>
      </c>
      <c r="C219" s="533">
        <f t="shared" ref="C219:H219" si="0">SUM(C197:C217)</f>
        <v>9.9</v>
      </c>
      <c r="D219" s="1000">
        <f t="shared" si="0"/>
        <v>88.676436649160593</v>
      </c>
      <c r="E219" s="534">
        <f t="shared" si="0"/>
        <v>19.737716478614736</v>
      </c>
      <c r="F219" s="534">
        <f t="shared" si="0"/>
        <v>1583.299792385965</v>
      </c>
      <c r="G219" s="534">
        <f t="shared" si="0"/>
        <v>1087.3737754112346</v>
      </c>
      <c r="H219" s="534">
        <f t="shared" si="0"/>
        <v>6.8188856755871949</v>
      </c>
      <c r="I219" s="277"/>
      <c r="J219" s="277"/>
      <c r="K219" s="277"/>
      <c r="L219" s="277"/>
      <c r="M219" s="1044"/>
      <c r="N219" s="277"/>
      <c r="O219" s="277"/>
      <c r="P219" s="277"/>
      <c r="Q219" s="277"/>
      <c r="R219" s="277"/>
      <c r="S219" s="277"/>
      <c r="T219" s="294"/>
      <c r="U219" s="294"/>
      <c r="V219" s="294"/>
      <c r="W219" s="294"/>
      <c r="X219" s="294"/>
      <c r="Y219" s="294"/>
      <c r="Z219" s="294"/>
      <c r="AA219" s="294"/>
      <c r="AB219" s="294"/>
      <c r="AC219" s="277"/>
      <c r="AD219" s="277"/>
      <c r="AE219" s="277"/>
      <c r="AF219" s="277"/>
      <c r="AG219" s="277"/>
      <c r="AH219" s="277"/>
      <c r="AI219" s="277"/>
      <c r="AJ219" s="277"/>
      <c r="AK219" s="277"/>
      <c r="AL219" s="277"/>
      <c r="AM219" s="277"/>
      <c r="AN219" s="277"/>
      <c r="AO219" s="277"/>
      <c r="AP219" s="277"/>
      <c r="AQ219" s="277"/>
      <c r="AR219" s="277"/>
      <c r="AS219" s="277"/>
      <c r="AT219" s="277"/>
      <c r="AU219" s="277"/>
      <c r="AV219" s="277"/>
      <c r="AW219" s="277"/>
      <c r="AX219" s="277"/>
      <c r="AY219" s="277"/>
      <c r="AZ219" s="277"/>
      <c r="BA219" s="277"/>
      <c r="BB219" s="277"/>
      <c r="BC219" s="277"/>
      <c r="BD219" s="277"/>
      <c r="BE219" s="277"/>
      <c r="BF219" s="277"/>
      <c r="BG219" s="277"/>
      <c r="BH219" s="277"/>
      <c r="BI219" s="277"/>
      <c r="BJ219" s="277"/>
      <c r="BK219" s="277"/>
    </row>
    <row r="220" spans="1:207" ht="13.5" thickTop="1" x14ac:dyDescent="0.3">
      <c r="A220" s="368"/>
      <c r="B220" s="87"/>
      <c r="C220" s="87"/>
      <c r="D220" s="87"/>
      <c r="E220" s="87"/>
      <c r="F220" s="87"/>
      <c r="G220" s="87"/>
      <c r="H220" s="87"/>
      <c r="I220" s="277"/>
      <c r="J220" s="277"/>
      <c r="K220" s="277"/>
      <c r="L220" s="277"/>
      <c r="M220" s="277"/>
      <c r="N220" s="277"/>
      <c r="O220" s="277"/>
      <c r="P220" s="277"/>
      <c r="Q220" s="277"/>
      <c r="R220" s="277"/>
      <c r="S220" s="277"/>
      <c r="T220" s="294"/>
      <c r="U220" s="294"/>
      <c r="V220" s="294"/>
      <c r="W220" s="294"/>
      <c r="X220" s="294"/>
      <c r="Y220" s="294"/>
      <c r="Z220" s="294"/>
      <c r="AA220" s="294"/>
      <c r="AB220" s="294"/>
      <c r="AC220" s="277"/>
      <c r="AD220" s="277"/>
      <c r="AE220" s="277"/>
      <c r="AF220" s="277"/>
      <c r="AG220" s="277"/>
      <c r="AH220" s="277"/>
      <c r="AI220" s="277"/>
      <c r="AJ220" s="277"/>
      <c r="AK220" s="277"/>
      <c r="AL220" s="277"/>
      <c r="AM220" s="277"/>
      <c r="AN220" s="277"/>
      <c r="AO220" s="277"/>
      <c r="AP220" s="277"/>
      <c r="AQ220" s="277"/>
      <c r="AR220" s="277"/>
      <c r="AS220" s="277"/>
      <c r="AT220" s="277"/>
      <c r="AU220" s="277"/>
      <c r="AV220" s="277"/>
      <c r="AW220" s="277"/>
      <c r="AX220" s="277"/>
      <c r="AY220" s="277"/>
      <c r="AZ220" s="277"/>
      <c r="BA220" s="277"/>
      <c r="BB220" s="277"/>
      <c r="BC220" s="277"/>
      <c r="BD220" s="277"/>
      <c r="BE220" s="277"/>
      <c r="BF220" s="277"/>
      <c r="BG220" s="277"/>
      <c r="BH220" s="277"/>
      <c r="BI220" s="277"/>
      <c r="BJ220" s="277"/>
      <c r="BK220" s="277"/>
    </row>
    <row r="221" spans="1:207" ht="13" x14ac:dyDescent="0.3">
      <c r="A221" s="368"/>
      <c r="B221" s="87" t="s">
        <v>407</v>
      </c>
      <c r="C221" s="535"/>
      <c r="D221" s="535">
        <f>'Retrofit Worksheet'!AL56</f>
        <v>17.550159977485826</v>
      </c>
      <c r="E221" s="535">
        <f>'Retrofit Worksheet'!AM56</f>
        <v>1.2603191488653218</v>
      </c>
      <c r="F221" s="535">
        <v>0</v>
      </c>
      <c r="G221" s="535">
        <f>'Retrofit Worksheet'!AN56</f>
        <v>0</v>
      </c>
      <c r="H221" s="535"/>
      <c r="I221" s="277"/>
      <c r="J221" s="277"/>
      <c r="K221" s="277"/>
      <c r="L221" s="277"/>
      <c r="M221" s="277"/>
      <c r="N221" s="277"/>
      <c r="O221" s="277"/>
      <c r="P221" s="277"/>
      <c r="Q221" s="277"/>
      <c r="R221" s="277"/>
      <c r="S221" s="277"/>
      <c r="T221" s="294"/>
      <c r="U221" s="294"/>
      <c r="V221" s="294"/>
      <c r="W221" s="294"/>
      <c r="X221" s="294"/>
      <c r="Y221" s="294"/>
      <c r="Z221" s="294"/>
      <c r="AA221" s="294"/>
      <c r="AB221" s="294"/>
      <c r="AC221" s="277"/>
      <c r="AD221" s="277"/>
      <c r="AE221" s="277"/>
      <c r="AF221" s="277"/>
      <c r="AG221" s="277"/>
      <c r="AH221" s="277"/>
      <c r="AI221" s="277"/>
      <c r="AJ221" s="277"/>
      <c r="AK221" s="277"/>
      <c r="AL221" s="277"/>
      <c r="AM221" s="277"/>
      <c r="AN221" s="277"/>
      <c r="AO221" s="277"/>
      <c r="AP221" s="277"/>
      <c r="AQ221" s="277"/>
      <c r="AR221" s="277"/>
      <c r="AS221" s="277"/>
      <c r="AT221" s="277"/>
      <c r="AU221" s="277"/>
      <c r="AV221" s="277"/>
      <c r="AW221" s="277"/>
      <c r="AX221" s="277"/>
      <c r="AY221" s="277"/>
      <c r="AZ221" s="277"/>
      <c r="BA221" s="277"/>
      <c r="BB221" s="277"/>
      <c r="BC221" s="277"/>
      <c r="BD221" s="277"/>
      <c r="BE221" s="277"/>
      <c r="BF221" s="277"/>
      <c r="BG221" s="277"/>
      <c r="BH221" s="277"/>
      <c r="BI221" s="277"/>
      <c r="BJ221" s="277"/>
      <c r="BK221" s="277"/>
    </row>
    <row r="222" spans="1:207" ht="13.5" thickBot="1" x14ac:dyDescent="0.35">
      <c r="A222" s="368"/>
      <c r="B222" s="368"/>
      <c r="C222" s="368"/>
      <c r="D222" s="368"/>
      <c r="E222" s="368"/>
      <c r="F222" s="368"/>
      <c r="G222" s="368"/>
      <c r="H222" s="368"/>
      <c r="I222" s="368"/>
      <c r="J222" s="368"/>
      <c r="K222" s="277"/>
      <c r="L222" s="277"/>
      <c r="M222" s="277"/>
      <c r="N222" s="277"/>
      <c r="O222" s="277"/>
      <c r="P222" s="277"/>
      <c r="Q222" s="277"/>
      <c r="R222" s="277"/>
      <c r="S222" s="277"/>
      <c r="T222" s="294"/>
      <c r="U222" s="294"/>
      <c r="V222" s="294"/>
      <c r="W222" s="294"/>
      <c r="X222" s="294"/>
      <c r="Y222" s="294"/>
      <c r="Z222" s="294"/>
      <c r="AA222" s="294"/>
      <c r="AB222" s="294"/>
      <c r="AC222" s="277"/>
      <c r="AD222" s="277"/>
      <c r="AE222" s="277"/>
      <c r="AF222" s="277"/>
      <c r="AG222" s="277"/>
      <c r="AH222" s="277"/>
      <c r="AI222" s="277"/>
      <c r="AJ222" s="277"/>
      <c r="AK222" s="277"/>
      <c r="AL222" s="277"/>
      <c r="AM222" s="277"/>
      <c r="AN222" s="277"/>
      <c r="AO222" s="277"/>
      <c r="AP222" s="277"/>
      <c r="AQ222" s="277"/>
      <c r="AR222" s="277"/>
      <c r="AS222" s="277"/>
      <c r="AT222" s="277"/>
      <c r="AU222" s="277"/>
      <c r="AV222" s="277"/>
      <c r="AW222" s="277"/>
      <c r="AX222" s="277"/>
      <c r="AY222" s="277"/>
      <c r="AZ222" s="277"/>
      <c r="BA222" s="277"/>
      <c r="BB222" s="277"/>
      <c r="BC222" s="277"/>
      <c r="BD222" s="277"/>
      <c r="BE222" s="277"/>
      <c r="BF222" s="277"/>
      <c r="BG222" s="277"/>
      <c r="BH222" s="277"/>
      <c r="BI222" s="277"/>
      <c r="BJ222" s="277"/>
      <c r="BK222" s="277"/>
    </row>
    <row r="223" spans="1:207" ht="21" thickTop="1" thickBot="1" x14ac:dyDescent="0.45">
      <c r="A223" s="368"/>
      <c r="B223" s="522" t="s">
        <v>623</v>
      </c>
      <c r="C223" s="524"/>
      <c r="D223" s="368"/>
      <c r="E223" s="368"/>
      <c r="F223" s="368"/>
      <c r="G223" s="368"/>
      <c r="H223" s="368"/>
      <c r="I223" s="368"/>
      <c r="J223" s="368"/>
      <c r="K223" s="277"/>
      <c r="L223" s="277"/>
      <c r="M223" s="277"/>
      <c r="N223" s="277"/>
      <c r="O223" s="277"/>
      <c r="P223" s="277"/>
      <c r="Q223" s="277"/>
      <c r="R223" s="277"/>
      <c r="S223" s="277"/>
      <c r="T223" s="294"/>
      <c r="U223" s="294"/>
      <c r="V223" s="294"/>
      <c r="W223" s="294"/>
      <c r="X223" s="294"/>
      <c r="Y223" s="294"/>
      <c r="Z223" s="294"/>
      <c r="AA223" s="294"/>
      <c r="AB223" s="294"/>
      <c r="AC223" s="277"/>
      <c r="AD223" s="277"/>
      <c r="AE223" s="277"/>
      <c r="AF223" s="277"/>
      <c r="AG223" s="277"/>
      <c r="AH223" s="277"/>
      <c r="AI223" s="277"/>
      <c r="AJ223" s="277"/>
      <c r="AK223" s="277"/>
      <c r="AL223" s="277"/>
      <c r="AM223" s="277"/>
      <c r="AN223" s="277"/>
      <c r="AO223" s="277"/>
      <c r="AP223" s="277"/>
      <c r="AQ223" s="277"/>
      <c r="AR223" s="277"/>
      <c r="AS223" s="277"/>
      <c r="AT223" s="277"/>
      <c r="AU223" s="277"/>
      <c r="AV223" s="277"/>
      <c r="AW223" s="277"/>
      <c r="AX223" s="277"/>
      <c r="AY223" s="277"/>
      <c r="AZ223" s="277"/>
      <c r="BA223" s="277"/>
      <c r="BB223" s="277"/>
      <c r="BC223" s="277"/>
      <c r="BD223" s="277"/>
      <c r="BE223" s="277"/>
      <c r="BF223" s="277"/>
      <c r="BG223" s="277"/>
      <c r="BH223" s="277"/>
      <c r="BI223" s="277"/>
      <c r="BJ223" s="277"/>
      <c r="BK223" s="277"/>
    </row>
    <row r="224" spans="1:207" ht="18" x14ac:dyDescent="0.4">
      <c r="A224" s="368"/>
      <c r="B224" s="1926" t="s">
        <v>409</v>
      </c>
      <c r="C224" s="1927"/>
      <c r="D224" s="368"/>
      <c r="E224" s="368"/>
      <c r="F224" s="368"/>
      <c r="G224" s="368"/>
      <c r="H224" s="368"/>
      <c r="I224" s="368"/>
      <c r="J224" s="368"/>
      <c r="K224" s="277"/>
      <c r="L224" s="277"/>
      <c r="M224" s="277"/>
      <c r="N224" s="277"/>
      <c r="O224" s="277"/>
      <c r="P224" s="277"/>
      <c r="Q224" s="277"/>
      <c r="R224" s="277"/>
      <c r="S224" s="277"/>
      <c r="T224" s="294"/>
      <c r="U224" s="294"/>
      <c r="V224" s="294"/>
      <c r="W224" s="294"/>
      <c r="X224" s="294"/>
      <c r="Y224" s="294"/>
      <c r="Z224" s="294"/>
      <c r="AA224" s="294"/>
      <c r="AB224" s="294"/>
      <c r="AC224" s="277"/>
      <c r="AD224" s="277"/>
      <c r="AE224" s="277"/>
      <c r="AF224" s="277"/>
      <c r="AG224" s="277"/>
      <c r="AH224" s="277"/>
      <c r="AI224" s="277"/>
      <c r="AJ224" s="277"/>
      <c r="AK224" s="277"/>
      <c r="AL224" s="277"/>
      <c r="AM224" s="277"/>
      <c r="AN224" s="277"/>
      <c r="AO224" s="277"/>
      <c r="AP224" s="277"/>
      <c r="AQ224" s="277"/>
      <c r="AR224" s="277"/>
      <c r="AS224" s="277"/>
      <c r="AT224" s="277"/>
      <c r="AU224" s="277"/>
      <c r="AV224" s="277"/>
      <c r="AW224" s="277"/>
      <c r="AX224" s="277"/>
      <c r="AY224" s="277"/>
      <c r="AZ224" s="277"/>
      <c r="BA224" s="277"/>
      <c r="BB224" s="277"/>
      <c r="BC224" s="277"/>
      <c r="BD224" s="277"/>
      <c r="BE224" s="277"/>
      <c r="BF224" s="277"/>
      <c r="BG224" s="277"/>
      <c r="BH224" s="277"/>
      <c r="BI224" s="277"/>
      <c r="BJ224" s="277"/>
      <c r="BK224" s="277"/>
    </row>
    <row r="225" spans="1:63" s="538" customFormat="1" ht="18" x14ac:dyDescent="0.4">
      <c r="A225" s="536"/>
      <c r="B225" s="1928" t="s">
        <v>410</v>
      </c>
      <c r="C225" s="1929"/>
      <c r="D225" s="536"/>
      <c r="E225" s="368"/>
      <c r="F225" s="368"/>
      <c r="G225" s="368"/>
      <c r="H225" s="368"/>
      <c r="I225" s="368"/>
      <c r="J225" s="368"/>
      <c r="K225" s="368"/>
      <c r="L225" s="368"/>
      <c r="M225" s="368"/>
      <c r="N225" s="537"/>
      <c r="O225" s="537"/>
      <c r="P225" s="537"/>
      <c r="Q225" s="537"/>
      <c r="R225" s="537"/>
      <c r="S225" s="537"/>
      <c r="T225" s="941"/>
      <c r="U225" s="941"/>
      <c r="V225" s="941"/>
      <c r="W225" s="941"/>
      <c r="X225" s="941"/>
      <c r="Y225" s="941"/>
      <c r="Z225" s="941"/>
      <c r="AA225" s="941"/>
      <c r="AB225" s="941"/>
      <c r="AC225" s="537"/>
      <c r="AD225" s="537"/>
      <c r="AE225" s="537"/>
      <c r="AF225" s="537"/>
      <c r="AG225" s="537"/>
      <c r="AH225" s="537"/>
      <c r="AI225" s="537"/>
      <c r="AJ225" s="537"/>
      <c r="AK225" s="537"/>
      <c r="AL225" s="537"/>
      <c r="AM225" s="537"/>
      <c r="AN225" s="537"/>
      <c r="AO225" s="537"/>
      <c r="AP225" s="537"/>
      <c r="AQ225" s="537"/>
      <c r="AR225" s="537"/>
      <c r="AS225" s="537"/>
      <c r="AT225" s="537"/>
      <c r="AU225" s="537"/>
      <c r="AV225" s="537"/>
      <c r="AW225" s="537"/>
      <c r="AX225" s="537"/>
      <c r="AY225" s="537"/>
      <c r="AZ225" s="537"/>
      <c r="BA225" s="537"/>
      <c r="BB225" s="537"/>
      <c r="BC225" s="537"/>
      <c r="BD225" s="537"/>
      <c r="BE225" s="537"/>
      <c r="BF225" s="537"/>
      <c r="BG225" s="537"/>
      <c r="BH225" s="537"/>
      <c r="BI225" s="537"/>
      <c r="BJ225" s="537"/>
      <c r="BK225" s="537"/>
    </row>
    <row r="226" spans="1:63" s="542" customFormat="1" ht="18" x14ac:dyDescent="0.4">
      <c r="A226" s="539"/>
      <c r="B226" s="540" t="s">
        <v>410</v>
      </c>
      <c r="C226" s="541"/>
      <c r="D226" s="539"/>
      <c r="E226" s="368"/>
      <c r="F226" s="368"/>
      <c r="G226" s="368"/>
      <c r="H226" s="368"/>
      <c r="I226" s="368"/>
      <c r="J226" s="368"/>
      <c r="K226" s="368"/>
      <c r="L226" s="368"/>
      <c r="M226" s="368"/>
      <c r="T226" s="942"/>
      <c r="U226" s="942"/>
      <c r="V226" s="942"/>
      <c r="W226" s="942"/>
      <c r="X226" s="942"/>
      <c r="Y226" s="942"/>
      <c r="Z226" s="942"/>
      <c r="AA226" s="942"/>
      <c r="AB226" s="942"/>
    </row>
    <row r="227" spans="1:63" ht="13" x14ac:dyDescent="0.3">
      <c r="A227" s="368"/>
      <c r="B227" s="530" t="s">
        <v>411</v>
      </c>
      <c r="C227" s="1233">
        <v>0.2</v>
      </c>
      <c r="D227" s="368"/>
      <c r="E227" s="368"/>
      <c r="F227" s="368"/>
      <c r="G227" s="368"/>
      <c r="H227" s="368"/>
      <c r="I227" s="368"/>
      <c r="J227" s="368"/>
      <c r="K227" s="368"/>
      <c r="L227" s="368"/>
      <c r="M227" s="368"/>
      <c r="N227" s="277"/>
      <c r="O227" s="277"/>
      <c r="P227" s="277"/>
      <c r="Q227" s="277"/>
      <c r="R227" s="277"/>
      <c r="S227" s="277"/>
      <c r="T227" s="294"/>
      <c r="U227" s="294"/>
      <c r="V227" s="294"/>
      <c r="W227" s="294"/>
      <c r="X227" s="294"/>
      <c r="Y227" s="294"/>
      <c r="Z227" s="294"/>
      <c r="AA227" s="294"/>
      <c r="AB227" s="294"/>
      <c r="AC227" s="277"/>
      <c r="AD227" s="277"/>
      <c r="AE227" s="277"/>
      <c r="AF227" s="277"/>
      <c r="AG227" s="277"/>
      <c r="AH227" s="277"/>
      <c r="AI227" s="277"/>
      <c r="AJ227" s="277"/>
      <c r="AK227" s="277"/>
      <c r="AL227" s="277"/>
      <c r="AM227" s="277"/>
      <c r="AN227" s="277"/>
      <c r="AO227" s="277"/>
      <c r="AP227" s="277"/>
      <c r="AQ227" s="277"/>
      <c r="AR227" s="277"/>
      <c r="AS227" s="277"/>
      <c r="AT227" s="277"/>
      <c r="AU227" s="277"/>
      <c r="AV227" s="277"/>
      <c r="AW227" s="277"/>
      <c r="AX227" s="277"/>
      <c r="AY227" s="277"/>
      <c r="AZ227" s="277"/>
      <c r="BA227" s="277"/>
      <c r="BB227" s="277"/>
      <c r="BC227" s="277"/>
      <c r="BD227" s="277"/>
      <c r="BE227" s="277"/>
      <c r="BF227" s="277"/>
      <c r="BG227" s="277"/>
      <c r="BH227" s="277"/>
      <c r="BI227" s="277"/>
      <c r="BJ227" s="277"/>
      <c r="BK227" s="277"/>
    </row>
    <row r="228" spans="1:63" ht="13" x14ac:dyDescent="0.3">
      <c r="A228" s="368"/>
      <c r="B228" s="530" t="s">
        <v>412</v>
      </c>
      <c r="C228" s="543">
        <f>IF(B225=B238,C227*'Primary Sources'!C64,0)</f>
        <v>119.9685822</v>
      </c>
      <c r="D228" s="368"/>
      <c r="E228" s="368"/>
      <c r="F228" s="368"/>
      <c r="G228" s="368"/>
      <c r="H228" s="368"/>
      <c r="I228" s="368"/>
      <c r="J228" s="368"/>
      <c r="K228" s="368"/>
      <c r="L228" s="368"/>
      <c r="M228" s="368"/>
      <c r="N228" s="277"/>
      <c r="O228" s="277"/>
      <c r="P228" s="277"/>
      <c r="Q228" s="277"/>
      <c r="R228" s="277"/>
      <c r="S228" s="277"/>
      <c r="T228" s="294"/>
      <c r="U228" s="294"/>
      <c r="V228" s="294"/>
      <c r="W228" s="294"/>
      <c r="X228" s="294"/>
      <c r="Y228" s="294"/>
      <c r="Z228" s="294"/>
      <c r="AA228" s="294"/>
      <c r="AB228" s="294"/>
      <c r="AC228" s="277"/>
      <c r="AD228" s="277"/>
      <c r="AE228" s="277"/>
      <c r="AF228" s="277"/>
      <c r="AG228" s="277"/>
      <c r="AH228" s="277"/>
      <c r="AI228" s="277"/>
      <c r="AJ228" s="277"/>
      <c r="AK228" s="277"/>
      <c r="AL228" s="277"/>
      <c r="AM228" s="277"/>
      <c r="AN228" s="277"/>
      <c r="AO228" s="277"/>
      <c r="AP228" s="277"/>
      <c r="AQ228" s="277"/>
      <c r="AR228" s="277"/>
      <c r="AS228" s="277"/>
      <c r="AT228" s="277"/>
      <c r="AU228" s="277"/>
      <c r="AV228" s="277"/>
      <c r="AW228" s="277"/>
      <c r="AX228" s="277"/>
      <c r="AY228" s="277"/>
      <c r="AZ228" s="277"/>
      <c r="BA228" s="277"/>
      <c r="BB228" s="277"/>
      <c r="BC228" s="277"/>
      <c r="BD228" s="277"/>
      <c r="BE228" s="277"/>
      <c r="BF228" s="277"/>
      <c r="BG228" s="277"/>
      <c r="BH228" s="277"/>
      <c r="BI228" s="277"/>
      <c r="BJ228" s="277"/>
      <c r="BK228" s="277"/>
    </row>
    <row r="229" spans="1:63" ht="13" x14ac:dyDescent="0.3">
      <c r="A229" s="368"/>
      <c r="B229" s="530" t="s">
        <v>413</v>
      </c>
      <c r="C229" s="1234">
        <v>0</v>
      </c>
      <c r="D229" s="368"/>
      <c r="E229" s="368"/>
      <c r="F229" s="368"/>
      <c r="G229" s="368"/>
      <c r="H229" s="368"/>
      <c r="I229" s="368"/>
      <c r="J229" s="368"/>
      <c r="K229" s="368"/>
      <c r="L229" s="368"/>
      <c r="M229" s="368"/>
      <c r="N229" s="277"/>
      <c r="O229" s="277"/>
      <c r="P229" s="277"/>
      <c r="Q229" s="277"/>
      <c r="R229" s="277"/>
      <c r="S229" s="277"/>
      <c r="T229" s="294"/>
      <c r="U229" s="294"/>
      <c r="V229" s="294"/>
      <c r="W229" s="294"/>
      <c r="X229" s="294"/>
      <c r="Y229" s="294"/>
      <c r="Z229" s="294"/>
      <c r="AA229" s="294"/>
      <c r="AB229" s="294"/>
      <c r="AC229" s="277"/>
      <c r="AD229" s="277"/>
      <c r="AE229" s="277"/>
      <c r="AF229" s="277"/>
      <c r="AG229" s="277"/>
      <c r="AH229" s="277"/>
      <c r="AI229" s="277"/>
      <c r="AJ229" s="277"/>
      <c r="AK229" s="277"/>
      <c r="AL229" s="277"/>
      <c r="AM229" s="277"/>
      <c r="AN229" s="277"/>
      <c r="AO229" s="277"/>
      <c r="AP229" s="277"/>
      <c r="AQ229" s="277"/>
      <c r="AR229" s="277"/>
      <c r="AS229" s="277"/>
      <c r="AT229" s="277"/>
      <c r="AU229" s="277"/>
      <c r="AV229" s="277"/>
      <c r="AW229" s="277"/>
      <c r="AX229" s="277"/>
      <c r="AY229" s="277"/>
      <c r="AZ229" s="277"/>
      <c r="BA229" s="277"/>
      <c r="BB229" s="277"/>
      <c r="BC229" s="277"/>
      <c r="BD229" s="277"/>
      <c r="BE229" s="277"/>
      <c r="BF229" s="277"/>
      <c r="BG229" s="277"/>
      <c r="BH229" s="277"/>
      <c r="BI229" s="277"/>
      <c r="BJ229" s="277"/>
      <c r="BK229" s="277"/>
    </row>
    <row r="230" spans="1:63" ht="13.5" thickBot="1" x14ac:dyDescent="0.35">
      <c r="A230" s="368"/>
      <c r="B230" s="531" t="s">
        <v>414</v>
      </c>
      <c r="C230" s="1233">
        <v>0.9</v>
      </c>
      <c r="D230" s="368"/>
      <c r="E230" s="368"/>
      <c r="F230" s="368"/>
      <c r="G230" s="368"/>
      <c r="H230" s="368"/>
      <c r="I230" s="368"/>
      <c r="J230" s="368"/>
      <c r="K230" s="368"/>
      <c r="L230" s="368"/>
      <c r="M230" s="368"/>
      <c r="N230" s="277"/>
      <c r="O230" s="277"/>
      <c r="P230" s="277"/>
      <c r="Q230" s="277"/>
      <c r="R230" s="277"/>
      <c r="S230" s="277"/>
      <c r="T230" s="294"/>
      <c r="U230" s="294"/>
      <c r="V230" s="294"/>
      <c r="W230" s="294"/>
      <c r="X230" s="294"/>
      <c r="Y230" s="294"/>
      <c r="Z230" s="294"/>
      <c r="AA230" s="294"/>
      <c r="AB230" s="294"/>
      <c r="AC230" s="277"/>
      <c r="AD230" s="277"/>
      <c r="AE230" s="277"/>
      <c r="AF230" s="277"/>
      <c r="AG230" s="277"/>
      <c r="AH230" s="277"/>
      <c r="AI230" s="277"/>
      <c r="AJ230" s="277"/>
      <c r="AK230" s="277"/>
      <c r="AL230" s="277"/>
      <c r="AM230" s="277"/>
      <c r="AN230" s="277"/>
      <c r="AO230" s="277"/>
      <c r="AP230" s="277"/>
      <c r="AQ230" s="277"/>
      <c r="AR230" s="277"/>
      <c r="AS230" s="277"/>
      <c r="AT230" s="277"/>
      <c r="AU230" s="277"/>
      <c r="AV230" s="277"/>
      <c r="AW230" s="277"/>
      <c r="AX230" s="277"/>
      <c r="AY230" s="277"/>
      <c r="AZ230" s="277"/>
      <c r="BA230" s="277"/>
      <c r="BB230" s="277"/>
      <c r="BC230" s="277"/>
      <c r="BD230" s="277"/>
      <c r="BE230" s="277"/>
      <c r="BF230" s="277"/>
      <c r="BG230" s="277"/>
      <c r="BH230" s="277"/>
      <c r="BI230" s="277"/>
      <c r="BJ230" s="277"/>
      <c r="BK230" s="277"/>
    </row>
    <row r="231" spans="1:63" ht="13" x14ac:dyDescent="0.3">
      <c r="A231" s="368"/>
      <c r="B231" s="544"/>
      <c r="C231" s="545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277"/>
      <c r="O231" s="277"/>
      <c r="P231" s="277"/>
      <c r="Q231" s="277"/>
      <c r="R231" s="277"/>
      <c r="S231" s="277"/>
      <c r="T231" s="294"/>
      <c r="U231" s="294"/>
      <c r="V231" s="294"/>
      <c r="W231" s="294"/>
      <c r="X231" s="294"/>
      <c r="Y231" s="294"/>
      <c r="Z231" s="294"/>
      <c r="AA231" s="294"/>
      <c r="AB231" s="294"/>
      <c r="AC231" s="277"/>
      <c r="AD231" s="277"/>
      <c r="AE231" s="277"/>
      <c r="AF231" s="277"/>
      <c r="AG231" s="277"/>
      <c r="AH231" s="277"/>
      <c r="AI231" s="277"/>
      <c r="AJ231" s="277"/>
      <c r="AK231" s="277"/>
      <c r="AL231" s="277"/>
      <c r="AM231" s="277"/>
      <c r="AN231" s="277"/>
      <c r="AO231" s="277"/>
      <c r="AP231" s="277"/>
      <c r="AQ231" s="277"/>
      <c r="AR231" s="277"/>
      <c r="AS231" s="277"/>
      <c r="AT231" s="277"/>
      <c r="AU231" s="277"/>
      <c r="AV231" s="277"/>
      <c r="AW231" s="277"/>
      <c r="AX231" s="277"/>
      <c r="AY231" s="277"/>
      <c r="AZ231" s="277"/>
      <c r="BA231" s="277"/>
      <c r="BB231" s="277"/>
      <c r="BC231" s="277"/>
      <c r="BD231" s="277"/>
      <c r="BE231" s="277"/>
      <c r="BF231" s="277"/>
      <c r="BG231" s="277"/>
      <c r="BH231" s="277"/>
      <c r="BI231" s="277"/>
      <c r="BJ231" s="277"/>
      <c r="BK231" s="277"/>
    </row>
    <row r="232" spans="1:63" ht="15.5" x14ac:dyDescent="0.35">
      <c r="A232" s="368"/>
      <c r="B232" s="540" t="s">
        <v>622</v>
      </c>
      <c r="C232" s="546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277"/>
      <c r="O232" s="277"/>
      <c r="P232" s="277"/>
      <c r="Q232" s="277"/>
      <c r="R232" s="277"/>
      <c r="S232" s="277"/>
      <c r="T232" s="294"/>
      <c r="U232" s="294"/>
      <c r="V232" s="294"/>
      <c r="W232" s="294"/>
      <c r="X232" s="294"/>
      <c r="Y232" s="294"/>
      <c r="Z232" s="294"/>
      <c r="AA232" s="294"/>
      <c r="AB232" s="294"/>
      <c r="AC232" s="277"/>
      <c r="AD232" s="277"/>
      <c r="AE232" s="277"/>
      <c r="AF232" s="277"/>
      <c r="AG232" s="277"/>
      <c r="AH232" s="277"/>
      <c r="AI232" s="277"/>
      <c r="AJ232" s="277"/>
      <c r="AK232" s="277"/>
      <c r="AL232" s="277"/>
      <c r="AM232" s="277"/>
      <c r="AN232" s="277"/>
      <c r="AO232" s="277"/>
      <c r="AP232" s="277"/>
      <c r="AQ232" s="277"/>
      <c r="AR232" s="277"/>
      <c r="AS232" s="277"/>
      <c r="AT232" s="277"/>
      <c r="AU232" s="277"/>
      <c r="AV232" s="277"/>
      <c r="AW232" s="277"/>
      <c r="AX232" s="277"/>
      <c r="AY232" s="277"/>
      <c r="AZ232" s="277"/>
      <c r="BA232" s="277"/>
      <c r="BB232" s="277"/>
      <c r="BC232" s="277"/>
      <c r="BD232" s="277"/>
      <c r="BE232" s="277"/>
      <c r="BF232" s="277"/>
      <c r="BG232" s="277"/>
      <c r="BH232" s="277"/>
      <c r="BI232" s="277"/>
      <c r="BJ232" s="277"/>
      <c r="BK232" s="277"/>
    </row>
    <row r="233" spans="1:63" ht="13" x14ac:dyDescent="0.3">
      <c r="A233" s="368"/>
      <c r="B233" s="547" t="s">
        <v>597</v>
      </c>
      <c r="C233" s="548" t="str">
        <f>IF(B$225=B$239,'Stream Restoration Worksheet'!J44,"N/A")</f>
        <v>N/A</v>
      </c>
      <c r="D233" s="368"/>
      <c r="E233" s="368"/>
      <c r="F233" s="368"/>
      <c r="G233" s="368"/>
      <c r="H233" s="368"/>
      <c r="I233" s="368"/>
      <c r="J233" s="368"/>
      <c r="K233" s="277"/>
      <c r="L233" s="277"/>
      <c r="M233" s="277"/>
      <c r="N233" s="277"/>
      <c r="O233" s="277"/>
      <c r="P233" s="277"/>
      <c r="Q233" s="277"/>
      <c r="R233" s="277"/>
      <c r="S233" s="277"/>
      <c r="T233" s="294"/>
      <c r="U233" s="294"/>
      <c r="V233" s="294"/>
      <c r="W233" s="294"/>
      <c r="X233" s="294"/>
      <c r="Y233" s="294"/>
      <c r="Z233" s="294"/>
      <c r="AA233" s="294"/>
      <c r="AB233" s="294"/>
      <c r="AC233" s="277"/>
      <c r="AD233" s="277"/>
      <c r="AE233" s="277"/>
      <c r="AF233" s="277"/>
      <c r="AG233" s="277"/>
      <c r="AH233" s="277"/>
      <c r="AI233" s="277"/>
      <c r="AJ233" s="277"/>
      <c r="AK233" s="277"/>
      <c r="AL233" s="277"/>
      <c r="AM233" s="277"/>
      <c r="AN233" s="277"/>
      <c r="AO233" s="277"/>
      <c r="AP233" s="277"/>
      <c r="AQ233" s="277"/>
      <c r="AR233" s="277"/>
      <c r="AS233" s="277"/>
      <c r="AT233" s="277"/>
      <c r="AU233" s="277"/>
      <c r="AV233" s="277"/>
      <c r="AW233" s="277"/>
      <c r="AX233" s="277"/>
      <c r="AY233" s="277"/>
      <c r="AZ233" s="277"/>
      <c r="BA233" s="277"/>
      <c r="BB233" s="277"/>
      <c r="BC233" s="277"/>
      <c r="BD233" s="277"/>
      <c r="BE233" s="277"/>
      <c r="BF233" s="277"/>
      <c r="BG233" s="277"/>
      <c r="BH233" s="277"/>
      <c r="BI233" s="277"/>
      <c r="BJ233" s="277"/>
      <c r="BK233" s="277"/>
    </row>
    <row r="234" spans="1:63" ht="13" x14ac:dyDescent="0.3">
      <c r="A234" s="368"/>
      <c r="B234" s="530" t="s">
        <v>415</v>
      </c>
      <c r="C234" s="549" t="str">
        <f>IF(B$225=B$239,'Stream Restoration Worksheet'!I44,"N/A")</f>
        <v>N/A</v>
      </c>
      <c r="D234" s="368"/>
      <c r="E234" s="368"/>
      <c r="F234" s="368"/>
      <c r="G234" s="368"/>
      <c r="H234" s="368"/>
      <c r="I234" s="368"/>
      <c r="J234" s="368"/>
      <c r="K234" s="277"/>
      <c r="L234" s="277"/>
      <c r="M234" s="277"/>
      <c r="N234" s="277"/>
      <c r="O234" s="277"/>
      <c r="P234" s="277"/>
      <c r="Q234" s="277"/>
      <c r="R234" s="277"/>
      <c r="S234" s="277"/>
      <c r="T234" s="294"/>
      <c r="U234" s="294"/>
      <c r="V234" s="294"/>
      <c r="W234" s="294"/>
      <c r="X234" s="294"/>
      <c r="Y234" s="294"/>
      <c r="Z234" s="294"/>
      <c r="AA234" s="294"/>
      <c r="AB234" s="294"/>
      <c r="AC234" s="277"/>
      <c r="AD234" s="277"/>
      <c r="AE234" s="277"/>
      <c r="AF234" s="277"/>
      <c r="AG234" s="277"/>
      <c r="AH234" s="277"/>
      <c r="AI234" s="277"/>
      <c r="AJ234" s="277"/>
      <c r="AK234" s="277"/>
      <c r="AL234" s="277"/>
      <c r="AM234" s="277"/>
      <c r="AN234" s="277"/>
      <c r="AO234" s="277"/>
      <c r="AP234" s="277"/>
      <c r="AQ234" s="277"/>
      <c r="AR234" s="277"/>
      <c r="AS234" s="277"/>
      <c r="AT234" s="277"/>
      <c r="AU234" s="277"/>
      <c r="AV234" s="277"/>
      <c r="AW234" s="277"/>
      <c r="AX234" s="277"/>
      <c r="AY234" s="277"/>
      <c r="AZ234" s="277"/>
      <c r="BA234" s="277"/>
      <c r="BB234" s="277"/>
      <c r="BC234" s="277"/>
      <c r="BD234" s="277"/>
      <c r="BE234" s="277"/>
      <c r="BF234" s="277"/>
      <c r="BG234" s="277"/>
      <c r="BH234" s="277"/>
      <c r="BI234" s="277"/>
      <c r="BJ234" s="277"/>
      <c r="BK234" s="277"/>
    </row>
    <row r="235" spans="1:63" ht="13" x14ac:dyDescent="0.3">
      <c r="A235" s="368"/>
      <c r="B235" s="530" t="s">
        <v>416</v>
      </c>
      <c r="C235" s="549" t="str">
        <f>IF(B$225=B$239,'Stream Restoration Worksheet'!H44,"N/A")</f>
        <v>N/A</v>
      </c>
      <c r="D235" s="368"/>
      <c r="E235" s="368"/>
      <c r="F235" s="368"/>
      <c r="G235" s="368"/>
      <c r="H235" s="368"/>
      <c r="I235" s="368"/>
      <c r="J235" s="368"/>
      <c r="K235" s="277"/>
      <c r="L235" s="277"/>
      <c r="M235" s="277"/>
      <c r="N235" s="277"/>
      <c r="O235" s="277"/>
      <c r="P235" s="277"/>
      <c r="Q235" s="277"/>
      <c r="R235" s="277"/>
      <c r="S235" s="277"/>
      <c r="T235" s="294"/>
      <c r="U235" s="294"/>
      <c r="V235" s="294"/>
      <c r="W235" s="294"/>
      <c r="X235" s="294"/>
      <c r="Y235" s="294"/>
      <c r="Z235" s="294"/>
      <c r="AA235" s="294"/>
      <c r="AB235" s="294"/>
      <c r="AC235" s="277"/>
      <c r="AD235" s="277"/>
      <c r="AE235" s="277"/>
      <c r="AF235" s="277"/>
      <c r="AG235" s="277"/>
      <c r="AH235" s="277"/>
      <c r="AI235" s="277"/>
      <c r="AJ235" s="277"/>
      <c r="AK235" s="277"/>
      <c r="AL235" s="277"/>
      <c r="AM235" s="277"/>
      <c r="AN235" s="277"/>
      <c r="AO235" s="277"/>
      <c r="AP235" s="277"/>
      <c r="AQ235" s="277"/>
      <c r="AR235" s="277"/>
      <c r="AS235" s="277"/>
      <c r="AT235" s="277"/>
      <c r="AU235" s="277"/>
      <c r="AV235" s="277"/>
      <c r="AW235" s="277"/>
      <c r="AX235" s="277"/>
      <c r="AY235" s="277"/>
      <c r="AZ235" s="277"/>
      <c r="BA235" s="277"/>
      <c r="BB235" s="277"/>
      <c r="BC235" s="277"/>
      <c r="BD235" s="277"/>
      <c r="BE235" s="277"/>
      <c r="BF235" s="277"/>
      <c r="BG235" s="277"/>
      <c r="BH235" s="277"/>
      <c r="BI235" s="277"/>
      <c r="BJ235" s="277"/>
      <c r="BK235" s="277"/>
    </row>
    <row r="236" spans="1:63" ht="13.5" thickBot="1" x14ac:dyDescent="0.35">
      <c r="A236" s="368"/>
      <c r="B236" s="550"/>
      <c r="C236" s="551"/>
      <c r="D236" s="368"/>
      <c r="E236" s="368"/>
      <c r="F236" s="368"/>
      <c r="G236" s="368"/>
      <c r="H236" s="368"/>
      <c r="I236" s="368"/>
      <c r="J236" s="368"/>
      <c r="K236" s="277"/>
      <c r="L236" s="277"/>
      <c r="M236" s="277"/>
      <c r="N236" s="277"/>
      <c r="O236" s="277"/>
      <c r="P236" s="277"/>
      <c r="Q236" s="277"/>
      <c r="R236" s="277"/>
      <c r="S236" s="277"/>
      <c r="T236" s="294"/>
      <c r="U236" s="294"/>
      <c r="V236" s="294"/>
      <c r="W236" s="294"/>
      <c r="X236" s="294"/>
      <c r="Y236" s="294"/>
      <c r="Z236" s="294"/>
      <c r="AA236" s="294"/>
      <c r="AB236" s="294"/>
      <c r="AC236" s="277"/>
      <c r="AD236" s="277"/>
      <c r="AE236" s="277"/>
      <c r="AF236" s="277"/>
      <c r="AG236" s="277"/>
      <c r="AH236" s="277"/>
      <c r="AI236" s="277"/>
      <c r="AJ236" s="277"/>
      <c r="AK236" s="277"/>
      <c r="AL236" s="277"/>
      <c r="AM236" s="277"/>
      <c r="AN236" s="277"/>
      <c r="AO236" s="277"/>
      <c r="AP236" s="277"/>
      <c r="AQ236" s="277"/>
      <c r="AR236" s="277"/>
      <c r="AS236" s="277"/>
      <c r="AT236" s="277"/>
      <c r="AU236" s="277"/>
      <c r="AV236" s="277"/>
      <c r="AW236" s="277"/>
      <c r="AX236" s="277"/>
      <c r="AY236" s="277"/>
      <c r="AZ236" s="277"/>
      <c r="BA236" s="277"/>
      <c r="BB236" s="277"/>
      <c r="BC236" s="277"/>
      <c r="BD236" s="277"/>
      <c r="BE236" s="277"/>
      <c r="BF236" s="277"/>
      <c r="BG236" s="277"/>
      <c r="BH236" s="277"/>
      <c r="BI236" s="277"/>
      <c r="BJ236" s="277"/>
      <c r="BK236" s="277"/>
    </row>
    <row r="237" spans="1:63" ht="14" thickTop="1" thickBot="1" x14ac:dyDescent="0.35">
      <c r="A237" s="368"/>
      <c r="D237" s="368"/>
      <c r="E237" s="368"/>
      <c r="F237" s="368"/>
      <c r="G237" s="368"/>
      <c r="H237" s="368"/>
      <c r="I237" s="368"/>
      <c r="J237" s="368"/>
      <c r="K237" s="277"/>
      <c r="L237" s="277"/>
      <c r="M237" s="277"/>
      <c r="N237" s="277"/>
      <c r="O237" s="277"/>
      <c r="P237" s="277"/>
      <c r="Q237" s="277"/>
      <c r="R237" s="277"/>
      <c r="S237" s="277"/>
      <c r="T237" s="294"/>
      <c r="U237" s="294"/>
      <c r="V237" s="294"/>
      <c r="W237" s="294"/>
      <c r="X237" s="294"/>
      <c r="Y237" s="294"/>
      <c r="Z237" s="294"/>
      <c r="AA237" s="294"/>
      <c r="AB237" s="294"/>
      <c r="AC237" s="277"/>
      <c r="AD237" s="277"/>
      <c r="AE237" s="277"/>
      <c r="AF237" s="277"/>
      <c r="AG237" s="277"/>
      <c r="AH237" s="277"/>
      <c r="AI237" s="277"/>
      <c r="AJ237" s="277"/>
      <c r="AK237" s="277"/>
      <c r="AL237" s="277"/>
      <c r="AM237" s="277"/>
      <c r="AN237" s="277"/>
      <c r="AO237" s="277"/>
      <c r="AP237" s="277"/>
      <c r="AQ237" s="277"/>
      <c r="AR237" s="277"/>
      <c r="AS237" s="277"/>
      <c r="AT237" s="277"/>
      <c r="AU237" s="277"/>
      <c r="AV237" s="277"/>
      <c r="AW237" s="277"/>
      <c r="AX237" s="277"/>
      <c r="AY237" s="277"/>
      <c r="AZ237" s="277"/>
      <c r="BA237" s="277"/>
      <c r="BB237" s="277"/>
      <c r="BC237" s="277"/>
      <c r="BD237" s="277"/>
      <c r="BE237" s="277"/>
      <c r="BF237" s="277"/>
      <c r="BG237" s="277"/>
      <c r="BH237" s="277"/>
      <c r="BI237" s="277"/>
      <c r="BJ237" s="277"/>
      <c r="BK237" s="277"/>
    </row>
    <row r="238" spans="1:63" ht="13" hidden="1" x14ac:dyDescent="0.3">
      <c r="A238" s="368"/>
      <c r="B238" s="552" t="s">
        <v>410</v>
      </c>
      <c r="C238" s="233"/>
      <c r="D238" s="368"/>
      <c r="E238" s="368"/>
      <c r="F238" s="368"/>
      <c r="G238" s="368"/>
      <c r="H238" s="368"/>
      <c r="I238" s="368"/>
      <c r="J238" s="368"/>
      <c r="K238" s="277"/>
      <c r="L238" s="277"/>
      <c r="M238" s="277"/>
      <c r="N238" s="277"/>
      <c r="O238" s="277"/>
      <c r="P238" s="277"/>
      <c r="Q238" s="277"/>
      <c r="R238" s="277"/>
      <c r="S238" s="277"/>
      <c r="T238" s="294"/>
      <c r="U238" s="294"/>
      <c r="V238" s="294"/>
      <c r="W238" s="294"/>
      <c r="X238" s="294"/>
      <c r="Y238" s="294"/>
      <c r="Z238" s="294"/>
      <c r="AA238" s="294"/>
      <c r="AB238" s="294"/>
      <c r="AC238" s="277"/>
      <c r="AD238" s="277"/>
      <c r="AE238" s="277"/>
      <c r="AF238" s="277"/>
      <c r="AG238" s="277"/>
      <c r="AH238" s="277"/>
      <c r="AI238" s="277"/>
      <c r="AJ238" s="277"/>
      <c r="AK238" s="277"/>
      <c r="AL238" s="277"/>
      <c r="AM238" s="277"/>
      <c r="AN238" s="277"/>
      <c r="AO238" s="277"/>
      <c r="AP238" s="277"/>
      <c r="AQ238" s="277"/>
      <c r="AR238" s="277"/>
      <c r="AS238" s="277"/>
      <c r="AT238" s="277"/>
      <c r="AU238" s="277"/>
      <c r="AV238" s="277"/>
      <c r="AW238" s="277"/>
      <c r="AX238" s="277"/>
      <c r="AY238" s="277"/>
      <c r="AZ238" s="277"/>
      <c r="BA238" s="277"/>
      <c r="BB238" s="277"/>
      <c r="BC238" s="277"/>
      <c r="BD238" s="277"/>
      <c r="BE238" s="277"/>
      <c r="BF238" s="277"/>
      <c r="BG238" s="277"/>
      <c r="BH238" s="277"/>
      <c r="BI238" s="277"/>
      <c r="BJ238" s="277"/>
      <c r="BK238" s="277"/>
    </row>
    <row r="239" spans="1:63" ht="13" hidden="1" x14ac:dyDescent="0.3">
      <c r="A239" s="368"/>
      <c r="B239" s="552" t="s">
        <v>621</v>
      </c>
      <c r="C239" s="233"/>
      <c r="D239" s="368"/>
      <c r="E239" s="368"/>
      <c r="F239" s="368"/>
      <c r="G239" s="368"/>
      <c r="H239" s="368"/>
      <c r="I239" s="368"/>
      <c r="J239" s="368"/>
      <c r="K239" s="277"/>
      <c r="L239" s="277"/>
      <c r="M239" s="277"/>
      <c r="N239" s="277"/>
      <c r="O239" s="277"/>
      <c r="P239" s="277"/>
      <c r="Q239" s="277"/>
      <c r="R239" s="277"/>
      <c r="S239" s="277"/>
      <c r="T239" s="294"/>
      <c r="U239" s="294"/>
      <c r="V239" s="294"/>
      <c r="W239" s="294"/>
      <c r="X239" s="294"/>
      <c r="Y239" s="294"/>
      <c r="Z239" s="294"/>
      <c r="AA239" s="294"/>
      <c r="AB239" s="294"/>
      <c r="AC239" s="277"/>
      <c r="AD239" s="277"/>
      <c r="AE239" s="277"/>
      <c r="AF239" s="277"/>
      <c r="AG239" s="277"/>
      <c r="AH239" s="277"/>
      <c r="AI239" s="277"/>
      <c r="AJ239" s="277"/>
      <c r="AK239" s="277"/>
      <c r="AL239" s="277"/>
      <c r="AM239" s="277"/>
      <c r="AN239" s="277"/>
      <c r="AO239" s="277"/>
      <c r="AP239" s="277"/>
      <c r="AQ239" s="277"/>
      <c r="AR239" s="277"/>
      <c r="AS239" s="277"/>
      <c r="AT239" s="277"/>
      <c r="AU239" s="277"/>
      <c r="AV239" s="277"/>
      <c r="AW239" s="277"/>
      <c r="AX239" s="277"/>
      <c r="AY239" s="277"/>
      <c r="AZ239" s="277"/>
      <c r="BA239" s="277"/>
      <c r="BB239" s="277"/>
      <c r="BC239" s="277"/>
      <c r="BD239" s="277"/>
      <c r="BE239" s="277"/>
      <c r="BF239" s="277"/>
      <c r="BG239" s="277"/>
      <c r="BH239" s="277"/>
      <c r="BI239" s="277"/>
      <c r="BJ239" s="277"/>
      <c r="BK239" s="277"/>
    </row>
    <row r="240" spans="1:63" ht="13" hidden="1" x14ac:dyDescent="0.3">
      <c r="A240" s="368"/>
      <c r="B240" s="552" t="s">
        <v>591</v>
      </c>
      <c r="C240" s="233"/>
      <c r="D240" s="368"/>
      <c r="E240" s="368"/>
      <c r="F240" s="368"/>
      <c r="G240" s="368"/>
      <c r="H240" s="368"/>
      <c r="I240" s="368"/>
      <c r="J240" s="368"/>
      <c r="K240" s="277"/>
      <c r="L240" s="277"/>
      <c r="M240" s="277"/>
      <c r="N240" s="277"/>
      <c r="O240" s="277"/>
      <c r="P240" s="277"/>
      <c r="Q240" s="277"/>
      <c r="R240" s="277"/>
      <c r="S240" s="277"/>
      <c r="T240" s="294"/>
      <c r="U240" s="294"/>
      <c r="V240" s="294"/>
      <c r="W240" s="294"/>
      <c r="X240" s="294"/>
      <c r="Y240" s="294"/>
      <c r="Z240" s="294"/>
      <c r="AA240" s="294"/>
      <c r="AB240" s="294"/>
      <c r="AC240" s="277"/>
      <c r="AD240" s="277"/>
      <c r="AE240" s="277"/>
      <c r="AF240" s="277"/>
      <c r="AG240" s="277"/>
      <c r="AH240" s="277"/>
      <c r="AI240" s="277"/>
      <c r="AJ240" s="277"/>
      <c r="AK240" s="277"/>
      <c r="AL240" s="277"/>
      <c r="AM240" s="277"/>
      <c r="AN240" s="277"/>
      <c r="AO240" s="277"/>
      <c r="AP240" s="277"/>
      <c r="AQ240" s="277"/>
      <c r="AR240" s="277"/>
      <c r="AS240" s="277"/>
      <c r="AT240" s="277"/>
      <c r="AU240" s="277"/>
      <c r="AV240" s="277"/>
      <c r="AW240" s="277"/>
      <c r="AX240" s="277"/>
      <c r="AY240" s="277"/>
      <c r="AZ240" s="277"/>
      <c r="BA240" s="277"/>
      <c r="BB240" s="277"/>
      <c r="BC240" s="277"/>
      <c r="BD240" s="277"/>
      <c r="BE240" s="277"/>
      <c r="BF240" s="277"/>
      <c r="BG240" s="277"/>
      <c r="BH240" s="277"/>
      <c r="BI240" s="277"/>
      <c r="BJ240" s="277"/>
      <c r="BK240" s="277"/>
    </row>
    <row r="241" spans="1:63" ht="13.5" hidden="1" thickBot="1" x14ac:dyDescent="0.35">
      <c r="A241" s="368"/>
      <c r="D241" s="368"/>
      <c r="E241" s="368"/>
      <c r="F241" s="368"/>
      <c r="G241" s="368"/>
      <c r="H241" s="368"/>
      <c r="I241" s="368"/>
      <c r="J241" s="368"/>
      <c r="K241" s="277"/>
      <c r="L241" s="277"/>
      <c r="M241" s="277"/>
      <c r="N241" s="277"/>
      <c r="O241" s="277"/>
      <c r="P241" s="277"/>
      <c r="Q241" s="277"/>
      <c r="R241" s="277"/>
      <c r="S241" s="277"/>
      <c r="T241" s="294"/>
      <c r="U241" s="294"/>
      <c r="V241" s="294"/>
      <c r="W241" s="294"/>
      <c r="X241" s="294"/>
      <c r="Y241" s="294"/>
      <c r="Z241" s="294"/>
      <c r="AA241" s="294"/>
      <c r="AB241" s="294"/>
      <c r="AC241" s="277"/>
      <c r="AD241" s="277"/>
      <c r="AE241" s="277"/>
      <c r="AF241" s="277"/>
      <c r="AG241" s="277"/>
      <c r="AH241" s="277"/>
      <c r="AI241" s="277"/>
      <c r="AJ241" s="277"/>
      <c r="AK241" s="277"/>
      <c r="AL241" s="277"/>
      <c r="AM241" s="277"/>
      <c r="AN241" s="277"/>
      <c r="AO241" s="277"/>
      <c r="AP241" s="277"/>
      <c r="AQ241" s="277"/>
      <c r="AR241" s="277"/>
      <c r="AS241" s="277"/>
      <c r="AT241" s="277"/>
      <c r="AU241" s="277"/>
      <c r="AV241" s="277"/>
      <c r="AW241" s="277"/>
      <c r="AX241" s="277"/>
      <c r="AY241" s="277"/>
      <c r="AZ241" s="277"/>
      <c r="BA241" s="277"/>
      <c r="BB241" s="277"/>
      <c r="BC241" s="277"/>
      <c r="BD241" s="277"/>
      <c r="BE241" s="277"/>
      <c r="BF241" s="277"/>
      <c r="BG241" s="277"/>
      <c r="BH241" s="277"/>
      <c r="BI241" s="277"/>
      <c r="BJ241" s="277"/>
      <c r="BK241" s="277"/>
    </row>
    <row r="242" spans="1:63" ht="20.5" thickTop="1" x14ac:dyDescent="0.4">
      <c r="A242" s="368"/>
      <c r="B242" s="522" t="s">
        <v>417</v>
      </c>
      <c r="C242" s="524"/>
      <c r="D242" s="368"/>
      <c r="E242" s="368"/>
      <c r="F242" s="368"/>
      <c r="G242" s="368"/>
      <c r="H242" s="368"/>
      <c r="I242" s="368"/>
      <c r="J242" s="368"/>
      <c r="K242" s="277"/>
      <c r="L242" s="277"/>
      <c r="M242" s="277"/>
      <c r="N242" s="277"/>
      <c r="O242" s="277"/>
      <c r="P242" s="277"/>
      <c r="Q242" s="277"/>
      <c r="R242" s="277"/>
      <c r="S242" s="277"/>
      <c r="T242" s="294"/>
      <c r="U242" s="294"/>
      <c r="V242" s="294"/>
      <c r="W242" s="294"/>
      <c r="X242" s="294"/>
      <c r="Y242" s="294"/>
      <c r="Z242" s="294"/>
      <c r="AA242" s="294"/>
      <c r="AB242" s="294"/>
      <c r="AC242" s="277"/>
      <c r="AD242" s="277"/>
      <c r="AE242" s="277"/>
      <c r="AF242" s="277"/>
      <c r="AG242" s="277"/>
      <c r="AH242" s="277"/>
      <c r="AI242" s="277"/>
      <c r="AJ242" s="277"/>
      <c r="AK242" s="277"/>
      <c r="AL242" s="277"/>
      <c r="AM242" s="277"/>
      <c r="AN242" s="277"/>
      <c r="AO242" s="277"/>
      <c r="AP242" s="277"/>
      <c r="AQ242" s="277"/>
      <c r="AR242" s="277"/>
      <c r="AS242" s="277"/>
      <c r="AT242" s="277"/>
      <c r="AU242" s="277"/>
      <c r="AV242" s="277"/>
      <c r="AW242" s="277"/>
      <c r="AX242" s="277"/>
      <c r="AY242" s="277"/>
      <c r="AZ242" s="277"/>
      <c r="BA242" s="277"/>
      <c r="BB242" s="277"/>
      <c r="BC242" s="277"/>
      <c r="BD242" s="277"/>
      <c r="BE242" s="277"/>
      <c r="BF242" s="277"/>
      <c r="BG242" s="277"/>
      <c r="BH242" s="277"/>
      <c r="BI242" s="277"/>
      <c r="BJ242" s="277"/>
      <c r="BK242" s="277"/>
    </row>
    <row r="243" spans="1:63" ht="20.5" thickBot="1" x14ac:dyDescent="0.45">
      <c r="A243" s="368"/>
      <c r="B243" s="525"/>
      <c r="C243" s="526"/>
      <c r="D243" s="368"/>
      <c r="E243" s="368"/>
      <c r="F243" s="368"/>
      <c r="G243" s="368"/>
      <c r="H243" s="368"/>
      <c r="I243" s="368"/>
      <c r="J243" s="368"/>
      <c r="K243" s="277"/>
      <c r="L243" s="277"/>
      <c r="M243" s="277"/>
      <c r="N243" s="277"/>
      <c r="O243" s="277"/>
      <c r="P243" s="277"/>
      <c r="Q243" s="277"/>
      <c r="R243" s="277"/>
      <c r="S243" s="277"/>
      <c r="T243" s="294"/>
      <c r="U243" s="294"/>
      <c r="V243" s="294"/>
      <c r="W243" s="294"/>
      <c r="X243" s="294"/>
      <c r="Y243" s="294"/>
      <c r="Z243" s="294"/>
      <c r="AA243" s="294"/>
      <c r="AB243" s="294"/>
      <c r="AC243" s="277"/>
      <c r="AD243" s="277"/>
      <c r="AE243" s="277"/>
      <c r="AF243" s="277"/>
      <c r="AG243" s="277"/>
      <c r="AH243" s="277"/>
      <c r="AI243" s="277"/>
      <c r="AJ243" s="277"/>
      <c r="AK243" s="277"/>
      <c r="AL243" s="277"/>
      <c r="AM243" s="277"/>
      <c r="AN243" s="277"/>
      <c r="AO243" s="277"/>
      <c r="AP243" s="277"/>
      <c r="AQ243" s="277"/>
      <c r="AR243" s="277"/>
      <c r="AS243" s="277"/>
      <c r="AT243" s="277"/>
      <c r="AU243" s="277"/>
      <c r="AV243" s="277"/>
      <c r="AW243" s="277"/>
      <c r="AX243" s="277"/>
      <c r="AY243" s="277"/>
      <c r="AZ243" s="277"/>
      <c r="BA243" s="277"/>
      <c r="BB243" s="277"/>
      <c r="BC243" s="277"/>
      <c r="BD243" s="277"/>
      <c r="BE243" s="277"/>
      <c r="BF243" s="277"/>
      <c r="BG243" s="277"/>
      <c r="BH243" s="277"/>
      <c r="BI243" s="277"/>
      <c r="BJ243" s="277"/>
      <c r="BK243" s="277"/>
    </row>
    <row r="244" spans="1:63" ht="13" x14ac:dyDescent="0.3">
      <c r="A244" s="368"/>
      <c r="B244" s="32"/>
      <c r="C244" s="94"/>
      <c r="D244" s="368"/>
      <c r="E244" s="368"/>
      <c r="F244" s="368"/>
      <c r="G244" s="368"/>
      <c r="H244" s="368"/>
      <c r="I244" s="368"/>
      <c r="J244" s="368"/>
      <c r="K244" s="277"/>
      <c r="L244" s="277"/>
      <c r="M244" s="277"/>
      <c r="N244" s="277"/>
      <c r="O244" s="277"/>
      <c r="P244" s="277"/>
      <c r="Q244" s="277"/>
      <c r="R244" s="277"/>
      <c r="S244" s="277"/>
      <c r="T244" s="294"/>
      <c r="U244" s="294"/>
      <c r="V244" s="294"/>
      <c r="W244" s="294"/>
      <c r="X244" s="294"/>
      <c r="Y244" s="294"/>
      <c r="Z244" s="294"/>
      <c r="AA244" s="294"/>
      <c r="AB244" s="294"/>
      <c r="AC244" s="277"/>
      <c r="AD244" s="277"/>
      <c r="AE244" s="277"/>
      <c r="AF244" s="277"/>
      <c r="AG244" s="277"/>
      <c r="AH244" s="277"/>
      <c r="AI244" s="277"/>
      <c r="AJ244" s="277"/>
      <c r="AK244" s="277"/>
      <c r="AL244" s="277"/>
      <c r="AM244" s="277"/>
      <c r="AN244" s="277"/>
      <c r="AO244" s="277"/>
      <c r="AP244" s="277"/>
      <c r="AQ244" s="277"/>
      <c r="AR244" s="277"/>
      <c r="AS244" s="277"/>
      <c r="AT244" s="277"/>
      <c r="AU244" s="277"/>
      <c r="AV244" s="277"/>
      <c r="AW244" s="277"/>
      <c r="AX244" s="277"/>
      <c r="AY244" s="277"/>
      <c r="AZ244" s="277"/>
      <c r="BA244" s="277"/>
      <c r="BB244" s="277"/>
      <c r="BC244" s="277"/>
      <c r="BD244" s="277"/>
      <c r="BE244" s="277"/>
      <c r="BF244" s="277"/>
      <c r="BG244" s="277"/>
      <c r="BH244" s="277"/>
      <c r="BI244" s="277"/>
      <c r="BJ244" s="277"/>
      <c r="BK244" s="277"/>
    </row>
    <row r="245" spans="1:63" ht="13" x14ac:dyDescent="0.3">
      <c r="A245" s="368"/>
      <c r="B245" s="39" t="s">
        <v>418</v>
      </c>
      <c r="C245" s="1235">
        <v>0.1</v>
      </c>
      <c r="D245" s="368"/>
      <c r="E245" s="368"/>
      <c r="F245" s="368"/>
      <c r="G245" s="368"/>
      <c r="H245" s="368"/>
      <c r="I245" s="368"/>
      <c r="J245" s="368"/>
      <c r="K245" s="277"/>
      <c r="L245" s="277"/>
      <c r="M245" s="277"/>
      <c r="N245" s="277"/>
      <c r="O245" s="277"/>
      <c r="P245" s="277"/>
      <c r="Q245" s="277"/>
      <c r="R245" s="277"/>
      <c r="S245" s="277"/>
      <c r="T245" s="294"/>
      <c r="U245" s="294"/>
      <c r="V245" s="294"/>
      <c r="W245" s="294"/>
      <c r="X245" s="294"/>
      <c r="Y245" s="294"/>
      <c r="Z245" s="294"/>
      <c r="AA245" s="294"/>
      <c r="AB245" s="294"/>
      <c r="AC245" s="277"/>
      <c r="AD245" s="277"/>
      <c r="AE245" s="277"/>
      <c r="AF245" s="277"/>
      <c r="AG245" s="277"/>
      <c r="AH245" s="277"/>
      <c r="AI245" s="277"/>
      <c r="AJ245" s="277"/>
      <c r="AK245" s="277"/>
      <c r="AL245" s="277"/>
      <c r="AM245" s="277"/>
      <c r="AN245" s="277"/>
      <c r="AO245" s="277"/>
      <c r="AP245" s="277"/>
      <c r="AQ245" s="277"/>
      <c r="AR245" s="277"/>
      <c r="AS245" s="277"/>
      <c r="AT245" s="277"/>
      <c r="AU245" s="277"/>
      <c r="AV245" s="277"/>
      <c r="AW245" s="277"/>
      <c r="AX245" s="277"/>
      <c r="AY245" s="277"/>
      <c r="AZ245" s="277"/>
      <c r="BA245" s="277"/>
      <c r="BB245" s="277"/>
      <c r="BC245" s="277"/>
      <c r="BD245" s="277"/>
      <c r="BE245" s="277"/>
      <c r="BF245" s="277"/>
      <c r="BG245" s="277"/>
      <c r="BH245" s="277"/>
      <c r="BI245" s="277"/>
      <c r="BJ245" s="277"/>
      <c r="BK245" s="277"/>
    </row>
    <row r="246" spans="1:63" ht="13.5" thickBot="1" x14ac:dyDescent="0.35">
      <c r="A246" s="368"/>
      <c r="B246" s="97" t="s">
        <v>419</v>
      </c>
      <c r="C246" s="1236">
        <f>'Retrofit Worksheet'!AZ78</f>
        <v>0</v>
      </c>
      <c r="D246" s="368"/>
      <c r="E246" s="368"/>
      <c r="F246" s="368"/>
      <c r="G246" s="368"/>
      <c r="H246" s="368"/>
      <c r="I246" s="368"/>
      <c r="J246" s="368"/>
      <c r="K246" s="277"/>
      <c r="L246" s="277"/>
      <c r="M246" s="277"/>
      <c r="N246" s="277"/>
      <c r="O246" s="277"/>
      <c r="P246" s="277"/>
      <c r="Q246" s="277"/>
      <c r="R246" s="277"/>
      <c r="S246" s="277"/>
      <c r="T246" s="294"/>
      <c r="U246" s="294"/>
      <c r="V246" s="294"/>
      <c r="W246" s="294"/>
      <c r="X246" s="294"/>
      <c r="Y246" s="294"/>
      <c r="Z246" s="294"/>
      <c r="AA246" s="294"/>
      <c r="AB246" s="294"/>
      <c r="AC246" s="277"/>
      <c r="AD246" s="277"/>
      <c r="AE246" s="277"/>
      <c r="AF246" s="277"/>
      <c r="AG246" s="277"/>
      <c r="AH246" s="277"/>
      <c r="AI246" s="277"/>
      <c r="AJ246" s="277"/>
      <c r="AK246" s="277"/>
      <c r="AL246" s="277"/>
      <c r="AM246" s="277"/>
      <c r="AN246" s="277"/>
      <c r="AO246" s="277"/>
      <c r="AP246" s="277"/>
      <c r="AQ246" s="277"/>
      <c r="AR246" s="277"/>
      <c r="AS246" s="277"/>
      <c r="AT246" s="277"/>
      <c r="AU246" s="277"/>
      <c r="AV246" s="277"/>
      <c r="AW246" s="277"/>
      <c r="AX246" s="277"/>
      <c r="AY246" s="277"/>
      <c r="AZ246" s="277"/>
      <c r="BA246" s="277"/>
      <c r="BB246" s="277"/>
      <c r="BC246" s="277"/>
      <c r="BD246" s="277"/>
      <c r="BE246" s="277"/>
      <c r="BF246" s="277"/>
      <c r="BG246" s="277"/>
      <c r="BH246" s="277"/>
      <c r="BI246" s="277"/>
      <c r="BJ246" s="277"/>
      <c r="BK246" s="277"/>
    </row>
    <row r="247" spans="1:63" ht="14" thickTop="1" thickBot="1" x14ac:dyDescent="0.35">
      <c r="A247" s="368"/>
      <c r="B247" s="87"/>
      <c r="D247" s="368"/>
      <c r="E247" s="368"/>
      <c r="F247" s="368"/>
      <c r="G247" s="368"/>
      <c r="H247" s="368"/>
      <c r="I247" s="368"/>
      <c r="J247" s="368"/>
      <c r="K247" s="277"/>
      <c r="L247" s="277"/>
      <c r="M247" s="277"/>
      <c r="N247" s="277"/>
      <c r="O247" s="277"/>
      <c r="P247" s="277"/>
      <c r="Q247" s="277"/>
      <c r="R247" s="277"/>
      <c r="S247" s="277"/>
      <c r="T247" s="294"/>
      <c r="U247" s="294"/>
      <c r="V247" s="294"/>
      <c r="W247" s="294"/>
      <c r="X247" s="294"/>
      <c r="Y247" s="294"/>
      <c r="Z247" s="294"/>
      <c r="AA247" s="294"/>
      <c r="AB247" s="294"/>
      <c r="AC247" s="277"/>
      <c r="AD247" s="277"/>
      <c r="AE247" s="277"/>
      <c r="AF247" s="277"/>
      <c r="AG247" s="277"/>
      <c r="AH247" s="277"/>
      <c r="AI247" s="277"/>
      <c r="AJ247" s="277"/>
      <c r="AK247" s="277"/>
      <c r="AL247" s="277"/>
      <c r="AM247" s="277"/>
      <c r="AN247" s="277"/>
      <c r="AO247" s="277"/>
      <c r="AP247" s="277"/>
      <c r="AQ247" s="277"/>
      <c r="AR247" s="277"/>
      <c r="AS247" s="277"/>
      <c r="AT247" s="277"/>
      <c r="AU247" s="277"/>
      <c r="AV247" s="277"/>
      <c r="AW247" s="277"/>
      <c r="AX247" s="277"/>
      <c r="AY247" s="277"/>
      <c r="AZ247" s="277"/>
      <c r="BA247" s="277"/>
      <c r="BB247" s="277"/>
      <c r="BC247" s="277"/>
      <c r="BD247" s="277"/>
      <c r="BE247" s="277"/>
      <c r="BF247" s="277"/>
      <c r="BG247" s="277"/>
      <c r="BH247" s="277"/>
      <c r="BI247" s="277"/>
      <c r="BJ247" s="277"/>
      <c r="BK247" s="277"/>
    </row>
    <row r="248" spans="1:63" ht="21" thickTop="1" thickBot="1" x14ac:dyDescent="0.45">
      <c r="A248" s="368"/>
      <c r="B248" s="522" t="s">
        <v>420</v>
      </c>
      <c r="C248" s="524"/>
      <c r="D248" s="368"/>
      <c r="E248" s="368"/>
      <c r="F248" s="368"/>
      <c r="G248" s="368"/>
      <c r="H248" s="368"/>
      <c r="I248" s="368"/>
      <c r="J248" s="368"/>
      <c r="K248" s="277"/>
      <c r="L248" s="277"/>
      <c r="M248" s="277"/>
      <c r="N248" s="277"/>
      <c r="O248" s="277"/>
      <c r="P248" s="277"/>
      <c r="Q248" s="277"/>
      <c r="R248" s="277"/>
      <c r="S248" s="277"/>
      <c r="T248" s="294"/>
      <c r="U248" s="294"/>
      <c r="V248" s="294"/>
      <c r="W248" s="294"/>
      <c r="X248" s="294"/>
      <c r="Y248" s="294"/>
      <c r="Z248" s="294"/>
      <c r="AA248" s="294"/>
      <c r="AB248" s="294"/>
      <c r="AC248" s="277"/>
      <c r="AD248" s="277"/>
      <c r="AE248" s="277"/>
      <c r="AF248" s="277"/>
      <c r="AG248" s="277"/>
      <c r="AH248" s="277"/>
      <c r="AI248" s="277"/>
      <c r="AJ248" s="277"/>
      <c r="AK248" s="277"/>
      <c r="AL248" s="277"/>
      <c r="AM248" s="277"/>
      <c r="AN248" s="277"/>
      <c r="AO248" s="277"/>
      <c r="AP248" s="277"/>
      <c r="AQ248" s="277"/>
      <c r="AR248" s="277"/>
      <c r="AS248" s="277"/>
      <c r="AT248" s="277"/>
      <c r="AU248" s="277"/>
      <c r="AV248" s="277"/>
      <c r="AW248" s="277"/>
      <c r="AX248" s="277"/>
      <c r="AY248" s="277"/>
      <c r="AZ248" s="277"/>
      <c r="BA248" s="277"/>
      <c r="BB248" s="277"/>
      <c r="BC248" s="277"/>
      <c r="BD248" s="277"/>
      <c r="BE248" s="277"/>
      <c r="BF248" s="277"/>
      <c r="BG248" s="277"/>
      <c r="BH248" s="277"/>
      <c r="BI248" s="277"/>
      <c r="BJ248" s="277"/>
      <c r="BK248" s="277"/>
    </row>
    <row r="249" spans="1:63" ht="13" x14ac:dyDescent="0.3">
      <c r="A249" s="368"/>
      <c r="B249" s="32"/>
      <c r="C249" s="94"/>
      <c r="D249" s="368"/>
      <c r="E249" s="368"/>
      <c r="F249" s="368"/>
      <c r="G249" s="368"/>
      <c r="H249" s="368"/>
      <c r="I249" s="368"/>
      <c r="J249" s="368"/>
      <c r="K249" s="277"/>
      <c r="L249" s="277"/>
      <c r="M249" s="277"/>
      <c r="N249" s="277"/>
      <c r="O249" s="277"/>
      <c r="P249" s="277"/>
      <c r="Q249" s="277"/>
      <c r="R249" s="277"/>
      <c r="S249" s="277"/>
      <c r="T249" s="294"/>
      <c r="U249" s="294"/>
      <c r="V249" s="294"/>
      <c r="W249" s="294"/>
      <c r="X249" s="294"/>
      <c r="Y249" s="294"/>
      <c r="Z249" s="294"/>
      <c r="AA249" s="294"/>
      <c r="AB249" s="294"/>
      <c r="AC249" s="277"/>
      <c r="AD249" s="277"/>
      <c r="AE249" s="277"/>
      <c r="AF249" s="277"/>
      <c r="AG249" s="277"/>
      <c r="AH249" s="277"/>
      <c r="AI249" s="277"/>
      <c r="AJ249" s="277"/>
      <c r="AK249" s="277"/>
      <c r="AL249" s="277"/>
      <c r="AM249" s="277"/>
      <c r="AN249" s="277"/>
      <c r="AO249" s="277"/>
      <c r="AP249" s="277"/>
      <c r="AQ249" s="277"/>
      <c r="AR249" s="277"/>
      <c r="AS249" s="277"/>
      <c r="AT249" s="277"/>
      <c r="AU249" s="277"/>
      <c r="AV249" s="277"/>
      <c r="AW249" s="277"/>
      <c r="AX249" s="277"/>
      <c r="AY249" s="277"/>
      <c r="AZ249" s="277"/>
      <c r="BA249" s="277"/>
      <c r="BB249" s="277"/>
      <c r="BC249" s="277"/>
      <c r="BD249" s="277"/>
      <c r="BE249" s="277"/>
      <c r="BF249" s="277"/>
      <c r="BG249" s="277"/>
      <c r="BH249" s="277"/>
      <c r="BI249" s="277"/>
      <c r="BJ249" s="277"/>
      <c r="BK249" s="277"/>
    </row>
    <row r="250" spans="1:63" ht="13" x14ac:dyDescent="0.3">
      <c r="A250" s="368"/>
      <c r="B250" s="39" t="s">
        <v>616</v>
      </c>
      <c r="C250" s="1237"/>
      <c r="D250" s="368"/>
      <c r="E250" s="368"/>
      <c r="F250" s="368"/>
      <c r="G250" s="368"/>
      <c r="H250" s="368"/>
      <c r="I250" s="368"/>
      <c r="J250" s="368"/>
      <c r="K250" s="277"/>
      <c r="L250" s="277"/>
      <c r="M250" s="277"/>
      <c r="N250" s="277"/>
      <c r="O250" s="277"/>
      <c r="P250" s="277"/>
      <c r="Q250" s="277"/>
      <c r="R250" s="277"/>
      <c r="S250" s="277"/>
      <c r="T250" s="294"/>
      <c r="U250" s="294"/>
      <c r="V250" s="294"/>
      <c r="W250" s="294"/>
      <c r="X250" s="294"/>
      <c r="Y250" s="294"/>
      <c r="Z250" s="294"/>
      <c r="AA250" s="294"/>
      <c r="AB250" s="294"/>
      <c r="AC250" s="277"/>
      <c r="AD250" s="277"/>
      <c r="AE250" s="277"/>
      <c r="AF250" s="277"/>
      <c r="AG250" s="277"/>
      <c r="AH250" s="277"/>
      <c r="AI250" s="277"/>
      <c r="AJ250" s="277"/>
      <c r="AK250" s="277"/>
      <c r="AL250" s="277"/>
      <c r="AM250" s="277"/>
      <c r="AN250" s="277"/>
      <c r="AO250" s="277"/>
      <c r="AP250" s="277"/>
      <c r="AQ250" s="277"/>
      <c r="AR250" s="277"/>
      <c r="AS250" s="277"/>
      <c r="AT250" s="277"/>
      <c r="AU250" s="277"/>
      <c r="AV250" s="277"/>
      <c r="AW250" s="277"/>
      <c r="AX250" s="277"/>
      <c r="AY250" s="277"/>
      <c r="AZ250" s="277"/>
      <c r="BA250" s="277"/>
      <c r="BB250" s="277"/>
      <c r="BC250" s="277"/>
      <c r="BD250" s="277"/>
      <c r="BE250" s="277"/>
      <c r="BF250" s="277"/>
      <c r="BG250" s="277"/>
      <c r="BH250" s="277"/>
      <c r="BI250" s="277"/>
      <c r="BJ250" s="277"/>
      <c r="BK250" s="277"/>
    </row>
    <row r="251" spans="1:63" ht="13.5" thickBot="1" x14ac:dyDescent="0.35">
      <c r="A251" s="368"/>
      <c r="B251" s="97" t="s">
        <v>421</v>
      </c>
      <c r="C251" s="1232"/>
      <c r="D251" s="368"/>
      <c r="E251" s="368"/>
      <c r="F251" s="368"/>
      <c r="G251" s="368"/>
      <c r="H251" s="368"/>
      <c r="I251" s="368"/>
      <c r="J251" s="368"/>
      <c r="K251" s="277"/>
      <c r="L251" s="277"/>
      <c r="M251" s="277"/>
      <c r="N251" s="277"/>
      <c r="O251" s="277"/>
      <c r="P251" s="277"/>
      <c r="Q251" s="277"/>
      <c r="R251" s="277"/>
      <c r="S251" s="277"/>
      <c r="T251" s="294"/>
      <c r="U251" s="294"/>
      <c r="V251" s="294"/>
      <c r="W251" s="294"/>
      <c r="X251" s="294"/>
      <c r="Y251" s="294"/>
      <c r="Z251" s="294"/>
      <c r="AA251" s="294"/>
      <c r="AB251" s="294"/>
      <c r="AC251" s="277"/>
      <c r="AD251" s="277"/>
      <c r="AE251" s="277"/>
      <c r="AF251" s="277"/>
      <c r="AG251" s="277"/>
      <c r="AH251" s="277"/>
      <c r="AI251" s="277"/>
      <c r="AJ251" s="277"/>
      <c r="AK251" s="277"/>
      <c r="AL251" s="277"/>
      <c r="AM251" s="277"/>
      <c r="AN251" s="277"/>
      <c r="AO251" s="277"/>
      <c r="AP251" s="277"/>
      <c r="AQ251" s="277"/>
      <c r="AR251" s="277"/>
      <c r="AS251" s="277"/>
      <c r="AT251" s="277"/>
      <c r="AU251" s="277"/>
      <c r="AV251" s="277"/>
      <c r="AW251" s="277"/>
      <c r="AX251" s="277"/>
      <c r="AY251" s="277"/>
      <c r="AZ251" s="277"/>
      <c r="BA251" s="277"/>
      <c r="BB251" s="277"/>
      <c r="BC251" s="277"/>
      <c r="BD251" s="277"/>
      <c r="BE251" s="277"/>
      <c r="BF251" s="277"/>
      <c r="BG251" s="277"/>
      <c r="BH251" s="277"/>
      <c r="BI251" s="277"/>
      <c r="BJ251" s="277"/>
      <c r="BK251" s="277"/>
    </row>
    <row r="252" spans="1:63" ht="14" thickTop="1" thickBot="1" x14ac:dyDescent="0.35">
      <c r="A252" s="368"/>
      <c r="B252" s="87"/>
      <c r="D252" s="368"/>
      <c r="E252" s="368"/>
      <c r="F252" s="368"/>
      <c r="G252" s="368"/>
      <c r="H252" s="368"/>
      <c r="I252" s="368"/>
      <c r="J252" s="368"/>
      <c r="K252" s="277"/>
      <c r="L252" s="277"/>
      <c r="M252" s="277"/>
      <c r="N252" s="277"/>
      <c r="O252" s="277"/>
      <c r="P252" s="277"/>
      <c r="Q252" s="277"/>
      <c r="R252" s="277"/>
      <c r="S252" s="277"/>
      <c r="T252" s="294"/>
      <c r="U252" s="294"/>
      <c r="V252" s="294"/>
      <c r="W252" s="294"/>
      <c r="X252" s="294"/>
      <c r="Y252" s="294"/>
      <c r="Z252" s="294"/>
      <c r="AA252" s="294"/>
      <c r="AB252" s="294"/>
      <c r="AC252" s="277"/>
      <c r="AD252" s="277"/>
      <c r="AE252" s="277"/>
      <c r="AF252" s="277"/>
      <c r="AG252" s="277"/>
      <c r="AH252" s="277"/>
      <c r="AI252" s="277"/>
      <c r="AJ252" s="277"/>
      <c r="AK252" s="277"/>
      <c r="AL252" s="277"/>
      <c r="AM252" s="277"/>
      <c r="AN252" s="277"/>
      <c r="AO252" s="277"/>
      <c r="AP252" s="277"/>
      <c r="AQ252" s="277"/>
      <c r="AR252" s="277"/>
      <c r="AS252" s="277"/>
      <c r="AT252" s="277"/>
      <c r="AU252" s="277"/>
      <c r="AV252" s="277"/>
      <c r="AW252" s="277"/>
      <c r="AX252" s="277"/>
      <c r="AY252" s="277"/>
      <c r="AZ252" s="277"/>
      <c r="BA252" s="277"/>
      <c r="BB252" s="277"/>
      <c r="BC252" s="277"/>
      <c r="BD252" s="277"/>
      <c r="BE252" s="277"/>
      <c r="BF252" s="277"/>
      <c r="BG252" s="277"/>
      <c r="BH252" s="277"/>
      <c r="BI252" s="277"/>
      <c r="BJ252" s="277"/>
      <c r="BK252" s="277"/>
    </row>
    <row r="253" spans="1:63" ht="21" thickTop="1" thickBot="1" x14ac:dyDescent="0.45">
      <c r="A253" s="368"/>
      <c r="B253" s="522" t="s">
        <v>422</v>
      </c>
      <c r="C253" s="524"/>
      <c r="D253" s="368"/>
      <c r="E253" s="368"/>
      <c r="F253" s="368"/>
      <c r="G253" s="368"/>
      <c r="H253" s="368"/>
      <c r="I253" s="368"/>
      <c r="J253" s="368"/>
      <c r="K253" s="277"/>
      <c r="L253" s="277"/>
      <c r="M253" s="277"/>
      <c r="N253" s="277"/>
      <c r="O253" s="277"/>
      <c r="P253" s="277"/>
      <c r="Q253" s="277"/>
      <c r="R253" s="277"/>
      <c r="S253" s="277"/>
      <c r="T253" s="294"/>
      <c r="U253" s="294"/>
      <c r="V253" s="294"/>
      <c r="W253" s="294"/>
      <c r="X253" s="294"/>
      <c r="Y253" s="294"/>
      <c r="Z253" s="294"/>
      <c r="AA253" s="294"/>
      <c r="AB253" s="294"/>
      <c r="AC253" s="277"/>
      <c r="AD253" s="277"/>
      <c r="AE253" s="277"/>
      <c r="AF253" s="277"/>
      <c r="AG253" s="277"/>
      <c r="AH253" s="277"/>
      <c r="AI253" s="277"/>
      <c r="AJ253" s="277"/>
      <c r="AK253" s="277"/>
      <c r="AL253" s="277"/>
      <c r="AM253" s="277"/>
      <c r="AN253" s="277"/>
      <c r="AO253" s="277"/>
      <c r="AP253" s="277"/>
      <c r="AQ253" s="277"/>
      <c r="AR253" s="277"/>
      <c r="AS253" s="277"/>
      <c r="AT253" s="277"/>
      <c r="AU253" s="277"/>
      <c r="AV253" s="277"/>
      <c r="AW253" s="277"/>
      <c r="AX253" s="277"/>
      <c r="AY253" s="277"/>
      <c r="AZ253" s="277"/>
      <c r="BA253" s="277"/>
      <c r="BB253" s="277"/>
      <c r="BC253" s="277"/>
      <c r="BD253" s="277"/>
      <c r="BE253" s="277"/>
      <c r="BF253" s="277"/>
      <c r="BG253" s="277"/>
      <c r="BH253" s="277"/>
      <c r="BI253" s="277"/>
      <c r="BJ253" s="277"/>
      <c r="BK253" s="277"/>
    </row>
    <row r="254" spans="1:63" ht="13" x14ac:dyDescent="0.3">
      <c r="A254" s="368"/>
      <c r="B254" s="32"/>
      <c r="C254" s="94"/>
      <c r="D254" s="368"/>
      <c r="E254" s="368"/>
      <c r="F254" s="368"/>
      <c r="G254" s="368"/>
      <c r="H254" s="368"/>
      <c r="I254" s="368"/>
      <c r="J254" s="368"/>
      <c r="K254" s="277"/>
      <c r="L254" s="277"/>
      <c r="M254" s="277"/>
      <c r="N254" s="277"/>
      <c r="O254" s="277"/>
      <c r="P254" s="277"/>
      <c r="Q254" s="277"/>
      <c r="R254" s="277"/>
      <c r="S254" s="277"/>
      <c r="T254" s="294"/>
      <c r="U254" s="294"/>
      <c r="V254" s="294"/>
      <c r="W254" s="294"/>
      <c r="X254" s="294"/>
      <c r="Y254" s="294"/>
      <c r="Z254" s="294"/>
      <c r="AA254" s="294"/>
      <c r="AB254" s="294"/>
      <c r="AC254" s="277"/>
      <c r="AD254" s="277"/>
      <c r="AE254" s="277"/>
      <c r="AF254" s="277"/>
      <c r="AG254" s="277"/>
      <c r="AH254" s="277"/>
      <c r="AI254" s="277"/>
      <c r="AJ254" s="277"/>
      <c r="AK254" s="277"/>
      <c r="AL254" s="277"/>
      <c r="AM254" s="277"/>
      <c r="AN254" s="277"/>
      <c r="AO254" s="277"/>
      <c r="AP254" s="277"/>
      <c r="AQ254" s="277"/>
      <c r="AR254" s="277"/>
      <c r="AS254" s="277"/>
      <c r="AT254" s="277"/>
      <c r="AU254" s="277"/>
      <c r="AV254" s="277"/>
      <c r="AW254" s="277"/>
      <c r="AX254" s="277"/>
      <c r="AY254" s="277"/>
      <c r="AZ254" s="277"/>
      <c r="BA254" s="277"/>
      <c r="BB254" s="277"/>
    </row>
    <row r="255" spans="1:63" customFormat="1" ht="13" x14ac:dyDescent="0.3">
      <c r="A255" s="368"/>
      <c r="B255" s="39" t="s">
        <v>423</v>
      </c>
      <c r="C255" s="1231"/>
      <c r="D255" s="368"/>
      <c r="E255" s="368"/>
      <c r="F255" s="368"/>
      <c r="G255" s="368"/>
      <c r="H255" s="368"/>
      <c r="I255" s="368"/>
      <c r="J255" s="368"/>
      <c r="K255" s="277"/>
      <c r="L255" s="277"/>
      <c r="M255" s="277"/>
      <c r="N255" s="277"/>
      <c r="O255" s="277"/>
      <c r="P255" s="277"/>
      <c r="Q255" s="277"/>
      <c r="R255" s="277"/>
      <c r="S255" s="277"/>
      <c r="T255" s="294"/>
      <c r="U255" s="294"/>
      <c r="V255" s="294"/>
      <c r="W255" s="294"/>
      <c r="X255" s="294"/>
      <c r="Y255" s="294"/>
      <c r="Z255" s="294"/>
      <c r="AA255" s="294"/>
      <c r="AB255" s="294"/>
      <c r="AC255" s="277"/>
      <c r="AD255" s="277"/>
      <c r="AE255" s="277"/>
      <c r="AF255" s="277"/>
      <c r="AG255" s="277"/>
      <c r="AH255" s="277"/>
      <c r="AI255" s="277"/>
      <c r="AJ255" s="277"/>
      <c r="AK255" s="277"/>
      <c r="AL255" s="277"/>
      <c r="AM255" s="277"/>
      <c r="AN255" s="277"/>
      <c r="AO255" s="277"/>
      <c r="AP255" s="277"/>
      <c r="AQ255" s="277"/>
      <c r="AR255" s="277"/>
      <c r="AS255" s="277"/>
      <c r="AT255" s="277"/>
      <c r="AU255" s="277"/>
      <c r="AV255" s="277"/>
      <c r="AW255" s="277"/>
      <c r="AX255" s="277"/>
      <c r="AY255" s="277"/>
      <c r="AZ255" s="277"/>
      <c r="BA255" s="277"/>
      <c r="BB255" s="277"/>
    </row>
    <row r="256" spans="1:63" customFormat="1" ht="13.5" thickBot="1" x14ac:dyDescent="0.35">
      <c r="A256" s="368"/>
      <c r="B256" s="97" t="s">
        <v>421</v>
      </c>
      <c r="C256" s="1232">
        <f>'Retrofit Worksheet'!AZ79</f>
        <v>0</v>
      </c>
      <c r="D256" s="368"/>
      <c r="E256" s="368"/>
      <c r="F256" s="368"/>
      <c r="G256" s="368"/>
      <c r="H256" s="368"/>
      <c r="I256" s="368"/>
      <c r="J256" s="368"/>
      <c r="K256" s="277"/>
      <c r="L256" s="277"/>
      <c r="M256" s="277"/>
      <c r="N256" s="277"/>
      <c r="O256" s="277"/>
      <c r="P256" s="277"/>
      <c r="Q256" s="277"/>
      <c r="R256" s="277"/>
      <c r="S256" s="277"/>
      <c r="T256" s="294"/>
      <c r="U256" s="294"/>
      <c r="V256" s="294"/>
      <c r="W256" s="294"/>
      <c r="X256" s="294"/>
      <c r="Y256" s="294"/>
      <c r="Z256" s="294"/>
      <c r="AA256" s="294"/>
      <c r="AB256" s="294"/>
      <c r="AC256" s="277"/>
      <c r="AD256" s="277"/>
      <c r="AE256" s="277"/>
      <c r="AF256" s="277"/>
      <c r="AG256" s="277"/>
      <c r="AH256" s="277"/>
      <c r="AI256" s="277"/>
      <c r="AJ256" s="277"/>
      <c r="AK256" s="277"/>
      <c r="AL256" s="277"/>
      <c r="AM256" s="277"/>
      <c r="AN256" s="277"/>
      <c r="AO256" s="277"/>
      <c r="AP256" s="277"/>
      <c r="AQ256" s="277"/>
      <c r="AR256" s="277"/>
      <c r="AS256" s="277"/>
      <c r="AT256" s="277"/>
      <c r="AU256" s="277"/>
      <c r="AV256" s="277"/>
      <c r="AW256" s="277"/>
      <c r="AX256" s="277"/>
      <c r="AY256" s="277"/>
      <c r="AZ256" s="277"/>
      <c r="BA256" s="277"/>
      <c r="BB256" s="277"/>
    </row>
    <row r="257" spans="1:54" customFormat="1" ht="13.5" thickTop="1" x14ac:dyDescent="0.3">
      <c r="A257" s="368"/>
      <c r="B257" s="87"/>
      <c r="C257" s="114"/>
      <c r="D257" s="368"/>
      <c r="E257" s="368"/>
      <c r="F257" s="368"/>
      <c r="G257" s="368"/>
      <c r="H257" s="368"/>
      <c r="I257" s="368"/>
      <c r="J257" s="368"/>
      <c r="K257" s="277"/>
      <c r="L257" s="277"/>
      <c r="M257" s="277"/>
      <c r="N257" s="277"/>
      <c r="O257" s="277"/>
      <c r="P257" s="277"/>
      <c r="Q257" s="277"/>
      <c r="R257" s="277"/>
      <c r="S257" s="277"/>
      <c r="T257" s="294"/>
      <c r="U257" s="294"/>
      <c r="V257" s="294"/>
      <c r="W257" s="294"/>
      <c r="X257" s="294"/>
      <c r="Y257" s="294"/>
      <c r="Z257" s="294"/>
      <c r="AA257" s="294"/>
      <c r="AB257" s="294"/>
      <c r="AC257" s="277"/>
      <c r="AD257" s="277"/>
      <c r="AE257" s="277"/>
      <c r="AF257" s="277"/>
      <c r="AG257" s="277"/>
      <c r="AH257" s="277"/>
      <c r="AI257" s="277"/>
      <c r="AJ257" s="277"/>
      <c r="AK257" s="277"/>
      <c r="AL257" s="277"/>
      <c r="AM257" s="277"/>
      <c r="AN257" s="277"/>
      <c r="AO257" s="277"/>
      <c r="AP257" s="277"/>
      <c r="AQ257" s="277"/>
      <c r="AR257" s="277"/>
      <c r="AS257" s="277"/>
      <c r="AT257" s="277"/>
      <c r="AU257" s="277"/>
      <c r="AV257" s="277"/>
      <c r="AW257" s="277"/>
      <c r="AX257" s="277"/>
      <c r="AY257" s="277"/>
      <c r="AZ257" s="277"/>
      <c r="BA257" s="277"/>
      <c r="BB257" s="277"/>
    </row>
    <row r="258" spans="1:54" s="261" customFormat="1" ht="13.5" thickBot="1" x14ac:dyDescent="0.35">
      <c r="A258" s="368"/>
      <c r="D258" s="277"/>
      <c r="E258" s="277"/>
      <c r="F258" s="277"/>
      <c r="G258" s="277"/>
      <c r="H258" s="277"/>
      <c r="I258" s="277"/>
      <c r="J258" s="277"/>
      <c r="K258" s="277"/>
      <c r="L258" s="277"/>
      <c r="M258" s="277"/>
      <c r="N258" s="277"/>
      <c r="O258" s="277"/>
      <c r="P258" s="277"/>
      <c r="Q258" s="277"/>
      <c r="R258" s="277"/>
      <c r="S258" s="277"/>
      <c r="T258" s="294"/>
      <c r="U258" s="294"/>
      <c r="V258" s="294"/>
      <c r="W258" s="294"/>
      <c r="X258" s="294"/>
      <c r="Y258" s="294"/>
      <c r="Z258" s="294"/>
      <c r="AA258" s="294"/>
      <c r="AB258" s="294"/>
      <c r="AC258" s="277"/>
      <c r="AD258" s="277"/>
      <c r="AE258" s="277"/>
      <c r="AF258" s="277"/>
      <c r="AG258" s="277"/>
      <c r="AH258" s="277"/>
      <c r="AI258" s="277"/>
      <c r="AJ258" s="277"/>
      <c r="AK258" s="277"/>
      <c r="AL258" s="277"/>
      <c r="AM258" s="277"/>
      <c r="AN258" s="277"/>
      <c r="AO258" s="277"/>
      <c r="AP258" s="277"/>
      <c r="AQ258" s="277"/>
      <c r="AR258" s="277"/>
      <c r="AS258" s="277"/>
      <c r="AT258" s="277"/>
      <c r="AU258" s="277"/>
      <c r="AV258" s="277"/>
      <c r="AW258" s="277"/>
      <c r="AX258" s="277"/>
      <c r="AY258" s="277"/>
      <c r="AZ258" s="277"/>
      <c r="BA258" s="277"/>
      <c r="BB258" s="277"/>
    </row>
    <row r="259" spans="1:54" ht="24" customHeight="1" thickTop="1" thickBot="1" x14ac:dyDescent="0.45">
      <c r="A259" s="368"/>
      <c r="B259" s="522" t="s">
        <v>424</v>
      </c>
      <c r="C259" s="523"/>
      <c r="D259" s="277"/>
      <c r="E259" s="277"/>
      <c r="F259" s="277"/>
      <c r="G259" s="277"/>
      <c r="H259" s="277"/>
      <c r="I259" s="277"/>
      <c r="J259" s="277"/>
      <c r="K259" s="277"/>
      <c r="L259" s="277"/>
      <c r="M259" s="277"/>
      <c r="N259" s="277"/>
      <c r="O259" s="277"/>
      <c r="P259" s="277"/>
      <c r="Q259" s="277"/>
      <c r="R259" s="277"/>
      <c r="S259" s="277"/>
      <c r="T259" s="294"/>
      <c r="U259" s="294"/>
      <c r="V259" s="294"/>
      <c r="W259" s="294"/>
      <c r="X259" s="294"/>
      <c r="Y259" s="294"/>
      <c r="Z259" s="294"/>
      <c r="AA259" s="294"/>
      <c r="AB259" s="294"/>
      <c r="AC259" s="277"/>
      <c r="AD259" s="277"/>
      <c r="AE259" s="277"/>
      <c r="AF259" s="277"/>
      <c r="AG259" s="277"/>
      <c r="AH259" s="277"/>
      <c r="AI259" s="277"/>
      <c r="AJ259" s="277"/>
      <c r="AK259" s="277"/>
      <c r="AL259" s="277"/>
      <c r="AM259" s="277"/>
      <c r="AN259" s="277"/>
      <c r="AO259" s="277"/>
      <c r="AP259" s="277"/>
      <c r="AQ259" s="277"/>
      <c r="AR259" s="277"/>
      <c r="AS259" s="277"/>
      <c r="AT259" s="277"/>
      <c r="AU259" s="277"/>
      <c r="AV259" s="277"/>
      <c r="AW259" s="277"/>
      <c r="AX259" s="277"/>
      <c r="AY259" s="277"/>
      <c r="AZ259" s="277"/>
      <c r="BA259" s="277"/>
      <c r="BB259" s="277"/>
    </row>
    <row r="260" spans="1:54" ht="11.25" customHeight="1" x14ac:dyDescent="0.3">
      <c r="A260" s="368"/>
      <c r="B260" s="32"/>
      <c r="C260" s="94"/>
      <c r="D260" s="277"/>
      <c r="E260" s="277"/>
      <c r="F260" s="277"/>
      <c r="G260" s="277"/>
      <c r="H260" s="277"/>
      <c r="I260" s="277"/>
      <c r="J260" s="277"/>
      <c r="K260" s="277"/>
      <c r="L260" s="277"/>
      <c r="M260" s="277"/>
      <c r="N260" s="277"/>
      <c r="O260" s="277"/>
      <c r="P260" s="277"/>
      <c r="Q260" s="277"/>
      <c r="R260" s="277"/>
      <c r="S260" s="277"/>
      <c r="T260" s="294"/>
      <c r="U260" s="294"/>
      <c r="V260" s="294"/>
      <c r="W260" s="294"/>
      <c r="X260" s="294"/>
      <c r="Y260" s="294"/>
      <c r="Z260" s="294"/>
      <c r="AA260" s="294"/>
      <c r="AB260" s="294"/>
      <c r="AC260" s="277"/>
      <c r="AD260" s="277"/>
      <c r="AE260" s="277"/>
      <c r="AF260" s="277"/>
      <c r="AG260" s="277"/>
      <c r="AH260" s="277"/>
      <c r="AI260" s="277"/>
      <c r="AJ260" s="277"/>
      <c r="AK260" s="277"/>
      <c r="AL260" s="277"/>
      <c r="AM260" s="277"/>
      <c r="AN260" s="277"/>
      <c r="AO260" s="277"/>
      <c r="AP260" s="277"/>
      <c r="AQ260" s="277"/>
      <c r="AR260" s="277"/>
      <c r="AS260" s="277"/>
      <c r="AT260" s="277"/>
      <c r="AU260" s="277"/>
      <c r="AV260" s="277"/>
      <c r="AW260" s="277"/>
      <c r="AX260" s="277"/>
      <c r="AY260" s="277"/>
      <c r="AZ260" s="277"/>
      <c r="BA260" s="277"/>
      <c r="BB260" s="277"/>
    </row>
    <row r="261" spans="1:54" ht="11.25" customHeight="1" x14ac:dyDescent="0.3">
      <c r="A261" s="368"/>
      <c r="B261" s="39" t="s">
        <v>376</v>
      </c>
      <c r="C261" s="1230" t="s">
        <v>280</v>
      </c>
      <c r="D261" s="277"/>
      <c r="E261" s="277"/>
      <c r="F261" s="277"/>
      <c r="G261" s="277"/>
      <c r="H261" s="277"/>
      <c r="I261" s="277"/>
      <c r="J261" s="277"/>
      <c r="K261" s="277"/>
      <c r="L261" s="277"/>
      <c r="M261" s="277"/>
      <c r="N261" s="277"/>
      <c r="O261" s="277"/>
      <c r="P261" s="277"/>
      <c r="Q261" s="277"/>
      <c r="R261" s="277"/>
      <c r="S261" s="277"/>
      <c r="T261" s="294"/>
      <c r="U261" s="294"/>
      <c r="V261" s="294"/>
      <c r="W261" s="294"/>
      <c r="X261" s="294"/>
      <c r="Y261" s="294"/>
      <c r="Z261" s="294"/>
      <c r="AA261" s="294"/>
      <c r="AB261" s="294"/>
      <c r="AC261" s="277"/>
      <c r="AD261" s="277"/>
      <c r="AE261" s="277"/>
      <c r="AF261" s="277"/>
      <c r="AG261" s="277"/>
      <c r="AH261" s="277"/>
      <c r="AI261" s="277"/>
      <c r="AJ261" s="277"/>
      <c r="AK261" s="277"/>
      <c r="AL261" s="277"/>
      <c r="AM261" s="277"/>
      <c r="AN261" s="277"/>
      <c r="AO261" s="277"/>
      <c r="AP261" s="277"/>
      <c r="AQ261" s="277"/>
      <c r="AR261" s="277"/>
      <c r="AS261" s="277"/>
      <c r="AT261" s="277"/>
      <c r="AU261" s="277"/>
      <c r="AV261" s="277"/>
      <c r="AW261" s="277"/>
      <c r="AX261" s="277"/>
      <c r="AY261" s="277"/>
      <c r="AZ261" s="277"/>
      <c r="BA261" s="277"/>
      <c r="BB261" s="277"/>
    </row>
    <row r="262" spans="1:54" ht="12.75" customHeight="1" x14ac:dyDescent="0.3">
      <c r="A262" s="368"/>
      <c r="B262" s="39" t="s">
        <v>291</v>
      </c>
      <c r="C262" s="1231">
        <v>0.4</v>
      </c>
      <c r="D262" s="290"/>
      <c r="E262" s="277"/>
      <c r="F262" s="277"/>
      <c r="G262" s="277"/>
      <c r="H262" s="277"/>
      <c r="I262" s="277"/>
      <c r="J262" s="277"/>
      <c r="K262" s="277"/>
      <c r="L262" s="277"/>
      <c r="M262" s="277"/>
      <c r="N262" s="277"/>
      <c r="O262" s="277"/>
      <c r="P262" s="277"/>
      <c r="Q262" s="277"/>
      <c r="R262" s="277"/>
      <c r="S262" s="277"/>
      <c r="T262" s="294"/>
      <c r="U262" s="294"/>
      <c r="V262" s="294"/>
      <c r="W262" s="294"/>
      <c r="X262" s="294"/>
      <c r="Y262" s="294"/>
      <c r="Z262" s="294"/>
      <c r="AA262" s="294"/>
      <c r="AB262" s="294"/>
      <c r="AC262" s="277"/>
      <c r="AD262" s="277"/>
      <c r="AE262" s="277"/>
      <c r="AF262" s="277"/>
      <c r="AG262" s="277"/>
      <c r="AH262" s="277"/>
      <c r="AI262" s="277"/>
      <c r="AJ262" s="277"/>
      <c r="AK262" s="277"/>
      <c r="AL262" s="277"/>
      <c r="AM262" s="277"/>
      <c r="AN262" s="277"/>
      <c r="AO262" s="277"/>
      <c r="AP262" s="277"/>
      <c r="AQ262" s="277"/>
      <c r="AR262" s="277"/>
      <c r="AS262" s="277"/>
      <c r="AT262" s="277"/>
      <c r="AU262" s="277"/>
      <c r="AV262" s="277"/>
      <c r="AW262" s="277"/>
      <c r="AX262" s="277"/>
      <c r="AY262" s="277"/>
      <c r="AZ262" s="277"/>
      <c r="BA262" s="277"/>
      <c r="BB262" s="277"/>
    </row>
    <row r="263" spans="1:54" ht="12.75" customHeight="1" thickBot="1" x14ac:dyDescent="0.35">
      <c r="A263" s="368"/>
      <c r="B263" s="97" t="s">
        <v>289</v>
      </c>
      <c r="C263" s="1232">
        <f>'Retrofit Worksheet'!AZ80/('Secondary Sources'!C18*'Secondary Sources'!C3)</f>
        <v>0</v>
      </c>
      <c r="D263" s="277"/>
      <c r="E263" s="277"/>
      <c r="F263" s="277"/>
      <c r="G263" s="277"/>
      <c r="H263" s="277"/>
      <c r="I263" s="277"/>
      <c r="J263" s="277"/>
      <c r="K263" s="277"/>
      <c r="L263" s="277"/>
      <c r="M263" s="277"/>
      <c r="N263" s="277"/>
      <c r="O263" s="277"/>
      <c r="P263" s="277"/>
      <c r="Q263" s="277"/>
      <c r="R263" s="277"/>
      <c r="S263" s="277"/>
      <c r="T263" s="294"/>
      <c r="U263" s="294"/>
      <c r="V263" s="294"/>
      <c r="W263" s="294"/>
      <c r="X263" s="294"/>
      <c r="Y263" s="294"/>
      <c r="Z263" s="294"/>
      <c r="AA263" s="294"/>
      <c r="AB263" s="294"/>
      <c r="AC263" s="277"/>
      <c r="AD263" s="277"/>
      <c r="AE263" s="277"/>
      <c r="AF263" s="277"/>
      <c r="AG263" s="277"/>
      <c r="AH263" s="277"/>
      <c r="AI263" s="277"/>
      <c r="AJ263" s="277"/>
      <c r="AK263" s="277"/>
      <c r="AL263" s="277"/>
      <c r="AM263" s="277"/>
      <c r="AN263" s="277"/>
      <c r="AO263" s="277"/>
      <c r="AP263" s="277"/>
      <c r="AQ263" s="277"/>
      <c r="AR263" s="277"/>
      <c r="AS263" s="277"/>
      <c r="AT263" s="277"/>
      <c r="AU263" s="277"/>
      <c r="AV263" s="277"/>
      <c r="AW263" s="277"/>
      <c r="AX263" s="277"/>
      <c r="AY263" s="277"/>
      <c r="AZ263" s="277"/>
      <c r="BA263" s="277"/>
      <c r="BB263" s="277"/>
    </row>
    <row r="264" spans="1:54" ht="12.75" customHeight="1" thickTop="1" thickBot="1" x14ac:dyDescent="0.3">
      <c r="A264" s="277"/>
      <c r="B264" s="277"/>
      <c r="C264" s="277"/>
      <c r="D264" s="277"/>
      <c r="E264" s="277"/>
      <c r="F264" s="277"/>
      <c r="G264" s="277"/>
      <c r="H264" s="277"/>
      <c r="I264" s="277"/>
      <c r="J264" s="277"/>
      <c r="K264" s="277"/>
      <c r="L264" s="277"/>
      <c r="M264" s="277"/>
      <c r="N264" s="277"/>
      <c r="O264" s="277"/>
      <c r="P264" s="277"/>
      <c r="Q264" s="277"/>
      <c r="R264" s="277"/>
      <c r="S264" s="277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77"/>
      <c r="AD264" s="277"/>
      <c r="AE264" s="277"/>
      <c r="AF264" s="277"/>
      <c r="AG264" s="277"/>
      <c r="AH264" s="277"/>
      <c r="AI264" s="277"/>
      <c r="AJ264" s="277"/>
      <c r="AK264" s="277"/>
      <c r="AL264" s="277"/>
      <c r="AM264" s="277"/>
      <c r="AN264" s="277"/>
      <c r="AO264" s="277"/>
      <c r="AP264" s="277"/>
      <c r="AQ264" s="277"/>
      <c r="AR264" s="277"/>
      <c r="AS264" s="277"/>
      <c r="AT264" s="277"/>
      <c r="AU264" s="277"/>
      <c r="AV264" s="277"/>
      <c r="AW264" s="277"/>
      <c r="AX264" s="277"/>
      <c r="AY264" s="277"/>
      <c r="AZ264" s="277"/>
      <c r="BA264" s="277"/>
      <c r="BB264" s="277"/>
    </row>
    <row r="265" spans="1:54" customFormat="1" ht="21" thickTop="1" thickBot="1" x14ac:dyDescent="0.45">
      <c r="A265" s="368"/>
      <c r="B265" s="522" t="s">
        <v>425</v>
      </c>
      <c r="C265" s="524"/>
      <c r="D265" s="368"/>
      <c r="E265" s="368"/>
      <c r="F265" s="368"/>
      <c r="G265" s="368"/>
      <c r="H265" s="368"/>
      <c r="I265" s="368"/>
      <c r="J265" s="368"/>
      <c r="K265" s="277"/>
      <c r="L265" s="277"/>
      <c r="M265" s="277"/>
      <c r="N265" s="277"/>
      <c r="O265" s="277"/>
      <c r="P265" s="277"/>
      <c r="Q265" s="277"/>
      <c r="R265" s="277"/>
      <c r="S265" s="277"/>
      <c r="T265" s="294"/>
      <c r="U265" s="294"/>
      <c r="V265" s="294"/>
      <c r="W265" s="294"/>
      <c r="X265" s="294"/>
      <c r="Y265" s="294"/>
      <c r="Z265" s="294"/>
      <c r="AA265" s="294"/>
      <c r="AB265" s="294"/>
      <c r="AC265" s="277"/>
      <c r="AD265" s="277"/>
      <c r="AE265" s="277"/>
      <c r="AF265" s="277"/>
      <c r="AG265" s="277"/>
      <c r="AH265" s="277"/>
      <c r="AI265" s="277"/>
      <c r="AJ265" s="277"/>
      <c r="AK265" s="277"/>
      <c r="AL265" s="277"/>
      <c r="AM265" s="277"/>
      <c r="AN265" s="277"/>
      <c r="AO265" s="277"/>
      <c r="AP265" s="277"/>
      <c r="AQ265" s="277"/>
      <c r="AR265" s="277"/>
      <c r="AS265" s="277"/>
      <c r="AT265" s="277"/>
      <c r="AU265" s="277"/>
      <c r="AV265" s="277"/>
      <c r="AW265" s="277"/>
      <c r="AX265" s="277"/>
      <c r="AY265" s="277"/>
      <c r="AZ265" s="277"/>
      <c r="BA265" s="277"/>
      <c r="BB265" s="277"/>
    </row>
    <row r="266" spans="1:54" ht="13" x14ac:dyDescent="0.3">
      <c r="A266" s="368"/>
      <c r="B266" s="32"/>
      <c r="C266" s="94"/>
      <c r="D266" s="368"/>
      <c r="E266" s="368"/>
      <c r="F266" s="368"/>
      <c r="G266" s="368"/>
      <c r="H266" s="368"/>
      <c r="I266" s="368"/>
      <c r="J266" s="368"/>
      <c r="K266" s="277"/>
      <c r="L266" s="277"/>
      <c r="M266" s="277"/>
      <c r="N266" s="277"/>
      <c r="O266" s="277"/>
      <c r="P266" s="277"/>
      <c r="Q266" s="277"/>
      <c r="R266" s="277"/>
      <c r="S266" s="277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77"/>
      <c r="AD266" s="277"/>
      <c r="AE266" s="277"/>
      <c r="AF266" s="277"/>
      <c r="AG266" s="277"/>
      <c r="AH266" s="277"/>
      <c r="AI266" s="277"/>
      <c r="AJ266" s="277"/>
      <c r="AK266" s="277"/>
      <c r="AL266" s="277"/>
      <c r="AM266" s="277"/>
      <c r="AN266" s="277"/>
      <c r="AO266" s="277"/>
      <c r="AP266" s="277"/>
      <c r="AQ266" s="277"/>
      <c r="AR266" s="277"/>
      <c r="AS266" s="277"/>
      <c r="AT266" s="277"/>
      <c r="AU266" s="277"/>
      <c r="AV266" s="277"/>
      <c r="AW266" s="277"/>
      <c r="AX266" s="277"/>
      <c r="AY266" s="277"/>
      <c r="AZ266" s="277"/>
      <c r="BA266" s="277"/>
      <c r="BB266" s="277"/>
    </row>
    <row r="267" spans="1:54" ht="13" x14ac:dyDescent="0.3">
      <c r="A267" s="368"/>
      <c r="B267" s="39" t="s">
        <v>426</v>
      </c>
      <c r="C267" s="1238" t="s">
        <v>280</v>
      </c>
      <c r="D267" s="717"/>
      <c r="E267" s="368"/>
      <c r="F267" s="368"/>
      <c r="G267" s="368"/>
      <c r="H267" s="368"/>
      <c r="I267" s="368"/>
      <c r="J267" s="368"/>
      <c r="K267" s="277"/>
      <c r="L267" s="277"/>
      <c r="M267" s="277"/>
      <c r="N267" s="277"/>
      <c r="O267" s="277"/>
      <c r="P267" s="277"/>
      <c r="Q267" s="277"/>
      <c r="R267" s="277"/>
      <c r="S267" s="277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77"/>
      <c r="AD267" s="277"/>
      <c r="AE267" s="277"/>
      <c r="AF267" s="277"/>
      <c r="AG267" s="277"/>
      <c r="AH267" s="277"/>
      <c r="AI267" s="277"/>
      <c r="AJ267" s="277"/>
      <c r="AK267" s="277"/>
      <c r="AL267" s="277"/>
      <c r="AM267" s="277"/>
      <c r="AN267" s="277"/>
      <c r="AO267" s="277"/>
      <c r="AP267" s="277"/>
      <c r="AQ267" s="277"/>
      <c r="AR267" s="277"/>
      <c r="AS267" s="277"/>
      <c r="AT267" s="277"/>
      <c r="AU267" s="277"/>
      <c r="AV267" s="277"/>
      <c r="AW267" s="277"/>
      <c r="AX267" s="277"/>
      <c r="AY267" s="277"/>
      <c r="AZ267" s="277"/>
      <c r="BA267" s="277"/>
      <c r="BB267" s="277"/>
    </row>
    <row r="268" spans="1:54" ht="13" x14ac:dyDescent="0.3">
      <c r="A268" s="368"/>
      <c r="B268" s="76" t="s">
        <v>427</v>
      </c>
      <c r="C268" s="1217">
        <v>1</v>
      </c>
      <c r="D268" s="368"/>
      <c r="E268" s="368"/>
      <c r="F268" s="368"/>
      <c r="G268" s="368"/>
      <c r="H268" s="368"/>
      <c r="I268" s="368"/>
      <c r="J268" s="368"/>
      <c r="K268" s="277"/>
      <c r="L268" s="277"/>
      <c r="M268" s="277"/>
      <c r="N268" s="277"/>
      <c r="O268" s="277"/>
      <c r="P268" s="277"/>
      <c r="Q268" s="277"/>
      <c r="R268" s="277"/>
      <c r="S268" s="277"/>
      <c r="T268" s="294"/>
      <c r="U268" s="294"/>
      <c r="V268" s="294"/>
      <c r="W268" s="294"/>
      <c r="X268" s="294"/>
      <c r="Y268" s="294"/>
      <c r="Z268" s="294"/>
      <c r="AA268" s="294"/>
      <c r="AB268" s="294"/>
      <c r="AC268" s="277"/>
      <c r="AD268" s="277"/>
      <c r="AE268" s="277"/>
      <c r="AF268" s="277"/>
      <c r="AG268" s="277"/>
      <c r="AH268" s="277"/>
      <c r="AI268" s="277"/>
      <c r="AJ268" s="277"/>
      <c r="AK268" s="277"/>
      <c r="AL268" s="277"/>
      <c r="AM268" s="277"/>
      <c r="AN268" s="277"/>
      <c r="AO268" s="277"/>
      <c r="AP268" s="277"/>
      <c r="AQ268" s="277"/>
      <c r="AR268" s="277"/>
      <c r="AS268" s="277"/>
      <c r="AT268" s="277"/>
      <c r="AU268" s="277"/>
      <c r="AV268" s="277"/>
      <c r="AW268" s="277"/>
      <c r="AX268" s="277"/>
      <c r="AY268" s="277"/>
      <c r="AZ268" s="277"/>
      <c r="BA268" s="277"/>
      <c r="BB268" s="277"/>
    </row>
    <row r="269" spans="1:54" ht="13" x14ac:dyDescent="0.3">
      <c r="A269" s="368"/>
      <c r="B269" s="76" t="s">
        <v>428</v>
      </c>
      <c r="C269" s="1649">
        <f>'Retrofit Worksheet'!AZ81/('Secondary Sources'!C18*'Secondary Sources'!C3)</f>
        <v>0</v>
      </c>
      <c r="D269" s="368"/>
      <c r="E269" s="368"/>
      <c r="F269" s="368"/>
      <c r="G269" s="368"/>
      <c r="H269" s="368"/>
      <c r="I269" s="368"/>
      <c r="J269" s="368"/>
      <c r="K269" s="277"/>
      <c r="L269" s="277"/>
      <c r="M269" s="277"/>
      <c r="N269" s="277"/>
      <c r="O269" s="277"/>
      <c r="P269" s="277"/>
      <c r="Q269" s="277"/>
      <c r="R269" s="277"/>
      <c r="S269" s="277"/>
      <c r="T269" s="294"/>
      <c r="U269" s="294"/>
      <c r="V269" s="294"/>
      <c r="W269" s="294"/>
      <c r="X269" s="294"/>
      <c r="Y269" s="294"/>
      <c r="Z269" s="294"/>
      <c r="AA269" s="294"/>
      <c r="AB269" s="294"/>
      <c r="AC269" s="277"/>
      <c r="AD269" s="277"/>
      <c r="AE269" s="277"/>
      <c r="AF269" s="277"/>
      <c r="AG269" s="277"/>
      <c r="AH269" s="277"/>
      <c r="AI269" s="277"/>
      <c r="AJ269" s="277"/>
      <c r="AK269" s="277"/>
      <c r="AL269" s="277"/>
      <c r="AM269" s="277"/>
      <c r="AN269" s="277"/>
      <c r="AO269" s="277"/>
      <c r="AP269" s="277"/>
      <c r="AQ269" s="277"/>
      <c r="AR269" s="277"/>
      <c r="AS269" s="277"/>
      <c r="AT269" s="277"/>
      <c r="AU269" s="277"/>
      <c r="AV269" s="277"/>
      <c r="AW269" s="277"/>
      <c r="AX269" s="277"/>
      <c r="AY269" s="277"/>
      <c r="AZ269" s="277"/>
      <c r="BA269" s="277"/>
      <c r="BB269" s="277"/>
    </row>
    <row r="270" spans="1:54" ht="13.5" thickBot="1" x14ac:dyDescent="0.35">
      <c r="A270" s="368"/>
      <c r="B270" s="97"/>
      <c r="C270" s="408"/>
      <c r="D270" s="368"/>
      <c r="E270" s="368"/>
      <c r="F270" s="368"/>
      <c r="G270" s="368"/>
      <c r="H270" s="368"/>
      <c r="I270" s="368"/>
      <c r="J270" s="368"/>
      <c r="K270" s="277"/>
      <c r="L270" s="277"/>
      <c r="M270" s="277"/>
      <c r="N270" s="277"/>
      <c r="O270" s="277"/>
      <c r="P270" s="277"/>
      <c r="Q270" s="277"/>
      <c r="R270" s="277"/>
      <c r="S270" s="277"/>
      <c r="T270" s="294"/>
      <c r="U270" s="294"/>
      <c r="V270" s="294"/>
      <c r="W270" s="294"/>
      <c r="X270" s="294"/>
      <c r="Y270" s="294"/>
      <c r="Z270" s="294"/>
      <c r="AA270" s="294"/>
      <c r="AB270" s="294"/>
      <c r="AC270" s="277"/>
      <c r="AD270" s="277"/>
      <c r="AE270" s="277"/>
      <c r="AF270" s="277"/>
      <c r="AG270" s="277"/>
      <c r="AH270" s="277"/>
      <c r="AI270" s="277"/>
      <c r="AJ270" s="277"/>
      <c r="AK270" s="277"/>
      <c r="AL270" s="277"/>
      <c r="AM270" s="277"/>
      <c r="AN270" s="277"/>
      <c r="AO270" s="277"/>
      <c r="AP270" s="277"/>
      <c r="AQ270" s="277"/>
      <c r="AR270" s="277"/>
      <c r="AS270" s="277"/>
      <c r="AT270" s="277"/>
      <c r="AU270" s="277"/>
      <c r="AV270" s="277"/>
      <c r="AW270" s="277"/>
      <c r="AX270" s="277"/>
      <c r="AY270" s="277"/>
      <c r="AZ270" s="277"/>
      <c r="BA270" s="277"/>
      <c r="BB270" s="277"/>
    </row>
    <row r="271" spans="1:54" ht="14" thickTop="1" thickBot="1" x14ac:dyDescent="0.35">
      <c r="A271" s="368"/>
      <c r="B271" s="87"/>
      <c r="D271" s="368"/>
      <c r="E271" s="368"/>
      <c r="F271" s="368"/>
      <c r="G271" s="368"/>
      <c r="H271" s="368"/>
      <c r="I271" s="368"/>
      <c r="J271" s="368"/>
      <c r="K271" s="277"/>
      <c r="L271" s="277"/>
      <c r="M271" s="277"/>
      <c r="N271" s="277"/>
      <c r="O271" s="277"/>
      <c r="P271" s="277"/>
      <c r="Q271" s="277"/>
      <c r="R271" s="277"/>
      <c r="S271" s="277"/>
      <c r="T271" s="294"/>
      <c r="U271" s="294"/>
      <c r="V271" s="294"/>
      <c r="W271" s="294"/>
      <c r="X271" s="294"/>
      <c r="Y271" s="294"/>
      <c r="Z271" s="294"/>
      <c r="AA271" s="294"/>
      <c r="AB271" s="294"/>
      <c r="AC271" s="277"/>
      <c r="AD271" s="277"/>
      <c r="AE271" s="277"/>
      <c r="AF271" s="277"/>
      <c r="AG271" s="277"/>
      <c r="AH271" s="277"/>
      <c r="AI271" s="277"/>
      <c r="AJ271" s="277"/>
      <c r="AK271" s="277"/>
      <c r="AL271" s="277"/>
      <c r="AM271" s="277"/>
      <c r="AN271" s="277"/>
      <c r="AO271" s="277"/>
      <c r="AP271" s="277"/>
      <c r="AQ271" s="277"/>
      <c r="AR271" s="277"/>
      <c r="AS271" s="277"/>
      <c r="AT271" s="277"/>
      <c r="AU271" s="277"/>
      <c r="AV271" s="277"/>
      <c r="AW271" s="277"/>
      <c r="AX271" s="277"/>
      <c r="AY271" s="277"/>
      <c r="AZ271" s="277"/>
      <c r="BA271" s="277"/>
      <c r="BB271" s="277"/>
    </row>
    <row r="272" spans="1:54" ht="21" thickTop="1" thickBot="1" x14ac:dyDescent="0.45">
      <c r="A272" s="368"/>
      <c r="B272" s="1930" t="s">
        <v>429</v>
      </c>
      <c r="C272" s="1931"/>
      <c r="D272" s="1931"/>
      <c r="E272" s="1931"/>
      <c r="F272" s="1931"/>
      <c r="G272" s="1932"/>
      <c r="H272" s="368"/>
      <c r="I272" s="368"/>
      <c r="J272" s="368"/>
      <c r="K272" s="277"/>
      <c r="L272" s="277"/>
      <c r="M272" s="277"/>
      <c r="N272" s="277"/>
      <c r="O272" s="277"/>
      <c r="P272" s="277"/>
      <c r="Q272" s="277"/>
      <c r="R272" s="277"/>
      <c r="S272" s="277"/>
      <c r="T272" s="294"/>
      <c r="U272" s="294"/>
      <c r="V272" s="294"/>
      <c r="W272" s="294"/>
      <c r="X272" s="294"/>
      <c r="Y272" s="294"/>
      <c r="Z272" s="294"/>
      <c r="AA272" s="294"/>
      <c r="AB272" s="294"/>
      <c r="AC272" s="277"/>
      <c r="AD272" s="277"/>
      <c r="AE272" s="277"/>
      <c r="AF272" s="277"/>
      <c r="AG272" s="277"/>
      <c r="AH272" s="277"/>
      <c r="AI272" s="277"/>
      <c r="AJ272" s="277"/>
      <c r="AK272" s="277"/>
      <c r="AL272" s="277"/>
      <c r="AM272" s="277"/>
      <c r="AN272" s="277"/>
      <c r="AO272" s="277"/>
      <c r="AP272" s="277"/>
      <c r="AQ272" s="277"/>
      <c r="AR272" s="277"/>
      <c r="AS272" s="277"/>
      <c r="AT272" s="277"/>
      <c r="AU272" s="277"/>
      <c r="AV272" s="277"/>
      <c r="AW272" s="277"/>
      <c r="AX272" s="277"/>
      <c r="AY272" s="277"/>
      <c r="AZ272" s="277"/>
      <c r="BA272" s="277"/>
      <c r="BB272" s="277"/>
    </row>
    <row r="273" spans="1:54" ht="13" x14ac:dyDescent="0.3">
      <c r="A273" s="368"/>
      <c r="B273" s="32"/>
      <c r="C273" s="93"/>
      <c r="D273" s="553"/>
      <c r="E273" s="553"/>
      <c r="F273" s="553"/>
      <c r="G273" s="554"/>
      <c r="H273" s="368"/>
      <c r="I273" s="368"/>
      <c r="J273" s="368"/>
      <c r="K273" s="277"/>
      <c r="L273" s="277"/>
      <c r="M273" s="277"/>
      <c r="N273" s="277"/>
      <c r="O273" s="277"/>
      <c r="P273" s="277"/>
      <c r="Q273" s="277"/>
      <c r="R273" s="277"/>
      <c r="S273" s="277"/>
      <c r="T273" s="294"/>
      <c r="U273" s="294"/>
      <c r="V273" s="294"/>
      <c r="W273" s="294"/>
      <c r="X273" s="294"/>
      <c r="Y273" s="294"/>
      <c r="Z273" s="294"/>
      <c r="AA273" s="294"/>
      <c r="AB273" s="294"/>
      <c r="AC273" s="277"/>
      <c r="AD273" s="277"/>
      <c r="AE273" s="277"/>
      <c r="AF273" s="277"/>
      <c r="AG273" s="277"/>
      <c r="AH273" s="277"/>
      <c r="AI273" s="277"/>
      <c r="AJ273" s="277"/>
      <c r="AK273" s="277"/>
      <c r="AL273" s="277"/>
      <c r="AM273" s="277"/>
      <c r="AN273" s="277"/>
      <c r="AO273" s="277"/>
      <c r="AP273" s="277"/>
      <c r="AQ273" s="277"/>
      <c r="AR273" s="277"/>
      <c r="AS273" s="277"/>
      <c r="AT273" s="277"/>
      <c r="AU273" s="277"/>
      <c r="AV273" s="277"/>
      <c r="AW273" s="277"/>
      <c r="AX273" s="277"/>
      <c r="AY273" s="277"/>
      <c r="AZ273" s="277"/>
      <c r="BA273" s="277"/>
      <c r="BB273" s="277"/>
    </row>
    <row r="274" spans="1:54" ht="13" x14ac:dyDescent="0.3">
      <c r="A274" s="368"/>
      <c r="B274" s="39" t="s">
        <v>426</v>
      </c>
      <c r="C274" s="1489" t="s">
        <v>280</v>
      </c>
      <c r="D274" s="555"/>
      <c r="E274" s="398"/>
      <c r="F274" s="556"/>
      <c r="G274" s="404"/>
      <c r="H274" s="368"/>
      <c r="I274" s="368"/>
      <c r="J274" s="368"/>
      <c r="K274" s="277"/>
      <c r="L274" s="277"/>
      <c r="M274" s="277"/>
      <c r="N274" s="277"/>
      <c r="O274" s="277"/>
      <c r="P274" s="277"/>
      <c r="Q274" s="277"/>
      <c r="R274" s="277"/>
      <c r="S274" s="277"/>
      <c r="T274" s="294"/>
      <c r="U274" s="294"/>
      <c r="V274" s="294"/>
      <c r="W274" s="294"/>
      <c r="X274" s="294"/>
      <c r="Y274" s="294"/>
      <c r="Z274" s="294"/>
      <c r="AA274" s="294"/>
      <c r="AB274" s="294"/>
      <c r="AC274" s="277"/>
      <c r="AD274" s="277"/>
      <c r="AE274" s="277"/>
      <c r="AF274" s="277"/>
      <c r="AG274" s="277"/>
      <c r="AH274" s="277"/>
      <c r="AI274" s="277"/>
      <c r="AJ274" s="277"/>
      <c r="AK274" s="277"/>
      <c r="AL274" s="277"/>
      <c r="AM274" s="277"/>
      <c r="AN274" s="277"/>
      <c r="AO274" s="277"/>
      <c r="AP274" s="277"/>
      <c r="AQ274" s="277"/>
      <c r="AR274" s="277"/>
      <c r="AS274" s="277"/>
      <c r="AT274" s="277"/>
      <c r="AU274" s="277"/>
      <c r="AV274" s="277"/>
      <c r="AW274" s="277"/>
      <c r="AX274" s="277"/>
      <c r="AY274" s="277"/>
      <c r="AZ274" s="277"/>
      <c r="BA274" s="277"/>
      <c r="BB274" s="277"/>
    </row>
    <row r="275" spans="1:54" ht="13" x14ac:dyDescent="0.3">
      <c r="A275" s="368"/>
      <c r="B275" s="76" t="s">
        <v>427</v>
      </c>
      <c r="C275" s="1239">
        <v>1</v>
      </c>
      <c r="D275" s="556"/>
      <c r="E275" s="555"/>
      <c r="F275" s="557"/>
      <c r="G275" s="367"/>
      <c r="H275" s="368"/>
      <c r="I275" s="368"/>
      <c r="J275" s="368"/>
      <c r="K275" s="277"/>
      <c r="L275" s="277"/>
      <c r="M275" s="277"/>
      <c r="N275" s="277"/>
      <c r="O275" s="277"/>
      <c r="P275" s="277"/>
      <c r="Q275" s="277"/>
      <c r="R275" s="277"/>
      <c r="S275" s="277"/>
      <c r="T275" s="294"/>
      <c r="U275" s="294"/>
      <c r="V275" s="294"/>
      <c r="W275" s="294"/>
      <c r="X275" s="294"/>
      <c r="Y275" s="294"/>
      <c r="Z275" s="294"/>
      <c r="AA275" s="294"/>
      <c r="AB275" s="294"/>
      <c r="AC275" s="277"/>
      <c r="AD275" s="277"/>
      <c r="AE275" s="277"/>
      <c r="AF275" s="277"/>
      <c r="AG275" s="277"/>
      <c r="AH275" s="277"/>
      <c r="AI275" s="277"/>
      <c r="AJ275" s="277"/>
      <c r="AK275" s="277"/>
      <c r="AL275" s="277"/>
      <c r="AM275" s="277"/>
      <c r="AN275" s="277"/>
      <c r="AO275" s="277"/>
      <c r="AP275" s="277"/>
      <c r="AQ275" s="277"/>
      <c r="AR275" s="277"/>
      <c r="AS275" s="277"/>
      <c r="AT275" s="277"/>
      <c r="AU275" s="277"/>
      <c r="AV275" s="277"/>
      <c r="AW275" s="277"/>
      <c r="AX275" s="277"/>
      <c r="AY275" s="277"/>
      <c r="AZ275" s="277"/>
      <c r="BA275" s="277"/>
      <c r="BB275" s="277"/>
    </row>
    <row r="276" spans="1:54" ht="13" x14ac:dyDescent="0.3">
      <c r="A276" s="368"/>
      <c r="B276" s="76" t="s">
        <v>430</v>
      </c>
      <c r="C276" s="1646">
        <f>'Retrofit Worksheet'!AZ82/('Secondary Sources'!C18*'Secondary Sources'!C3)</f>
        <v>0</v>
      </c>
      <c r="D276" s="557"/>
      <c r="E276" s="557"/>
      <c r="F276" s="557"/>
      <c r="G276" s="367"/>
      <c r="H276" s="368"/>
      <c r="I276" s="368"/>
      <c r="J276" s="368"/>
      <c r="K276" s="277"/>
      <c r="L276" s="277"/>
      <c r="M276" s="277"/>
      <c r="N276" s="277"/>
      <c r="O276" s="277"/>
      <c r="P276" s="277"/>
      <c r="Q276" s="277"/>
      <c r="R276" s="277"/>
      <c r="S276" s="277"/>
      <c r="T276" s="294"/>
      <c r="U276" s="294"/>
      <c r="V276" s="294"/>
      <c r="W276" s="294"/>
      <c r="X276" s="294"/>
      <c r="Y276" s="294"/>
      <c r="Z276" s="294"/>
      <c r="AA276" s="294"/>
      <c r="AB276" s="294"/>
      <c r="AC276" s="277"/>
      <c r="AD276" s="277"/>
      <c r="AE276" s="277"/>
      <c r="AF276" s="277"/>
      <c r="AG276" s="277"/>
      <c r="AH276" s="277"/>
      <c r="AI276" s="277"/>
      <c r="AJ276" s="277"/>
      <c r="AK276" s="277"/>
      <c r="AL276" s="277"/>
      <c r="AM276" s="277"/>
      <c r="AN276" s="277"/>
      <c r="AO276" s="277"/>
      <c r="AP276" s="277"/>
      <c r="AQ276" s="277"/>
      <c r="AR276" s="277"/>
      <c r="AS276" s="277"/>
      <c r="AT276" s="277"/>
      <c r="AU276" s="277"/>
      <c r="AV276" s="277"/>
      <c r="AW276" s="277"/>
      <c r="AX276" s="277"/>
      <c r="AY276" s="277"/>
      <c r="AZ276" s="277"/>
      <c r="BA276" s="277"/>
      <c r="BB276" s="277"/>
    </row>
    <row r="277" spans="1:54" ht="13" x14ac:dyDescent="0.3">
      <c r="A277" s="368"/>
      <c r="B277" s="76"/>
      <c r="C277" s="559"/>
      <c r="D277" s="559"/>
      <c r="E277" s="555"/>
      <c r="F277" s="557"/>
      <c r="G277" s="367"/>
      <c r="H277" s="368"/>
      <c r="I277" s="368"/>
      <c r="J277" s="368"/>
      <c r="K277" s="277"/>
      <c r="L277" s="277"/>
      <c r="M277" s="277"/>
      <c r="N277" s="277"/>
      <c r="O277" s="277"/>
      <c r="P277" s="277"/>
      <c r="Q277" s="277"/>
      <c r="R277" s="277"/>
      <c r="S277" s="277"/>
      <c r="T277" s="294"/>
      <c r="U277" s="294"/>
      <c r="V277" s="294"/>
      <c r="W277" s="294"/>
      <c r="X277" s="294"/>
      <c r="Y277" s="294"/>
      <c r="Z277" s="294"/>
      <c r="AA277" s="294"/>
      <c r="AB277" s="294"/>
      <c r="AC277" s="277"/>
      <c r="AD277" s="277"/>
      <c r="AE277" s="277"/>
      <c r="AF277" s="277"/>
      <c r="AG277" s="277"/>
      <c r="AH277" s="277"/>
      <c r="AI277" s="277"/>
      <c r="AJ277" s="277"/>
      <c r="AK277" s="277"/>
      <c r="AL277" s="277"/>
      <c r="AM277" s="277"/>
      <c r="AN277" s="277"/>
      <c r="AO277" s="277"/>
      <c r="AP277" s="277"/>
      <c r="AQ277" s="277"/>
      <c r="AR277" s="277"/>
      <c r="AS277" s="277"/>
      <c r="AT277" s="277"/>
      <c r="AU277" s="277"/>
      <c r="AV277" s="277"/>
      <c r="AW277" s="277"/>
      <c r="AX277" s="277"/>
      <c r="AY277" s="277"/>
      <c r="AZ277" s="277"/>
      <c r="BA277" s="277"/>
      <c r="BB277" s="277"/>
    </row>
    <row r="278" spans="1:54" ht="13" x14ac:dyDescent="0.3">
      <c r="A278" s="368"/>
      <c r="B278" s="76"/>
      <c r="C278" s="559"/>
      <c r="D278" s="77" t="s">
        <v>431</v>
      </c>
      <c r="E278" s="560"/>
      <c r="F278" s="220"/>
      <c r="G278" s="367"/>
      <c r="H278" s="368"/>
      <c r="I278" s="368"/>
      <c r="J278" s="368"/>
      <c r="K278" s="277"/>
      <c r="L278" s="277"/>
      <c r="M278" s="277"/>
      <c r="N278" s="277"/>
      <c r="O278" s="277"/>
      <c r="P278" s="277"/>
      <c r="Q278" s="277"/>
      <c r="R278" s="277"/>
      <c r="S278" s="277"/>
      <c r="T278" s="294"/>
      <c r="U278" s="294"/>
      <c r="V278" s="294"/>
      <c r="W278" s="294"/>
      <c r="X278" s="294"/>
      <c r="Y278" s="294"/>
      <c r="Z278" s="294"/>
      <c r="AA278" s="294"/>
      <c r="AB278" s="294"/>
      <c r="AC278" s="277"/>
      <c r="AD278" s="277"/>
      <c r="AE278" s="277"/>
      <c r="AF278" s="277"/>
      <c r="AG278" s="277"/>
      <c r="AH278" s="277"/>
      <c r="AI278" s="277"/>
      <c r="AJ278" s="277"/>
      <c r="AK278" s="277"/>
      <c r="AL278" s="277"/>
      <c r="AM278" s="277"/>
      <c r="AN278" s="277"/>
      <c r="AO278" s="277"/>
      <c r="AP278" s="277"/>
      <c r="AQ278" s="277"/>
      <c r="AR278" s="277"/>
      <c r="AS278" s="277"/>
      <c r="AT278" s="277"/>
      <c r="AU278" s="277"/>
      <c r="AV278" s="277"/>
      <c r="AW278" s="277"/>
      <c r="AX278" s="277"/>
      <c r="AY278" s="277"/>
      <c r="AZ278" s="277"/>
      <c r="BA278" s="277"/>
      <c r="BB278" s="277"/>
    </row>
    <row r="279" spans="1:54" ht="13" x14ac:dyDescent="0.3">
      <c r="A279" s="368"/>
      <c r="B279" s="76"/>
      <c r="C279" s="559"/>
      <c r="D279" s="77" t="s">
        <v>107</v>
      </c>
      <c r="E279" s="560" t="s">
        <v>108</v>
      </c>
      <c r="F279" s="220" t="s">
        <v>109</v>
      </c>
      <c r="G279" s="367" t="s">
        <v>110</v>
      </c>
      <c r="H279" s="368"/>
      <c r="I279" s="368"/>
      <c r="J279" s="368"/>
      <c r="K279" s="277"/>
      <c r="L279" s="277"/>
      <c r="M279" s="277"/>
      <c r="N279" s="277"/>
      <c r="O279" s="277"/>
      <c r="P279" s="277"/>
      <c r="Q279" s="277"/>
      <c r="R279" s="277"/>
      <c r="S279" s="277"/>
      <c r="T279" s="294"/>
      <c r="U279" s="294"/>
      <c r="V279" s="294"/>
      <c r="W279" s="294"/>
      <c r="X279" s="294"/>
      <c r="Y279" s="294"/>
      <c r="Z279" s="294"/>
      <c r="AA279" s="294"/>
      <c r="AB279" s="294"/>
      <c r="AC279" s="277"/>
      <c r="AD279" s="277"/>
      <c r="AE279" s="277"/>
      <c r="AF279" s="277"/>
      <c r="AG279" s="277"/>
      <c r="AH279" s="277"/>
      <c r="AI279" s="277"/>
      <c r="AJ279" s="277"/>
      <c r="AK279" s="277"/>
      <c r="AL279" s="277"/>
      <c r="AM279" s="277"/>
      <c r="AN279" s="277"/>
      <c r="AO279" s="277"/>
      <c r="AP279" s="277"/>
      <c r="AQ279" s="277"/>
      <c r="AR279" s="277"/>
      <c r="AS279" s="277"/>
      <c r="AT279" s="277"/>
      <c r="AU279" s="277"/>
      <c r="AV279" s="277"/>
      <c r="AW279" s="277"/>
      <c r="AX279" s="277"/>
      <c r="AY279" s="277"/>
      <c r="AZ279" s="277"/>
      <c r="BA279" s="277"/>
      <c r="BB279" s="277"/>
    </row>
    <row r="280" spans="1:54" ht="13" x14ac:dyDescent="0.3">
      <c r="A280" s="368"/>
      <c r="B280" s="76" t="s">
        <v>432</v>
      </c>
      <c r="C280" s="1240" t="s">
        <v>515</v>
      </c>
      <c r="D280" s="1325" t="str">
        <f>IF($C$280=$B$311,IF('Secondary Sources'!D32&gt;0,'Secondary Sources'!D32,"Enter Value"),VLOOKUP($C$280,'Future Management Practices'!$B$307:$G$310,3,FALSE))</f>
        <v>Enter Value</v>
      </c>
      <c r="E280" s="1325" t="str">
        <f>IF($C$280=$B$311,IF('Secondary Sources'!E32&gt;0,'Secondary Sources'!E32,"Enter Value"),VLOOKUP($C$280,'Future Management Practices'!$B$307:$G$310,4,FALSE))</f>
        <v>Enter Value</v>
      </c>
      <c r="F280" s="1325" t="str">
        <f>IF($C$280=$B$311,IF('Secondary Sources'!F32&gt;0,'Secondary Sources'!F32,"Enter Value"),VLOOKUP($C$280,'Future Management Practices'!$B$307:$G$310,5,FALSE))</f>
        <v>Enter Value</v>
      </c>
      <c r="G280" s="1448">
        <v>3.5</v>
      </c>
      <c r="H280" s="368"/>
      <c r="I280" s="368"/>
      <c r="J280" s="368"/>
      <c r="K280" s="277"/>
      <c r="L280" s="277"/>
      <c r="M280" s="277"/>
      <c r="N280" s="277"/>
      <c r="O280" s="277"/>
      <c r="P280" s="277"/>
      <c r="Q280" s="277"/>
      <c r="R280" s="277"/>
      <c r="S280" s="277"/>
      <c r="T280" s="294"/>
      <c r="U280" s="294"/>
      <c r="V280" s="294"/>
      <c r="W280" s="294"/>
      <c r="X280" s="294"/>
      <c r="Y280" s="294"/>
      <c r="Z280" s="294"/>
      <c r="AA280" s="294"/>
      <c r="AB280" s="294"/>
      <c r="AC280" s="277"/>
      <c r="AD280" s="277"/>
      <c r="AE280" s="277"/>
      <c r="AF280" s="277"/>
      <c r="AG280" s="277"/>
      <c r="AH280" s="277"/>
      <c r="AI280" s="277"/>
      <c r="AJ280" s="277"/>
      <c r="AK280" s="277"/>
      <c r="AL280" s="277"/>
      <c r="AM280" s="277"/>
      <c r="AN280" s="277"/>
      <c r="AO280" s="277"/>
      <c r="AP280" s="277"/>
      <c r="AQ280" s="277"/>
      <c r="AR280" s="277"/>
      <c r="AS280" s="277"/>
      <c r="AT280" s="277"/>
      <c r="AU280" s="277"/>
      <c r="AV280" s="277"/>
      <c r="AW280" s="277"/>
      <c r="AX280" s="277"/>
      <c r="AY280" s="277"/>
      <c r="AZ280" s="277"/>
      <c r="BA280" s="277"/>
      <c r="BB280" s="277"/>
    </row>
    <row r="281" spans="1:54" ht="13.5" thickBot="1" x14ac:dyDescent="0.35">
      <c r="A281" s="368"/>
      <c r="B281" s="97"/>
      <c r="C281" s="407"/>
      <c r="D281" s="561"/>
      <c r="E281" s="561"/>
      <c r="F281" s="561"/>
      <c r="G281" s="418"/>
      <c r="H281" s="368"/>
      <c r="I281" s="368"/>
      <c r="J281" s="368"/>
      <c r="K281" s="277"/>
      <c r="L281" s="277"/>
      <c r="M281" s="277"/>
      <c r="N281" s="277"/>
      <c r="O281" s="277"/>
      <c r="P281" s="277"/>
      <c r="Q281" s="277"/>
      <c r="R281" s="277"/>
      <c r="S281" s="277"/>
      <c r="T281" s="294"/>
      <c r="U281" s="294"/>
      <c r="V281" s="294"/>
      <c r="W281" s="294"/>
      <c r="X281" s="294"/>
      <c r="Y281" s="294"/>
      <c r="Z281" s="294"/>
      <c r="AA281" s="294"/>
      <c r="AB281" s="294"/>
      <c r="AC281" s="277"/>
      <c r="AD281" s="277"/>
      <c r="AE281" s="277"/>
      <c r="AF281" s="277"/>
      <c r="AG281" s="277"/>
      <c r="AH281" s="277"/>
      <c r="AI281" s="277"/>
      <c r="AJ281" s="277"/>
      <c r="AK281" s="277"/>
      <c r="AL281" s="277"/>
      <c r="AM281" s="277"/>
      <c r="AN281" s="277"/>
      <c r="AO281" s="277"/>
      <c r="AP281" s="277"/>
      <c r="AQ281" s="277"/>
      <c r="AR281" s="277"/>
      <c r="AS281" s="277"/>
      <c r="AT281" s="277"/>
      <c r="AU281" s="277"/>
      <c r="AV281" s="277"/>
      <c r="AW281" s="277"/>
      <c r="AX281" s="277"/>
      <c r="AY281" s="277"/>
      <c r="AZ281" s="277"/>
      <c r="BA281" s="277"/>
      <c r="BB281" s="277"/>
    </row>
    <row r="282" spans="1:54" ht="13.5" thickTop="1" x14ac:dyDescent="0.3">
      <c r="A282" s="368"/>
      <c r="B282" s="87"/>
      <c r="C282" s="87"/>
      <c r="D282" s="132"/>
      <c r="E282" s="132"/>
      <c r="F282" s="132"/>
      <c r="G282" s="368"/>
      <c r="H282" s="368"/>
      <c r="I282" s="368"/>
      <c r="J282" s="368"/>
      <c r="K282" s="277"/>
      <c r="L282" s="277"/>
      <c r="M282" s="277"/>
      <c r="N282" s="277"/>
      <c r="O282" s="277"/>
      <c r="P282" s="277"/>
      <c r="Q282" s="277"/>
      <c r="R282" s="277"/>
      <c r="S282" s="277"/>
      <c r="T282" s="294"/>
      <c r="U282" s="294"/>
      <c r="V282" s="294"/>
      <c r="W282" s="294"/>
      <c r="X282" s="294"/>
      <c r="Y282" s="294"/>
      <c r="Z282" s="294"/>
      <c r="AA282" s="294"/>
      <c r="AB282" s="294"/>
      <c r="AC282" s="277"/>
      <c r="AD282" s="277"/>
      <c r="AE282" s="277"/>
      <c r="AF282" s="277"/>
      <c r="AG282" s="277"/>
      <c r="AH282" s="277"/>
      <c r="AI282" s="277"/>
      <c r="AJ282" s="277"/>
      <c r="AK282" s="277"/>
      <c r="AL282" s="277"/>
      <c r="AM282" s="277"/>
      <c r="AN282" s="277"/>
      <c r="AO282" s="277"/>
      <c r="AP282" s="277"/>
      <c r="AQ282" s="277"/>
      <c r="AR282" s="277"/>
      <c r="AS282" s="277"/>
      <c r="AT282" s="277"/>
      <c r="AU282" s="277"/>
      <c r="AV282" s="277"/>
      <c r="AW282" s="277"/>
      <c r="AX282" s="277"/>
      <c r="AY282" s="277"/>
      <c r="AZ282" s="277"/>
      <c r="BA282" s="277"/>
      <c r="BB282" s="277"/>
    </row>
    <row r="283" spans="1:54" ht="13.5" thickBot="1" x14ac:dyDescent="0.35">
      <c r="A283" s="368"/>
      <c r="B283" s="87"/>
      <c r="C283" s="87"/>
      <c r="D283" s="132"/>
      <c r="E283" s="132"/>
      <c r="F283" s="132"/>
      <c r="G283" s="368"/>
      <c r="H283" s="368"/>
      <c r="I283" s="368"/>
      <c r="J283" s="368"/>
      <c r="K283" s="277"/>
      <c r="L283" s="277"/>
      <c r="M283" s="277"/>
      <c r="N283" s="277"/>
      <c r="O283" s="277"/>
      <c r="P283" s="277"/>
      <c r="Q283" s="277"/>
      <c r="R283" s="277"/>
      <c r="S283" s="277"/>
      <c r="T283" s="294"/>
      <c r="U283" s="294"/>
      <c r="V283" s="294"/>
      <c r="W283" s="294"/>
      <c r="X283" s="294"/>
      <c r="Y283" s="294"/>
      <c r="Z283" s="294"/>
      <c r="AA283" s="294"/>
      <c r="AB283" s="294"/>
      <c r="AC283" s="277"/>
      <c r="AD283" s="277"/>
      <c r="AE283" s="277"/>
      <c r="AF283" s="277"/>
      <c r="AG283" s="277"/>
      <c r="AH283" s="277"/>
      <c r="AI283" s="277"/>
      <c r="AJ283" s="277"/>
      <c r="AK283" s="277"/>
      <c r="AL283" s="277"/>
      <c r="AM283" s="277"/>
      <c r="AN283" s="277"/>
      <c r="AO283" s="277"/>
      <c r="AP283" s="277"/>
      <c r="AQ283" s="277"/>
      <c r="AR283" s="277"/>
      <c r="AS283" s="277"/>
      <c r="AT283" s="277"/>
      <c r="AU283" s="277"/>
      <c r="AV283" s="277"/>
      <c r="AW283" s="277"/>
      <c r="AX283" s="277"/>
      <c r="AY283" s="277"/>
      <c r="AZ283" s="277"/>
      <c r="BA283" s="277"/>
      <c r="BB283" s="277"/>
    </row>
    <row r="284" spans="1:54" ht="21" thickTop="1" thickBot="1" x14ac:dyDescent="0.45">
      <c r="A284" s="368"/>
      <c r="B284" s="1913" t="s">
        <v>433</v>
      </c>
      <c r="C284" s="1914"/>
      <c r="D284" s="1914"/>
      <c r="E284" s="1914"/>
      <c r="F284" s="1914"/>
      <c r="G284" s="1915"/>
      <c r="H284" s="368"/>
      <c r="I284" s="368"/>
      <c r="J284" s="368"/>
      <c r="K284" s="277"/>
      <c r="L284" s="277"/>
      <c r="M284" s="277"/>
      <c r="N284" s="277"/>
      <c r="O284" s="277"/>
      <c r="P284" s="277"/>
      <c r="Q284" s="277"/>
      <c r="R284" s="277"/>
      <c r="S284" s="277"/>
      <c r="T284" s="294"/>
      <c r="U284" s="294"/>
      <c r="V284" s="294"/>
      <c r="W284" s="294"/>
      <c r="X284" s="294"/>
      <c r="Y284" s="294"/>
      <c r="Z284" s="294"/>
      <c r="AA284" s="294"/>
      <c r="AB284" s="294"/>
      <c r="AC284" s="277"/>
      <c r="AD284" s="277"/>
      <c r="AE284" s="277"/>
      <c r="AF284" s="277"/>
      <c r="AG284" s="277"/>
      <c r="AH284" s="277"/>
      <c r="AI284" s="277"/>
      <c r="AJ284" s="277"/>
      <c r="AK284" s="277"/>
      <c r="AL284" s="277"/>
      <c r="AM284" s="277"/>
      <c r="AN284" s="277"/>
      <c r="AO284" s="277"/>
      <c r="AP284" s="277"/>
      <c r="AQ284" s="277"/>
      <c r="AR284" s="277"/>
      <c r="AS284" s="277"/>
      <c r="AT284" s="277"/>
      <c r="AU284" s="277"/>
      <c r="AV284" s="277"/>
      <c r="AW284" s="277"/>
      <c r="AX284" s="277"/>
      <c r="AY284" s="277"/>
      <c r="AZ284" s="277"/>
      <c r="BA284" s="277"/>
      <c r="BB284" s="277"/>
    </row>
    <row r="285" spans="1:54" ht="13" x14ac:dyDescent="0.3">
      <c r="A285" s="368"/>
      <c r="B285" s="32"/>
      <c r="C285" s="93"/>
      <c r="D285" s="553"/>
      <c r="E285" s="553"/>
      <c r="F285" s="553"/>
      <c r="G285" s="554"/>
      <c r="H285" s="368"/>
      <c r="I285" s="368"/>
      <c r="J285" s="368"/>
      <c r="K285" s="277"/>
      <c r="L285" s="277"/>
      <c r="M285" s="277"/>
      <c r="N285" s="277"/>
      <c r="O285" s="277"/>
      <c r="P285" s="277"/>
      <c r="Q285" s="277"/>
      <c r="R285" s="277"/>
      <c r="S285" s="277"/>
      <c r="T285" s="294"/>
      <c r="U285" s="294"/>
      <c r="V285" s="294"/>
      <c r="W285" s="294"/>
      <c r="X285" s="294"/>
      <c r="Y285" s="294"/>
      <c r="Z285" s="294"/>
      <c r="AA285" s="294"/>
      <c r="AB285" s="294"/>
      <c r="AC285" s="277"/>
      <c r="AD285" s="277"/>
      <c r="AE285" s="277"/>
      <c r="AF285" s="277"/>
      <c r="AG285" s="277"/>
      <c r="AH285" s="277"/>
      <c r="AI285" s="277"/>
      <c r="AJ285" s="277"/>
      <c r="AK285" s="277"/>
      <c r="AL285" s="277"/>
      <c r="AM285" s="277"/>
      <c r="AN285" s="277"/>
      <c r="AO285" s="277"/>
      <c r="AP285" s="277"/>
      <c r="AQ285" s="277"/>
      <c r="AR285" s="277"/>
      <c r="AS285" s="277"/>
      <c r="AT285" s="277"/>
      <c r="AU285" s="277"/>
      <c r="AV285" s="277"/>
      <c r="AW285" s="277"/>
      <c r="AX285" s="277"/>
      <c r="AY285" s="277"/>
      <c r="AZ285" s="277"/>
      <c r="BA285" s="277"/>
      <c r="BB285" s="277"/>
    </row>
    <row r="286" spans="1:54" ht="13" x14ac:dyDescent="0.3">
      <c r="A286" s="368"/>
      <c r="B286" s="76" t="s">
        <v>434</v>
      </c>
      <c r="C286" s="1256">
        <f>'Retrofit Worksheet'!AZ83/('Secondary Sources'!C18*'Secondary Sources'!C3)</f>
        <v>0</v>
      </c>
      <c r="E286" s="555"/>
      <c r="F286" s="557"/>
      <c r="G286" s="367"/>
      <c r="H286" s="368"/>
      <c r="I286" s="368"/>
      <c r="J286" s="368"/>
      <c r="K286" s="277"/>
      <c r="L286" s="277"/>
      <c r="M286" s="277"/>
      <c r="N286" s="277"/>
      <c r="O286" s="277"/>
      <c r="P286" s="277"/>
      <c r="Q286" s="277"/>
      <c r="R286" s="277"/>
      <c r="S286" s="277"/>
      <c r="T286" s="294"/>
      <c r="U286" s="294"/>
      <c r="V286" s="294"/>
      <c r="W286" s="294"/>
      <c r="X286" s="294"/>
      <c r="Y286" s="294"/>
      <c r="Z286" s="294"/>
      <c r="AA286" s="294"/>
      <c r="AB286" s="294"/>
      <c r="AC286" s="277"/>
      <c r="AD286" s="277"/>
      <c r="AE286" s="277"/>
      <c r="AF286" s="277"/>
      <c r="AG286" s="277"/>
      <c r="AH286" s="277"/>
      <c r="AI286" s="277"/>
      <c r="AJ286" s="277"/>
      <c r="AK286" s="277"/>
      <c r="AL286" s="277"/>
      <c r="AM286" s="277"/>
      <c r="AN286" s="277"/>
      <c r="AO286" s="277"/>
      <c r="AP286" s="277"/>
      <c r="AQ286" s="277"/>
      <c r="AR286" s="277"/>
      <c r="AS286" s="277"/>
      <c r="AT286" s="277"/>
      <c r="AU286" s="277"/>
      <c r="AV286" s="277"/>
      <c r="AW286" s="277"/>
      <c r="AX286" s="277"/>
      <c r="AY286" s="277"/>
      <c r="AZ286" s="277"/>
      <c r="BA286" s="277"/>
      <c r="BB286" s="277"/>
    </row>
    <row r="287" spans="1:54" ht="15" customHeight="1" x14ac:dyDescent="0.3">
      <c r="A287" s="368"/>
      <c r="B287" s="76" t="s">
        <v>435</v>
      </c>
      <c r="C287" s="1449">
        <f>C286*'Secondary Sources'!C3*'Secondary Sources'!C18</f>
        <v>0</v>
      </c>
      <c r="D287" s="558"/>
      <c r="E287" s="557"/>
      <c r="F287" s="557"/>
      <c r="G287" s="367"/>
      <c r="H287" s="368"/>
      <c r="I287" s="368"/>
      <c r="J287" s="368"/>
      <c r="K287" s="277"/>
      <c r="L287" s="277"/>
      <c r="M287" s="277"/>
      <c r="N287" s="277"/>
      <c r="O287" s="277"/>
      <c r="P287" s="277"/>
      <c r="Q287" s="277"/>
      <c r="R287" s="277"/>
      <c r="S287" s="277"/>
      <c r="T287" s="294"/>
      <c r="U287" s="294"/>
      <c r="V287" s="294"/>
      <c r="W287" s="294"/>
      <c r="X287" s="294"/>
      <c r="Y287" s="294"/>
      <c r="Z287" s="294"/>
      <c r="AA287" s="294"/>
      <c r="AB287" s="294"/>
      <c r="AC287" s="277"/>
      <c r="AD287" s="277"/>
      <c r="AE287" s="277"/>
      <c r="AF287" s="277"/>
      <c r="AG287" s="277"/>
      <c r="AH287" s="277"/>
      <c r="AI287" s="277"/>
      <c r="AJ287" s="277"/>
      <c r="AK287" s="277"/>
      <c r="AL287" s="277"/>
      <c r="AM287" s="277"/>
      <c r="AN287" s="277"/>
      <c r="AO287" s="277"/>
      <c r="AP287" s="277"/>
      <c r="AQ287" s="277"/>
      <c r="AR287" s="277"/>
      <c r="AS287" s="277"/>
      <c r="AT287" s="277"/>
      <c r="AU287" s="277"/>
      <c r="AV287" s="277"/>
      <c r="AW287" s="277"/>
      <c r="AX287" s="277"/>
      <c r="AY287" s="277"/>
      <c r="AZ287" s="277"/>
      <c r="BA287" s="277"/>
      <c r="BB287" s="277"/>
    </row>
    <row r="288" spans="1:54" ht="25.5" customHeight="1" x14ac:dyDescent="0.3">
      <c r="A288" s="368"/>
      <c r="B288" s="562" t="str">
        <f>"% Failing among Retired Systems.  Cannot Exceed "&amp;MIN(IF(C287&gt;0,100*'Secondary Sources'!E18*'Secondary Sources'!C18*'Secondary Sources'!C3/C287,0),100)&amp;"%"</f>
        <v>% Failing among Retired Systems.  Cannot Exceed 0%</v>
      </c>
      <c r="C288" s="1257">
        <v>0.5</v>
      </c>
      <c r="D288" s="559"/>
      <c r="E288" s="555"/>
      <c r="F288" s="557"/>
      <c r="G288" s="367"/>
      <c r="H288" s="368"/>
      <c r="I288" s="368"/>
      <c r="J288" s="368"/>
      <c r="K288" s="277"/>
      <c r="L288" s="277"/>
      <c r="M288" s="277"/>
      <c r="N288" s="277"/>
      <c r="O288" s="277"/>
      <c r="P288" s="277"/>
      <c r="Q288" s="277"/>
      <c r="R288" s="277"/>
      <c r="S288" s="277"/>
      <c r="T288" s="294"/>
      <c r="U288" s="294"/>
      <c r="V288" s="294"/>
      <c r="W288" s="294"/>
      <c r="X288" s="294"/>
      <c r="Y288" s="294"/>
      <c r="Z288" s="294"/>
      <c r="AA288" s="294"/>
      <c r="AB288" s="294"/>
      <c r="AC288" s="277"/>
      <c r="AD288" s="277"/>
      <c r="AE288" s="277"/>
      <c r="AF288" s="277"/>
      <c r="AG288" s="277"/>
      <c r="AH288" s="277"/>
      <c r="AI288" s="277"/>
      <c r="AJ288" s="277"/>
      <c r="AK288" s="277"/>
      <c r="AL288" s="277"/>
      <c r="AM288" s="277"/>
      <c r="AN288" s="277"/>
      <c r="AO288" s="277"/>
      <c r="AP288" s="277"/>
      <c r="AQ288" s="277"/>
      <c r="AR288" s="277"/>
      <c r="AS288" s="277"/>
      <c r="AT288" s="277"/>
      <c r="AU288" s="277"/>
      <c r="AV288" s="277"/>
      <c r="AW288" s="277"/>
      <c r="AX288" s="277"/>
      <c r="AY288" s="277"/>
      <c r="AZ288" s="277"/>
      <c r="BA288" s="277"/>
      <c r="BB288" s="277"/>
    </row>
    <row r="289" spans="1:70" ht="28.5" customHeight="1" x14ac:dyDescent="0.3">
      <c r="A289" s="368"/>
      <c r="B289" s="562" t="str">
        <f>"% w/in 100' of waterway among Retired Systems.  Cannot Exceed "&amp;MIN(IF(C287&gt;0,100*'Secondary Sources'!C19*'Secondary Sources'!C18*'Secondary Sources'!C3/C287,0),100)&amp;"%"</f>
        <v>% w/in 100' of waterway among Retired Systems.  Cannot Exceed 0%</v>
      </c>
      <c r="C289" s="1257">
        <v>0.5</v>
      </c>
      <c r="D289" s="559"/>
      <c r="E289" s="555"/>
      <c r="F289" s="557"/>
      <c r="G289" s="367"/>
      <c r="H289" s="368"/>
      <c r="I289" s="368"/>
      <c r="J289" s="368"/>
      <c r="K289" s="277"/>
      <c r="L289" s="277"/>
      <c r="M289" s="277"/>
      <c r="N289" s="277"/>
      <c r="O289" s="277"/>
      <c r="P289" s="277"/>
      <c r="Q289" s="277"/>
      <c r="R289" s="277"/>
      <c r="S289" s="277"/>
      <c r="T289" s="294"/>
      <c r="U289" s="294"/>
      <c r="V289" s="294"/>
      <c r="W289" s="294"/>
      <c r="X289" s="294"/>
      <c r="Y289" s="294"/>
      <c r="Z289" s="294"/>
      <c r="AA289" s="294"/>
      <c r="AB289" s="294"/>
      <c r="AC289" s="277"/>
      <c r="AD289" s="277"/>
      <c r="AE289" s="277"/>
      <c r="AF289" s="277"/>
      <c r="AG289" s="277"/>
      <c r="AH289" s="277"/>
      <c r="AI289" s="277"/>
      <c r="AJ289" s="277"/>
      <c r="AK289" s="277"/>
      <c r="AL289" s="277"/>
      <c r="AM289" s="277"/>
      <c r="AN289" s="277"/>
      <c r="AO289" s="277"/>
      <c r="AP289" s="277"/>
      <c r="AQ289" s="277"/>
      <c r="AR289" s="277"/>
      <c r="AS289" s="277"/>
      <c r="AT289" s="277"/>
      <c r="AU289" s="277"/>
      <c r="AV289" s="277"/>
      <c r="AW289" s="277"/>
      <c r="AX289" s="277"/>
      <c r="AY289" s="277"/>
      <c r="AZ289" s="277"/>
      <c r="BA289" s="277"/>
      <c r="BB289" s="277"/>
    </row>
    <row r="290" spans="1:70" ht="13" x14ac:dyDescent="0.3">
      <c r="A290" s="368"/>
      <c r="B290" s="76"/>
      <c r="C290" s="563"/>
      <c r="D290" s="559" t="s">
        <v>107</v>
      </c>
      <c r="E290" s="555" t="s">
        <v>108</v>
      </c>
      <c r="F290" s="557" t="s">
        <v>109</v>
      </c>
      <c r="G290" s="564" t="s">
        <v>110</v>
      </c>
      <c r="H290" s="368"/>
      <c r="I290" s="368"/>
      <c r="J290" s="368"/>
      <c r="K290" s="277"/>
      <c r="L290" s="277"/>
      <c r="M290" s="277"/>
      <c r="N290" s="277"/>
      <c r="O290" s="277"/>
      <c r="P290" s="277"/>
      <c r="Q290" s="277"/>
      <c r="R290" s="277"/>
      <c r="S290" s="277"/>
      <c r="T290" s="294"/>
      <c r="U290" s="294"/>
      <c r="V290" s="294"/>
      <c r="W290" s="294"/>
      <c r="X290" s="294"/>
      <c r="Y290" s="294"/>
      <c r="Z290" s="294"/>
      <c r="AA290" s="294"/>
      <c r="AB290" s="294"/>
      <c r="AC290" s="277"/>
      <c r="AD290" s="277"/>
      <c r="AE290" s="277"/>
      <c r="AF290" s="277"/>
      <c r="AG290" s="277"/>
      <c r="AH290" s="277"/>
      <c r="AI290" s="277"/>
      <c r="AJ290" s="277"/>
      <c r="AK290" s="277"/>
      <c r="AL290" s="277"/>
      <c r="AM290" s="277"/>
      <c r="AN290" s="277"/>
      <c r="AO290" s="277"/>
      <c r="AP290" s="277"/>
      <c r="AQ290" s="277"/>
      <c r="AR290" s="277"/>
      <c r="AS290" s="277"/>
      <c r="AT290" s="277"/>
      <c r="AU290" s="277"/>
      <c r="AV290" s="277"/>
      <c r="AW290" s="277"/>
      <c r="AX290" s="277"/>
      <c r="AY290" s="277"/>
      <c r="AZ290" s="277"/>
      <c r="BA290" s="277"/>
      <c r="BB290" s="277"/>
    </row>
    <row r="291" spans="1:70" ht="13" x14ac:dyDescent="0.3">
      <c r="A291" s="368"/>
      <c r="B291" s="1924" t="s">
        <v>514</v>
      </c>
      <c r="C291" s="1925"/>
      <c r="D291" s="1325">
        <v>0.1</v>
      </c>
      <c r="E291" s="1325">
        <v>0.1</v>
      </c>
      <c r="F291" s="1325">
        <v>0.1</v>
      </c>
      <c r="G291" s="1448">
        <v>1</v>
      </c>
      <c r="H291" s="368"/>
      <c r="I291" s="368"/>
      <c r="J291" s="368"/>
      <c r="K291" s="277"/>
      <c r="L291" s="277"/>
      <c r="M291" s="277"/>
      <c r="N291" s="277"/>
      <c r="O291" s="277"/>
      <c r="P291" s="277"/>
      <c r="Q291" s="277"/>
      <c r="R291" s="277"/>
      <c r="S291" s="277"/>
      <c r="T291" s="294"/>
      <c r="U291" s="294"/>
      <c r="V291" s="294"/>
      <c r="W291" s="294"/>
      <c r="X291" s="294"/>
      <c r="Y291" s="294"/>
      <c r="Z291" s="294"/>
      <c r="AA291" s="294"/>
      <c r="AB291" s="294"/>
      <c r="AC291" s="277"/>
      <c r="AD291" s="277"/>
      <c r="AE291" s="277"/>
      <c r="AF291" s="277"/>
      <c r="AG291" s="277"/>
      <c r="AH291" s="277"/>
      <c r="AI291" s="277"/>
      <c r="AJ291" s="277"/>
      <c r="AK291" s="277"/>
      <c r="AL291" s="277"/>
      <c r="AM291" s="277"/>
      <c r="AN291" s="277"/>
      <c r="AO291" s="277"/>
      <c r="AP291" s="277"/>
      <c r="AQ291" s="277"/>
      <c r="AR291" s="277"/>
      <c r="AS291" s="277"/>
      <c r="AT291" s="277"/>
      <c r="AU291" s="277"/>
      <c r="AV291" s="277"/>
      <c r="AW291" s="277"/>
      <c r="AX291" s="277"/>
      <c r="AY291" s="277"/>
      <c r="AZ291" s="277"/>
      <c r="BA291" s="277"/>
      <c r="BB291" s="277"/>
    </row>
    <row r="292" spans="1:70" ht="13" x14ac:dyDescent="0.3">
      <c r="A292" s="368"/>
      <c r="B292" s="565"/>
      <c r="C292" s="736" t="s">
        <v>510</v>
      </c>
      <c r="D292" s="1093">
        <f>$C287*'Secondary Sources'!D25/MAX('Secondary Sources'!$C18*'Secondary Sources'!$C3,0.01)*(1-D291)</f>
        <v>0</v>
      </c>
      <c r="E292" s="1093">
        <f>$C287*'Secondary Sources'!E25/MAX('Secondary Sources'!$C18*'Secondary Sources'!$C3,0.01)*(1-E291)</f>
        <v>0</v>
      </c>
      <c r="F292" s="1093">
        <f>$C287*'Secondary Sources'!F25/MAX('Secondary Sources'!$C18*'Secondary Sources'!$C3,0.01)*(1-F291)</f>
        <v>0</v>
      </c>
      <c r="G292" s="1094">
        <f>$C287*'Secondary Sources'!G25/MAX('Secondary Sources'!$C18*'Secondary Sources'!$C3,0.001)*(10^-G291)</f>
        <v>0</v>
      </c>
      <c r="H292" s="368"/>
      <c r="I292" s="368"/>
      <c r="J292" s="368"/>
      <c r="K292" s="277"/>
      <c r="L292" s="277"/>
      <c r="M292" s="277"/>
      <c r="N292" s="277"/>
      <c r="O292" s="277"/>
      <c r="P292" s="277"/>
      <c r="Q292" s="277"/>
      <c r="R292" s="277"/>
      <c r="S292" s="277"/>
      <c r="T292" s="294"/>
      <c r="U292" s="294"/>
      <c r="V292" s="294"/>
      <c r="W292" s="294"/>
      <c r="X292" s="294"/>
      <c r="Y292" s="294"/>
      <c r="Z292" s="294"/>
      <c r="AA292" s="294"/>
      <c r="AB292" s="294"/>
      <c r="AC292" s="277"/>
      <c r="AD292" s="277"/>
      <c r="AE292" s="277"/>
      <c r="AF292" s="277"/>
      <c r="AG292" s="277"/>
      <c r="AH292" s="277"/>
      <c r="AI292" s="277"/>
      <c r="AJ292" s="277"/>
      <c r="AK292" s="277"/>
      <c r="AL292" s="277"/>
      <c r="AM292" s="277"/>
      <c r="AN292" s="277"/>
      <c r="AO292" s="277"/>
      <c r="AP292" s="277"/>
      <c r="AQ292" s="277"/>
      <c r="AR292" s="277"/>
      <c r="AS292" s="277"/>
      <c r="AT292" s="277"/>
      <c r="AU292" s="277"/>
      <c r="AV292" s="277"/>
      <c r="AW292" s="277"/>
      <c r="AX292" s="277"/>
      <c r="AY292" s="277"/>
      <c r="AZ292" s="277"/>
      <c r="BA292" s="277"/>
      <c r="BB292" s="277"/>
    </row>
    <row r="293" spans="1:70" ht="13.5" thickBot="1" x14ac:dyDescent="0.35">
      <c r="A293" s="368"/>
      <c r="B293" s="97"/>
      <c r="C293" s="407"/>
      <c r="D293" s="566"/>
      <c r="E293" s="566"/>
      <c r="F293" s="566"/>
      <c r="G293" s="567"/>
      <c r="H293" s="368"/>
      <c r="I293" s="368"/>
      <c r="J293" s="368"/>
      <c r="K293" s="277"/>
      <c r="L293" s="277"/>
      <c r="M293" s="277"/>
      <c r="N293" s="277"/>
      <c r="O293" s="277"/>
      <c r="P293" s="277"/>
      <c r="Q293" s="277"/>
      <c r="R293" s="277"/>
      <c r="S293" s="277"/>
      <c r="T293" s="294"/>
      <c r="U293" s="294"/>
      <c r="V293" s="294"/>
      <c r="W293" s="294"/>
      <c r="X293" s="294"/>
      <c r="Y293" s="294"/>
      <c r="Z293" s="294"/>
      <c r="AA293" s="294"/>
      <c r="AB293" s="294"/>
      <c r="AC293" s="277"/>
      <c r="AD293" s="277"/>
      <c r="AE293" s="277"/>
      <c r="AF293" s="277"/>
      <c r="AG293" s="277"/>
      <c r="AH293" s="277"/>
      <c r="AI293" s="277"/>
      <c r="AJ293" s="277"/>
      <c r="AK293" s="277"/>
      <c r="AL293" s="277"/>
      <c r="AM293" s="277"/>
      <c r="AN293" s="277"/>
      <c r="AO293" s="277"/>
      <c r="AP293" s="277"/>
      <c r="AQ293" s="277"/>
      <c r="AR293" s="277"/>
      <c r="AS293" s="277"/>
      <c r="AT293" s="277"/>
      <c r="AU293" s="277"/>
      <c r="AV293" s="277"/>
      <c r="AW293" s="277"/>
      <c r="AX293" s="277"/>
      <c r="AY293" s="277"/>
      <c r="AZ293" s="277"/>
      <c r="BA293" s="277"/>
      <c r="BB293" s="277"/>
    </row>
    <row r="294" spans="1:70" ht="13.5" thickTop="1" x14ac:dyDescent="0.3">
      <c r="A294" s="368"/>
      <c r="I294" s="368"/>
      <c r="J294" s="368"/>
      <c r="K294" s="277"/>
      <c r="L294" s="277"/>
      <c r="M294" s="277"/>
      <c r="N294" s="277"/>
      <c r="O294" s="277"/>
      <c r="P294" s="277"/>
      <c r="Q294" s="277"/>
      <c r="R294" s="277"/>
      <c r="S294" s="277"/>
      <c r="T294" s="294"/>
      <c r="U294" s="294"/>
      <c r="V294" s="294"/>
      <c r="W294" s="294"/>
      <c r="X294" s="294"/>
      <c r="Y294" s="294"/>
      <c r="Z294" s="294"/>
      <c r="AA294" s="294"/>
      <c r="AB294" s="294"/>
      <c r="AC294" s="277"/>
      <c r="AD294" s="277"/>
      <c r="AE294" s="277"/>
      <c r="AF294" s="277"/>
      <c r="AG294" s="277"/>
      <c r="AH294" s="277"/>
      <c r="AI294" s="277"/>
      <c r="AJ294" s="277"/>
      <c r="AK294" s="277"/>
      <c r="AL294" s="277"/>
      <c r="AM294" s="277"/>
      <c r="AN294" s="277"/>
      <c r="AO294" s="277"/>
      <c r="AP294" s="277"/>
      <c r="AQ294" s="277"/>
      <c r="AR294" s="277"/>
      <c r="AS294" s="277"/>
      <c r="AT294" s="277"/>
      <c r="AU294" s="277"/>
      <c r="AV294" s="277"/>
      <c r="AW294" s="277"/>
      <c r="AX294" s="277"/>
      <c r="AY294" s="277"/>
      <c r="AZ294" s="277"/>
      <c r="BA294" s="277"/>
      <c r="BB294" s="277"/>
    </row>
    <row r="295" spans="1:70" ht="13.5" thickBot="1" x14ac:dyDescent="0.35">
      <c r="A295" s="368"/>
      <c r="B295" s="368"/>
      <c r="C295" s="368"/>
      <c r="D295" s="368"/>
      <c r="E295" s="368"/>
      <c r="F295" s="368"/>
      <c r="G295" s="368"/>
      <c r="H295" s="368"/>
      <c r="I295" s="368"/>
      <c r="J295" s="368"/>
      <c r="K295" s="277"/>
      <c r="L295" s="277"/>
      <c r="M295" s="277"/>
      <c r="N295" s="277"/>
      <c r="O295" s="277"/>
      <c r="P295" s="277"/>
      <c r="Q295" s="277"/>
      <c r="R295" s="277"/>
      <c r="S295" s="277"/>
      <c r="T295" s="294"/>
      <c r="U295" s="294"/>
      <c r="V295" s="294"/>
      <c r="W295" s="294"/>
      <c r="X295" s="294"/>
      <c r="Y295" s="294"/>
      <c r="Z295" s="294"/>
      <c r="AA295" s="294"/>
      <c r="AB295" s="294"/>
      <c r="AC295" s="277"/>
      <c r="AD295" s="277"/>
      <c r="AE295" s="277"/>
      <c r="AF295" s="277"/>
      <c r="AG295" s="277"/>
      <c r="AH295" s="277"/>
      <c r="AI295" s="277"/>
      <c r="AJ295" s="277"/>
      <c r="AK295" s="277"/>
      <c r="AL295" s="277"/>
      <c r="AM295" s="277"/>
      <c r="AN295" s="277"/>
      <c r="AO295" s="277"/>
      <c r="AP295" s="277"/>
      <c r="AQ295" s="277"/>
      <c r="AR295" s="277"/>
      <c r="AS295" s="277"/>
      <c r="AT295" s="277"/>
      <c r="AU295" s="277"/>
      <c r="AV295" s="277"/>
      <c r="AW295" s="277"/>
      <c r="AX295" s="277"/>
      <c r="AY295" s="277"/>
      <c r="AZ295" s="277"/>
      <c r="BA295" s="277"/>
      <c r="BB295" s="277"/>
    </row>
    <row r="296" spans="1:70" s="1" customFormat="1" ht="24.75" customHeight="1" thickTop="1" thickBot="1" x14ac:dyDescent="0.45">
      <c r="B296" s="1864" t="s">
        <v>87</v>
      </c>
      <c r="C296" s="1801"/>
      <c r="D296" s="1801"/>
      <c r="E296" s="1801"/>
      <c r="F296" s="1801"/>
      <c r="G296" s="1802"/>
      <c r="H296" s="130"/>
      <c r="I296" s="130"/>
      <c r="J296" s="130"/>
      <c r="K296" s="130"/>
      <c r="L296" s="130"/>
      <c r="M296" s="131"/>
      <c r="N296" s="132"/>
      <c r="O296" s="114"/>
      <c r="P296"/>
      <c r="Q296" s="114"/>
      <c r="R296"/>
      <c r="S296" s="114"/>
      <c r="T296" s="753"/>
      <c r="U296" s="753"/>
      <c r="V296" s="753"/>
      <c r="W296" s="753"/>
      <c r="X296" s="753"/>
      <c r="Y296" s="753"/>
      <c r="Z296" s="753"/>
      <c r="AA296" s="753"/>
      <c r="AB296" s="753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</row>
    <row r="297" spans="1:70" s="1" customFormat="1" ht="13" x14ac:dyDescent="0.3">
      <c r="B297" s="32"/>
      <c r="C297" s="33"/>
      <c r="D297" s="134" t="s">
        <v>89</v>
      </c>
      <c r="E297" s="1450">
        <f>('Secondary Sources'!C3*'Secondary Sources'!C18*'Secondary Sources'!E18-C287*C288)*(1-IF(C261=B417,C262*C263,0))*(1-IF(C267=B417,C268*C269,0))*(1-IF(C274=B417,C275*C276,0))/MAX(('Secondary Sources'!C3*'Secondary Sources'!C18-C287),0.001)</f>
        <v>9.9999999999999992E-2</v>
      </c>
      <c r="F297" s="135"/>
      <c r="G297" s="136"/>
      <c r="H297" s="130"/>
      <c r="I297" s="130"/>
      <c r="J297" s="130"/>
      <c r="K297" s="130"/>
      <c r="L297" s="130"/>
      <c r="M297" s="137"/>
      <c r="N297" s="132"/>
      <c r="O297" s="138" t="s">
        <v>90</v>
      </c>
      <c r="P297" s="139" t="s">
        <v>91</v>
      </c>
      <c r="Q297" s="114"/>
      <c r="R297"/>
      <c r="S297" s="114"/>
      <c r="T297" s="753"/>
      <c r="U297" s="753"/>
      <c r="V297" s="753"/>
      <c r="W297" s="753"/>
      <c r="X297" s="753"/>
      <c r="Y297" s="753"/>
      <c r="Z297" s="753"/>
      <c r="AA297" s="753"/>
      <c r="AB297" s="753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</row>
    <row r="298" spans="1:70" s="1" customFormat="1" ht="13" x14ac:dyDescent="0.3">
      <c r="B298" s="86" t="s">
        <v>92</v>
      </c>
      <c r="C298" s="1450">
        <f>('Secondary Sources'!C3*'Secondary Sources'!C18*'Secondary Sources'!C19-'Future Management Practices'!C287*'Future Management Practices'!C289)/MAX('Secondary Sources'!C3*'Secondary Sources'!C18-'Future Management Practices'!C287,0.01)</f>
        <v>4.8309178743961352E-2</v>
      </c>
      <c r="D298" s="87"/>
      <c r="E298" s="140"/>
      <c r="F298" s="137"/>
      <c r="G298" s="141"/>
      <c r="H298" s="130"/>
      <c r="I298" s="130"/>
      <c r="J298" s="130"/>
      <c r="K298" s="130"/>
      <c r="L298" s="130"/>
      <c r="M298" s="137"/>
      <c r="N298" s="132"/>
      <c r="O298" s="142" t="s">
        <v>93</v>
      </c>
      <c r="P298" s="139"/>
      <c r="Q298" s="114"/>
      <c r="R298"/>
      <c r="S298" s="114"/>
      <c r="T298" s="753"/>
      <c r="U298" s="753"/>
      <c r="V298" s="753"/>
      <c r="W298" s="753"/>
      <c r="X298" s="753"/>
      <c r="Y298" s="753"/>
      <c r="Z298" s="753"/>
      <c r="AA298" s="753"/>
      <c r="AB298" s="753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</row>
    <row r="299" spans="1:70" s="1" customFormat="1" ht="13" x14ac:dyDescent="0.3">
      <c r="B299" s="86"/>
      <c r="C299" s="143"/>
      <c r="D299" s="87"/>
      <c r="E299" s="144" t="s">
        <v>94</v>
      </c>
      <c r="F299" s="145" t="s">
        <v>95</v>
      </c>
      <c r="G299" s="146"/>
      <c r="H299" s="130"/>
      <c r="I299" s="130"/>
      <c r="J299" s="130"/>
      <c r="K299" s="130"/>
      <c r="L299" s="130"/>
      <c r="M299" s="137"/>
      <c r="N299" s="132"/>
      <c r="O299" s="142" t="s">
        <v>96</v>
      </c>
      <c r="P299" s="139"/>
      <c r="Q299" s="114"/>
      <c r="R299"/>
      <c r="S299" s="114"/>
      <c r="T299" s="753"/>
      <c r="U299" s="753"/>
      <c r="V299" s="753"/>
      <c r="W299" s="753"/>
      <c r="X299" s="753"/>
      <c r="Y299" s="753"/>
      <c r="Z299" s="753"/>
      <c r="AA299" s="753"/>
      <c r="AB299" s="753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</row>
    <row r="300" spans="1:70" s="1" customFormat="1" ht="13" x14ac:dyDescent="0.3">
      <c r="B300" s="39" t="s">
        <v>97</v>
      </c>
      <c r="C300" s="1095" t="str">
        <f>'Secondary Sources'!C21</f>
        <v>Clay/Mixed Soils</v>
      </c>
      <c r="D300" s="40" t="s">
        <v>436</v>
      </c>
      <c r="E300" s="1389">
        <f>'Secondary Sources'!E21</f>
        <v>2E-3</v>
      </c>
      <c r="F300" s="1325">
        <f>'Secondary Sources'!F21</f>
        <v>0.13</v>
      </c>
      <c r="G300" s="146"/>
      <c r="H300" s="130"/>
      <c r="I300" s="130"/>
      <c r="J300" s="130"/>
      <c r="K300" s="130"/>
      <c r="L300" s="130"/>
      <c r="M300" s="137"/>
      <c r="N300" s="132"/>
      <c r="O300" s="138" t="s">
        <v>100</v>
      </c>
      <c r="P300" s="147" t="s">
        <v>101</v>
      </c>
      <c r="Q300" s="114"/>
      <c r="R300"/>
      <c r="S300" s="114"/>
      <c r="T300" s="753"/>
      <c r="U300" s="753"/>
      <c r="V300" s="753"/>
      <c r="W300" s="753"/>
      <c r="X300" s="753"/>
      <c r="Y300" s="753"/>
      <c r="Z300" s="753"/>
      <c r="AA300" s="753"/>
      <c r="AB300" s="753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</row>
    <row r="301" spans="1:70" s="1" customFormat="1" ht="13" x14ac:dyDescent="0.3">
      <c r="B301" s="148"/>
      <c r="C301" s="149"/>
      <c r="D301" s="128" t="s">
        <v>437</v>
      </c>
      <c r="E301" s="1325">
        <f>'Secondary Sources'!E22</f>
        <v>0.5</v>
      </c>
      <c r="F301" s="1390">
        <f>'Secondary Sources'!F22</f>
        <v>1</v>
      </c>
      <c r="G301" s="146"/>
      <c r="H301" s="130"/>
      <c r="I301" s="130"/>
      <c r="J301" s="130"/>
      <c r="K301" s="130"/>
      <c r="L301" s="130"/>
      <c r="M301" s="137"/>
      <c r="N301" s="132"/>
      <c r="O301" s="138" t="s">
        <v>103</v>
      </c>
      <c r="P301" s="147" t="s">
        <v>101</v>
      </c>
      <c r="Q301" s="114"/>
      <c r="R301"/>
      <c r="S301" s="114"/>
      <c r="T301" s="753"/>
      <c r="U301" s="753"/>
      <c r="V301" s="753"/>
      <c r="W301" s="753"/>
      <c r="X301" s="753"/>
      <c r="Y301" s="753"/>
      <c r="Z301" s="753"/>
      <c r="AA301" s="753"/>
      <c r="AB301" s="753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</row>
    <row r="302" spans="1:70" s="1" customFormat="1" ht="13" x14ac:dyDescent="0.3">
      <c r="B302" s="148"/>
      <c r="C302" s="149"/>
      <c r="D302" s="149"/>
      <c r="E302" s="144"/>
      <c r="F302" s="145"/>
      <c r="G302" s="146"/>
      <c r="H302" s="130"/>
      <c r="I302" s="130"/>
      <c r="J302" s="130"/>
      <c r="K302" s="130"/>
      <c r="L302" s="130"/>
      <c r="M302" s="137"/>
      <c r="N302" s="132"/>
      <c r="O302" s="114"/>
      <c r="P302"/>
      <c r="Q302" s="114"/>
      <c r="R302"/>
      <c r="S302" s="114"/>
      <c r="T302" s="753"/>
      <c r="U302" s="753"/>
      <c r="V302" s="753"/>
      <c r="W302" s="753"/>
      <c r="X302" s="753"/>
      <c r="Y302" s="753"/>
      <c r="Z302" s="753"/>
      <c r="AA302" s="753"/>
      <c r="AB302" s="753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</row>
    <row r="303" spans="1:70" s="1" customFormat="1" ht="13" x14ac:dyDescent="0.3">
      <c r="B303" s="150"/>
      <c r="C303" s="151"/>
      <c r="D303" s="152" t="s">
        <v>10</v>
      </c>
      <c r="E303" s="144" t="s">
        <v>11</v>
      </c>
      <c r="F303" s="145" t="s">
        <v>12</v>
      </c>
      <c r="G303" s="146" t="s">
        <v>104</v>
      </c>
      <c r="H303" s="130"/>
      <c r="I303" s="130"/>
      <c r="J303" s="130"/>
      <c r="K303" s="130"/>
      <c r="L303" s="130"/>
      <c r="M303" s="137"/>
      <c r="N303" s="132"/>
      <c r="O303" s="114"/>
      <c r="P303"/>
      <c r="Q303" s="114"/>
      <c r="R303"/>
      <c r="S303" s="114"/>
      <c r="T303" s="753"/>
      <c r="U303" s="753"/>
      <c r="V303" s="753"/>
      <c r="W303" s="753"/>
      <c r="X303" s="753"/>
      <c r="Y303" s="753"/>
      <c r="Z303" s="753"/>
      <c r="AA303" s="753"/>
      <c r="AB303" s="753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</row>
    <row r="304" spans="1:70" s="1" customFormat="1" ht="13" x14ac:dyDescent="0.3">
      <c r="B304" s="150" t="s">
        <v>105</v>
      </c>
      <c r="C304" s="151"/>
      <c r="D304" s="154">
        <f>'Secondary Sources'!D25*(1-$C287/MAX('Secondary Sources'!$C18*'Secondary Sources'!$C3,0.001))</f>
        <v>385345.90080000006</v>
      </c>
      <c r="E304" s="155">
        <f>'Secondary Sources'!E25*(1-$C287/MAX('Secondary Sources'!$C18*'Secondary Sources'!$C3,0.001))</f>
        <v>64224.316800000015</v>
      </c>
      <c r="F304" s="155">
        <f>'Secondary Sources'!F25*(1-$C287/MAX('Secondary Sources'!$C18*'Secondary Sources'!$C3,0.001))</f>
        <v>2568972.6720000003</v>
      </c>
      <c r="G304" s="156">
        <f>'Secondary Sources'!G25*(1-$C287/MAX('Secondary Sources'!$C18*'Secondary Sources'!$C3,0.001))</f>
        <v>291544596.00000006</v>
      </c>
      <c r="H304" s="130"/>
      <c r="I304" s="130"/>
      <c r="J304" s="130"/>
      <c r="K304" s="130"/>
      <c r="L304" s="130"/>
      <c r="M304" s="157"/>
      <c r="N304" s="132"/>
      <c r="O304" s="114"/>
      <c r="P304"/>
      <c r="Q304" s="114"/>
      <c r="R304"/>
      <c r="S304" s="114"/>
      <c r="T304" s="753"/>
      <c r="U304" s="753"/>
      <c r="V304" s="753"/>
      <c r="W304" s="753"/>
      <c r="X304" s="753"/>
      <c r="Y304" s="753"/>
      <c r="Z304" s="753"/>
      <c r="AA304" s="753"/>
      <c r="AB304" s="753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</row>
    <row r="305" spans="2:70" s="1" customFormat="1" ht="13" x14ac:dyDescent="0.3">
      <c r="B305" s="153"/>
      <c r="C305" s="158"/>
      <c r="D305" s="159"/>
      <c r="E305" s="159"/>
      <c r="F305" s="159"/>
      <c r="G305" s="160"/>
      <c r="H305" s="130"/>
      <c r="I305" s="130"/>
      <c r="J305" s="130"/>
      <c r="K305" s="130"/>
      <c r="L305" s="130"/>
      <c r="M305" s="157"/>
      <c r="N305" s="132"/>
      <c r="O305" s="114"/>
      <c r="P305"/>
      <c r="Q305" s="114"/>
      <c r="R305"/>
      <c r="S305" s="114"/>
      <c r="T305" s="753"/>
      <c r="U305" s="753"/>
      <c r="V305" s="753"/>
      <c r="W305" s="753"/>
      <c r="X305" s="753"/>
      <c r="Y305" s="753"/>
      <c r="Z305" s="753"/>
      <c r="AA305" s="753"/>
      <c r="AB305" s="753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</row>
    <row r="306" spans="2:70" s="1" customFormat="1" ht="13" x14ac:dyDescent="0.3">
      <c r="B306" s="39" t="s">
        <v>599</v>
      </c>
      <c r="C306" s="151" t="s">
        <v>106</v>
      </c>
      <c r="D306" s="161" t="s">
        <v>107</v>
      </c>
      <c r="E306" s="162" t="s">
        <v>108</v>
      </c>
      <c r="F306" s="163" t="s">
        <v>109</v>
      </c>
      <c r="G306" s="164" t="s">
        <v>110</v>
      </c>
      <c r="H306" s="130"/>
      <c r="I306" s="130"/>
      <c r="J306" s="130"/>
      <c r="K306" s="130"/>
      <c r="L306" s="130"/>
      <c r="M306" s="165"/>
      <c r="N306" s="132"/>
      <c r="O306" s="114"/>
      <c r="P306"/>
      <c r="Q306" s="114"/>
      <c r="R306"/>
      <c r="S306" s="114"/>
      <c r="T306" s="753"/>
      <c r="U306" s="753"/>
      <c r="V306" s="753"/>
      <c r="W306" s="753"/>
      <c r="X306" s="753"/>
      <c r="Y306" s="753"/>
      <c r="Z306" s="753"/>
      <c r="AA306" s="753"/>
      <c r="AB306" s="753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</row>
    <row r="307" spans="2:70" s="1" customFormat="1" ht="13" x14ac:dyDescent="0.3">
      <c r="B307" s="39" t="s">
        <v>111</v>
      </c>
      <c r="C307" s="1450">
        <f>1-SUM(C308:C311)</f>
        <v>1</v>
      </c>
      <c r="D307" s="1326">
        <f>'Secondary Sources'!D28</f>
        <v>0.28000000000000003</v>
      </c>
      <c r="E307" s="1391">
        <f>'Secondary Sources'!E28</f>
        <v>0.56999999999999995</v>
      </c>
      <c r="F307" s="1326">
        <f>'Secondary Sources'!F28</f>
        <v>0.72</v>
      </c>
      <c r="G307" s="1392">
        <f>'Secondary Sources'!G28</f>
        <v>3.5</v>
      </c>
      <c r="H307" s="1022"/>
      <c r="I307" s="130"/>
      <c r="J307" s="130"/>
      <c r="K307" s="130"/>
      <c r="L307" s="130"/>
      <c r="M307" s="166"/>
      <c r="N307" s="132">
        <f>1-10^-G307</f>
        <v>0.99968377223398319</v>
      </c>
      <c r="O307" s="114"/>
      <c r="P307"/>
      <c r="Q307" s="114"/>
      <c r="R307"/>
      <c r="S307" s="114"/>
      <c r="T307" s="753"/>
      <c r="U307" s="753"/>
      <c r="V307" s="753"/>
      <c r="W307" s="753"/>
      <c r="X307" s="753"/>
      <c r="Y307" s="753"/>
      <c r="Z307" s="753"/>
      <c r="AA307" s="753"/>
      <c r="AB307" s="753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</row>
    <row r="308" spans="2:70" s="1" customFormat="1" ht="13" x14ac:dyDescent="0.3">
      <c r="B308" s="39" t="s">
        <v>112</v>
      </c>
      <c r="C308" s="1450">
        <f>IF(C$274=B$417,C$275*C$276,0)*IF(C$280=B308,1,0)+'Secondary Sources'!C29</f>
        <v>0</v>
      </c>
      <c r="D308" s="1326">
        <f>'Secondary Sources'!D29</f>
        <v>0.55000000000000004</v>
      </c>
      <c r="E308" s="1391">
        <f>'Secondary Sources'!E29</f>
        <v>0.8</v>
      </c>
      <c r="F308" s="1326">
        <f>'Secondary Sources'!F29</f>
        <v>0.92</v>
      </c>
      <c r="G308" s="1392">
        <f>'Secondary Sources'!G29</f>
        <v>3.2</v>
      </c>
      <c r="H308" s="130"/>
      <c r="I308" s="130"/>
      <c r="J308" s="130"/>
      <c r="K308" s="130"/>
      <c r="L308" s="130"/>
      <c r="M308" s="166"/>
      <c r="N308" s="132">
        <f>1-10^-G308</f>
        <v>0.99936904265551985</v>
      </c>
      <c r="O308" s="114"/>
      <c r="P308"/>
      <c r="Q308" s="114"/>
      <c r="R308"/>
      <c r="S308" s="114"/>
      <c r="T308" s="753"/>
      <c r="U308" s="753"/>
      <c r="V308" s="753"/>
      <c r="W308" s="753"/>
      <c r="X308" s="753"/>
      <c r="Y308" s="753"/>
      <c r="Z308" s="753"/>
      <c r="AA308" s="753"/>
      <c r="AB308" s="753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</row>
    <row r="309" spans="2:70" s="1" customFormat="1" ht="13" x14ac:dyDescent="0.3">
      <c r="B309" s="39" t="s">
        <v>113</v>
      </c>
      <c r="C309" s="1450">
        <f>IF(C$274=B$417,C$275*C$276,0)*IF(C$280=B309,1,0)+'Secondary Sources'!C30</f>
        <v>0</v>
      </c>
      <c r="D309" s="1326">
        <f>'Secondary Sources'!D30</f>
        <v>0.64</v>
      </c>
      <c r="E309" s="1391">
        <f>'Secondary Sources'!E30</f>
        <v>0.8</v>
      </c>
      <c r="F309" s="1326">
        <f>'Secondary Sources'!F30</f>
        <v>0.9</v>
      </c>
      <c r="G309" s="1392">
        <f>'Secondary Sources'!G30</f>
        <v>2.9</v>
      </c>
      <c r="H309" s="130"/>
      <c r="I309" s="130"/>
      <c r="J309" s="130"/>
      <c r="K309" s="130"/>
      <c r="L309" s="130"/>
      <c r="M309" s="166"/>
      <c r="N309" s="132">
        <f>1-10^-G309</f>
        <v>0.99874107458820582</v>
      </c>
      <c r="O309" s="114"/>
      <c r="P309"/>
      <c r="Q309" s="114"/>
      <c r="R309"/>
      <c r="S309" s="114"/>
      <c r="T309" s="753"/>
      <c r="U309" s="753"/>
      <c r="V309" s="753"/>
      <c r="W309" s="753"/>
      <c r="X309" s="753"/>
      <c r="Y309" s="753"/>
      <c r="Z309" s="753"/>
      <c r="AA309" s="753"/>
      <c r="AB309" s="753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</row>
    <row r="310" spans="2:70" s="1" customFormat="1" ht="13" x14ac:dyDescent="0.3">
      <c r="B310" s="39" t="s">
        <v>114</v>
      </c>
      <c r="C310" s="1450">
        <f>IF(C$274=B$417,C$275*C$276,0)*IF(C$280=B310,1,0)+'Secondary Sources'!C31</f>
        <v>0</v>
      </c>
      <c r="D310" s="1326">
        <f>'Secondary Sources'!D31</f>
        <v>0.83</v>
      </c>
      <c r="E310" s="1391">
        <f>'Secondary Sources'!E31</f>
        <v>0.3</v>
      </c>
      <c r="F310" s="1326">
        <f>'Secondary Sources'!F31</f>
        <v>0.6</v>
      </c>
      <c r="G310" s="1393">
        <f>'Secondary Sources'!G31</f>
        <v>3</v>
      </c>
      <c r="H310" s="130"/>
      <c r="I310" s="130"/>
      <c r="J310" s="130"/>
      <c r="K310" s="130"/>
      <c r="L310" s="130"/>
      <c r="M310" s="167"/>
      <c r="N310" s="132">
        <f>1-10^-G310</f>
        <v>0.999</v>
      </c>
      <c r="O310" s="114"/>
      <c r="P310"/>
      <c r="Q310" s="114"/>
      <c r="R310"/>
      <c r="S310" s="114"/>
      <c r="T310" s="753"/>
      <c r="U310" s="753"/>
      <c r="V310" s="753"/>
      <c r="W310" s="753"/>
      <c r="X310" s="753"/>
      <c r="Y310" s="753"/>
      <c r="Z310" s="753"/>
      <c r="AA310" s="753"/>
      <c r="AB310" s="753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</row>
    <row r="311" spans="2:70" s="1" customFormat="1" ht="13.5" thickBot="1" x14ac:dyDescent="0.35">
      <c r="B311" s="52" t="s">
        <v>515</v>
      </c>
      <c r="C311" s="1450">
        <f>IF(C$274=B$417,C$275*C$276,0)*IF(C$280=B311,1,0)+'Secondary Sources'!C32</f>
        <v>0</v>
      </c>
      <c r="D311" s="1337" t="str">
        <f>IF($C$280=$B$311,'Future Management Practices'!D280,'Secondary Sources'!D32)</f>
        <v>Enter Value</v>
      </c>
      <c r="E311" s="1337" t="str">
        <f>IF($C$280=$B$311,'Future Management Practices'!E280,'Secondary Sources'!E32)</f>
        <v>Enter Value</v>
      </c>
      <c r="F311" s="1337" t="str">
        <f>IF($C$280=$B$311,'Future Management Practices'!F280,'Secondary Sources'!F32)</f>
        <v>Enter Value</v>
      </c>
      <c r="G311" s="1393">
        <f>IF($C$280=$B$311,'Future Management Practices'!G280,'Secondary Sources'!G32)</f>
        <v>3.5</v>
      </c>
      <c r="H311" s="130"/>
      <c r="I311" s="130"/>
      <c r="J311" s="130"/>
      <c r="K311" s="130"/>
      <c r="L311" s="130"/>
      <c r="M311" s="167"/>
      <c r="N311" s="132">
        <f>IF(G311="enter value",0,1-10^-G311)</f>
        <v>0.99968377223398319</v>
      </c>
      <c r="O311" s="114"/>
      <c r="P311"/>
      <c r="Q311" s="114"/>
      <c r="R311"/>
      <c r="S311" s="114"/>
      <c r="T311" s="753"/>
      <c r="U311" s="753"/>
      <c r="V311" s="753"/>
      <c r="W311" s="753"/>
      <c r="X311" s="753"/>
      <c r="Y311" s="753"/>
      <c r="Z311" s="753"/>
      <c r="AA311" s="753"/>
      <c r="AB311" s="753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</row>
    <row r="312" spans="2:70" s="1" customFormat="1" ht="13" x14ac:dyDescent="0.3">
      <c r="B312" s="168"/>
      <c r="C312" s="169"/>
      <c r="D312" s="169"/>
      <c r="E312" s="170"/>
      <c r="F312" s="169"/>
      <c r="G312" s="171"/>
      <c r="H312" s="130"/>
      <c r="I312" s="130"/>
      <c r="J312" s="130"/>
      <c r="K312" s="130"/>
      <c r="L312" s="130"/>
      <c r="M312" s="167"/>
      <c r="N312" s="132"/>
      <c r="O312" s="114"/>
      <c r="P312"/>
      <c r="Q312" s="114"/>
      <c r="R312"/>
      <c r="S312" s="114"/>
      <c r="T312" s="753"/>
      <c r="U312" s="753"/>
      <c r="V312" s="753"/>
      <c r="W312" s="753"/>
      <c r="X312" s="753"/>
      <c r="Y312" s="753"/>
      <c r="Z312" s="753"/>
      <c r="AA312" s="753"/>
      <c r="AB312" s="753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</row>
    <row r="313" spans="2:70" s="1" customFormat="1" ht="13.5" thickBot="1" x14ac:dyDescent="0.35">
      <c r="B313" s="173"/>
      <c r="C313" s="174"/>
      <c r="D313" s="174"/>
      <c r="E313" s="175"/>
      <c r="F313" s="174"/>
      <c r="G313" s="176"/>
      <c r="H313" s="130"/>
      <c r="I313" s="130"/>
      <c r="J313" s="130"/>
      <c r="K313" s="130"/>
      <c r="L313" s="130"/>
      <c r="M313" s="167"/>
      <c r="N313" s="177">
        <f>1-10^-G313</f>
        <v>0</v>
      </c>
      <c r="O313" s="178"/>
      <c r="P313" s="179"/>
      <c r="Q313" s="178"/>
      <c r="R313" s="179"/>
      <c r="S313" s="114"/>
      <c r="T313" s="753"/>
      <c r="U313" s="753"/>
      <c r="V313" s="753"/>
      <c r="W313" s="753"/>
      <c r="X313" s="753"/>
      <c r="Y313" s="753"/>
      <c r="Z313" s="753"/>
      <c r="AA313" s="753"/>
      <c r="AB313" s="753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</row>
    <row r="314" spans="2:70" s="1" customFormat="1" ht="13.5" customHeight="1" x14ac:dyDescent="0.3">
      <c r="B314" s="86" t="s">
        <v>116</v>
      </c>
      <c r="C314" s="737"/>
      <c r="D314" s="1361">
        <f>SUMPRODUCT($C307:$C311,D307:D311)</f>
        <v>0.28000000000000003</v>
      </c>
      <c r="E314" s="1397">
        <f>SUMPRODUCT($C307:$C313,E307:E313)</f>
        <v>0.56999999999999995</v>
      </c>
      <c r="F314" s="1361">
        <f>SUMPRODUCT($C307:$C313,F307:F313)</f>
        <v>0.72</v>
      </c>
      <c r="G314" s="1398">
        <f>-LOG(1-N314)</f>
        <v>3.5000000000000413</v>
      </c>
      <c r="H314" s="1023"/>
      <c r="I314" s="130"/>
      <c r="J314" s="130"/>
      <c r="K314" s="130"/>
      <c r="L314" s="130"/>
      <c r="M314" s="167"/>
      <c r="N314" s="177">
        <f>SUMPRODUCT(C307:C313,N307:N313)</f>
        <v>0.99968377223398319</v>
      </c>
      <c r="O314" s="178"/>
      <c r="P314" s="179"/>
      <c r="Q314" s="178"/>
      <c r="R314" s="179"/>
      <c r="S314" s="114"/>
      <c r="T314" s="753"/>
      <c r="U314" s="753"/>
      <c r="V314" s="753"/>
      <c r="W314" s="753"/>
      <c r="X314" s="753"/>
      <c r="Y314" s="753"/>
      <c r="Z314" s="753"/>
      <c r="AA314" s="753"/>
      <c r="AB314" s="753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</row>
    <row r="315" spans="2:70" s="1" customFormat="1" ht="13.5" customHeight="1" thickBot="1" x14ac:dyDescent="0.35">
      <c r="B315" s="86" t="s">
        <v>117</v>
      </c>
      <c r="C315" s="831"/>
      <c r="D315" s="1337">
        <f>IF($C318='Secondary Sources'!$C$52,D314,2/3*D314)</f>
        <v>0.28000000000000003</v>
      </c>
      <c r="E315" s="1399">
        <f>IF($C318='Secondary Sources'!$C$52,E314,2/3*E314)</f>
        <v>0.56999999999999995</v>
      </c>
      <c r="F315" s="1337">
        <f>IF($C318='Secondary Sources'!$C$52,F314,2/3*F314)</f>
        <v>0.72</v>
      </c>
      <c r="G315" s="1395">
        <f>IF($C318='Secondary Sources'!$C$52,G314,G314-1)</f>
        <v>3.5000000000000413</v>
      </c>
      <c r="H315" s="130"/>
      <c r="I315" s="130"/>
      <c r="J315" s="130"/>
      <c r="K315" s="130"/>
      <c r="L315" s="1026"/>
      <c r="M315" s="167"/>
      <c r="N315" s="1032">
        <f>1-(10^(-G315))</f>
        <v>0.99968377223398319</v>
      </c>
      <c r="O315" s="142" t="s">
        <v>118</v>
      </c>
      <c r="P315" s="139"/>
      <c r="Q315" s="138"/>
      <c r="R315" s="139"/>
      <c r="S315" s="114"/>
      <c r="T315" s="753"/>
      <c r="U315" s="753"/>
      <c r="V315" s="753"/>
      <c r="W315" s="753"/>
      <c r="X315" s="753"/>
      <c r="Y315" s="753"/>
      <c r="Z315" s="753"/>
      <c r="AA315" s="753"/>
      <c r="AB315" s="753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</row>
    <row r="316" spans="2:70" s="1" customFormat="1" ht="13.5" customHeight="1" x14ac:dyDescent="0.3">
      <c r="B316" s="181"/>
      <c r="C316" s="182"/>
      <c r="D316" s="183"/>
      <c r="E316" s="183"/>
      <c r="F316" s="183"/>
      <c r="G316" s="184"/>
      <c r="H316" s="130"/>
      <c r="I316" s="130"/>
      <c r="J316" s="130"/>
      <c r="K316" s="130"/>
      <c r="L316" s="130"/>
      <c r="M316" s="130"/>
      <c r="N316" s="132"/>
      <c r="O316" s="114"/>
      <c r="P316"/>
      <c r="Q316" s="114"/>
      <c r="R316"/>
      <c r="S316" s="114"/>
      <c r="T316" s="753"/>
      <c r="U316" s="753"/>
      <c r="V316" s="753"/>
      <c r="W316" s="753"/>
      <c r="X316" s="753"/>
      <c r="Y316" s="753"/>
      <c r="Z316" s="753"/>
      <c r="AA316" s="753"/>
      <c r="AB316" s="753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</row>
    <row r="317" spans="2:70" s="1" customFormat="1" ht="16.5" customHeight="1" x14ac:dyDescent="0.3">
      <c r="B317" s="150"/>
      <c r="C317" s="188"/>
      <c r="D317" s="189"/>
      <c r="E317" s="190"/>
      <c r="F317" s="190"/>
      <c r="G317" s="191"/>
      <c r="H317" s="130"/>
      <c r="I317" s="130"/>
      <c r="J317" s="130"/>
      <c r="K317" s="130"/>
      <c r="L317" s="130"/>
      <c r="M317" s="130"/>
      <c r="N317" s="132"/>
      <c r="O317" s="114"/>
      <c r="P317"/>
      <c r="Q317" s="114"/>
      <c r="R317"/>
      <c r="S317" s="114"/>
      <c r="T317" s="753"/>
      <c r="U317" s="753"/>
      <c r="V317" s="753"/>
      <c r="W317" s="753"/>
      <c r="X317" s="753"/>
      <c r="Y317" s="753"/>
      <c r="Z317" s="753"/>
      <c r="AA317" s="753"/>
      <c r="AB317" s="753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</row>
    <row r="318" spans="2:70" s="1" customFormat="1" ht="12.75" customHeight="1" thickBot="1" x14ac:dyDescent="0.35">
      <c r="B318" s="97" t="s">
        <v>123</v>
      </c>
      <c r="C318" s="1451" t="str">
        <f>'Secondary Sources'!C41</f>
        <v>&lt;1/acre</v>
      </c>
      <c r="D318" s="194"/>
      <c r="E318" s="195"/>
      <c r="F318" s="195"/>
      <c r="G318" s="196"/>
      <c r="H318" s="130"/>
      <c r="I318" s="130"/>
      <c r="J318" s="130"/>
      <c r="K318" s="130"/>
      <c r="L318" s="130"/>
      <c r="M318" s="130"/>
      <c r="N318" s="132"/>
      <c r="O318" s="142" t="s">
        <v>125</v>
      </c>
      <c r="P318" s="139" t="s">
        <v>126</v>
      </c>
      <c r="Q318" s="142" t="s">
        <v>127</v>
      </c>
      <c r="R318" s="139" t="s">
        <v>128</v>
      </c>
      <c r="S318" s="114"/>
      <c r="T318" s="753"/>
      <c r="U318" s="753"/>
      <c r="V318" s="753"/>
      <c r="W318" s="753"/>
      <c r="X318" s="753"/>
      <c r="Y318" s="753"/>
      <c r="Z318" s="753"/>
      <c r="AA318" s="753"/>
      <c r="AB318" s="753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</row>
    <row r="319" spans="2:70" s="1" customFormat="1" ht="13.5" customHeight="1" thickTop="1" x14ac:dyDescent="0.3">
      <c r="B319" s="150"/>
      <c r="C319" s="188"/>
      <c r="D319" s="189"/>
      <c r="E319" s="190"/>
      <c r="F319" s="190"/>
      <c r="G319" s="191"/>
      <c r="H319" s="130"/>
      <c r="I319" s="130"/>
      <c r="J319" s="130"/>
      <c r="K319" s="130"/>
      <c r="L319" s="130"/>
      <c r="M319" s="130"/>
      <c r="N319" s="132"/>
      <c r="O319" s="142" t="s">
        <v>129</v>
      </c>
      <c r="P319" s="139" t="s">
        <v>130</v>
      </c>
      <c r="Q319" s="142" t="s">
        <v>131</v>
      </c>
      <c r="R319" s="139" t="s">
        <v>130</v>
      </c>
      <c r="S319" s="114"/>
      <c r="T319" s="753"/>
      <c r="U319" s="753"/>
      <c r="V319" s="753"/>
      <c r="W319" s="753"/>
      <c r="X319" s="753"/>
      <c r="Y319" s="753"/>
      <c r="Z319" s="753"/>
      <c r="AA319" s="753"/>
      <c r="AB319" s="753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</row>
    <row r="320" spans="2:70" s="1" customFormat="1" ht="13.5" customHeight="1" x14ac:dyDescent="0.3">
      <c r="B320" s="39"/>
      <c r="C320" s="197"/>
      <c r="D320" s="163" t="s">
        <v>10</v>
      </c>
      <c r="E320" s="192" t="s">
        <v>11</v>
      </c>
      <c r="F320" s="192" t="s">
        <v>12</v>
      </c>
      <c r="G320" s="193" t="s">
        <v>68</v>
      </c>
      <c r="H320" s="130"/>
      <c r="I320" s="130"/>
      <c r="J320" s="130"/>
      <c r="K320" s="130"/>
      <c r="L320" s="130"/>
      <c r="M320" s="130"/>
      <c r="N320" s="132"/>
      <c r="O320" s="138" t="s">
        <v>132</v>
      </c>
      <c r="P320" s="147" t="s">
        <v>133</v>
      </c>
      <c r="Q320" s="138"/>
      <c r="R320" s="147" t="s">
        <v>134</v>
      </c>
      <c r="T320" s="87"/>
      <c r="U320" s="753"/>
      <c r="V320" s="753"/>
      <c r="W320" s="753"/>
      <c r="X320" s="753"/>
      <c r="Y320" s="753"/>
      <c r="Z320" s="753"/>
      <c r="AA320" s="753"/>
      <c r="AB320" s="753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</row>
    <row r="321" spans="1:70" s="1" customFormat="1" ht="13.5" customHeight="1" x14ac:dyDescent="0.3">
      <c r="B321" s="39" t="s">
        <v>135</v>
      </c>
      <c r="C321" s="197"/>
      <c r="D321" s="199">
        <f>'Secondary Sources'!D44</f>
        <v>0.2</v>
      </c>
      <c r="E321" s="199">
        <f>'Secondary Sources'!E44</f>
        <v>1</v>
      </c>
      <c r="F321" s="199">
        <f>'Secondary Sources'!F44</f>
        <v>1</v>
      </c>
      <c r="G321" s="200">
        <f>'Secondary Sources'!G44</f>
        <v>1</v>
      </c>
      <c r="H321" s="130"/>
      <c r="I321" s="130"/>
      <c r="J321" s="130"/>
      <c r="K321" s="130"/>
      <c r="L321" s="130"/>
      <c r="M321" s="201"/>
      <c r="N321" s="132"/>
      <c r="O321" s="138" t="s">
        <v>136</v>
      </c>
      <c r="P321" s="147" t="s">
        <v>137</v>
      </c>
      <c r="Q321" s="138"/>
      <c r="R321" s="147"/>
      <c r="T321" s="87"/>
      <c r="U321" s="753"/>
      <c r="V321" s="753"/>
      <c r="W321" s="753"/>
      <c r="X321" s="753"/>
      <c r="Y321" s="753"/>
      <c r="Z321" s="753"/>
      <c r="AA321" s="753"/>
      <c r="AB321" s="753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</row>
    <row r="322" spans="1:70" s="1" customFormat="1" ht="13.5" customHeight="1" thickBot="1" x14ac:dyDescent="0.35">
      <c r="B322" s="97"/>
      <c r="C322" s="202"/>
      <c r="D322" s="194"/>
      <c r="E322" s="195"/>
      <c r="F322" s="195"/>
      <c r="G322" s="196"/>
      <c r="H322" s="130"/>
      <c r="I322" s="130"/>
      <c r="J322" s="130"/>
      <c r="K322" s="130"/>
      <c r="L322" s="130"/>
      <c r="M322" s="130"/>
      <c r="N322" s="132"/>
      <c r="O322" s="138" t="s">
        <v>138</v>
      </c>
      <c r="P322" s="139" t="s">
        <v>138</v>
      </c>
      <c r="Q322" s="138"/>
      <c r="R322" s="139" t="s">
        <v>138</v>
      </c>
      <c r="T322" s="87"/>
      <c r="U322" s="753"/>
      <c r="V322" s="753"/>
      <c r="W322" s="753"/>
      <c r="X322" s="753"/>
      <c r="Y322" s="753"/>
      <c r="Z322" s="753"/>
      <c r="AA322" s="753"/>
      <c r="AB322" s="753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</row>
    <row r="323" spans="1:70" s="1" customFormat="1" ht="13.5" customHeight="1" thickTop="1" x14ac:dyDescent="0.3">
      <c r="A323" s="87"/>
      <c r="B323" s="150"/>
      <c r="C323" s="87"/>
      <c r="D323" s="203" t="s">
        <v>10</v>
      </c>
      <c r="E323" s="204" t="s">
        <v>11</v>
      </c>
      <c r="F323" s="190" t="s">
        <v>12</v>
      </c>
      <c r="G323" s="191" t="s">
        <v>68</v>
      </c>
      <c r="H323" s="130"/>
      <c r="I323" s="130"/>
      <c r="J323" s="130"/>
      <c r="K323" s="130"/>
      <c r="L323" s="130"/>
      <c r="M323" s="130"/>
      <c r="N323" s="186"/>
      <c r="T323" s="87"/>
      <c r="U323" s="753"/>
      <c r="V323" s="753"/>
      <c r="W323" s="753"/>
      <c r="X323" s="753"/>
      <c r="Y323" s="753"/>
      <c r="Z323" s="753"/>
      <c r="AA323" s="753"/>
      <c r="AB323" s="753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</row>
    <row r="324" spans="1:70" s="1" customFormat="1" ht="13" x14ac:dyDescent="0.3">
      <c r="A324" s="104"/>
      <c r="B324" s="205"/>
      <c r="C324" s="118" t="s">
        <v>139</v>
      </c>
      <c r="D324" s="1241">
        <f>D304*E297*($E301*(1-$C298)+$F301*$C298)</f>
        <v>20198.08224</v>
      </c>
      <c r="E324" s="1241">
        <f>E304*$E$297*($E301*(1-$C298)+$F301*$C298)</f>
        <v>3366.3470400000001</v>
      </c>
      <c r="F324" s="1241">
        <f>F304*$E$297*($E301*(1-$C298)+$F301*$C298)</f>
        <v>134653.88159999999</v>
      </c>
      <c r="G324" s="1242">
        <f>G304*$E$297*($E301*(1-$C298)*E300+$F301*$C298*F300)</f>
        <v>210841.67160000003</v>
      </c>
      <c r="H324" s="130"/>
      <c r="I324" s="130"/>
      <c r="J324" s="130"/>
      <c r="K324" s="130"/>
      <c r="L324" s="130"/>
      <c r="M324" s="130"/>
      <c r="N324" s="132"/>
      <c r="O324" s="206" t="s">
        <v>600</v>
      </c>
      <c r="P324" s="207"/>
      <c r="Q324" s="208"/>
      <c r="R324" s="207"/>
      <c r="S324" s="208"/>
      <c r="T324" s="943"/>
      <c r="U324" s="753"/>
      <c r="V324" s="753"/>
      <c r="W324" s="753"/>
      <c r="X324" s="753"/>
      <c r="Y324" s="753"/>
      <c r="Z324" s="753"/>
      <c r="AA324" s="753"/>
      <c r="AB324" s="753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</row>
    <row r="325" spans="1:70" s="1" customFormat="1" ht="13" x14ac:dyDescent="0.3">
      <c r="A325" s="104"/>
      <c r="B325" s="205"/>
      <c r="C325" s="118" t="s">
        <v>140</v>
      </c>
      <c r="D325" s="1241">
        <f>D304*(1-$E297)*(1-D315)*(1-D321)</f>
        <v>199763.31497472004</v>
      </c>
      <c r="E325" s="1241">
        <f>E304*(1-$E297)*(1-E315)*(1-E321)</f>
        <v>0</v>
      </c>
      <c r="F325" s="1241">
        <f>F304*(1-$E297)*(1-F315)*(1-F321)</f>
        <v>0</v>
      </c>
      <c r="G325" s="1242">
        <f>G304*(1-$E297)*(1-N315)*(1-G321)</f>
        <v>0</v>
      </c>
      <c r="H325" s="1033"/>
      <c r="I325" s="130"/>
      <c r="J325" s="130"/>
      <c r="K325" s="130"/>
      <c r="L325" s="130"/>
      <c r="M325" s="130"/>
      <c r="N325" s="186"/>
      <c r="O325" s="208"/>
      <c r="P325" s="207"/>
      <c r="Q325" s="208"/>
      <c r="R325" s="207"/>
      <c r="S325" s="208"/>
      <c r="T325" s="943"/>
      <c r="U325" s="753"/>
      <c r="V325" s="753"/>
      <c r="W325" s="753"/>
      <c r="X325" s="753"/>
      <c r="Y325" s="753"/>
      <c r="Z325" s="753"/>
      <c r="AA325" s="753"/>
      <c r="AB325" s="753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</row>
    <row r="326" spans="1:70" s="1" customFormat="1" ht="13.5" thickBot="1" x14ac:dyDescent="0.35">
      <c r="B326" s="97"/>
      <c r="C326" s="202"/>
      <c r="D326" s="194"/>
      <c r="E326" s="195"/>
      <c r="F326" s="195"/>
      <c r="G326" s="196"/>
      <c r="H326" s="130"/>
      <c r="I326" s="130"/>
      <c r="J326" s="130"/>
      <c r="K326" s="130"/>
      <c r="L326" s="130"/>
      <c r="M326" s="130"/>
      <c r="N326" s="132"/>
      <c r="O326" s="206" t="s">
        <v>603</v>
      </c>
      <c r="P326" s="207"/>
      <c r="Q326" s="208"/>
      <c r="R326" s="207"/>
      <c r="S326" s="208"/>
      <c r="T326" s="943"/>
      <c r="U326" s="753"/>
      <c r="V326" s="753"/>
      <c r="W326" s="753"/>
      <c r="X326" s="753"/>
      <c r="Y326" s="753"/>
      <c r="Z326" s="753"/>
      <c r="AA326" s="753"/>
      <c r="AB326" s="753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</row>
    <row r="327" spans="1:70" s="1" customFormat="1" ht="13.5" hidden="1" thickTop="1" x14ac:dyDescent="0.3">
      <c r="B327" s="87"/>
      <c r="C327" s="938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132"/>
      <c r="O327" s="206"/>
      <c r="P327" s="207"/>
      <c r="Q327" s="208"/>
      <c r="R327" s="207"/>
      <c r="S327" s="208"/>
      <c r="T327" s="943"/>
      <c r="U327" s="753"/>
      <c r="V327" s="753"/>
      <c r="W327" s="753"/>
      <c r="X327" s="753"/>
      <c r="Y327" s="753"/>
      <c r="Z327" s="753"/>
      <c r="AA327" s="753"/>
      <c r="AB327" s="753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</row>
    <row r="328" spans="1:70" s="1" customFormat="1" ht="13" hidden="1" x14ac:dyDescent="0.3">
      <c r="B328" s="87"/>
      <c r="C328" s="938" t="str">
        <f>'Secondary Sources'!C52</f>
        <v>&lt;1/acre</v>
      </c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2"/>
      <c r="O328" s="206"/>
      <c r="P328" s="207"/>
      <c r="Q328" s="208"/>
      <c r="R328" s="207"/>
      <c r="S328" s="208"/>
      <c r="T328" s="943"/>
      <c r="U328" s="753"/>
      <c r="V328" s="753"/>
      <c r="W328" s="753"/>
      <c r="X328" s="753"/>
      <c r="Y328" s="753"/>
      <c r="Z328" s="753"/>
      <c r="AA328" s="753"/>
      <c r="AB328" s="753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</row>
    <row r="329" spans="1:70" s="1" customFormat="1" ht="13" hidden="1" x14ac:dyDescent="0.3">
      <c r="B329" s="87"/>
      <c r="C329" s="938" t="str">
        <f>'Secondary Sources'!C53</f>
        <v>1-2/acre</v>
      </c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2"/>
      <c r="O329" s="206"/>
      <c r="P329" s="207"/>
      <c r="Q329" s="208"/>
      <c r="R329" s="207"/>
      <c r="S329" s="208"/>
      <c r="T329" s="943"/>
      <c r="U329" s="753"/>
      <c r="V329" s="753"/>
      <c r="W329" s="753"/>
      <c r="X329" s="753"/>
      <c r="Y329" s="753"/>
      <c r="Z329" s="753"/>
      <c r="AA329" s="753"/>
      <c r="AB329" s="753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</row>
    <row r="330" spans="1:70" s="1" customFormat="1" ht="13" hidden="1" x14ac:dyDescent="0.3">
      <c r="A330" s="368"/>
      <c r="B330" s="368"/>
      <c r="C330" s="938" t="str">
        <f>'Secondary Sources'!C54</f>
        <v>&gt;2/acre</v>
      </c>
      <c r="D330" s="368"/>
      <c r="E330" s="368"/>
      <c r="F330" s="368"/>
      <c r="G330" s="368"/>
      <c r="H330" s="368"/>
      <c r="I330" s="130"/>
      <c r="J330" s="130"/>
      <c r="K330" s="130"/>
      <c r="L330" s="130"/>
      <c r="M330" s="130"/>
      <c r="N330" s="132"/>
      <c r="O330" s="206"/>
      <c r="P330" s="207"/>
      <c r="Q330" s="208"/>
      <c r="R330" s="207"/>
      <c r="S330" s="208"/>
      <c r="T330" s="943"/>
      <c r="U330" s="753"/>
      <c r="V330" s="753"/>
      <c r="W330" s="753"/>
      <c r="X330" s="753"/>
      <c r="Y330" s="753"/>
      <c r="Z330" s="753"/>
      <c r="AA330" s="753"/>
      <c r="AB330" s="753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</row>
    <row r="331" spans="1:70" s="1" customFormat="1" ht="14.25" customHeight="1" thickTop="1" thickBot="1" x14ac:dyDescent="0.35">
      <c r="A331" s="368"/>
      <c r="B331" s="368"/>
      <c r="C331" s="368"/>
      <c r="D331" s="368"/>
      <c r="E331" s="368"/>
      <c r="F331" s="368"/>
      <c r="G331" s="368"/>
      <c r="H331" s="368"/>
      <c r="I331" s="130"/>
      <c r="J331" s="130"/>
      <c r="K331" s="130"/>
      <c r="L331" s="130"/>
      <c r="M331" s="130"/>
      <c r="N331" s="132"/>
      <c r="O331" s="206" t="s">
        <v>141</v>
      </c>
      <c r="P331" s="207"/>
      <c r="Q331" s="208"/>
      <c r="R331" s="207"/>
      <c r="S331" s="208"/>
      <c r="T331" s="943"/>
      <c r="U331" s="753"/>
      <c r="V331" s="753"/>
      <c r="W331" s="753"/>
      <c r="X331" s="753"/>
      <c r="Y331" s="753"/>
      <c r="Z331" s="753"/>
      <c r="AA331" s="753"/>
      <c r="AB331" s="753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</row>
    <row r="332" spans="1:70" s="2" customFormat="1" ht="21" thickTop="1" thickBot="1" x14ac:dyDescent="0.45">
      <c r="A332" s="368"/>
      <c r="B332" s="568" t="s">
        <v>438</v>
      </c>
      <c r="C332" s="11"/>
      <c r="D332" s="12"/>
      <c r="E332" s="252"/>
      <c r="F332" s="215"/>
      <c r="G332" s="368"/>
      <c r="H332" s="368"/>
      <c r="I332" s="368"/>
      <c r="J332" s="368"/>
      <c r="K332" s="277"/>
      <c r="L332" s="277"/>
      <c r="M332" s="277"/>
      <c r="N332" s="277"/>
      <c r="O332" s="277"/>
      <c r="P332" s="277"/>
      <c r="Q332" s="277"/>
      <c r="R332" s="277"/>
      <c r="S332" s="277"/>
      <c r="T332" s="294"/>
      <c r="U332" s="294"/>
      <c r="V332" s="294"/>
      <c r="W332" s="294"/>
      <c r="X332" s="294"/>
      <c r="Y332" s="294"/>
      <c r="Z332" s="294"/>
      <c r="AA332" s="294"/>
      <c r="AB332" s="294"/>
      <c r="AC332" s="277"/>
      <c r="AD332" s="277"/>
      <c r="AE332" s="277"/>
      <c r="AF332" s="277"/>
      <c r="AG332" s="277"/>
      <c r="AH332" s="277"/>
      <c r="AI332" s="277"/>
      <c r="AJ332" s="277"/>
      <c r="AK332" s="277"/>
      <c r="AL332" s="277"/>
      <c r="AM332" s="277"/>
      <c r="AN332" s="277"/>
      <c r="AO332" s="277"/>
      <c r="AP332" s="277"/>
      <c r="AQ332" s="277"/>
      <c r="AR332" s="277"/>
      <c r="AS332" s="277"/>
      <c r="AT332" s="277"/>
      <c r="AU332" s="277"/>
      <c r="AV332" s="277"/>
      <c r="AW332" s="277"/>
      <c r="AX332" s="277"/>
      <c r="AY332" s="277"/>
      <c r="AZ332" s="277"/>
      <c r="BA332" s="277"/>
      <c r="BB332" s="277"/>
    </row>
    <row r="333" spans="1:70" s="1" customFormat="1" ht="26.25" customHeight="1" thickBot="1" x14ac:dyDescent="0.35">
      <c r="A333" s="368"/>
      <c r="B333" s="569"/>
      <c r="C333" s="570" t="s">
        <v>439</v>
      </c>
      <c r="D333" s="571" t="s">
        <v>440</v>
      </c>
      <c r="E333" s="258" t="s">
        <v>441</v>
      </c>
      <c r="F333" s="260" t="s">
        <v>442</v>
      </c>
      <c r="G333" s="368"/>
      <c r="H333" s="368"/>
      <c r="I333" s="368"/>
      <c r="J333" s="368"/>
      <c r="K333" s="277"/>
      <c r="L333" s="277"/>
      <c r="M333" s="277"/>
      <c r="N333" s="277"/>
      <c r="O333" s="277"/>
      <c r="P333" s="277"/>
      <c r="Q333" s="277"/>
      <c r="R333" s="277"/>
      <c r="S333" s="277"/>
      <c r="T333" s="294"/>
      <c r="U333" s="294"/>
      <c r="V333" s="294"/>
      <c r="W333" s="294"/>
      <c r="X333" s="294"/>
      <c r="Y333" s="294"/>
      <c r="Z333" s="294"/>
      <c r="AA333" s="294"/>
      <c r="AB333" s="294"/>
      <c r="AC333" s="277"/>
      <c r="AD333" s="277"/>
      <c r="AE333" s="277"/>
      <c r="AF333" s="277"/>
      <c r="AG333" s="277"/>
      <c r="AH333" s="277"/>
      <c r="AI333" s="277"/>
      <c r="AJ333" s="277"/>
      <c r="AK333" s="277"/>
      <c r="AL333" s="277"/>
      <c r="AM333" s="277"/>
      <c r="AN333" s="277"/>
      <c r="AO333" s="277"/>
      <c r="AP333" s="277"/>
      <c r="AQ333" s="277"/>
      <c r="AR333" s="277"/>
      <c r="AS333" s="277"/>
      <c r="AT333" s="277"/>
      <c r="AU333" s="277"/>
      <c r="AV333" s="277"/>
      <c r="AW333" s="277"/>
      <c r="AX333" s="277"/>
      <c r="AY333" s="277"/>
      <c r="AZ333" s="277"/>
      <c r="BA333" s="277"/>
      <c r="BB333" s="277"/>
      <c r="BC333" s="2"/>
      <c r="BD333" s="2"/>
      <c r="BE333" s="2"/>
      <c r="BF333" s="2"/>
      <c r="BG333" s="2"/>
    </row>
    <row r="334" spans="1:70" s="1" customFormat="1" ht="26.25" customHeight="1" thickBot="1" x14ac:dyDescent="0.35">
      <c r="A334" s="368"/>
      <c r="B334" s="572"/>
      <c r="C334" s="570"/>
      <c r="D334" s="571"/>
      <c r="E334" s="258"/>
      <c r="F334" s="260"/>
      <c r="G334" s="368"/>
      <c r="H334" s="368"/>
      <c r="I334" s="368"/>
      <c r="J334" s="368"/>
      <c r="K334" s="277"/>
      <c r="L334" s="277"/>
      <c r="M334" s="277"/>
      <c r="N334" s="277"/>
      <c r="O334" s="277"/>
      <c r="P334" s="277"/>
      <c r="Q334" s="277"/>
      <c r="R334" s="277"/>
      <c r="S334" s="277"/>
      <c r="T334" s="294"/>
      <c r="U334" s="294"/>
      <c r="V334" s="294"/>
      <c r="W334" s="294"/>
      <c r="X334" s="294"/>
      <c r="Y334" s="294"/>
      <c r="Z334" s="294"/>
      <c r="AA334" s="294"/>
      <c r="AB334" s="294"/>
      <c r="AC334" s="277"/>
      <c r="AD334" s="277"/>
      <c r="AE334" s="277"/>
      <c r="AF334" s="277"/>
      <c r="AG334" s="277"/>
      <c r="AH334" s="277"/>
      <c r="AI334" s="277"/>
      <c r="AJ334" s="277"/>
      <c r="AK334" s="277"/>
      <c r="AL334" s="277"/>
      <c r="AM334" s="277"/>
      <c r="AN334" s="277"/>
      <c r="AO334" s="277"/>
      <c r="AP334" s="277"/>
      <c r="AQ334" s="277"/>
      <c r="AR334" s="277"/>
      <c r="AS334" s="277"/>
      <c r="AT334" s="277"/>
      <c r="AU334" s="277"/>
      <c r="AV334" s="277"/>
      <c r="AW334" s="277"/>
      <c r="AX334" s="277"/>
      <c r="AY334" s="277"/>
      <c r="AZ334" s="277"/>
      <c r="BA334" s="277"/>
      <c r="BB334" s="277"/>
      <c r="BC334" s="2"/>
      <c r="BD334" s="2"/>
      <c r="BE334" s="2"/>
      <c r="BF334" s="2"/>
      <c r="BG334" s="2"/>
    </row>
    <row r="335" spans="1:70" s="1" customFormat="1" ht="26.25" customHeight="1" x14ac:dyDescent="0.3">
      <c r="A335" s="368"/>
      <c r="B335" s="573" t="s">
        <v>443</v>
      </c>
      <c r="C335" s="1452">
        <f>-D292</f>
        <v>0</v>
      </c>
      <c r="D335" s="1346">
        <f>-E292</f>
        <v>0</v>
      </c>
      <c r="E335" s="1453">
        <f>-F292</f>
        <v>0</v>
      </c>
      <c r="F335" s="1454">
        <f>-G292</f>
        <v>0</v>
      </c>
      <c r="G335" s="368"/>
      <c r="H335" s="368"/>
      <c r="I335" s="368"/>
      <c r="J335" s="368"/>
      <c r="K335" s="277"/>
      <c r="L335" s="277"/>
      <c r="M335" s="277"/>
      <c r="N335" s="277"/>
      <c r="O335" s="277"/>
      <c r="P335" s="277"/>
      <c r="Q335" s="277"/>
      <c r="R335" s="277"/>
      <c r="S335" s="277"/>
      <c r="T335" s="294"/>
      <c r="U335" s="294"/>
      <c r="V335" s="294"/>
      <c r="W335" s="294"/>
      <c r="X335" s="294"/>
      <c r="Y335" s="294"/>
      <c r="Z335" s="294"/>
      <c r="AA335" s="294"/>
      <c r="AB335" s="294"/>
      <c r="AC335" s="277"/>
      <c r="AD335" s="277"/>
      <c r="AE335" s="277"/>
      <c r="AF335" s="277"/>
      <c r="AG335" s="277"/>
      <c r="AH335" s="277"/>
      <c r="AI335" s="277"/>
      <c r="AJ335" s="277"/>
      <c r="AK335" s="277"/>
      <c r="AL335" s="277"/>
      <c r="AM335" s="277"/>
      <c r="AN335" s="277"/>
      <c r="AO335" s="277"/>
      <c r="AP335" s="277"/>
      <c r="AQ335" s="277"/>
      <c r="AR335" s="277"/>
      <c r="AS335" s="277"/>
      <c r="AT335" s="277"/>
      <c r="AU335" s="277"/>
      <c r="AV335" s="277"/>
      <c r="AW335" s="277"/>
      <c r="AX335" s="277"/>
      <c r="AY335" s="277"/>
      <c r="AZ335" s="277"/>
      <c r="BA335" s="277"/>
      <c r="BB335" s="277"/>
      <c r="BC335" s="2"/>
      <c r="BD335" s="2"/>
      <c r="BE335" s="2"/>
      <c r="BF335" s="2"/>
      <c r="BG335" s="2"/>
    </row>
    <row r="336" spans="1:70" s="1" customFormat="1" ht="13" x14ac:dyDescent="0.3">
      <c r="A336" s="368"/>
      <c r="B336" s="153" t="s">
        <v>217</v>
      </c>
      <c r="C336" s="1258"/>
      <c r="D336" s="1209"/>
      <c r="E336" s="1209"/>
      <c r="F336" s="1212"/>
      <c r="G336" s="368"/>
      <c r="H336" s="368"/>
      <c r="I336" s="368"/>
      <c r="J336" s="368"/>
      <c r="K336" s="277"/>
      <c r="L336" s="277"/>
      <c r="M336" s="277"/>
      <c r="N336" s="277"/>
      <c r="O336" s="277"/>
      <c r="P336" s="277"/>
      <c r="Q336" s="277"/>
      <c r="R336" s="277"/>
      <c r="S336" s="277"/>
      <c r="T336" s="294"/>
      <c r="U336" s="294"/>
      <c r="V336" s="294"/>
      <c r="W336" s="294"/>
      <c r="X336" s="294"/>
      <c r="Y336" s="294"/>
      <c r="Z336" s="294"/>
      <c r="AA336" s="294"/>
      <c r="AB336" s="294"/>
      <c r="AC336" s="277"/>
      <c r="AD336" s="277"/>
      <c r="AE336" s="277"/>
      <c r="AF336" s="277"/>
      <c r="AG336" s="277"/>
      <c r="AH336" s="277"/>
      <c r="AI336" s="277"/>
      <c r="AJ336" s="277"/>
      <c r="AK336" s="277"/>
      <c r="AL336" s="277"/>
      <c r="AM336" s="277"/>
      <c r="AN336" s="277"/>
      <c r="AO336" s="277"/>
      <c r="AP336" s="277"/>
      <c r="AQ336" s="277"/>
      <c r="AR336" s="277"/>
      <c r="AS336" s="277"/>
      <c r="AT336" s="277"/>
      <c r="AU336" s="277"/>
      <c r="AV336" s="277"/>
      <c r="AW336" s="277"/>
      <c r="AX336" s="277"/>
      <c r="AY336" s="277"/>
      <c r="AZ336" s="277"/>
      <c r="BA336" s="277"/>
      <c r="BB336" s="277"/>
      <c r="BC336" s="2"/>
      <c r="BD336" s="2"/>
      <c r="BE336" s="2"/>
      <c r="BF336" s="2"/>
      <c r="BG336" s="2"/>
    </row>
    <row r="337" spans="1:59" s="1" customFormat="1" ht="13" x14ac:dyDescent="0.3">
      <c r="A337" s="368"/>
      <c r="B337" s="153" t="s">
        <v>218</v>
      </c>
      <c r="C337" s="1258"/>
      <c r="D337" s="1209"/>
      <c r="E337" s="1209"/>
      <c r="F337" s="1212"/>
      <c r="G337" s="368"/>
      <c r="H337" s="368"/>
      <c r="I337" s="368"/>
      <c r="J337" s="368"/>
      <c r="K337" s="277"/>
      <c r="L337" s="277"/>
      <c r="M337" s="277"/>
      <c r="N337" s="277"/>
      <c r="O337" s="277"/>
      <c r="P337" s="277"/>
      <c r="Q337" s="277"/>
      <c r="R337" s="277"/>
      <c r="S337" s="277"/>
      <c r="T337" s="294"/>
      <c r="U337" s="294"/>
      <c r="V337" s="294"/>
      <c r="W337" s="294"/>
      <c r="X337" s="294"/>
      <c r="Y337" s="294"/>
      <c r="Z337" s="294"/>
      <c r="AA337" s="294"/>
      <c r="AB337" s="294"/>
      <c r="AC337" s="277"/>
      <c r="AD337" s="277"/>
      <c r="AE337" s="277"/>
      <c r="AF337" s="277"/>
      <c r="AG337" s="277"/>
      <c r="AH337" s="277"/>
      <c r="AI337" s="277"/>
      <c r="AJ337" s="277"/>
      <c r="AK337" s="277"/>
      <c r="AL337" s="277"/>
      <c r="AM337" s="277"/>
      <c r="AN337" s="277"/>
      <c r="AO337" s="277"/>
      <c r="AP337" s="277"/>
      <c r="AQ337" s="277"/>
      <c r="AR337" s="277"/>
      <c r="AS337" s="277"/>
      <c r="AT337" s="277"/>
      <c r="AU337" s="277"/>
      <c r="AV337" s="277"/>
      <c r="AW337" s="277"/>
      <c r="AX337" s="277"/>
      <c r="AY337" s="277"/>
      <c r="AZ337" s="277"/>
      <c r="BA337" s="277"/>
      <c r="BB337" s="277"/>
      <c r="BC337" s="2"/>
      <c r="BD337" s="2"/>
      <c r="BE337" s="2"/>
      <c r="BF337" s="2"/>
      <c r="BG337" s="2"/>
    </row>
    <row r="338" spans="1:59" customFormat="1" ht="13" x14ac:dyDescent="0.3">
      <c r="A338" s="368"/>
      <c r="B338" s="153" t="s">
        <v>219</v>
      </c>
      <c r="C338" s="1258"/>
      <c r="D338" s="1209"/>
      <c r="E338" s="1209"/>
      <c r="F338" s="1212"/>
      <c r="G338" s="368"/>
      <c r="H338" s="368"/>
      <c r="I338" s="368"/>
      <c r="J338" s="368"/>
      <c r="K338" s="277"/>
      <c r="L338" s="277"/>
      <c r="M338" s="277"/>
      <c r="N338" s="277"/>
      <c r="O338" s="277"/>
      <c r="P338" s="277"/>
      <c r="Q338" s="277"/>
      <c r="R338" s="277"/>
      <c r="S338" s="277"/>
      <c r="T338" s="294"/>
      <c r="U338" s="294"/>
      <c r="V338" s="294"/>
      <c r="W338" s="294"/>
      <c r="X338" s="294"/>
      <c r="Y338" s="294"/>
      <c r="Z338" s="294"/>
      <c r="AA338" s="294"/>
      <c r="AB338" s="294"/>
      <c r="AC338" s="277"/>
      <c r="AD338" s="277"/>
      <c r="AE338" s="277"/>
      <c r="AF338" s="277"/>
      <c r="AG338" s="277"/>
      <c r="AH338" s="277"/>
      <c r="AI338" s="277"/>
      <c r="AJ338" s="277"/>
      <c r="AK338" s="277"/>
      <c r="AL338" s="277"/>
      <c r="AM338" s="277"/>
      <c r="AN338" s="277"/>
      <c r="AO338" s="277"/>
      <c r="AP338" s="277"/>
      <c r="AQ338" s="277"/>
      <c r="AR338" s="277"/>
      <c r="AS338" s="277"/>
      <c r="AT338" s="277"/>
      <c r="AU338" s="277"/>
      <c r="AV338" s="277"/>
      <c r="AW338" s="277"/>
      <c r="AX338" s="277"/>
      <c r="AY338" s="277"/>
      <c r="AZ338" s="277"/>
      <c r="BA338" s="277"/>
      <c r="BB338" s="277"/>
      <c r="BC338" s="261"/>
      <c r="BD338" s="261"/>
      <c r="BE338" s="261"/>
      <c r="BF338" s="261"/>
      <c r="BG338" s="261"/>
    </row>
    <row r="339" spans="1:59" customFormat="1" ht="13" x14ac:dyDescent="0.3">
      <c r="A339" s="368"/>
      <c r="B339" s="153" t="s">
        <v>220</v>
      </c>
      <c r="C339" s="1258"/>
      <c r="D339" s="1209"/>
      <c r="E339" s="1209"/>
      <c r="F339" s="1212"/>
      <c r="G339" s="368"/>
      <c r="H339" s="368"/>
      <c r="I339" s="368"/>
      <c r="J339" s="368"/>
      <c r="K339" s="277"/>
      <c r="L339" s="277"/>
      <c r="M339" s="277"/>
      <c r="N339" s="277"/>
      <c r="O339" s="277"/>
      <c r="P339" s="277"/>
      <c r="Q339" s="277"/>
      <c r="R339" s="277"/>
      <c r="S339" s="277"/>
      <c r="T339" s="294"/>
      <c r="U339" s="294"/>
      <c r="V339" s="294"/>
      <c r="W339" s="294"/>
      <c r="X339" s="294"/>
      <c r="Y339" s="294"/>
      <c r="Z339" s="294"/>
      <c r="AA339" s="294"/>
      <c r="AB339" s="294"/>
      <c r="AC339" s="277"/>
      <c r="AD339" s="277"/>
      <c r="AE339" s="277"/>
      <c r="AF339" s="277"/>
      <c r="AG339" s="277"/>
      <c r="AH339" s="277"/>
      <c r="AI339" s="277"/>
      <c r="AJ339" s="277"/>
      <c r="AK339" s="277"/>
      <c r="AL339" s="277"/>
      <c r="AM339" s="277"/>
      <c r="AN339" s="277"/>
      <c r="AO339" s="277"/>
      <c r="AP339" s="277"/>
      <c r="AQ339" s="277"/>
      <c r="AR339" s="277"/>
      <c r="AS339" s="277"/>
      <c r="AT339" s="277"/>
      <c r="AU339" s="277"/>
      <c r="AV339" s="277"/>
      <c r="AW339" s="277"/>
      <c r="AX339" s="277"/>
      <c r="AY339" s="277"/>
      <c r="AZ339" s="277"/>
      <c r="BA339" s="277"/>
      <c r="BB339" s="277"/>
      <c r="BC339" s="261"/>
      <c r="BD339" s="261"/>
      <c r="BE339" s="261"/>
      <c r="BF339" s="261"/>
      <c r="BG339" s="261"/>
    </row>
    <row r="340" spans="1:59" customFormat="1" ht="13" x14ac:dyDescent="0.3">
      <c r="A340" s="368"/>
      <c r="B340" s="153" t="s">
        <v>221</v>
      </c>
      <c r="C340" s="1258"/>
      <c r="D340" s="1209"/>
      <c r="E340" s="1209"/>
      <c r="F340" s="1212"/>
      <c r="G340" s="368"/>
      <c r="H340" s="368"/>
      <c r="I340" s="368"/>
      <c r="J340" s="368"/>
      <c r="K340" s="277"/>
      <c r="L340" s="277"/>
      <c r="M340" s="277"/>
      <c r="N340" s="277"/>
      <c r="O340" s="277"/>
      <c r="P340" s="277"/>
      <c r="Q340" s="277"/>
      <c r="R340" s="277"/>
      <c r="S340" s="277"/>
      <c r="T340" s="294"/>
      <c r="U340" s="294"/>
      <c r="V340" s="294"/>
      <c r="W340" s="294"/>
      <c r="X340" s="294"/>
      <c r="Y340" s="294"/>
      <c r="Z340" s="294"/>
      <c r="AA340" s="294"/>
      <c r="AB340" s="294"/>
      <c r="AC340" s="277"/>
      <c r="AD340" s="277"/>
      <c r="AE340" s="277"/>
      <c r="AF340" s="277"/>
      <c r="AG340" s="277"/>
      <c r="AH340" s="277"/>
      <c r="AI340" s="277"/>
      <c r="AJ340" s="277"/>
      <c r="AK340" s="277"/>
      <c r="AL340" s="277"/>
      <c r="AM340" s="277"/>
      <c r="AN340" s="277"/>
      <c r="AO340" s="277"/>
      <c r="AP340" s="277"/>
      <c r="AQ340" s="277"/>
      <c r="AR340" s="277"/>
      <c r="AS340" s="277"/>
      <c r="AT340" s="277"/>
      <c r="AU340" s="277"/>
      <c r="AV340" s="277"/>
      <c r="AW340" s="277"/>
      <c r="AX340" s="277"/>
      <c r="AY340" s="277"/>
      <c r="AZ340" s="277"/>
      <c r="BA340" s="277"/>
      <c r="BB340" s="277"/>
      <c r="BC340" s="261"/>
      <c r="BD340" s="261"/>
      <c r="BE340" s="261"/>
      <c r="BF340" s="261"/>
      <c r="BG340" s="261"/>
    </row>
    <row r="341" spans="1:59" customFormat="1" ht="13" x14ac:dyDescent="0.3">
      <c r="A341" s="368"/>
      <c r="B341" s="153" t="s">
        <v>222</v>
      </c>
      <c r="C341" s="1258"/>
      <c r="D341" s="1209"/>
      <c r="E341" s="1209"/>
      <c r="F341" s="1212"/>
      <c r="G341" s="368"/>
      <c r="H341" s="368"/>
      <c r="I341" s="368"/>
      <c r="J341" s="368"/>
      <c r="K341" s="277"/>
      <c r="L341" s="277"/>
      <c r="M341" s="277"/>
      <c r="N341" s="277"/>
      <c r="O341" s="277"/>
      <c r="P341" s="277"/>
      <c r="Q341" s="277"/>
      <c r="R341" s="277"/>
      <c r="S341" s="277"/>
      <c r="T341" s="294"/>
      <c r="U341" s="294"/>
      <c r="V341" s="294"/>
      <c r="W341" s="294"/>
      <c r="X341" s="294"/>
      <c r="Y341" s="294"/>
      <c r="Z341" s="294"/>
      <c r="AA341" s="294"/>
      <c r="AB341" s="294"/>
      <c r="AC341" s="277"/>
      <c r="AD341" s="277"/>
      <c r="AE341" s="277"/>
      <c r="AF341" s="277"/>
      <c r="AG341" s="277"/>
      <c r="AH341" s="277"/>
      <c r="AI341" s="277"/>
      <c r="AJ341" s="277"/>
      <c r="AK341" s="277"/>
      <c r="AL341" s="277"/>
      <c r="AM341" s="277"/>
      <c r="AN341" s="277"/>
      <c r="AO341" s="277"/>
      <c r="AP341" s="277"/>
      <c r="AQ341" s="277"/>
      <c r="AR341" s="277"/>
      <c r="AS341" s="277"/>
      <c r="AT341" s="277"/>
      <c r="AU341" s="277"/>
      <c r="AV341" s="277"/>
      <c r="AW341" s="277"/>
      <c r="AX341" s="277"/>
      <c r="AY341" s="277"/>
      <c r="AZ341" s="277"/>
      <c r="BA341" s="277"/>
      <c r="BB341" s="277"/>
      <c r="BC341" s="261"/>
      <c r="BD341" s="261"/>
      <c r="BE341" s="261"/>
      <c r="BF341" s="261"/>
      <c r="BG341" s="261"/>
    </row>
    <row r="342" spans="1:59" customFormat="1" ht="13" x14ac:dyDescent="0.3">
      <c r="A342" s="368"/>
      <c r="B342" s="153" t="s">
        <v>223</v>
      </c>
      <c r="C342" s="1258"/>
      <c r="D342" s="1209"/>
      <c r="E342" s="1209"/>
      <c r="F342" s="1212"/>
      <c r="G342" s="368"/>
      <c r="H342" s="368"/>
      <c r="I342" s="368"/>
      <c r="J342" s="368"/>
      <c r="K342" s="277"/>
      <c r="L342" s="277"/>
      <c r="M342" s="277"/>
      <c r="N342" s="277"/>
      <c r="O342" s="277"/>
      <c r="P342" s="277"/>
      <c r="Q342" s="277"/>
      <c r="R342" s="277"/>
      <c r="S342" s="277"/>
      <c r="T342" s="294"/>
      <c r="U342" s="294"/>
      <c r="V342" s="294"/>
      <c r="W342" s="294"/>
      <c r="X342" s="294"/>
      <c r="Y342" s="294"/>
      <c r="Z342" s="294"/>
      <c r="AA342" s="294"/>
      <c r="AB342" s="294"/>
      <c r="AC342" s="277"/>
      <c r="AD342" s="277"/>
      <c r="AE342" s="277"/>
      <c r="AF342" s="277"/>
      <c r="AG342" s="277"/>
      <c r="AH342" s="277"/>
      <c r="AI342" s="277"/>
      <c r="AJ342" s="277"/>
      <c r="AK342" s="277"/>
      <c r="AL342" s="277"/>
      <c r="AM342" s="277"/>
      <c r="AN342" s="277"/>
      <c r="AO342" s="277"/>
      <c r="AP342" s="277"/>
      <c r="AQ342" s="277"/>
      <c r="AR342" s="277"/>
      <c r="AS342" s="277"/>
      <c r="AT342" s="277"/>
      <c r="AU342" s="277"/>
      <c r="AV342" s="277"/>
      <c r="AW342" s="277"/>
      <c r="AX342" s="277"/>
      <c r="AY342" s="277"/>
      <c r="AZ342" s="277"/>
      <c r="BA342" s="277"/>
      <c r="BB342" s="277"/>
      <c r="BC342" s="261"/>
      <c r="BD342" s="261"/>
      <c r="BE342" s="261"/>
      <c r="BF342" s="261"/>
      <c r="BG342" s="261"/>
    </row>
    <row r="343" spans="1:59" customFormat="1" ht="13" x14ac:dyDescent="0.3">
      <c r="A343" s="368"/>
      <c r="B343" s="153" t="s">
        <v>224</v>
      </c>
      <c r="C343" s="1258"/>
      <c r="D343" s="1209"/>
      <c r="E343" s="1209"/>
      <c r="F343" s="1212"/>
      <c r="G343" s="368"/>
      <c r="H343" s="368"/>
      <c r="I343" s="368"/>
      <c r="J343" s="368"/>
      <c r="K343" s="277"/>
      <c r="L343" s="277"/>
      <c r="M343" s="277"/>
      <c r="N343" s="277"/>
      <c r="O343" s="277"/>
      <c r="P343" s="277"/>
      <c r="Q343" s="277"/>
      <c r="R343" s="277"/>
      <c r="S343" s="277"/>
      <c r="T343" s="294"/>
      <c r="U343" s="294"/>
      <c r="V343" s="294"/>
      <c r="W343" s="294"/>
      <c r="X343" s="294"/>
      <c r="Y343" s="294"/>
      <c r="Z343" s="294"/>
      <c r="AA343" s="294"/>
      <c r="AB343" s="294"/>
      <c r="AC343" s="277"/>
      <c r="AD343" s="277"/>
      <c r="AE343" s="277"/>
      <c r="AF343" s="277"/>
      <c r="AG343" s="277"/>
      <c r="AH343" s="277"/>
      <c r="AI343" s="277"/>
      <c r="AJ343" s="277"/>
      <c r="AK343" s="277"/>
      <c r="AL343" s="277"/>
      <c r="AM343" s="277"/>
      <c r="AN343" s="277"/>
      <c r="AO343" s="277"/>
      <c r="AP343" s="277"/>
      <c r="AQ343" s="277"/>
      <c r="AR343" s="277"/>
      <c r="AS343" s="277"/>
      <c r="AT343" s="277"/>
      <c r="AU343" s="277"/>
      <c r="AV343" s="277"/>
      <c r="AW343" s="277"/>
      <c r="AX343" s="277"/>
      <c r="AY343" s="277"/>
      <c r="AZ343" s="277"/>
      <c r="BA343" s="277"/>
      <c r="BB343" s="277"/>
      <c r="BC343" s="261"/>
      <c r="BD343" s="261"/>
      <c r="BE343" s="261"/>
      <c r="BF343" s="261"/>
      <c r="BG343" s="261"/>
    </row>
    <row r="344" spans="1:59" customFormat="1" ht="13" x14ac:dyDescent="0.3">
      <c r="A344" s="368"/>
      <c r="B344" s="153" t="s">
        <v>225</v>
      </c>
      <c r="C344" s="1258"/>
      <c r="D344" s="1209"/>
      <c r="E344" s="1209"/>
      <c r="F344" s="1212"/>
      <c r="G344" s="368"/>
      <c r="H344" s="368"/>
      <c r="I344" s="368"/>
      <c r="J344" s="368"/>
      <c r="K344" s="277"/>
      <c r="L344" s="277"/>
      <c r="M344" s="277"/>
      <c r="N344" s="277"/>
      <c r="O344" s="277"/>
      <c r="P344" s="277"/>
      <c r="Q344" s="277"/>
      <c r="R344" s="277"/>
      <c r="S344" s="277"/>
      <c r="T344" s="294"/>
      <c r="U344" s="294"/>
      <c r="V344" s="294"/>
      <c r="W344" s="294"/>
      <c r="X344" s="294"/>
      <c r="Y344" s="294"/>
      <c r="Z344" s="294"/>
      <c r="AA344" s="294"/>
      <c r="AB344" s="294"/>
      <c r="AC344" s="277"/>
      <c r="AD344" s="277"/>
      <c r="AE344" s="277"/>
      <c r="AF344" s="277"/>
      <c r="AG344" s="277"/>
      <c r="AH344" s="277"/>
      <c r="AI344" s="277"/>
      <c r="AJ344" s="277"/>
      <c r="AK344" s="277"/>
      <c r="AL344" s="277"/>
      <c r="AM344" s="277"/>
      <c r="AN344" s="277"/>
      <c r="AO344" s="277"/>
      <c r="AP344" s="277"/>
      <c r="AQ344" s="277"/>
      <c r="AR344" s="277"/>
      <c r="AS344" s="277"/>
      <c r="AT344" s="277"/>
      <c r="AU344" s="277"/>
      <c r="AV344" s="277"/>
      <c r="AW344" s="277"/>
      <c r="AX344" s="277"/>
      <c r="AY344" s="277"/>
      <c r="AZ344" s="277"/>
      <c r="BA344" s="277"/>
      <c r="BB344" s="277"/>
      <c r="BC344" s="261"/>
      <c r="BD344" s="261"/>
      <c r="BE344" s="261"/>
      <c r="BF344" s="261"/>
      <c r="BG344" s="261"/>
    </row>
    <row r="345" spans="1:59" customFormat="1" ht="13.5" thickBot="1" x14ac:dyDescent="0.35">
      <c r="A345" s="368"/>
      <c r="B345" s="574" t="s">
        <v>226</v>
      </c>
      <c r="C345" s="1259"/>
      <c r="D345" s="1260"/>
      <c r="E345" s="1260"/>
      <c r="F345" s="1261"/>
      <c r="G345" s="368"/>
      <c r="H345" s="368"/>
      <c r="I345" s="368"/>
      <c r="J345" s="368"/>
      <c r="K345" s="277"/>
      <c r="L345" s="277"/>
      <c r="M345" s="277"/>
      <c r="N345" s="277"/>
      <c r="O345" s="277"/>
      <c r="P345" s="277"/>
      <c r="Q345" s="277"/>
      <c r="R345" s="277"/>
      <c r="S345" s="277"/>
      <c r="T345" s="294"/>
      <c r="U345" s="294"/>
      <c r="V345" s="294"/>
      <c r="W345" s="294"/>
      <c r="X345" s="294"/>
      <c r="Y345" s="294"/>
      <c r="Z345" s="294"/>
      <c r="AA345" s="294"/>
      <c r="AB345" s="294"/>
      <c r="AC345" s="277"/>
      <c r="AD345" s="277"/>
      <c r="AE345" s="294"/>
      <c r="AF345" s="277"/>
      <c r="AG345" s="277"/>
      <c r="AH345" s="277"/>
      <c r="AI345" s="277"/>
      <c r="AJ345" s="277"/>
      <c r="AK345" s="277"/>
      <c r="AL345" s="277"/>
      <c r="AM345" s="277"/>
      <c r="AN345" s="277"/>
      <c r="AO345" s="277"/>
      <c r="AP345" s="277"/>
      <c r="AQ345" s="277"/>
      <c r="AR345" s="277"/>
      <c r="AS345" s="277"/>
      <c r="AT345" s="277"/>
      <c r="AU345" s="277"/>
      <c r="AV345" s="277"/>
      <c r="AW345" s="277"/>
      <c r="AX345" s="277"/>
      <c r="AY345" s="277"/>
      <c r="AZ345" s="277"/>
      <c r="BA345" s="277"/>
      <c r="BB345" s="277"/>
      <c r="BC345" s="261"/>
      <c r="BD345" s="261"/>
      <c r="BE345" s="261"/>
      <c r="BF345" s="261"/>
      <c r="BG345" s="261"/>
    </row>
    <row r="346" spans="1:59" ht="13.5" thickTop="1" x14ac:dyDescent="0.3">
      <c r="A346" s="368"/>
      <c r="B346" s="87"/>
      <c r="C346" s="368"/>
      <c r="D346" s="368"/>
      <c r="E346" s="368"/>
      <c r="F346" s="368"/>
      <c r="G346" s="368"/>
      <c r="H346" s="368"/>
      <c r="I346" s="368"/>
      <c r="J346" s="368"/>
      <c r="K346" s="277"/>
      <c r="L346" s="277"/>
      <c r="M346" s="277"/>
      <c r="N346" s="277"/>
      <c r="O346" s="277"/>
      <c r="P346" s="277"/>
      <c r="Q346" s="277"/>
      <c r="R346" s="277"/>
      <c r="S346" s="277"/>
      <c r="T346" s="294"/>
      <c r="V346" s="294"/>
      <c r="W346" s="294"/>
      <c r="X346" s="294"/>
      <c r="Y346" s="294"/>
      <c r="Z346" s="294"/>
      <c r="AA346" s="294"/>
      <c r="AB346" s="294"/>
      <c r="AC346" s="277"/>
      <c r="AD346" s="277"/>
      <c r="AE346" s="277"/>
      <c r="AF346" s="277"/>
      <c r="AG346" s="277"/>
      <c r="AH346" s="277"/>
      <c r="AI346" s="277"/>
      <c r="AJ346" s="277"/>
      <c r="AK346" s="277"/>
      <c r="AL346" s="277"/>
      <c r="AM346" s="277"/>
      <c r="AN346" s="277"/>
      <c r="AO346" s="277"/>
      <c r="AP346" s="277"/>
      <c r="AQ346" s="277"/>
      <c r="AR346" s="277"/>
      <c r="AS346" s="277"/>
      <c r="AT346" s="277"/>
      <c r="AU346" s="277"/>
      <c r="AV346" s="277"/>
      <c r="AW346" s="277"/>
      <c r="AX346" s="277"/>
      <c r="AY346" s="277"/>
      <c r="AZ346" s="277"/>
      <c r="BA346" s="277"/>
      <c r="BB346" s="277"/>
    </row>
    <row r="347" spans="1:59" ht="17.25" customHeight="1" thickBot="1" x14ac:dyDescent="0.35">
      <c r="A347" s="368"/>
      <c r="B347" s="575"/>
      <c r="H347" s="368"/>
      <c r="I347" s="368"/>
      <c r="J347" s="368"/>
      <c r="K347" s="277"/>
      <c r="L347" s="277"/>
      <c r="M347" s="277"/>
      <c r="N347" s="277"/>
      <c r="O347" s="277"/>
      <c r="P347" s="277"/>
      <c r="Q347" s="277"/>
      <c r="R347" s="277"/>
      <c r="S347" s="277"/>
      <c r="T347" s="294"/>
      <c r="U347" s="294"/>
      <c r="V347" s="294"/>
      <c r="W347" s="294"/>
      <c r="X347" s="294"/>
      <c r="Y347" s="294"/>
      <c r="Z347" s="294"/>
      <c r="AA347" s="294"/>
      <c r="AB347" s="294"/>
      <c r="AC347" s="277"/>
      <c r="AD347" s="277"/>
      <c r="AE347" s="277"/>
      <c r="AF347" s="277"/>
      <c r="AG347" s="277"/>
      <c r="AH347" s="277"/>
      <c r="AI347" s="277"/>
      <c r="AJ347" s="277"/>
      <c r="AK347" s="277"/>
      <c r="AL347" s="277"/>
      <c r="AM347" s="277"/>
      <c r="AN347" s="277"/>
      <c r="AO347" s="277"/>
      <c r="AP347" s="277"/>
      <c r="AQ347" s="277"/>
      <c r="AR347" s="277"/>
      <c r="AS347" s="277"/>
      <c r="AT347" s="277"/>
      <c r="AU347" s="277"/>
      <c r="AV347" s="277"/>
      <c r="AW347" s="277"/>
      <c r="AX347" s="277"/>
      <c r="AY347" s="277"/>
      <c r="AZ347" s="277"/>
      <c r="BA347" s="277"/>
      <c r="BB347" s="277"/>
    </row>
    <row r="348" spans="1:59" ht="32.25" customHeight="1" thickTop="1" thickBot="1" x14ac:dyDescent="0.45">
      <c r="A348" s="368"/>
      <c r="B348" s="125" t="s">
        <v>444</v>
      </c>
      <c r="C348" s="576"/>
      <c r="D348" s="576"/>
      <c r="E348" s="576"/>
      <c r="F348" s="577"/>
      <c r="G348" s="578"/>
      <c r="H348" s="368"/>
      <c r="I348" s="368"/>
      <c r="J348" s="368"/>
      <c r="K348" s="277"/>
      <c r="L348" s="277"/>
      <c r="M348" s="277"/>
      <c r="N348" s="277"/>
      <c r="O348" s="277"/>
      <c r="P348" s="277"/>
      <c r="Q348" s="277"/>
      <c r="R348" s="277"/>
      <c r="S348" s="277"/>
      <c r="T348" s="294"/>
      <c r="U348" s="294"/>
      <c r="V348" s="294"/>
      <c r="W348" s="294"/>
      <c r="X348" s="294"/>
      <c r="Y348" s="294"/>
      <c r="Z348" s="294"/>
      <c r="AA348" s="294"/>
      <c r="AB348" s="294"/>
      <c r="AC348" s="277"/>
      <c r="AD348" s="277"/>
      <c r="AE348" s="277"/>
      <c r="AF348" s="277"/>
      <c r="AG348" s="277"/>
      <c r="AH348" s="277"/>
      <c r="AI348" s="277"/>
      <c r="AJ348" s="277"/>
      <c r="AK348" s="277"/>
      <c r="AL348" s="277"/>
      <c r="AM348" s="277"/>
      <c r="AN348" s="277"/>
      <c r="AO348" s="277"/>
      <c r="AP348" s="277"/>
      <c r="AQ348" s="277"/>
      <c r="AR348" s="277"/>
      <c r="AS348" s="277"/>
      <c r="AT348" s="277"/>
      <c r="AU348" s="277"/>
      <c r="AV348" s="277"/>
      <c r="AW348" s="277"/>
      <c r="AX348" s="277"/>
      <c r="AY348" s="277"/>
      <c r="AZ348" s="277"/>
      <c r="BA348" s="277"/>
      <c r="BB348" s="277"/>
    </row>
    <row r="349" spans="1:59" ht="33.75" customHeight="1" thickBot="1" x14ac:dyDescent="0.35">
      <c r="A349" s="368"/>
      <c r="B349" s="250"/>
      <c r="C349" s="102" t="s">
        <v>349</v>
      </c>
      <c r="D349" s="102" t="s">
        <v>350</v>
      </c>
      <c r="E349" s="102" t="s">
        <v>351</v>
      </c>
      <c r="F349" s="579" t="s">
        <v>445</v>
      </c>
      <c r="G349" s="580" t="s">
        <v>446</v>
      </c>
      <c r="H349" s="368"/>
      <c r="I349" s="368"/>
      <c r="J349" s="368"/>
      <c r="K349" s="277"/>
      <c r="L349" s="277"/>
      <c r="M349" s="277"/>
      <c r="N349" s="277"/>
      <c r="O349" s="277"/>
      <c r="P349" s="277"/>
      <c r="Q349" s="277"/>
      <c r="R349" s="277"/>
      <c r="S349" s="277"/>
      <c r="T349" s="294"/>
      <c r="U349" s="294"/>
      <c r="V349" s="294"/>
      <c r="W349" s="294"/>
      <c r="X349" s="294"/>
      <c r="Y349" s="294"/>
      <c r="Z349" s="294"/>
      <c r="AA349" s="294"/>
      <c r="AB349" s="294"/>
      <c r="AC349" s="277"/>
      <c r="AD349" s="277"/>
      <c r="AE349" s="277"/>
      <c r="AF349" s="277"/>
      <c r="AG349" s="277"/>
      <c r="AH349" s="277"/>
      <c r="AI349" s="277"/>
      <c r="AJ349" s="277"/>
      <c r="AK349" s="277"/>
      <c r="AL349" s="277"/>
      <c r="AM349" s="277"/>
      <c r="AN349" s="277"/>
      <c r="AO349" s="277"/>
      <c r="AP349" s="277"/>
      <c r="AQ349" s="277"/>
      <c r="AR349" s="277"/>
      <c r="AS349" s="277"/>
      <c r="AT349" s="277"/>
      <c r="AU349" s="277"/>
      <c r="AV349" s="277"/>
      <c r="AW349" s="277"/>
      <c r="AX349" s="277"/>
      <c r="AY349" s="277"/>
      <c r="AZ349" s="277"/>
      <c r="BA349" s="277"/>
      <c r="BB349" s="277"/>
    </row>
    <row r="350" spans="1:59" ht="19.5" customHeight="1" x14ac:dyDescent="0.3">
      <c r="A350" s="368"/>
      <c r="B350" s="581"/>
      <c r="C350" s="116"/>
      <c r="D350" s="93"/>
      <c r="E350" s="93"/>
      <c r="F350" s="93"/>
      <c r="G350" s="582"/>
      <c r="H350" s="368"/>
      <c r="I350" s="368"/>
      <c r="J350" s="368"/>
      <c r="K350" s="277"/>
      <c r="L350" s="277"/>
      <c r="M350" s="277"/>
      <c r="N350" s="277"/>
      <c r="O350" s="277"/>
      <c r="P350" s="277"/>
      <c r="Q350" s="277"/>
      <c r="R350" s="277"/>
      <c r="S350" s="277"/>
      <c r="T350" s="294"/>
      <c r="U350" s="294"/>
      <c r="V350" s="294"/>
      <c r="W350" s="294"/>
      <c r="X350" s="294"/>
      <c r="Y350" s="294"/>
      <c r="Z350" s="294"/>
      <c r="AA350" s="294"/>
      <c r="AB350" s="294"/>
      <c r="AC350" s="277"/>
      <c r="AD350" s="277"/>
      <c r="AE350" s="277"/>
      <c r="AF350" s="277"/>
      <c r="AG350" s="277"/>
      <c r="AH350" s="277"/>
      <c r="AI350" s="277"/>
      <c r="AJ350" s="277"/>
      <c r="AK350" s="277"/>
      <c r="AL350" s="277"/>
      <c r="AM350" s="277"/>
      <c r="AN350" s="277"/>
      <c r="AO350" s="277"/>
      <c r="AP350" s="277"/>
      <c r="AQ350" s="277"/>
      <c r="AR350" s="277"/>
      <c r="AS350" s="277"/>
      <c r="AT350" s="277"/>
      <c r="AU350" s="277"/>
      <c r="AV350" s="277"/>
      <c r="AW350" s="277"/>
      <c r="AX350" s="277"/>
      <c r="AY350" s="277"/>
      <c r="AZ350" s="277"/>
      <c r="BA350" s="277"/>
      <c r="BB350" s="277"/>
    </row>
    <row r="351" spans="1:59" ht="24.75" customHeight="1" x14ac:dyDescent="0.3">
      <c r="A351" s="368"/>
      <c r="B351" s="764" t="s">
        <v>598</v>
      </c>
      <c r="C351" s="1096">
        <f>'Existing Management Practices'!C29-C34-C36</f>
        <v>0</v>
      </c>
      <c r="D351" s="1097">
        <f>'Existing Management Practices'!D29-D34-D36</f>
        <v>0</v>
      </c>
      <c r="E351" s="1097">
        <v>0</v>
      </c>
      <c r="F351" s="1097">
        <v>0</v>
      </c>
      <c r="G351" s="1103">
        <f>'Existing Management Practices'!G176</f>
        <v>0</v>
      </c>
      <c r="H351" s="368"/>
      <c r="I351" s="368"/>
      <c r="J351" s="368"/>
      <c r="K351" s="277"/>
      <c r="L351" s="277"/>
      <c r="M351" s="277"/>
      <c r="N351" s="277"/>
      <c r="O351" s="277"/>
      <c r="P351" s="277"/>
      <c r="Q351" s="277"/>
      <c r="R351" s="277"/>
      <c r="S351" s="277"/>
      <c r="T351" s="294"/>
      <c r="U351" s="294"/>
      <c r="V351" s="294"/>
      <c r="W351" s="294"/>
      <c r="X351" s="294"/>
      <c r="Y351" s="294"/>
      <c r="Z351" s="294"/>
      <c r="AA351" s="294"/>
      <c r="AB351" s="294"/>
      <c r="AC351" s="277"/>
      <c r="AD351" s="277"/>
      <c r="AE351" s="277"/>
      <c r="AF351" s="277"/>
      <c r="AG351" s="277"/>
      <c r="AH351" s="277"/>
      <c r="AI351" s="277"/>
      <c r="AJ351" s="277"/>
      <c r="AK351" s="277"/>
      <c r="AL351" s="277"/>
      <c r="AM351" s="277"/>
      <c r="AN351" s="277"/>
      <c r="AO351" s="277"/>
      <c r="AP351" s="277"/>
      <c r="AQ351" s="277"/>
      <c r="AR351" s="277"/>
      <c r="AS351" s="277"/>
      <c r="AT351" s="277"/>
      <c r="AU351" s="277"/>
      <c r="AV351" s="277"/>
      <c r="AW351" s="277"/>
      <c r="AX351" s="277"/>
      <c r="AY351" s="277"/>
      <c r="AZ351" s="277"/>
      <c r="BA351" s="277"/>
      <c r="BB351" s="277"/>
    </row>
    <row r="352" spans="1:59" ht="24.75" customHeight="1" x14ac:dyDescent="0.3">
      <c r="A352" s="368"/>
      <c r="B352" s="764" t="s">
        <v>447</v>
      </c>
      <c r="C352" s="1096">
        <f>('Existing Management Practices'!C30-'Future Management Practices'!C35)*(1-'Primary Sources'!B93)</f>
        <v>9.8736264166806788E-11</v>
      </c>
      <c r="D352" s="1097">
        <f>('Existing Management Practices'!D30-'Future Management Practices'!D35)*(1-'Primary Sources'!C93)</f>
        <v>0</v>
      </c>
      <c r="E352" s="1098"/>
      <c r="F352" s="1098"/>
      <c r="G352" s="1104"/>
      <c r="H352" s="368"/>
      <c r="I352" s="368"/>
      <c r="J352" s="368"/>
      <c r="K352" s="277"/>
      <c r="L352" s="277"/>
      <c r="M352" s="277"/>
      <c r="N352" s="277"/>
      <c r="O352" s="277"/>
      <c r="P352" s="277"/>
      <c r="Q352" s="277"/>
      <c r="R352" s="277"/>
      <c r="S352" s="277"/>
      <c r="T352" s="294"/>
      <c r="U352" s="294"/>
      <c r="V352" s="294"/>
      <c r="W352" s="294"/>
      <c r="X352" s="294"/>
      <c r="Y352" s="294"/>
      <c r="Z352" s="294"/>
      <c r="AA352" s="294"/>
      <c r="AB352" s="294"/>
      <c r="AC352" s="277"/>
      <c r="AD352" s="277"/>
      <c r="AE352" s="277"/>
      <c r="AF352" s="277"/>
      <c r="AG352" s="277"/>
      <c r="AH352" s="277"/>
      <c r="AI352" s="277"/>
      <c r="AJ352" s="277"/>
      <c r="AK352" s="277"/>
      <c r="AL352" s="277"/>
      <c r="AM352" s="277"/>
      <c r="AN352" s="277"/>
      <c r="AO352" s="277"/>
      <c r="AP352" s="277"/>
      <c r="AQ352" s="277"/>
      <c r="AR352" s="277"/>
      <c r="AS352" s="277"/>
      <c r="AT352" s="277"/>
      <c r="AU352" s="277"/>
      <c r="AV352" s="277"/>
      <c r="AW352" s="277"/>
      <c r="AX352" s="277"/>
      <c r="AY352" s="277"/>
      <c r="AZ352" s="277"/>
      <c r="BA352" s="277"/>
      <c r="BB352" s="277"/>
    </row>
    <row r="353" spans="1:83" ht="21.75" customHeight="1" x14ac:dyDescent="0.3">
      <c r="A353" s="368"/>
      <c r="B353" s="764" t="s">
        <v>278</v>
      </c>
      <c r="C353" s="1096">
        <f>IF($C53=$B$417,$C56*C57*$C58*(1-$C59)*$C60*$C61*$E57*$E58*($E59),0)*365</f>
        <v>0</v>
      </c>
      <c r="D353" s="1097">
        <f>IF($C53=$B$417,$C56*C57*$C58*(1-$C59)*$C60*$C61*$E57*$E60*($E61),0)*365</f>
        <v>0</v>
      </c>
      <c r="E353" s="1097"/>
      <c r="F353" s="1097">
        <f>IF($C53=$B$417,$C56*C57*$C58*(1-$C59)*$C60*$C61*$E57*$E62*($E63),0)*365</f>
        <v>0</v>
      </c>
      <c r="G353" s="1104"/>
      <c r="H353" s="368"/>
      <c r="I353" s="368"/>
      <c r="J353" s="368"/>
      <c r="K353" s="277"/>
      <c r="L353" s="277"/>
      <c r="M353" s="277"/>
      <c r="N353" s="277"/>
      <c r="O353" s="277"/>
      <c r="P353" s="277"/>
      <c r="Q353" s="277"/>
      <c r="R353" s="277"/>
      <c r="S353" s="277"/>
      <c r="T353" s="294"/>
      <c r="U353" s="294"/>
      <c r="V353" s="294"/>
      <c r="W353" s="294"/>
      <c r="X353" s="294"/>
      <c r="Y353" s="294"/>
      <c r="Z353" s="294"/>
      <c r="AA353" s="294"/>
      <c r="AB353" s="294"/>
      <c r="AC353" s="277"/>
      <c r="AD353" s="277"/>
      <c r="AE353" s="277"/>
      <c r="AF353" s="277"/>
      <c r="AG353" s="277"/>
      <c r="AH353" s="277"/>
      <c r="AI353" s="277"/>
      <c r="AJ353" s="277"/>
      <c r="AK353" s="277"/>
      <c r="AL353" s="277"/>
      <c r="AM353" s="277"/>
      <c r="AN353" s="277"/>
      <c r="AO353" s="277"/>
      <c r="AP353" s="277"/>
      <c r="AQ353" s="277"/>
      <c r="AR353" s="277"/>
      <c r="AS353" s="277"/>
      <c r="AT353" s="277"/>
      <c r="AU353" s="277"/>
      <c r="AV353" s="277"/>
      <c r="AW353" s="277"/>
      <c r="AX353" s="277"/>
      <c r="AY353" s="277"/>
      <c r="AZ353" s="277"/>
      <c r="BA353" s="277"/>
      <c r="BB353" s="277"/>
    </row>
    <row r="354" spans="1:83" customFormat="1" ht="22.5" customHeight="1" x14ac:dyDescent="0.3">
      <c r="A354" s="368"/>
      <c r="B354" s="764" t="s">
        <v>295</v>
      </c>
      <c r="C354" s="1096">
        <f>'Primary Sources'!P52*$C$67*$C69*$C70</f>
        <v>305.259097333113</v>
      </c>
      <c r="D354" s="1097">
        <f>'Primary Sources'!Q52*$C$67*$C69*$C70</f>
        <v>61.051819466622597</v>
      </c>
      <c r="E354" s="1097">
        <f>'Primary Sources'!R52*$C$67*$C69*$C70</f>
        <v>207576.18618651686</v>
      </c>
      <c r="F354" s="1097">
        <f>'Primary Sources'!S52*$C$67*$C69*$C70</f>
        <v>0</v>
      </c>
      <c r="G354" s="1105"/>
      <c r="H354" s="368"/>
      <c r="I354" s="368"/>
      <c r="J354" s="368"/>
      <c r="K354" s="277"/>
      <c r="L354" s="277"/>
      <c r="M354" s="277"/>
      <c r="N354" s="277"/>
      <c r="O354" s="277"/>
      <c r="P354" s="277"/>
      <c r="Q354" s="277"/>
      <c r="R354" s="277"/>
      <c r="S354" s="277"/>
      <c r="T354" s="294"/>
      <c r="U354" s="294"/>
      <c r="V354" s="294"/>
      <c r="W354" s="294"/>
      <c r="X354" s="294"/>
      <c r="Y354" s="294"/>
      <c r="Z354" s="294"/>
      <c r="AA354" s="294"/>
      <c r="AB354" s="294"/>
      <c r="AC354" s="277"/>
      <c r="AD354" s="277"/>
      <c r="AE354" s="277"/>
      <c r="AF354" s="277"/>
      <c r="AG354" s="277"/>
      <c r="AH354" s="277"/>
      <c r="AI354" s="277"/>
      <c r="AJ354" s="277"/>
      <c r="AK354" s="277"/>
      <c r="AL354" s="277"/>
      <c r="AM354" s="277"/>
      <c r="AN354" s="277"/>
      <c r="AO354" s="277"/>
      <c r="AP354" s="277"/>
      <c r="AQ354" s="277"/>
      <c r="AR354" s="277"/>
      <c r="AS354" s="277"/>
      <c r="AT354" s="277"/>
      <c r="AU354" s="277"/>
      <c r="AV354" s="277"/>
      <c r="AW354" s="277"/>
      <c r="AX354" s="277"/>
      <c r="AY354" s="277"/>
      <c r="AZ354" s="277"/>
      <c r="BA354" s="277"/>
      <c r="BB354" s="277"/>
    </row>
    <row r="355" spans="1:83" ht="22.5" customHeight="1" x14ac:dyDescent="0.3">
      <c r="A355" s="368"/>
      <c r="B355" s="764" t="s">
        <v>299</v>
      </c>
      <c r="C355" s="1096">
        <f>(SUMPRODUCT($C75:$C77,$F75:$F77)*VLOOKUP($C78,$B82:$C83,2,FALSE)*SUMPRODUCT('Primary Sources'!$D11:$D20,'Primary Sources'!G11:G20)/MAX(SUM('Primary Sources'!$D11:$D20),1)+SUMPRODUCT($D75:$D77,$H75:$H77)*VLOOKUP($D78,$B82:$C83,2,FALSE)*SUMPRODUCT('Primary Sources'!$D21:$D35,'Primary Sources'!G21:G35)/MAX(SUM('Primary Sources'!$D21:$D35),1)+SUMPRODUCT($E75:$E77,$H75:$H77)*VLOOKUP($E78,$B82:$C83,2,FALSE)*(SUMPRODUCT('Primary Sources'!$D21:$D25,'Primary Sources'!G21:G25)+SUMPRODUCT('Primary Sources'!$D31:$D35,'Primary Sources'!G31:G35))/MAX(SUM('Primary Sources'!$D31:$D35)+SUM('Primary Sources'!$D21:$D25),1))*0.226*0.95*'Primary Sources'!$C$62*0.9*$C80</f>
        <v>0</v>
      </c>
      <c r="D355" s="1097">
        <f>(SUMPRODUCT($C75:$C77,F75:F77)*VLOOKUP($C78,$B82:$C83,2,FALSE)*SUMPRODUCT('Primary Sources'!$D11:$D20,'Primary Sources'!H11:H20)/MAX(SUM('Primary Sources'!$D11:$D20),1)+SUMPRODUCT($D75:$D77,H75:H77)*VLOOKUP($D78,$B82:$C83,2,FALSE)*SUMPRODUCT('Primary Sources'!$D21:$D35,'Primary Sources'!H21:H35)/MAX(SUM('Primary Sources'!$D21:$D35),1)+SUMPRODUCT($E75:$E77,H75:H77)*VLOOKUP($E78,$B82:$C83,2,FALSE)*(SUMPRODUCT('Primary Sources'!$D21:$D25,'Primary Sources'!H21:H25)+SUMPRODUCT('Primary Sources'!$D31:$D35,'Primary Sources'!H31:H35))/MAX(SUM('Primary Sources'!$D31:$D35)+SUM('Primary Sources'!$D21:$D25),1))*0.226*0.95*'Primary Sources'!$C$62*0.9*$C80</f>
        <v>0</v>
      </c>
      <c r="E355" s="1097">
        <f>(SUMPRODUCT($C75:$C77,G75:G77)*VLOOKUP($C78,$B82:$C83,2,FALSE)*SUMPRODUCT('Primary Sources'!$D11:$D20,'Primary Sources'!I11:I20)/MAX(SUM('Primary Sources'!$D11:$D20),1)+SUMPRODUCT($D75:$D77,I75:I77)*VLOOKUP($D78,$B82:$C83,2,FALSE)*SUMPRODUCT('Primary Sources'!$D21:$D35,'Primary Sources'!I21:I35)/MAX(SUM('Primary Sources'!$D21:$D35),1)+SUMPRODUCT($E75:$E77,I75:I77)*VLOOKUP($E78,$B82:$C83,2,FALSE)*(SUMPRODUCT('Primary Sources'!$D21:$D25,'Primary Sources'!I21:I25)+SUMPRODUCT('Primary Sources'!$D31:$D35,'Primary Sources'!I31:I35))/MAX(SUM('Primary Sources'!$D31:$D35)+SUM('Primary Sources'!$D21:$D25),1))*0.226*0.95*'Primary Sources'!$C$62*0.9*$C80</f>
        <v>0</v>
      </c>
      <c r="F355" s="1097">
        <v>0</v>
      </c>
      <c r="G355" s="1104"/>
      <c r="H355" s="368"/>
      <c r="I355" s="368"/>
      <c r="J355" s="368"/>
      <c r="K355" s="277"/>
      <c r="L355" s="277"/>
      <c r="M355" s="277"/>
      <c r="N355" s="277"/>
      <c r="O355" s="277"/>
      <c r="P355" s="277"/>
      <c r="Q355" s="277"/>
      <c r="R355" s="277"/>
      <c r="S355" s="277"/>
      <c r="T355" s="294"/>
      <c r="U355" s="294"/>
      <c r="V355" s="294"/>
      <c r="W355" s="294"/>
      <c r="X355" s="294"/>
      <c r="Y355" s="294"/>
      <c r="Z355" s="294"/>
      <c r="AA355" s="294"/>
      <c r="AB355" s="294"/>
      <c r="AC355" s="277"/>
      <c r="AD355" s="277"/>
      <c r="AE355" s="277"/>
      <c r="AF355" s="277"/>
      <c r="AG355" s="277"/>
      <c r="AH355" s="277"/>
      <c r="AI355" s="277"/>
      <c r="AJ355" s="277"/>
      <c r="AK355" s="277"/>
      <c r="AL355" s="277"/>
      <c r="AM355" s="277"/>
      <c r="AN355" s="277"/>
      <c r="AO355" s="277"/>
      <c r="AP355" s="277"/>
      <c r="AQ355" s="277"/>
      <c r="AR355" s="277"/>
      <c r="AS355" s="277"/>
      <c r="AT355" s="277"/>
      <c r="AU355" s="277"/>
      <c r="AV355" s="277"/>
      <c r="AW355" s="277"/>
      <c r="AX355" s="277"/>
      <c r="AY355" s="277"/>
      <c r="AZ355" s="277"/>
      <c r="BA355" s="277"/>
      <c r="BB355" s="277"/>
    </row>
    <row r="356" spans="1:83" ht="20.25" customHeight="1" x14ac:dyDescent="0.3">
      <c r="A356" s="368"/>
      <c r="B356" s="764" t="s">
        <v>353</v>
      </c>
      <c r="C356" s="1096">
        <v>0</v>
      </c>
      <c r="D356" s="1097">
        <v>0</v>
      </c>
      <c r="E356" s="1097">
        <f>'Existing Management Practices'!E180*SUM(C75:E77)/MAX(SUM('Existing Management Practices'!C105:E107),0.001)</f>
        <v>0</v>
      </c>
      <c r="F356" s="1097">
        <v>0</v>
      </c>
      <c r="G356" s="1104"/>
      <c r="H356" s="368"/>
      <c r="I356" s="368"/>
      <c r="J356" s="368"/>
      <c r="K356" s="277"/>
      <c r="L356" s="277"/>
      <c r="M356" s="277"/>
      <c r="N356" s="277"/>
      <c r="O356" s="277"/>
      <c r="P356" s="277"/>
      <c r="Q356" s="277"/>
      <c r="R356" s="277"/>
      <c r="S356" s="277"/>
      <c r="T356" s="294"/>
      <c r="U356" s="294"/>
      <c r="V356" s="294"/>
      <c r="W356" s="294"/>
      <c r="X356" s="294"/>
      <c r="Y356" s="294"/>
      <c r="Z356" s="294"/>
      <c r="AA356" s="294"/>
      <c r="AB356" s="294"/>
      <c r="AC356" s="277"/>
      <c r="AD356" s="277"/>
      <c r="AE356" s="277"/>
      <c r="AF356" s="277"/>
      <c r="AG356" s="277"/>
      <c r="AH356" s="277"/>
      <c r="AI356" s="277"/>
      <c r="AJ356" s="277"/>
      <c r="AK356" s="277"/>
      <c r="AL356" s="277"/>
      <c r="AM356" s="277"/>
      <c r="AN356" s="277"/>
      <c r="AO356" s="277"/>
      <c r="AP356" s="277"/>
      <c r="AQ356" s="277"/>
      <c r="AR356" s="277"/>
      <c r="AS356" s="277"/>
      <c r="AT356" s="277"/>
      <c r="AU356" s="277"/>
      <c r="AV356" s="277"/>
      <c r="AW356" s="277"/>
      <c r="AX356" s="277"/>
      <c r="AY356" s="277"/>
      <c r="AZ356" s="277"/>
      <c r="BA356" s="277"/>
      <c r="BB356" s="277"/>
    </row>
    <row r="357" spans="1:83" ht="20.25" customHeight="1" x14ac:dyDescent="0.3">
      <c r="A357" s="368"/>
      <c r="B357" s="764" t="s">
        <v>316</v>
      </c>
      <c r="C357" s="1096">
        <f>'Existing Management Practices'!C181</f>
        <v>11933.670885941179</v>
      </c>
      <c r="D357" s="1097">
        <f>'Existing Management Practices'!D181</f>
        <v>4434.6364798666937</v>
      </c>
      <c r="E357" s="1097">
        <f>'Existing Management Practices'!E181</f>
        <v>486030.32557354972</v>
      </c>
      <c r="F357" s="1097">
        <f>'Existing Management Practices'!F181</f>
        <v>193280.37861278147</v>
      </c>
      <c r="G357" s="1104"/>
      <c r="H357" s="368"/>
      <c r="I357" s="368"/>
      <c r="J357" s="368"/>
      <c r="K357" s="277"/>
      <c r="L357" s="277"/>
      <c r="M357" s="277"/>
      <c r="N357" s="277"/>
      <c r="O357" s="277"/>
      <c r="P357" s="277"/>
      <c r="Q357" s="277"/>
      <c r="R357" s="277"/>
      <c r="S357" s="277"/>
      <c r="T357" s="294"/>
      <c r="U357" s="294"/>
      <c r="V357" s="294"/>
      <c r="W357" s="294"/>
      <c r="X357" s="294"/>
      <c r="Y357" s="294"/>
      <c r="Z357" s="294"/>
      <c r="AA357" s="294"/>
      <c r="AB357" s="294"/>
      <c r="AC357" s="277"/>
      <c r="AD357" s="277"/>
      <c r="AE357" s="277"/>
      <c r="AF357" s="277"/>
      <c r="AG357" s="277"/>
      <c r="AH357" s="277"/>
      <c r="AI357" s="277"/>
      <c r="AJ357" s="277"/>
      <c r="AK357" s="277"/>
      <c r="AL357" s="277"/>
      <c r="AM357" s="277"/>
      <c r="AN357" s="277"/>
      <c r="AO357" s="277"/>
      <c r="AP357" s="277"/>
      <c r="AQ357" s="277"/>
      <c r="AR357" s="277"/>
      <c r="AS357" s="277"/>
      <c r="AT357" s="277"/>
      <c r="AU357" s="277"/>
      <c r="AV357" s="277"/>
      <c r="AW357" s="277"/>
      <c r="AX357" s="277"/>
      <c r="AY357" s="277"/>
      <c r="AZ357" s="277"/>
      <c r="BA357" s="277"/>
      <c r="BB357" s="277"/>
    </row>
    <row r="358" spans="1:83" ht="20.25" customHeight="1" x14ac:dyDescent="0.3">
      <c r="A358" s="368"/>
      <c r="B358" s="764" t="s">
        <v>354</v>
      </c>
      <c r="C358" s="1096">
        <f>'Existing Management Practices'!C191</f>
        <v>-2659.0696318669325</v>
      </c>
      <c r="D358" s="1097">
        <f>'Existing Management Practices'!D191</f>
        <v>-116.37119876908829</v>
      </c>
      <c r="E358" s="1097">
        <f>'Existing Management Practices'!E191</f>
        <v>0</v>
      </c>
      <c r="F358" s="1097">
        <f>'Existing Management Practices'!F191</f>
        <v>-4968.5412981350783</v>
      </c>
      <c r="G358" s="1104"/>
      <c r="H358" s="368"/>
      <c r="I358" s="368"/>
      <c r="J358" s="368"/>
      <c r="K358" s="277"/>
      <c r="L358" s="277"/>
      <c r="M358" s="277"/>
      <c r="N358" s="277"/>
      <c r="O358" s="277"/>
      <c r="P358" s="277"/>
      <c r="Q358" s="277"/>
      <c r="R358" s="277"/>
      <c r="S358" s="277"/>
      <c r="T358" s="294"/>
      <c r="U358" s="294"/>
      <c r="V358" s="294"/>
      <c r="W358" s="294"/>
      <c r="X358" s="294"/>
      <c r="Y358" s="294"/>
      <c r="Z358" s="294"/>
      <c r="AA358" s="294"/>
      <c r="AB358" s="294"/>
      <c r="AC358" s="277"/>
      <c r="AD358" s="277"/>
      <c r="AE358" s="277"/>
      <c r="AF358" s="277"/>
      <c r="AG358" s="277"/>
      <c r="AH358" s="277"/>
      <c r="AI358" s="277"/>
      <c r="AJ358" s="277"/>
      <c r="AK358" s="277"/>
      <c r="AL358" s="277"/>
      <c r="AM358" s="277"/>
      <c r="AN358" s="277"/>
      <c r="AO358" s="277"/>
      <c r="AP358" s="277"/>
      <c r="AQ358" s="277"/>
      <c r="AR358" s="277"/>
      <c r="AS358" s="277"/>
      <c r="AT358" s="277"/>
      <c r="AU358" s="277"/>
      <c r="AV358" s="277"/>
      <c r="AW358" s="277"/>
      <c r="AX358" s="277"/>
      <c r="AY358" s="277"/>
      <c r="AZ358" s="277"/>
      <c r="BA358" s="277"/>
      <c r="BB358" s="277"/>
    </row>
    <row r="359" spans="1:83" ht="18.75" customHeight="1" x14ac:dyDescent="0.3">
      <c r="A359" s="368"/>
      <c r="B359" s="764" t="s">
        <v>330</v>
      </c>
      <c r="C359" s="1096">
        <f>(B105*(1-$F105)+$F105)*$C107*$C108*(SUM('Primary Sources'!P11:P35)-C351-C353-C355-C356-C362-C363-'Existing Management Practices'!C176)</f>
        <v>0</v>
      </c>
      <c r="D359" s="1097">
        <f>(C105*(1-$F105)+$F105)*$C107*$C108*(SUM('Primary Sources'!Q11:Q35)-D351-D353-D355-D356-D362-D363-'Existing Management Practices'!D176)</f>
        <v>0</v>
      </c>
      <c r="E359" s="1097">
        <f>(D105*(1-$F105)+$F105)*(SUM('Primary Sources'!R11:R35))*$C107*$C108*(SUM('Primary Sources'!R11:R35)-E351-E353-E355-E356-E362-E363)/MAX(SUM('Primary Sources'!R11:R35),0.001)</f>
        <v>0</v>
      </c>
      <c r="F359" s="1097">
        <f>(E105*(1-$F105)+$F105)*$C107*$C108*(SUM('Primary Sources'!S11:S35)-F351-F353-F355-F356-F362-F363)</f>
        <v>0</v>
      </c>
      <c r="G359" s="1106">
        <f>F105*(SUM('Primary Sources'!U11:U35)-G351-G362-G363)*C107*C108</f>
        <v>0</v>
      </c>
      <c r="H359" s="368"/>
      <c r="I359" s="368"/>
      <c r="J359" s="368"/>
      <c r="K359" s="277"/>
      <c r="L359" s="277"/>
      <c r="M359" s="277"/>
      <c r="N359" s="277"/>
      <c r="O359" s="277"/>
      <c r="P359" s="277"/>
      <c r="Q359" s="277"/>
      <c r="R359" s="277"/>
      <c r="S359" s="277"/>
      <c r="T359" s="294"/>
      <c r="U359" s="294"/>
      <c r="V359" s="294"/>
      <c r="W359" s="294"/>
      <c r="X359" s="294"/>
      <c r="Y359" s="294"/>
      <c r="Z359" s="294"/>
      <c r="AA359" s="294"/>
      <c r="AB359" s="294"/>
      <c r="AC359" s="277"/>
      <c r="AD359" s="277"/>
      <c r="AE359" s="277"/>
      <c r="AF359" s="277"/>
      <c r="AG359" s="277"/>
      <c r="AH359" s="277"/>
      <c r="AI359" s="277"/>
      <c r="AJ359" s="277"/>
      <c r="AK359" s="277"/>
      <c r="AL359" s="277"/>
      <c r="AM359" s="277"/>
      <c r="AN359" s="277"/>
      <c r="AO359" s="277"/>
      <c r="AP359" s="277"/>
      <c r="AQ359" s="277"/>
      <c r="AR359" s="277"/>
      <c r="AS359" s="277"/>
      <c r="AT359" s="277"/>
      <c r="AU359" s="277"/>
      <c r="AV359" s="277"/>
      <c r="AW359" s="277"/>
      <c r="AX359" s="277"/>
      <c r="AY359" s="277"/>
      <c r="AZ359" s="277"/>
      <c r="BA359" s="277"/>
      <c r="BB359" s="277"/>
    </row>
    <row r="360" spans="1:83" ht="13.5" customHeight="1" x14ac:dyDescent="0.3">
      <c r="A360" s="368"/>
      <c r="B360" s="764" t="s">
        <v>336</v>
      </c>
      <c r="C360" s="1096">
        <f>($D113*$C113+$D$114*$C$114)*'Primary Sources'!$C62*0.9*0.226*0.95*'Primary Sources'!G26*$C116</f>
        <v>0</v>
      </c>
      <c r="D360" s="1097">
        <f>($D113*$C113+$D$114*$C$114)*'Primary Sources'!$C62*0.9*0.226*0.95*'Primary Sources'!H26*$C116</f>
        <v>0</v>
      </c>
      <c r="E360" s="1097">
        <f>(E113*$C113+E$114*$C$114)*'Primary Sources'!$C62*0.9*0.226*0.95*'Primary Sources'!I26*C116</f>
        <v>0</v>
      </c>
      <c r="F360" s="1097">
        <v>0</v>
      </c>
      <c r="G360" s="1107"/>
      <c r="H360" s="368"/>
      <c r="I360" s="368"/>
      <c r="J360" s="368"/>
      <c r="K360" s="277"/>
      <c r="L360" s="277"/>
      <c r="M360" s="277"/>
      <c r="N360" s="277"/>
      <c r="O360" s="277"/>
      <c r="P360" s="277"/>
      <c r="Q360" s="277"/>
      <c r="R360" s="277"/>
      <c r="S360" s="277"/>
      <c r="T360" s="294"/>
      <c r="U360" s="294"/>
      <c r="V360" s="294"/>
      <c r="W360" s="294"/>
      <c r="X360" s="294"/>
      <c r="Y360" s="294"/>
      <c r="Z360" s="294"/>
      <c r="AA360" s="294"/>
      <c r="AB360" s="294"/>
      <c r="AC360" s="277"/>
      <c r="AD360" s="277"/>
      <c r="AE360" s="277"/>
      <c r="AF360" s="277"/>
      <c r="AG360" s="277"/>
      <c r="AH360" s="277"/>
      <c r="AI360" s="277"/>
      <c r="AJ360" s="277"/>
      <c r="AK360" s="277"/>
      <c r="AL360" s="277"/>
      <c r="AM360" s="277"/>
      <c r="AN360" s="277"/>
      <c r="AO360" s="277"/>
      <c r="AP360" s="277"/>
      <c r="AQ360" s="277"/>
      <c r="AR360" s="277"/>
      <c r="AS360" s="277"/>
      <c r="AT360" s="277"/>
      <c r="AU360" s="277"/>
      <c r="AV360" s="277"/>
      <c r="AW360" s="277"/>
      <c r="AX360" s="277"/>
      <c r="AY360" s="277"/>
      <c r="AZ360" s="277"/>
      <c r="BA360" s="277"/>
      <c r="BB360" s="277"/>
    </row>
    <row r="361" spans="1:83" ht="21" customHeight="1" x14ac:dyDescent="0.3">
      <c r="A361" s="368"/>
      <c r="B361" s="764" t="s">
        <v>342</v>
      </c>
      <c r="C361" s="1096">
        <f>IF($C120&gt;0,'Secondary Sources'!C139,0)*MIN($C120*$C122*$C123/MAX($C121,0.0001),1)</f>
        <v>0</v>
      </c>
      <c r="D361" s="1097">
        <f>IF($C120&gt;0,'Secondary Sources'!D139,0)*MIN($C120*$C122*$C123/MAX($C121,0.0001),1)</f>
        <v>0</v>
      </c>
      <c r="E361" s="1097">
        <f>IF($C120&gt;0,'Secondary Sources'!E139,0)*MIN($C120*$C122*$C123/MAX($C121,0.0001),1)</f>
        <v>0</v>
      </c>
      <c r="F361" s="1097">
        <f>IF($C120&gt;0,'Secondary Sources'!F139,0)*MIN($C120*$C122*$C123/MAX($C121,0.0001),1)</f>
        <v>0</v>
      </c>
      <c r="G361" s="1107"/>
      <c r="H361" s="584"/>
      <c r="I361" s="368"/>
      <c r="J361" s="368"/>
      <c r="K361" s="277"/>
      <c r="L361" s="277"/>
      <c r="M361" s="277"/>
      <c r="N361" s="277"/>
      <c r="O361" s="277"/>
      <c r="P361" s="277"/>
      <c r="Q361" s="277"/>
      <c r="R361" s="277"/>
      <c r="S361" s="277"/>
      <c r="T361" s="294"/>
      <c r="U361" s="294"/>
      <c r="V361" s="294"/>
      <c r="W361" s="294"/>
      <c r="X361" s="294"/>
      <c r="Y361" s="294"/>
      <c r="Z361" s="294"/>
      <c r="AA361" s="294"/>
      <c r="AB361" s="294"/>
      <c r="AC361" s="277"/>
      <c r="AD361" s="277"/>
      <c r="AE361" s="277"/>
      <c r="AF361" s="277"/>
      <c r="AG361" s="277"/>
      <c r="AH361" s="277"/>
      <c r="AI361" s="277"/>
      <c r="AJ361" s="277"/>
      <c r="AK361" s="277"/>
      <c r="AL361" s="277"/>
      <c r="AM361" s="277"/>
      <c r="AN361" s="277"/>
      <c r="AO361" s="277"/>
      <c r="AP361" s="277"/>
      <c r="AQ361" s="277"/>
      <c r="AR361" s="277"/>
      <c r="AS361" s="277"/>
      <c r="AT361" s="277"/>
      <c r="AU361" s="277"/>
      <c r="AV361" s="277"/>
      <c r="AW361" s="277"/>
      <c r="AX361" s="277"/>
      <c r="AY361" s="277"/>
      <c r="AZ361" s="277"/>
      <c r="BA361" s="277"/>
      <c r="BB361" s="277"/>
    </row>
    <row r="362" spans="1:83" ht="20.25" customHeight="1" x14ac:dyDescent="0.3">
      <c r="A362" s="368"/>
      <c r="B362" s="764" t="s">
        <v>524</v>
      </c>
      <c r="C362" s="1099">
        <f>(SUMPRODUCT($D129:$D134,E129:E134)-'Primary Sources'!C59*SUMPRODUCT($D137:$D142,E137:E142))</f>
        <v>0</v>
      </c>
      <c r="D362" s="1100">
        <f>(SUMPRODUCT($D129:$D134,F129:F134)-'Primary Sources'!D59*SUMPRODUCT($D137:$D142,F137:F142))</f>
        <v>0</v>
      </c>
      <c r="E362" s="1100">
        <f>(SUMPRODUCT($D129:$D134,G129:G134)-'Primary Sources'!E59*SUMPRODUCT($D137:$D142,G137:G142))</f>
        <v>0</v>
      </c>
      <c r="F362" s="1100">
        <f>(SUMPRODUCT($D129:$D134,H129:H134)-'Primary Sources'!F59*SUMPRODUCT($D137:$D142,H137:H142))</f>
        <v>0</v>
      </c>
      <c r="G362" s="1103">
        <f>(SUMPRODUCT($D129:$D134,I129:I134)-SUMPRODUCT($D137:$D142,I137:I142))/12</f>
        <v>0</v>
      </c>
      <c r="H362" s="584"/>
      <c r="I362" s="368"/>
      <c r="J362" s="368"/>
      <c r="K362" s="277"/>
      <c r="L362" s="277"/>
      <c r="M362" s="277"/>
      <c r="N362" s="277"/>
      <c r="O362" s="277"/>
      <c r="P362" s="277"/>
      <c r="Q362" s="277"/>
      <c r="R362" s="277"/>
      <c r="S362" s="277"/>
      <c r="T362" s="294"/>
      <c r="U362" s="294"/>
      <c r="V362" s="294"/>
      <c r="W362" s="294"/>
      <c r="X362" s="294"/>
      <c r="Y362" s="294"/>
      <c r="Z362" s="294"/>
      <c r="AA362" s="294"/>
      <c r="AB362" s="294"/>
      <c r="AC362" s="277"/>
      <c r="AD362" s="277"/>
      <c r="AE362" s="277"/>
      <c r="AF362" s="277"/>
      <c r="AG362" s="277"/>
      <c r="AH362" s="277"/>
      <c r="AI362" s="277"/>
      <c r="AJ362" s="277"/>
      <c r="AK362" s="277"/>
      <c r="AL362" s="277"/>
      <c r="AM362" s="277"/>
      <c r="AN362" s="277"/>
      <c r="AO362" s="277"/>
      <c r="AP362" s="277"/>
      <c r="AQ362" s="277"/>
      <c r="AR362" s="277"/>
      <c r="AS362" s="277"/>
      <c r="AT362" s="277"/>
      <c r="AU362" s="277"/>
      <c r="AV362" s="277"/>
      <c r="AW362" s="277"/>
      <c r="AX362" s="277"/>
      <c r="AY362" s="277"/>
      <c r="AZ362" s="277"/>
      <c r="BA362" s="277"/>
      <c r="BB362" s="277"/>
    </row>
    <row r="363" spans="1:83" ht="20.25" customHeight="1" x14ac:dyDescent="0.3">
      <c r="A363" s="368"/>
      <c r="B363" s="764" t="s">
        <v>523</v>
      </c>
      <c r="C363" s="1099">
        <f>0.226*'Primary Sources'!$C62*$C187*('Primary Sources'!$D74*$C188+'Existing Management Practices'!C32*$C189-($C188+$C189)*'Primary Sources'!$F74*'Primary Sources'!C59)*SUMPRODUCT('Primary Sources'!$D11:$D35,'Primary Sources'!G11:G35)/MAX(SUM('Primary Sources'!$D11:$D35),0.001)</f>
        <v>0</v>
      </c>
      <c r="D363" s="1100">
        <f>0.226*'Primary Sources'!$C62*$C187*('Primary Sources'!$D74*$C188+'Existing Management Practices'!C32*$C189-($C188+$C189)*'Primary Sources'!$F74*'Primary Sources'!D59)*SUMPRODUCT('Primary Sources'!$D11:$D35,'Primary Sources'!H11:H35)/MAX(SUM('Primary Sources'!$D11:$D35),0.001)</f>
        <v>0</v>
      </c>
      <c r="E363" s="1100">
        <f>0.226*'Primary Sources'!$C62*$C187*('Primary Sources'!$D74*$C188+'Existing Management Practices'!C32*$C189-($C188+$C189)*'Primary Sources'!$F74*'Primary Sources'!E59)*SUMPRODUCT('Primary Sources'!$D11:$D35,'Primary Sources'!I11:I35)/MAX(SUM('Primary Sources'!$D11:$D35),0.001)</f>
        <v>0</v>
      </c>
      <c r="F363" s="1100">
        <f>0.00103*'Primary Sources'!$C62*$C187*('Primary Sources'!$D74*$C188+'Existing Management Practices'!C32*$C189-($C188+$C189)*'Primary Sources'!$F74*'Primary Sources'!F59)*SUMPRODUCT('Primary Sources'!$D11:$D35,'Primary Sources'!J11:J35)/MAX(SUM('Primary Sources'!$D11:$D35),0.001)</f>
        <v>0</v>
      </c>
      <c r="G363" s="1103">
        <f>'Primary Sources'!$C62*$C187*('Primary Sources'!$D74*$C188+'Existing Management Practices'!C32*$C189-($C188+$C189)*'Primary Sources'!$F74)/12</f>
        <v>0</v>
      </c>
      <c r="H363" s="584"/>
      <c r="I363" s="368"/>
      <c r="J363" s="368"/>
      <c r="K363" s="277"/>
      <c r="L363" s="277"/>
      <c r="M363" s="277"/>
      <c r="N363" s="277"/>
      <c r="O363" s="277"/>
      <c r="P363" s="277"/>
      <c r="Q363" s="277"/>
      <c r="R363" s="277"/>
      <c r="S363" s="277"/>
      <c r="T363" s="294"/>
      <c r="U363" s="294"/>
      <c r="V363" s="294"/>
      <c r="W363" s="294"/>
      <c r="X363" s="294"/>
      <c r="Y363" s="294"/>
      <c r="Z363" s="294"/>
      <c r="AA363" s="294"/>
      <c r="AB363" s="294"/>
      <c r="AC363" s="277"/>
      <c r="AD363" s="277"/>
      <c r="AE363" s="277"/>
      <c r="AF363" s="277"/>
      <c r="AG363" s="277"/>
      <c r="AH363" s="277"/>
      <c r="AI363" s="277"/>
      <c r="AJ363" s="277"/>
      <c r="AK363" s="277"/>
      <c r="AL363" s="277"/>
      <c r="AM363" s="277"/>
      <c r="AN363" s="277"/>
      <c r="AO363" s="277"/>
      <c r="AP363" s="277"/>
      <c r="AQ363" s="277"/>
      <c r="AR363" s="277"/>
      <c r="AS363" s="277"/>
      <c r="AT363" s="277"/>
      <c r="AU363" s="277"/>
      <c r="AV363" s="277"/>
      <c r="AW363" s="277"/>
      <c r="AX363" s="277"/>
      <c r="AY363" s="277"/>
      <c r="AZ363" s="277"/>
      <c r="BA363" s="277"/>
      <c r="BB363" s="277"/>
    </row>
    <row r="364" spans="1:83" ht="26.25" customHeight="1" x14ac:dyDescent="0.3">
      <c r="A364" s="368"/>
      <c r="B364" s="764" t="s">
        <v>448</v>
      </c>
      <c r="C364" s="1096">
        <f>D219</f>
        <v>88.676436649160593</v>
      </c>
      <c r="D364" s="1097">
        <f>E219</f>
        <v>19.737716478614736</v>
      </c>
      <c r="E364" s="1097">
        <f>F219</f>
        <v>1583.299792385965</v>
      </c>
      <c r="F364" s="1097">
        <f>G219</f>
        <v>1087.3737754112346</v>
      </c>
      <c r="G364" s="1106">
        <f>H219</f>
        <v>6.8188856755871949</v>
      </c>
      <c r="H364" s="584"/>
      <c r="I364" s="368"/>
      <c r="J364" s="368"/>
      <c r="K364" s="277"/>
      <c r="L364" s="277"/>
      <c r="M364" s="277"/>
      <c r="N364" s="277"/>
      <c r="O364" s="277"/>
      <c r="P364" s="277"/>
      <c r="Q364" s="277"/>
      <c r="R364" s="277"/>
      <c r="S364" s="277"/>
      <c r="T364" s="294"/>
      <c r="U364" s="294"/>
      <c r="V364" s="294"/>
      <c r="W364" s="294"/>
      <c r="X364" s="294"/>
      <c r="Y364" s="294"/>
      <c r="Z364" s="294"/>
      <c r="AA364" s="294"/>
      <c r="AB364" s="294"/>
      <c r="AC364" s="277"/>
      <c r="AD364" s="277"/>
      <c r="AE364" s="277"/>
      <c r="AF364" s="277"/>
      <c r="AG364" s="277"/>
      <c r="AH364" s="277"/>
      <c r="AI364" s="277"/>
      <c r="AJ364" s="277"/>
      <c r="AK364" s="277"/>
      <c r="AL364" s="277"/>
      <c r="AM364" s="277"/>
      <c r="AN364" s="277"/>
      <c r="AO364" s="277"/>
      <c r="AP364" s="277"/>
      <c r="AQ364" s="277"/>
      <c r="AR364" s="277"/>
      <c r="AS364" s="277"/>
      <c r="AT364" s="277"/>
      <c r="AU364" s="277"/>
      <c r="AV364" s="277"/>
      <c r="AW364" s="277"/>
      <c r="AX364" s="277"/>
      <c r="AY364" s="277"/>
      <c r="AZ364" s="277"/>
      <c r="BA364" s="277"/>
      <c r="BB364" s="277"/>
    </row>
    <row r="365" spans="1:83" ht="26.25" customHeight="1" x14ac:dyDescent="0.3">
      <c r="A365" s="368"/>
      <c r="B365" s="764" t="s">
        <v>449</v>
      </c>
      <c r="C365" s="1096">
        <f>-D221</f>
        <v>-17.550159977485826</v>
      </c>
      <c r="D365" s="1097">
        <f>-E221</f>
        <v>-1.2603191488653218</v>
      </c>
      <c r="E365" s="1097">
        <f>-F221</f>
        <v>0</v>
      </c>
      <c r="F365" s="1097">
        <f>-G221</f>
        <v>0</v>
      </c>
      <c r="G365" s="583"/>
      <c r="H365" s="368"/>
      <c r="I365" s="368"/>
      <c r="J365" s="368"/>
      <c r="K365" s="277"/>
      <c r="L365" s="277"/>
      <c r="M365" s="277"/>
      <c r="N365" s="277"/>
      <c r="O365" s="277"/>
      <c r="P365" s="277"/>
      <c r="Q365" s="277"/>
      <c r="R365" s="277"/>
      <c r="S365" s="277"/>
      <c r="T365" s="294"/>
      <c r="U365" s="294"/>
      <c r="V365" s="294"/>
      <c r="W365" s="294"/>
      <c r="X365" s="294"/>
      <c r="Y365" s="294"/>
      <c r="Z365" s="294"/>
      <c r="AA365" s="294"/>
      <c r="AB365" s="294"/>
      <c r="AC365" s="277"/>
      <c r="AD365" s="277"/>
      <c r="AE365" s="277"/>
      <c r="AF365" s="277"/>
      <c r="AG365" s="277"/>
      <c r="AH365" s="277"/>
      <c r="AI365" s="277"/>
      <c r="AJ365" s="277"/>
      <c r="AK365" s="277"/>
      <c r="AL365" s="277"/>
      <c r="AM365" s="277"/>
      <c r="AN365" s="277"/>
      <c r="AO365" s="277"/>
      <c r="AP365" s="277"/>
      <c r="AQ365" s="277"/>
      <c r="AR365" s="277"/>
      <c r="AS365" s="277"/>
      <c r="AT365" s="277"/>
      <c r="AU365" s="277"/>
      <c r="AV365" s="277"/>
      <c r="AW365" s="277"/>
      <c r="AX365" s="277"/>
      <c r="AY365" s="277"/>
      <c r="AZ365" s="277"/>
      <c r="BA365" s="277"/>
      <c r="BB365" s="277"/>
    </row>
    <row r="366" spans="1:83" ht="18.75" customHeight="1" x14ac:dyDescent="0.3">
      <c r="A366" s="368"/>
      <c r="B366" s="764" t="s">
        <v>417</v>
      </c>
      <c r="C366" s="1099">
        <f>'Secondary Sources'!C136*$C245*$C246</f>
        <v>0</v>
      </c>
      <c r="D366" s="1100">
        <f>'Secondary Sources'!D136*$C245*$C246</f>
        <v>0</v>
      </c>
      <c r="E366" s="1100">
        <f>'Secondary Sources'!E136*$C245*$C246</f>
        <v>0</v>
      </c>
      <c r="F366" s="1100">
        <f>'Secondary Sources'!F136*$C245*$C246</f>
        <v>0</v>
      </c>
      <c r="G366" s="583"/>
      <c r="H366" s="368"/>
      <c r="I366" s="368"/>
      <c r="J366" s="368"/>
      <c r="K366" s="277"/>
      <c r="L366" s="277"/>
      <c r="M366" s="277"/>
      <c r="N366" s="277"/>
      <c r="O366" s="277"/>
      <c r="P366" s="277"/>
      <c r="Q366" s="277"/>
      <c r="R366" s="277"/>
      <c r="S366" s="277"/>
      <c r="T366" s="294"/>
      <c r="U366" s="294"/>
      <c r="V366" s="294"/>
      <c r="W366" s="294"/>
      <c r="X366" s="294"/>
      <c r="Y366" s="294"/>
      <c r="Z366" s="294"/>
      <c r="AA366" s="294"/>
      <c r="AB366" s="294"/>
      <c r="AC366" s="277"/>
      <c r="AD366" s="277"/>
      <c r="AE366" s="277"/>
      <c r="AF366" s="277"/>
      <c r="AG366" s="277"/>
      <c r="AH366" s="277"/>
      <c r="AI366" s="277"/>
      <c r="AJ366" s="277"/>
      <c r="AK366" s="277"/>
      <c r="AL366" s="277"/>
      <c r="AM366" s="277"/>
      <c r="AN366" s="277"/>
      <c r="AO366" s="277"/>
      <c r="AP366" s="277"/>
      <c r="AQ366" s="277"/>
      <c r="AR366" s="277"/>
      <c r="AS366" s="277"/>
      <c r="AT366" s="277"/>
      <c r="AU366" s="277"/>
      <c r="AV366" s="277"/>
      <c r="AW366" s="277"/>
      <c r="AX366" s="277"/>
      <c r="AY366" s="277"/>
      <c r="AZ366" s="277"/>
      <c r="BA366" s="277"/>
      <c r="BB366" s="277"/>
    </row>
    <row r="367" spans="1:83" ht="20.25" customHeight="1" x14ac:dyDescent="0.3">
      <c r="A367" s="368"/>
      <c r="B367" s="764" t="s">
        <v>420</v>
      </c>
      <c r="C367" s="1099">
        <f>(1-$C250/MAX('Secondary Sources'!$E63,1))*'Secondary Sources'!C135*$C251</f>
        <v>0</v>
      </c>
      <c r="D367" s="1100">
        <f>(1-$C250/MAX('Secondary Sources'!$E63,1))*'Secondary Sources'!D135*$C251</f>
        <v>0</v>
      </c>
      <c r="E367" s="1100">
        <f>(1-$C250/MAX('Secondary Sources'!$E63,1))*'Secondary Sources'!E135*$C251</f>
        <v>0</v>
      </c>
      <c r="F367" s="1100">
        <f>(1-$C250/MAX('Secondary Sources'!$E63,1))*'Secondary Sources'!F135*$C251</f>
        <v>0</v>
      </c>
      <c r="G367" s="583"/>
      <c r="H367" s="368"/>
      <c r="I367" s="586"/>
      <c r="J367" s="586"/>
      <c r="K367" s="368"/>
      <c r="L367" s="368"/>
      <c r="M367" s="368"/>
      <c r="N367" s="368"/>
      <c r="O367" s="368"/>
      <c r="P367" s="368"/>
      <c r="Q367" s="368"/>
      <c r="R367" s="368"/>
      <c r="S367" s="368"/>
      <c r="T367" s="368"/>
      <c r="U367" s="368"/>
      <c r="V367" s="368"/>
      <c r="W367" s="368"/>
      <c r="X367" s="368"/>
      <c r="Y367" s="368"/>
      <c r="Z367" s="368"/>
      <c r="AA367" s="368"/>
      <c r="AB367" s="368"/>
      <c r="AC367" s="368"/>
      <c r="AD367" s="368"/>
      <c r="AE367" s="368"/>
      <c r="AF367" s="368"/>
      <c r="AG367" s="368"/>
      <c r="AH367" s="368"/>
      <c r="AI367" s="368"/>
      <c r="AJ367" s="368"/>
      <c r="AK367" s="368"/>
      <c r="AL367" s="368"/>
      <c r="AM367" s="368"/>
      <c r="AN367" s="277"/>
      <c r="AO367" s="277"/>
      <c r="AP367" s="277"/>
      <c r="AQ367" s="277"/>
      <c r="AR367" s="277"/>
      <c r="AS367" s="277"/>
      <c r="AT367" s="277"/>
      <c r="AU367" s="277"/>
      <c r="AV367" s="277"/>
      <c r="AW367" s="277"/>
      <c r="AX367" s="277"/>
      <c r="AY367" s="277"/>
      <c r="AZ367" s="277"/>
      <c r="BA367" s="277"/>
      <c r="BB367" s="277"/>
      <c r="BC367" s="277"/>
      <c r="BD367" s="277"/>
      <c r="BE367" s="277"/>
      <c r="BF367" s="277"/>
      <c r="BG367" s="277"/>
      <c r="BH367" s="277"/>
      <c r="BI367" s="277"/>
      <c r="BJ367" s="277"/>
      <c r="BK367" s="277"/>
      <c r="BL367" s="277"/>
      <c r="BM367" s="277"/>
      <c r="BN367" s="277"/>
      <c r="BO367" s="277"/>
      <c r="BP367" s="277"/>
      <c r="BQ367" s="277"/>
      <c r="BR367" s="277"/>
      <c r="BS367" s="277"/>
      <c r="BT367" s="277"/>
      <c r="BU367" s="277"/>
      <c r="BV367" s="277"/>
      <c r="BW367" s="277"/>
      <c r="BX367" s="277"/>
      <c r="BY367" s="277"/>
      <c r="BZ367" s="277"/>
      <c r="CA367" s="277"/>
      <c r="CB367" s="277"/>
      <c r="CC367" s="277"/>
      <c r="CD367" s="277"/>
      <c r="CE367" s="277"/>
    </row>
    <row r="368" spans="1:83" ht="18" customHeight="1" x14ac:dyDescent="0.3">
      <c r="A368" s="368"/>
      <c r="B368" s="764" t="s">
        <v>422</v>
      </c>
      <c r="C368" s="1099">
        <f>'Secondary Sources'!C134*$C255*$C256</f>
        <v>0</v>
      </c>
      <c r="D368" s="1100">
        <f>'Secondary Sources'!D134*$C255*$C256</f>
        <v>0</v>
      </c>
      <c r="E368" s="1100">
        <f>'Secondary Sources'!E134*$C255*$C256</f>
        <v>0</v>
      </c>
      <c r="F368" s="1100">
        <f>'Secondary Sources'!F134*$C255*$C256</f>
        <v>0</v>
      </c>
      <c r="G368" s="583"/>
      <c r="H368" s="368"/>
      <c r="I368" s="586"/>
      <c r="J368" s="586"/>
      <c r="K368" s="277"/>
      <c r="L368" s="277"/>
      <c r="M368" s="277"/>
      <c r="N368" s="277"/>
      <c r="O368" s="277"/>
      <c r="P368" s="277"/>
      <c r="Q368" s="277"/>
      <c r="R368" s="277"/>
      <c r="S368" s="277"/>
      <c r="T368" s="294"/>
      <c r="U368" s="294"/>
      <c r="V368" s="294"/>
      <c r="W368" s="294"/>
      <c r="X368" s="294"/>
      <c r="Y368" s="294"/>
      <c r="Z368" s="294"/>
      <c r="AA368" s="294"/>
      <c r="AB368" s="294"/>
      <c r="AC368" s="277"/>
      <c r="AD368" s="277"/>
      <c r="AE368" s="277"/>
      <c r="AF368" s="277"/>
      <c r="AG368" s="277"/>
      <c r="AH368" s="277"/>
      <c r="AI368" s="277"/>
      <c r="AJ368" s="277"/>
      <c r="AK368" s="277"/>
      <c r="AL368" s="277"/>
      <c r="AM368" s="277"/>
      <c r="AN368" s="277"/>
      <c r="AO368" s="277"/>
      <c r="AP368" s="277"/>
      <c r="AQ368" s="277"/>
      <c r="AR368" s="277"/>
      <c r="AS368" s="277"/>
      <c r="AT368" s="277"/>
      <c r="AU368" s="277"/>
      <c r="AV368" s="277"/>
      <c r="AW368" s="277"/>
      <c r="AX368" s="277"/>
      <c r="AY368" s="277"/>
      <c r="AZ368" s="277"/>
      <c r="BA368" s="277"/>
      <c r="BB368" s="277"/>
    </row>
    <row r="369" spans="1:233" ht="13.5" customHeight="1" x14ac:dyDescent="0.3">
      <c r="A369" s="368"/>
      <c r="B369" s="764" t="s">
        <v>450</v>
      </c>
      <c r="C369" s="1099">
        <f>'Secondary Sources'!D47-D324</f>
        <v>0</v>
      </c>
      <c r="D369" s="1100">
        <f>'Secondary Sources'!E47-E324</f>
        <v>0</v>
      </c>
      <c r="E369" s="1100">
        <f>'Secondary Sources'!F47-F324</f>
        <v>0</v>
      </c>
      <c r="F369" s="1100">
        <f>'Secondary Sources'!G47-G324</f>
        <v>0</v>
      </c>
      <c r="G369" s="583"/>
      <c r="H369" s="368"/>
      <c r="I369" s="368"/>
      <c r="J369" s="368"/>
      <c r="K369" s="277"/>
      <c r="L369" s="277"/>
      <c r="M369" s="277"/>
      <c r="N369" s="277"/>
      <c r="O369" s="277"/>
      <c r="P369" s="277"/>
      <c r="Q369" s="277"/>
      <c r="R369" s="277"/>
      <c r="S369" s="277"/>
      <c r="T369" s="294"/>
      <c r="U369" s="294"/>
      <c r="V369" s="294"/>
      <c r="W369" s="294"/>
      <c r="X369" s="294"/>
      <c r="Y369" s="294"/>
      <c r="Z369" s="294"/>
      <c r="AA369" s="294"/>
      <c r="AB369" s="294"/>
      <c r="AC369" s="277"/>
      <c r="AD369" s="277"/>
      <c r="AE369" s="277"/>
      <c r="AF369" s="277"/>
      <c r="AG369" s="277"/>
      <c r="AH369" s="277"/>
      <c r="AI369" s="277"/>
      <c r="AJ369" s="277"/>
      <c r="AK369" s="277"/>
      <c r="AL369" s="277"/>
      <c r="AM369" s="277"/>
      <c r="AN369" s="277"/>
      <c r="AO369" s="277"/>
      <c r="AP369" s="277"/>
      <c r="AQ369" s="277"/>
      <c r="AR369" s="277"/>
      <c r="AS369" s="277"/>
      <c r="AT369" s="277"/>
      <c r="AU369" s="277"/>
      <c r="AV369" s="277"/>
      <c r="AW369" s="277"/>
      <c r="AX369" s="277"/>
      <c r="AY369" s="277"/>
      <c r="AZ369" s="277"/>
      <c r="BA369" s="277"/>
      <c r="BB369" s="277"/>
    </row>
    <row r="370" spans="1:233" ht="18" customHeight="1" x14ac:dyDescent="0.3">
      <c r="A370" s="368"/>
      <c r="B370" s="764" t="s">
        <v>408</v>
      </c>
      <c r="C370" s="1099">
        <f>IF($B225=$B238,$C229/MAX($C228,0.001)*$C230*'Secondary Sources'!C137,IF($B$225=$B$239,$C235,0))</f>
        <v>0</v>
      </c>
      <c r="D370" s="1100">
        <f>IF($B225=$B238,$C229/MAX($C228,0.001)*$C230*'Secondary Sources'!D137,IF($B$225=$B$239,$C234,0))</f>
        <v>0</v>
      </c>
      <c r="E370" s="1100">
        <f>IF($B225=$B238,$C229/MAX($C228,0.001)*$C230*'Secondary Sources'!E137,IF($B$225=$B$239,$C233,0))</f>
        <v>0</v>
      </c>
      <c r="F370" s="1100">
        <v>0</v>
      </c>
      <c r="G370" s="583"/>
      <c r="H370" s="368"/>
      <c r="I370" s="368"/>
      <c r="J370" s="368"/>
      <c r="K370" s="277"/>
      <c r="L370" s="277"/>
      <c r="M370" s="277"/>
      <c r="N370" s="277"/>
      <c r="O370" s="277"/>
      <c r="P370" s="277"/>
      <c r="Q370" s="277"/>
      <c r="R370" s="277"/>
      <c r="S370" s="277"/>
      <c r="T370" s="294"/>
      <c r="U370" s="294"/>
      <c r="V370" s="294"/>
      <c r="W370" s="294"/>
      <c r="X370" s="294"/>
      <c r="Y370" s="294"/>
      <c r="Z370" s="294"/>
      <c r="AA370" s="294"/>
      <c r="AB370" s="294"/>
      <c r="AC370" s="277"/>
      <c r="AD370" s="277"/>
      <c r="AE370" s="277"/>
      <c r="AF370" s="277"/>
      <c r="AG370" s="277"/>
      <c r="AH370" s="277"/>
      <c r="AI370" s="277"/>
      <c r="AJ370" s="277"/>
      <c r="AK370" s="277"/>
      <c r="AL370" s="277"/>
      <c r="AM370" s="277"/>
      <c r="AN370" s="277"/>
      <c r="AO370" s="277"/>
      <c r="AP370" s="277"/>
      <c r="AQ370" s="277"/>
      <c r="AR370" s="277"/>
      <c r="AS370" s="277"/>
      <c r="AT370" s="277"/>
      <c r="AU370" s="277"/>
      <c r="AV370" s="277"/>
      <c r="AW370" s="277"/>
      <c r="AX370" s="277"/>
      <c r="AY370" s="277"/>
      <c r="AZ370" s="277"/>
      <c r="BA370" s="277"/>
      <c r="BB370" s="277"/>
    </row>
    <row r="371" spans="1:233" ht="18" customHeight="1" thickBot="1" x14ac:dyDescent="0.35">
      <c r="A371" s="368"/>
      <c r="B371" s="989" t="s">
        <v>438</v>
      </c>
      <c r="C371" s="1101">
        <f>SUM(C335:C345)</f>
        <v>0</v>
      </c>
      <c r="D371" s="1102">
        <f>SUM(D335:D345)</f>
        <v>0</v>
      </c>
      <c r="E371" s="1102">
        <f>SUM(E335:E345)</f>
        <v>0</v>
      </c>
      <c r="F371" s="1102">
        <f>SUM(F335:F345)</f>
        <v>0</v>
      </c>
      <c r="G371" s="992"/>
      <c r="H371" s="368"/>
      <c r="I371" s="368"/>
      <c r="J371" s="368"/>
      <c r="K371" s="277"/>
      <c r="L371" s="277"/>
      <c r="M371" s="277"/>
      <c r="N371" s="277"/>
      <c r="O371" s="277"/>
      <c r="P371" s="277"/>
      <c r="Q371" s="277"/>
      <c r="R371" s="277"/>
      <c r="S371" s="277"/>
      <c r="T371" s="294"/>
      <c r="U371" s="294"/>
      <c r="V371" s="294"/>
      <c r="W371" s="294"/>
      <c r="X371" s="294"/>
      <c r="Y371" s="294"/>
      <c r="Z371" s="294"/>
      <c r="AA371" s="294"/>
      <c r="AB371" s="294"/>
      <c r="AC371" s="277"/>
      <c r="AD371" s="277"/>
      <c r="AE371" s="277"/>
      <c r="AF371" s="277"/>
      <c r="AG371" s="277"/>
      <c r="AH371" s="277"/>
      <c r="AI371" s="277"/>
      <c r="AJ371" s="277"/>
      <c r="AK371" s="277"/>
      <c r="AL371" s="277"/>
      <c r="AM371" s="277"/>
      <c r="AN371" s="277"/>
      <c r="AO371" s="277"/>
      <c r="AP371" s="277"/>
      <c r="AQ371" s="277"/>
      <c r="AR371" s="277"/>
      <c r="AS371" s="277"/>
      <c r="AT371" s="277"/>
      <c r="AU371" s="277"/>
      <c r="AV371" s="277"/>
      <c r="AW371" s="277"/>
      <c r="AX371" s="277"/>
      <c r="AY371" s="277"/>
      <c r="AZ371" s="277"/>
      <c r="BA371" s="277"/>
      <c r="BB371" s="277"/>
    </row>
    <row r="372" spans="1:233" customFormat="1" ht="14.25" customHeight="1" thickBot="1" x14ac:dyDescent="0.35">
      <c r="A372" s="368"/>
      <c r="B372" s="995" t="s">
        <v>451</v>
      </c>
      <c r="C372" s="993">
        <f>SUM(C351:C371)</f>
        <v>9650.9866280791339</v>
      </c>
      <c r="D372" s="994">
        <f>SUM(D351:D371)</f>
        <v>4397.7944978939777</v>
      </c>
      <c r="E372" s="994">
        <f>SUM(E351:E371)</f>
        <v>695189.81155245262</v>
      </c>
      <c r="F372" s="994">
        <f>SUM(F351:F371)</f>
        <v>189399.21109005762</v>
      </c>
      <c r="G372" s="994">
        <f>SUM(G351:G371)</f>
        <v>6.8188856755871949</v>
      </c>
      <c r="H372" s="368"/>
      <c r="I372" s="368"/>
      <c r="J372" s="368"/>
      <c r="K372" s="277"/>
      <c r="L372" s="277"/>
      <c r="M372" s="277"/>
      <c r="N372" s="277"/>
      <c r="O372" s="277"/>
      <c r="P372" s="277"/>
      <c r="Q372" s="277"/>
      <c r="R372" s="277"/>
      <c r="S372" s="277"/>
      <c r="T372" s="294"/>
      <c r="U372" s="294"/>
      <c r="V372" s="294"/>
      <c r="W372" s="294"/>
      <c r="X372" s="294"/>
      <c r="Y372" s="294"/>
      <c r="Z372" s="294"/>
      <c r="AA372" s="294"/>
      <c r="AB372" s="294"/>
      <c r="AC372" s="277"/>
      <c r="AD372" s="277"/>
      <c r="AE372" s="277"/>
      <c r="AF372" s="277"/>
      <c r="AG372" s="277"/>
      <c r="AH372" s="277"/>
      <c r="AI372" s="277"/>
      <c r="AJ372" s="277"/>
      <c r="AK372" s="277"/>
      <c r="AL372" s="277"/>
      <c r="AM372" s="277"/>
      <c r="AN372" s="277"/>
      <c r="AO372" s="277"/>
      <c r="AP372" s="277"/>
      <c r="AQ372" s="277"/>
      <c r="AR372" s="277"/>
      <c r="AS372" s="277"/>
      <c r="AT372" s="277"/>
      <c r="AU372" s="277"/>
      <c r="AV372" s="277"/>
      <c r="AW372" s="277"/>
      <c r="AX372" s="277"/>
      <c r="AY372" s="277"/>
      <c r="AZ372" s="277"/>
      <c r="BA372" s="277"/>
      <c r="BB372" s="277"/>
    </row>
    <row r="373" spans="1:233" s="277" customFormat="1" ht="16" thickTop="1" x14ac:dyDescent="0.35">
      <c r="B373" s="1852" t="s">
        <v>521</v>
      </c>
      <c r="C373" s="1853"/>
      <c r="D373" s="1853"/>
      <c r="E373" s="1853"/>
      <c r="F373" s="1853"/>
      <c r="G373" s="756"/>
      <c r="H373" s="294"/>
      <c r="T373" s="294"/>
      <c r="U373" s="294"/>
      <c r="V373" s="294"/>
      <c r="W373" s="294"/>
      <c r="X373" s="294"/>
      <c r="Y373" s="294"/>
      <c r="Z373" s="294"/>
      <c r="AA373" s="294"/>
      <c r="AB373" s="294"/>
    </row>
    <row r="374" spans="1:233" ht="13" x14ac:dyDescent="0.3">
      <c r="A374" s="277"/>
      <c r="B374" s="761" t="s">
        <v>235</v>
      </c>
      <c r="C374" s="268">
        <f>C372-C375</f>
        <v>9650.9866280791339</v>
      </c>
      <c r="D374" s="268">
        <f>D372-D375</f>
        <v>4397.7944978939777</v>
      </c>
      <c r="E374" s="268">
        <f>E372-E375</f>
        <v>695189.81155245262</v>
      </c>
      <c r="F374" s="762">
        <f>F372-F375</f>
        <v>189399.21109005762</v>
      </c>
      <c r="G374" s="763">
        <f>G372-G375</f>
        <v>6.8188856755871949</v>
      </c>
      <c r="H374" s="294"/>
      <c r="I374" s="277"/>
      <c r="J374" s="277"/>
      <c r="K374" s="277"/>
      <c r="L374" s="277"/>
      <c r="M374" s="277"/>
      <c r="N374" s="277"/>
      <c r="O374" s="277"/>
      <c r="P374" s="277"/>
      <c r="Q374" s="277"/>
      <c r="R374" s="277"/>
      <c r="S374" s="277"/>
      <c r="T374" s="294"/>
      <c r="U374" s="294"/>
      <c r="V374" s="294"/>
      <c r="W374" s="294"/>
      <c r="X374" s="294"/>
      <c r="Y374" s="294"/>
      <c r="Z374" s="294"/>
      <c r="AA374" s="294"/>
      <c r="AB374" s="294"/>
      <c r="AC374" s="277"/>
      <c r="AD374" s="277"/>
      <c r="AE374" s="277"/>
      <c r="AF374" s="277"/>
      <c r="AG374" s="277"/>
      <c r="AH374" s="277"/>
      <c r="AI374" s="277"/>
      <c r="AJ374" s="277"/>
      <c r="AK374" s="277"/>
      <c r="AL374" s="277"/>
      <c r="AM374" s="277"/>
      <c r="AN374" s="277"/>
      <c r="AO374" s="277"/>
      <c r="AP374" s="277"/>
      <c r="AQ374" s="277"/>
      <c r="AR374" s="277"/>
      <c r="AS374" s="277"/>
      <c r="AT374" s="277"/>
      <c r="AU374" s="277"/>
      <c r="AV374" s="277"/>
      <c r="AW374" s="277"/>
      <c r="AX374" s="277"/>
      <c r="AY374" s="277"/>
      <c r="AZ374" s="277"/>
      <c r="BA374" s="277"/>
      <c r="BB374" s="277"/>
      <c r="BC374" s="277"/>
      <c r="BD374" s="277"/>
      <c r="BE374" s="277"/>
      <c r="BF374" s="277"/>
      <c r="BG374" s="277"/>
      <c r="BH374" s="277"/>
      <c r="BI374" s="277"/>
      <c r="BJ374" s="277"/>
      <c r="BK374" s="277"/>
      <c r="BL374" s="277"/>
      <c r="BM374" s="277"/>
      <c r="BN374" s="277"/>
      <c r="BO374" s="277"/>
      <c r="BP374" s="277"/>
      <c r="BQ374" s="277"/>
      <c r="BR374" s="277"/>
      <c r="BS374" s="277"/>
      <c r="BT374" s="277"/>
      <c r="BU374" s="277"/>
      <c r="BV374" s="277"/>
      <c r="BW374" s="277"/>
      <c r="BX374" s="277"/>
      <c r="BY374" s="277"/>
      <c r="BZ374" s="277"/>
      <c r="CA374" s="277"/>
      <c r="CB374" s="277"/>
      <c r="CC374" s="277"/>
      <c r="CD374" s="277"/>
      <c r="CE374" s="277"/>
      <c r="CF374" s="277"/>
      <c r="CG374" s="277"/>
      <c r="CH374" s="277"/>
      <c r="CI374" s="277"/>
      <c r="CJ374" s="277"/>
      <c r="CK374" s="277"/>
      <c r="CL374" s="277"/>
      <c r="CM374" s="277"/>
      <c r="CN374" s="277"/>
      <c r="CO374" s="277"/>
      <c r="CP374" s="277"/>
      <c r="CQ374" s="277"/>
      <c r="CR374" s="277"/>
      <c r="CS374" s="277"/>
      <c r="CT374" s="277"/>
      <c r="CU374" s="277"/>
      <c r="CV374" s="277"/>
      <c r="CW374" s="277"/>
      <c r="CX374" s="277"/>
      <c r="CY374" s="277"/>
      <c r="CZ374" s="277"/>
      <c r="DA374" s="277"/>
      <c r="DB374" s="277"/>
      <c r="DC374" s="277"/>
      <c r="DD374" s="277"/>
      <c r="DE374" s="277"/>
      <c r="DF374" s="277"/>
      <c r="DG374" s="277"/>
      <c r="DH374" s="277"/>
      <c r="DI374" s="277"/>
      <c r="DJ374" s="277"/>
      <c r="DK374" s="277"/>
      <c r="DL374" s="277"/>
      <c r="DM374" s="277"/>
      <c r="DN374" s="277"/>
      <c r="DO374" s="277"/>
      <c r="DP374" s="277"/>
      <c r="DQ374" s="277"/>
      <c r="DR374" s="277"/>
      <c r="DS374" s="277"/>
      <c r="DT374" s="277"/>
      <c r="DU374" s="277"/>
      <c r="DV374" s="277"/>
      <c r="DW374" s="277"/>
      <c r="DX374" s="277"/>
      <c r="DY374" s="277"/>
      <c r="DZ374" s="277"/>
      <c r="EA374" s="277"/>
      <c r="EB374" s="277"/>
      <c r="EC374" s="277"/>
      <c r="ED374" s="277"/>
      <c r="EE374" s="277"/>
      <c r="EF374" s="277"/>
      <c r="EG374" s="277"/>
      <c r="EH374" s="277"/>
      <c r="EI374" s="277"/>
      <c r="EJ374" s="277"/>
      <c r="EK374" s="277"/>
      <c r="EL374" s="277"/>
      <c r="EM374" s="277"/>
      <c r="EN374" s="277"/>
      <c r="EO374" s="277"/>
      <c r="EP374" s="277"/>
      <c r="EQ374" s="277"/>
      <c r="ER374" s="277"/>
      <c r="ES374" s="277"/>
      <c r="ET374" s="277"/>
      <c r="EU374" s="277"/>
      <c r="EV374" s="277"/>
      <c r="EW374" s="277"/>
      <c r="EX374" s="277"/>
      <c r="EY374" s="277"/>
      <c r="EZ374" s="277"/>
      <c r="FA374" s="277"/>
      <c r="FB374" s="277"/>
      <c r="FC374" s="277"/>
      <c r="FD374" s="277"/>
      <c r="FE374" s="277"/>
      <c r="FF374" s="277"/>
      <c r="FG374" s="277"/>
      <c r="FH374" s="277"/>
      <c r="FI374" s="277"/>
      <c r="FJ374" s="277"/>
      <c r="FK374" s="277"/>
      <c r="FL374" s="277"/>
      <c r="FM374" s="277"/>
      <c r="FN374" s="277"/>
      <c r="FO374" s="277"/>
      <c r="FP374" s="277"/>
      <c r="FQ374" s="277"/>
      <c r="FR374" s="277"/>
      <c r="FS374" s="277"/>
      <c r="FT374" s="277"/>
      <c r="FU374" s="277"/>
      <c r="FV374" s="277"/>
      <c r="FW374" s="277"/>
      <c r="FX374" s="277"/>
      <c r="FY374" s="277"/>
      <c r="FZ374" s="277"/>
      <c r="GA374" s="277"/>
      <c r="GB374" s="277"/>
      <c r="GC374" s="277"/>
      <c r="GD374" s="277"/>
      <c r="GE374" s="277"/>
      <c r="GF374" s="277"/>
      <c r="GG374" s="277"/>
      <c r="GH374" s="277"/>
      <c r="GI374" s="277"/>
      <c r="GJ374" s="277"/>
      <c r="GK374" s="277"/>
      <c r="GL374" s="277"/>
      <c r="GM374" s="277"/>
      <c r="GN374" s="277"/>
      <c r="GO374" s="277"/>
      <c r="GP374" s="277"/>
      <c r="GQ374" s="277"/>
      <c r="GR374" s="277"/>
      <c r="GS374" s="277"/>
      <c r="GT374" s="277"/>
      <c r="GU374" s="277"/>
      <c r="GV374" s="277"/>
      <c r="GW374" s="277"/>
      <c r="GX374" s="277"/>
      <c r="GY374" s="277"/>
      <c r="GZ374" s="277"/>
      <c r="HA374" s="277"/>
      <c r="HB374" s="277"/>
      <c r="HC374" s="277"/>
      <c r="HD374" s="277"/>
      <c r="HE374" s="277"/>
      <c r="HF374" s="277"/>
      <c r="HG374" s="277"/>
      <c r="HH374" s="277"/>
      <c r="HI374" s="277"/>
      <c r="HJ374" s="277"/>
      <c r="HK374" s="277"/>
      <c r="HL374" s="277"/>
      <c r="HM374" s="277"/>
      <c r="HN374" s="277"/>
      <c r="HO374" s="277"/>
      <c r="HP374" s="277"/>
      <c r="HQ374" s="277"/>
      <c r="HR374" s="277"/>
      <c r="HS374" s="277"/>
      <c r="HT374" s="277"/>
      <c r="HU374" s="277"/>
      <c r="HV374" s="277"/>
      <c r="HW374" s="277"/>
      <c r="HX374" s="277"/>
      <c r="HY374" s="277"/>
    </row>
    <row r="375" spans="1:233" ht="13" x14ac:dyDescent="0.3">
      <c r="A375" s="277"/>
      <c r="B375" s="761" t="s">
        <v>522</v>
      </c>
      <c r="C375" s="268">
        <f>C371+C361+C366+C368/2+C369</f>
        <v>0</v>
      </c>
      <c r="D375" s="268">
        <f>D371+D361+D366+D368/2+D369</f>
        <v>0</v>
      </c>
      <c r="E375" s="268">
        <f>E371+E361+E366+E368/2+E369</f>
        <v>0</v>
      </c>
      <c r="F375" s="762">
        <f>F371+F361+F366+F368/2+F369</f>
        <v>0</v>
      </c>
      <c r="G375" s="763">
        <f>G371+G361+G366+G368/2+G369</f>
        <v>0</v>
      </c>
      <c r="H375" s="294"/>
      <c r="I375" s="277"/>
      <c r="J375" s="277"/>
      <c r="K375" s="277"/>
      <c r="L375" s="277"/>
      <c r="M375" s="277"/>
      <c r="N375" s="277"/>
      <c r="O375" s="277"/>
      <c r="P375" s="277"/>
      <c r="Q375" s="277"/>
      <c r="R375" s="277"/>
      <c r="S375" s="277"/>
      <c r="T375" s="294"/>
      <c r="U375" s="294"/>
      <c r="V375" s="294"/>
      <c r="W375" s="294"/>
      <c r="X375" s="294"/>
      <c r="Y375" s="294"/>
      <c r="Z375" s="294"/>
      <c r="AA375" s="294"/>
      <c r="AB375" s="294"/>
      <c r="AC375" s="277"/>
      <c r="AD375" s="277"/>
      <c r="AE375" s="277"/>
      <c r="AF375" s="277"/>
      <c r="AG375" s="277"/>
      <c r="AH375" s="277"/>
      <c r="AI375" s="277"/>
      <c r="AJ375" s="277"/>
      <c r="AK375" s="277"/>
      <c r="AL375" s="277"/>
      <c r="AM375" s="277"/>
      <c r="AN375" s="277"/>
      <c r="AO375" s="277"/>
      <c r="AP375" s="277"/>
      <c r="AQ375" s="277"/>
      <c r="AR375" s="277"/>
      <c r="AS375" s="277"/>
      <c r="AT375" s="277"/>
      <c r="AU375" s="277"/>
      <c r="AV375" s="277"/>
      <c r="AW375" s="277"/>
      <c r="AX375" s="277"/>
      <c r="AY375" s="277"/>
      <c r="AZ375" s="277"/>
      <c r="BA375" s="277"/>
      <c r="BB375" s="277"/>
      <c r="BC375" s="277"/>
      <c r="BD375" s="277"/>
      <c r="BE375" s="277"/>
      <c r="BF375" s="277"/>
      <c r="BG375" s="277"/>
      <c r="BH375" s="277"/>
      <c r="BI375" s="277"/>
      <c r="BJ375" s="277"/>
      <c r="BK375" s="277"/>
      <c r="BL375" s="277"/>
      <c r="BM375" s="277"/>
      <c r="BN375" s="277"/>
      <c r="BO375" s="277"/>
      <c r="BP375" s="277"/>
      <c r="BQ375" s="277"/>
      <c r="BR375" s="277"/>
      <c r="BS375" s="277"/>
      <c r="BT375" s="277"/>
      <c r="BU375" s="277"/>
      <c r="BV375" s="277"/>
      <c r="BW375" s="277"/>
      <c r="BX375" s="277"/>
      <c r="BY375" s="277"/>
      <c r="BZ375" s="277"/>
      <c r="CA375" s="277"/>
      <c r="CB375" s="277"/>
      <c r="CC375" s="277"/>
      <c r="CD375" s="277"/>
      <c r="CE375" s="277"/>
      <c r="CF375" s="277"/>
      <c r="CG375" s="277"/>
      <c r="CH375" s="277"/>
      <c r="CI375" s="277"/>
      <c r="CJ375" s="277"/>
      <c r="CK375" s="277"/>
      <c r="CL375" s="277"/>
      <c r="CM375" s="277"/>
      <c r="CN375" s="277"/>
      <c r="CO375" s="277"/>
      <c r="CP375" s="277"/>
      <c r="CQ375" s="277"/>
      <c r="CR375" s="277"/>
      <c r="CS375" s="277"/>
      <c r="CT375" s="277"/>
      <c r="CU375" s="277"/>
      <c r="CV375" s="277"/>
      <c r="CW375" s="277"/>
      <c r="CX375" s="277"/>
      <c r="CY375" s="277"/>
      <c r="CZ375" s="277"/>
      <c r="DA375" s="277"/>
      <c r="DB375" s="277"/>
      <c r="DC375" s="277"/>
      <c r="DD375" s="277"/>
      <c r="DE375" s="277"/>
      <c r="DF375" s="277"/>
      <c r="DG375" s="277"/>
      <c r="DH375" s="277"/>
      <c r="DI375" s="277"/>
      <c r="DJ375" s="277"/>
      <c r="DK375" s="277"/>
      <c r="DL375" s="277"/>
      <c r="DM375" s="277"/>
      <c r="DN375" s="277"/>
      <c r="DO375" s="277"/>
      <c r="DP375" s="277"/>
      <c r="DQ375" s="277"/>
      <c r="DR375" s="277"/>
      <c r="DS375" s="277"/>
      <c r="DT375" s="277"/>
      <c r="DU375" s="277"/>
      <c r="DV375" s="277"/>
      <c r="DW375" s="277"/>
      <c r="DX375" s="277"/>
      <c r="DY375" s="277"/>
      <c r="DZ375" s="277"/>
      <c r="EA375" s="277"/>
      <c r="EB375" s="277"/>
      <c r="EC375" s="277"/>
      <c r="ED375" s="277"/>
      <c r="EE375" s="277"/>
      <c r="EF375" s="277"/>
      <c r="EG375" s="277"/>
      <c r="EH375" s="277"/>
      <c r="EI375" s="277"/>
      <c r="EJ375" s="277"/>
      <c r="EK375" s="277"/>
      <c r="EL375" s="277"/>
      <c r="EM375" s="277"/>
      <c r="EN375" s="277"/>
      <c r="EO375" s="277"/>
      <c r="EP375" s="277"/>
      <c r="EQ375" s="277"/>
      <c r="ER375" s="277"/>
      <c r="ES375" s="277"/>
      <c r="ET375" s="277"/>
      <c r="EU375" s="277"/>
      <c r="EV375" s="277"/>
      <c r="EW375" s="277"/>
      <c r="EX375" s="277"/>
      <c r="EY375" s="277"/>
      <c r="EZ375" s="277"/>
      <c r="FA375" s="277"/>
      <c r="FB375" s="277"/>
      <c r="FC375" s="277"/>
      <c r="FD375" s="277"/>
      <c r="FE375" s="277"/>
      <c r="FF375" s="277"/>
      <c r="FG375" s="277"/>
      <c r="FH375" s="277"/>
      <c r="FI375" s="277"/>
      <c r="FJ375" s="277"/>
      <c r="FK375" s="277"/>
      <c r="FL375" s="277"/>
      <c r="FM375" s="277"/>
      <c r="FN375" s="277"/>
      <c r="FO375" s="277"/>
      <c r="FP375" s="277"/>
      <c r="FQ375" s="277"/>
      <c r="FR375" s="277"/>
      <c r="FS375" s="277"/>
      <c r="FT375" s="277"/>
      <c r="FU375" s="277"/>
      <c r="FV375" s="277"/>
      <c r="FW375" s="277"/>
      <c r="FX375" s="277"/>
      <c r="FY375" s="277"/>
      <c r="FZ375" s="277"/>
      <c r="GA375" s="277"/>
      <c r="GB375" s="277"/>
      <c r="GC375" s="277"/>
      <c r="GD375" s="277"/>
      <c r="GE375" s="277"/>
      <c r="GF375" s="277"/>
      <c r="GG375" s="277"/>
      <c r="GH375" s="277"/>
      <c r="GI375" s="277"/>
      <c r="GJ375" s="277"/>
      <c r="GK375" s="277"/>
      <c r="GL375" s="277"/>
      <c r="GM375" s="277"/>
      <c r="GN375" s="277"/>
      <c r="GO375" s="277"/>
      <c r="GP375" s="277"/>
      <c r="GQ375" s="277"/>
      <c r="GR375" s="277"/>
      <c r="GS375" s="277"/>
      <c r="GT375" s="277"/>
      <c r="GU375" s="277"/>
      <c r="GV375" s="277"/>
      <c r="GW375" s="277"/>
      <c r="GX375" s="277"/>
      <c r="GY375" s="277"/>
      <c r="GZ375" s="277"/>
      <c r="HA375" s="277"/>
      <c r="HB375" s="277"/>
      <c r="HC375" s="277"/>
      <c r="HD375" s="277"/>
      <c r="HE375" s="277"/>
      <c r="HF375" s="277"/>
      <c r="HG375" s="277"/>
      <c r="HH375" s="277"/>
      <c r="HI375" s="277"/>
      <c r="HJ375" s="277"/>
      <c r="HK375" s="277"/>
      <c r="HL375" s="277"/>
      <c r="HM375" s="277"/>
      <c r="HN375" s="277"/>
      <c r="HO375" s="277"/>
      <c r="HP375" s="277"/>
      <c r="HQ375" s="277"/>
      <c r="HR375" s="277"/>
      <c r="HS375" s="277"/>
      <c r="HT375" s="277"/>
      <c r="HU375" s="277"/>
      <c r="HV375" s="277"/>
      <c r="HW375" s="277"/>
      <c r="HX375" s="277"/>
      <c r="HY375" s="277"/>
    </row>
    <row r="376" spans="1:233" ht="15.5" x14ac:dyDescent="0.35">
      <c r="A376" s="277"/>
      <c r="B376" s="1849" t="s">
        <v>525</v>
      </c>
      <c r="C376" s="1850"/>
      <c r="D376" s="1850"/>
      <c r="E376" s="1850"/>
      <c r="F376" s="1850"/>
      <c r="G376" s="439"/>
      <c r="H376" s="294"/>
      <c r="I376" s="277"/>
      <c r="J376" s="277"/>
      <c r="K376" s="277"/>
      <c r="L376" s="277"/>
      <c r="M376" s="277"/>
      <c r="N376" s="277"/>
      <c r="O376" s="277"/>
      <c r="P376" s="277"/>
      <c r="Q376" s="277"/>
      <c r="R376" s="277"/>
      <c r="S376" s="277"/>
      <c r="T376" s="294"/>
      <c r="U376" s="294"/>
      <c r="V376" s="294"/>
      <c r="W376" s="294"/>
      <c r="X376" s="294"/>
      <c r="Y376" s="294"/>
      <c r="Z376" s="294"/>
      <c r="AA376" s="294"/>
      <c r="AB376" s="294"/>
      <c r="AC376" s="277"/>
      <c r="AD376" s="277"/>
      <c r="AE376" s="277"/>
      <c r="AF376" s="277"/>
      <c r="AG376" s="277"/>
      <c r="AH376" s="277"/>
      <c r="AI376" s="277"/>
      <c r="AJ376" s="277"/>
      <c r="AK376" s="277"/>
      <c r="AL376" s="277"/>
      <c r="AM376" s="277"/>
      <c r="AN376" s="277"/>
      <c r="AO376" s="277"/>
      <c r="AP376" s="277"/>
      <c r="AQ376" s="277"/>
      <c r="AR376" s="277"/>
      <c r="AS376" s="277"/>
      <c r="AT376" s="277"/>
      <c r="AU376" s="277"/>
      <c r="AV376" s="277"/>
      <c r="AW376" s="277"/>
      <c r="AX376" s="277"/>
      <c r="AY376" s="277"/>
      <c r="AZ376" s="277"/>
      <c r="BA376" s="277"/>
      <c r="BB376" s="277"/>
      <c r="BC376" s="277"/>
      <c r="BD376" s="277"/>
      <c r="BE376" s="277"/>
      <c r="BF376" s="277"/>
      <c r="BG376" s="277"/>
      <c r="BH376" s="277"/>
      <c r="BI376" s="277"/>
      <c r="BJ376" s="277"/>
      <c r="BK376" s="277"/>
      <c r="BL376" s="277"/>
      <c r="BM376" s="277"/>
      <c r="BN376" s="277"/>
      <c r="BO376" s="277"/>
      <c r="BP376" s="277"/>
      <c r="BQ376" s="277"/>
      <c r="BR376" s="277"/>
      <c r="BS376" s="277"/>
      <c r="BT376" s="277"/>
      <c r="BU376" s="277"/>
      <c r="BV376" s="277"/>
      <c r="BW376" s="277"/>
      <c r="BX376" s="277"/>
      <c r="BY376" s="277"/>
      <c r="BZ376" s="277"/>
      <c r="CA376" s="277"/>
      <c r="CB376" s="277"/>
      <c r="CC376" s="277"/>
      <c r="CD376" s="277"/>
      <c r="CE376" s="277"/>
      <c r="CF376" s="277"/>
      <c r="CG376" s="277"/>
      <c r="CH376" s="277"/>
      <c r="CI376" s="277"/>
      <c r="CJ376" s="277"/>
      <c r="CK376" s="277"/>
      <c r="CL376" s="277"/>
      <c r="CM376" s="277"/>
      <c r="CN376" s="277"/>
      <c r="CO376" s="277"/>
      <c r="CP376" s="277"/>
      <c r="CQ376" s="277"/>
      <c r="CR376" s="277"/>
      <c r="CS376" s="277"/>
      <c r="CT376" s="277"/>
      <c r="CU376" s="277"/>
      <c r="CV376" s="277"/>
      <c r="CW376" s="277"/>
      <c r="CX376" s="277"/>
      <c r="CY376" s="277"/>
      <c r="CZ376" s="277"/>
      <c r="DA376" s="277"/>
      <c r="DB376" s="277"/>
      <c r="DC376" s="277"/>
      <c r="DD376" s="277"/>
      <c r="DE376" s="277"/>
      <c r="DF376" s="277"/>
      <c r="DG376" s="277"/>
      <c r="DH376" s="277"/>
      <c r="DI376" s="277"/>
      <c r="DJ376" s="277"/>
      <c r="DK376" s="277"/>
      <c r="DL376" s="277"/>
      <c r="DM376" s="277"/>
      <c r="DN376" s="277"/>
      <c r="DO376" s="277"/>
      <c r="DP376" s="277"/>
      <c r="DQ376" s="277"/>
      <c r="DR376" s="277"/>
      <c r="DS376" s="277"/>
      <c r="DT376" s="277"/>
      <c r="DU376" s="277"/>
      <c r="DV376" s="277"/>
      <c r="DW376" s="277"/>
      <c r="DX376" s="277"/>
      <c r="DY376" s="277"/>
      <c r="DZ376" s="277"/>
      <c r="EA376" s="277"/>
      <c r="EB376" s="277"/>
      <c r="EC376" s="277"/>
      <c r="ED376" s="277"/>
      <c r="EE376" s="277"/>
      <c r="EF376" s="277"/>
      <c r="EG376" s="277"/>
      <c r="EH376" s="277"/>
      <c r="EI376" s="277"/>
      <c r="EJ376" s="277"/>
      <c r="EK376" s="277"/>
      <c r="EL376" s="277"/>
      <c r="EM376" s="277"/>
      <c r="EN376" s="277"/>
      <c r="EO376" s="277"/>
      <c r="EP376" s="277"/>
      <c r="EQ376" s="277"/>
      <c r="ER376" s="277"/>
      <c r="ES376" s="277"/>
      <c r="ET376" s="277"/>
      <c r="EU376" s="277"/>
      <c r="EV376" s="277"/>
      <c r="EW376" s="277"/>
      <c r="EX376" s="277"/>
      <c r="EY376" s="277"/>
      <c r="EZ376" s="277"/>
      <c r="FA376" s="277"/>
      <c r="FB376" s="277"/>
      <c r="FC376" s="277"/>
      <c r="FD376" s="277"/>
      <c r="FE376" s="277"/>
      <c r="FF376" s="277"/>
      <c r="FG376" s="277"/>
      <c r="FH376" s="277"/>
      <c r="FI376" s="277"/>
      <c r="FJ376" s="277"/>
      <c r="FK376" s="277"/>
      <c r="FL376" s="277"/>
      <c r="FM376" s="277"/>
      <c r="FN376" s="277"/>
      <c r="FO376" s="277"/>
      <c r="FP376" s="277"/>
      <c r="FQ376" s="277"/>
      <c r="FR376" s="277"/>
      <c r="FS376" s="277"/>
      <c r="FT376" s="277"/>
      <c r="FU376" s="277"/>
      <c r="FV376" s="277"/>
      <c r="FW376" s="277"/>
      <c r="FX376" s="277"/>
      <c r="FY376" s="277"/>
      <c r="FZ376" s="277"/>
      <c r="GA376" s="277"/>
      <c r="GB376" s="277"/>
      <c r="GC376" s="277"/>
      <c r="GD376" s="277"/>
      <c r="GE376" s="277"/>
      <c r="GF376" s="277"/>
      <c r="GG376" s="277"/>
      <c r="GH376" s="277"/>
      <c r="GI376" s="277"/>
      <c r="GJ376" s="277"/>
      <c r="GK376" s="277"/>
      <c r="GL376" s="277"/>
      <c r="GM376" s="277"/>
      <c r="GN376" s="277"/>
      <c r="GO376" s="277"/>
      <c r="GP376" s="277"/>
      <c r="GQ376" s="277"/>
      <c r="GR376" s="277"/>
      <c r="GS376" s="277"/>
      <c r="GT376" s="277"/>
      <c r="GU376" s="277"/>
      <c r="GV376" s="277"/>
      <c r="GW376" s="277"/>
      <c r="GX376" s="277"/>
      <c r="GY376" s="277"/>
      <c r="GZ376" s="277"/>
      <c r="HA376" s="277"/>
      <c r="HB376" s="277"/>
      <c r="HC376" s="277"/>
      <c r="HD376" s="277"/>
      <c r="HE376" s="277"/>
      <c r="HF376" s="277"/>
      <c r="HG376" s="277"/>
      <c r="HH376" s="277"/>
      <c r="HI376" s="277"/>
      <c r="HJ376" s="277"/>
      <c r="HK376" s="277"/>
      <c r="HL376" s="277"/>
      <c r="HM376" s="277"/>
      <c r="HN376" s="277"/>
      <c r="HO376" s="277"/>
      <c r="HP376" s="277"/>
      <c r="HQ376" s="277"/>
      <c r="HR376" s="277"/>
      <c r="HS376" s="277"/>
      <c r="HT376" s="277"/>
      <c r="HU376" s="277"/>
      <c r="HV376" s="277"/>
      <c r="HW376" s="277"/>
      <c r="HX376" s="277"/>
      <c r="HY376" s="277"/>
    </row>
    <row r="377" spans="1:233" ht="13" x14ac:dyDescent="0.3">
      <c r="A377" s="277"/>
      <c r="B377" s="761" t="s">
        <v>632</v>
      </c>
      <c r="C377" s="268">
        <f>('Existing Management Practices'!C30-'Future Management Practices'!C35)*(1-'Primary Sources'!B93)</f>
        <v>9.8736264166806788E-11</v>
      </c>
      <c r="D377" s="985">
        <f>('Existing Management Practices'!D30-'Future Management Practices'!D35)*(1-'Primary Sources'!C93)</f>
        <v>0</v>
      </c>
      <c r="E377" s="268"/>
      <c r="F377" s="762"/>
      <c r="G377" s="763"/>
      <c r="H377" s="1010"/>
      <c r="I377" s="1010"/>
      <c r="J377" s="1010"/>
      <c r="K377" s="1010"/>
      <c r="L377" s="1010"/>
      <c r="M377" s="1010"/>
      <c r="N377" s="1010"/>
      <c r="O377" s="1010"/>
      <c r="P377" s="1010"/>
      <c r="Q377" s="1010"/>
      <c r="R377" s="1010"/>
      <c r="S377" s="1010"/>
      <c r="T377" s="1010"/>
      <c r="U377" s="1010"/>
      <c r="V377" s="294"/>
      <c r="W377" s="294"/>
      <c r="X377" s="294"/>
      <c r="Y377" s="294"/>
      <c r="Z377" s="294"/>
      <c r="AA377" s="294"/>
      <c r="AB377" s="294"/>
      <c r="AC377" s="277"/>
      <c r="AD377" s="277"/>
      <c r="AE377" s="277"/>
      <c r="AF377" s="277"/>
      <c r="AG377" s="277"/>
      <c r="AH377" s="277"/>
      <c r="AI377" s="277"/>
      <c r="AJ377" s="277"/>
      <c r="AK377" s="277"/>
      <c r="AL377" s="277"/>
      <c r="AM377" s="277"/>
      <c r="AN377" s="277"/>
      <c r="AO377" s="277"/>
      <c r="AP377" s="277"/>
      <c r="AQ377" s="277"/>
      <c r="AR377" s="277"/>
      <c r="AS377" s="277"/>
      <c r="AT377" s="277"/>
      <c r="AU377" s="277"/>
      <c r="AV377" s="277"/>
      <c r="AW377" s="277"/>
      <c r="AX377" s="277"/>
      <c r="AY377" s="277"/>
      <c r="AZ377" s="277"/>
      <c r="BA377" s="277"/>
      <c r="BB377" s="277"/>
      <c r="BC377" s="277"/>
      <c r="BD377" s="277"/>
      <c r="BE377" s="277"/>
      <c r="BF377" s="277"/>
      <c r="BG377" s="277"/>
      <c r="BH377" s="277"/>
      <c r="BI377" s="277"/>
      <c r="BJ377" s="277"/>
      <c r="BK377" s="277"/>
      <c r="BL377" s="277"/>
      <c r="BM377" s="277"/>
      <c r="BN377" s="277"/>
      <c r="BO377" s="277"/>
      <c r="BP377" s="277"/>
      <c r="BQ377" s="277"/>
      <c r="BR377" s="277"/>
      <c r="BS377" s="277"/>
      <c r="BT377" s="277"/>
      <c r="BU377" s="277"/>
      <c r="BV377" s="277"/>
      <c r="BW377" s="277"/>
      <c r="BX377" s="277"/>
      <c r="BY377" s="277"/>
      <c r="BZ377" s="277"/>
      <c r="CA377" s="277"/>
      <c r="CB377" s="277"/>
      <c r="CC377" s="277"/>
      <c r="CD377" s="277"/>
      <c r="CE377" s="277"/>
      <c r="CF377" s="277"/>
      <c r="CG377" s="277"/>
      <c r="CH377" s="277"/>
      <c r="CI377" s="277"/>
      <c r="CJ377" s="277"/>
      <c r="CK377" s="277"/>
      <c r="CL377" s="277"/>
      <c r="CM377" s="277"/>
      <c r="CN377" s="277"/>
      <c r="CO377" s="277"/>
      <c r="CP377" s="277"/>
      <c r="CQ377" s="277"/>
      <c r="CR377" s="277"/>
      <c r="CS377" s="277"/>
      <c r="CT377" s="277"/>
      <c r="CU377" s="277"/>
      <c r="CV377" s="277"/>
      <c r="CW377" s="277"/>
      <c r="CX377" s="277"/>
      <c r="CY377" s="277"/>
      <c r="CZ377" s="277"/>
      <c r="DA377" s="277"/>
      <c r="DB377" s="277"/>
      <c r="DC377" s="277"/>
      <c r="DD377" s="277"/>
      <c r="DE377" s="277"/>
      <c r="DF377" s="277"/>
      <c r="DG377" s="277"/>
      <c r="DH377" s="277"/>
      <c r="DI377" s="277"/>
      <c r="DJ377" s="277"/>
      <c r="DK377" s="277"/>
      <c r="DL377" s="277"/>
      <c r="DM377" s="277"/>
      <c r="DN377" s="277"/>
      <c r="DO377" s="277"/>
      <c r="DP377" s="277"/>
      <c r="DQ377" s="277"/>
      <c r="DR377" s="277"/>
      <c r="DS377" s="277"/>
      <c r="DT377" s="277"/>
      <c r="DU377" s="277"/>
      <c r="DV377" s="277"/>
      <c r="DW377" s="277"/>
      <c r="DX377" s="277"/>
      <c r="DY377" s="277"/>
      <c r="DZ377" s="277"/>
      <c r="EA377" s="277"/>
      <c r="EB377" s="277"/>
      <c r="EC377" s="277"/>
      <c r="ED377" s="277"/>
      <c r="EE377" s="277"/>
      <c r="EF377" s="277"/>
      <c r="EG377" s="277"/>
      <c r="EH377" s="277"/>
      <c r="EI377" s="277"/>
      <c r="EJ377" s="277"/>
      <c r="EK377" s="277"/>
      <c r="EL377" s="277"/>
      <c r="EM377" s="277"/>
      <c r="EN377" s="277"/>
      <c r="EO377" s="277"/>
      <c r="EP377" s="277"/>
      <c r="EQ377" s="277"/>
      <c r="ER377" s="277"/>
      <c r="ES377" s="277"/>
      <c r="ET377" s="277"/>
      <c r="EU377" s="277"/>
      <c r="EV377" s="277"/>
      <c r="EW377" s="277"/>
      <c r="EX377" s="277"/>
      <c r="EY377" s="277"/>
      <c r="EZ377" s="277"/>
      <c r="FA377" s="277"/>
      <c r="FB377" s="277"/>
      <c r="FC377" s="277"/>
      <c r="FD377" s="277"/>
      <c r="FE377" s="277"/>
      <c r="FF377" s="277"/>
      <c r="FG377" s="277"/>
      <c r="FH377" s="277"/>
      <c r="FI377" s="277"/>
      <c r="FJ377" s="277"/>
      <c r="FK377" s="277"/>
      <c r="FL377" s="277"/>
      <c r="FM377" s="277"/>
      <c r="FN377" s="277"/>
      <c r="FO377" s="277"/>
      <c r="FP377" s="277"/>
      <c r="FQ377" s="277"/>
      <c r="FR377" s="277"/>
      <c r="FS377" s="277"/>
      <c r="FT377" s="277"/>
      <c r="FU377" s="277"/>
      <c r="FV377" s="277"/>
      <c r="FW377" s="277"/>
      <c r="FX377" s="277"/>
      <c r="FY377" s="277"/>
      <c r="FZ377" s="277"/>
      <c r="GA377" s="277"/>
      <c r="GB377" s="277"/>
      <c r="GC377" s="277"/>
      <c r="GD377" s="277"/>
      <c r="GE377" s="277"/>
      <c r="GF377" s="277"/>
      <c r="GG377" s="277"/>
      <c r="GH377" s="277"/>
      <c r="GI377" s="277"/>
      <c r="GJ377" s="277"/>
      <c r="GK377" s="277"/>
      <c r="GL377" s="277"/>
      <c r="GM377" s="277"/>
      <c r="GN377" s="277"/>
      <c r="GO377" s="277"/>
      <c r="GP377" s="277"/>
      <c r="GQ377" s="277"/>
      <c r="GR377" s="277"/>
      <c r="GS377" s="277"/>
      <c r="GT377" s="277"/>
      <c r="GU377" s="277"/>
      <c r="GV377" s="277"/>
      <c r="GW377" s="277"/>
      <c r="GX377" s="277"/>
      <c r="GY377" s="277"/>
      <c r="GZ377" s="277"/>
      <c r="HA377" s="277"/>
      <c r="HB377" s="277"/>
      <c r="HC377" s="277"/>
      <c r="HD377" s="277"/>
      <c r="HE377" s="277"/>
      <c r="HF377" s="277"/>
      <c r="HG377" s="277"/>
      <c r="HH377" s="277"/>
      <c r="HI377" s="277"/>
      <c r="HJ377" s="277"/>
      <c r="HK377" s="277"/>
      <c r="HL377" s="277"/>
      <c r="HM377" s="277"/>
      <c r="HN377" s="277"/>
      <c r="HO377" s="277"/>
      <c r="HP377" s="277"/>
      <c r="HQ377" s="277"/>
      <c r="HR377" s="277"/>
      <c r="HS377" s="277"/>
      <c r="HT377" s="277"/>
      <c r="HU377" s="277"/>
      <c r="HV377" s="277"/>
      <c r="HW377" s="277"/>
      <c r="HX377" s="277"/>
      <c r="HY377" s="277"/>
    </row>
    <row r="378" spans="1:233" ht="13" x14ac:dyDescent="0.3">
      <c r="A378" s="277"/>
      <c r="B378" s="761" t="s">
        <v>355</v>
      </c>
      <c r="C378" s="268">
        <f>-$C107*$C108*$F105*(1-B105)*(1-'Primary Sources'!B93)*(SUM('Primary Sources'!P11:P35)-C351-C353-C355-C356-C362-C363-'Existing Management Practices'!C176)</f>
        <v>0</v>
      </c>
      <c r="D378" s="268">
        <f>-$C107*$C108*$F105*(1-C105)*(1-'Primary Sources'!C93)*(SUM('Primary Sources'!Q11:Q35)-D351-D353-D355-D356-D362-D363-'Existing Management Practices'!D176)</f>
        <v>0</v>
      </c>
      <c r="E378" s="268">
        <f>-$C107*$C108*$F105*(1-D105)*(1-'Primary Sources'!D93)*(SUM('Primary Sources'!R11:R35)-E351-E353-E355-E356-E362-E363-'Existing Management Practices'!E176)</f>
        <v>0</v>
      </c>
      <c r="F378" s="268">
        <f>-$C107*$C108*$F105*(1-E105)*(1-'Primary Sources'!E93)*(SUM('Primary Sources'!S11:S35)-F351-F353-F355-F356-F362-F363-'Existing Management Practices'!F176)</f>
        <v>0</v>
      </c>
      <c r="G378" s="763"/>
      <c r="H378" s="1010"/>
      <c r="I378" s="1010"/>
      <c r="J378" s="1010"/>
      <c r="K378" s="1010"/>
      <c r="L378" s="1010"/>
      <c r="M378" s="1010"/>
      <c r="N378" s="1010"/>
      <c r="O378" s="1010"/>
      <c r="P378" s="1010"/>
      <c r="Q378" s="1010"/>
      <c r="R378" s="1010"/>
      <c r="S378" s="1010"/>
      <c r="T378" s="1010"/>
      <c r="U378" s="1010"/>
      <c r="V378" s="294"/>
      <c r="W378" s="294"/>
      <c r="X378" s="294"/>
      <c r="Y378" s="294"/>
      <c r="Z378" s="294"/>
      <c r="AA378" s="294"/>
      <c r="AB378" s="294"/>
      <c r="AC378" s="277"/>
      <c r="AD378" s="277"/>
      <c r="AE378" s="277"/>
      <c r="AF378" s="277"/>
      <c r="AG378" s="277"/>
      <c r="AH378" s="277"/>
      <c r="AI378" s="277"/>
      <c r="AJ378" s="277"/>
      <c r="AK378" s="277"/>
      <c r="AL378" s="277"/>
      <c r="AM378" s="277"/>
      <c r="AN378" s="277"/>
      <c r="AO378" s="277"/>
      <c r="AP378" s="277"/>
      <c r="AQ378" s="277"/>
      <c r="AR378" s="277"/>
      <c r="AS378" s="277"/>
      <c r="AT378" s="277"/>
      <c r="AU378" s="277"/>
      <c r="AV378" s="277"/>
      <c r="AW378" s="277"/>
      <c r="AX378" s="277"/>
      <c r="AY378" s="277"/>
      <c r="AZ378" s="277"/>
      <c r="BA378" s="277"/>
      <c r="BB378" s="277"/>
      <c r="BC378" s="277"/>
      <c r="BD378" s="277"/>
      <c r="BE378" s="277"/>
      <c r="BF378" s="277"/>
      <c r="BG378" s="277"/>
      <c r="BH378" s="277"/>
      <c r="BI378" s="277"/>
      <c r="BJ378" s="277"/>
      <c r="BK378" s="277"/>
      <c r="BL378" s="277"/>
      <c r="BM378" s="277"/>
      <c r="BN378" s="277"/>
      <c r="BO378" s="277"/>
      <c r="BP378" s="277"/>
      <c r="BQ378" s="277"/>
      <c r="BR378" s="277"/>
      <c r="BS378" s="277"/>
      <c r="BT378" s="277"/>
      <c r="BU378" s="277"/>
      <c r="BV378" s="277"/>
      <c r="BW378" s="277"/>
      <c r="BX378" s="277"/>
      <c r="BY378" s="277"/>
      <c r="BZ378" s="277"/>
      <c r="CA378" s="277"/>
      <c r="CB378" s="277"/>
      <c r="CC378" s="277"/>
      <c r="CD378" s="277"/>
      <c r="CE378" s="277"/>
      <c r="CF378" s="277"/>
      <c r="CG378" s="277"/>
      <c r="CH378" s="277"/>
      <c r="CI378" s="277"/>
      <c r="CJ378" s="277"/>
      <c r="CK378" s="277"/>
      <c r="CL378" s="277"/>
      <c r="CM378" s="277"/>
      <c r="CN378" s="277"/>
      <c r="CO378" s="277"/>
      <c r="CP378" s="277"/>
      <c r="CQ378" s="277"/>
      <c r="CR378" s="277"/>
      <c r="CS378" s="277"/>
      <c r="CT378" s="277"/>
      <c r="CU378" s="277"/>
      <c r="CV378" s="277"/>
      <c r="CW378" s="277"/>
      <c r="CX378" s="277"/>
      <c r="CY378" s="277"/>
      <c r="CZ378" s="277"/>
      <c r="DA378" s="277"/>
      <c r="DB378" s="277"/>
      <c r="DC378" s="277"/>
      <c r="DD378" s="277"/>
      <c r="DE378" s="277"/>
      <c r="DF378" s="277"/>
      <c r="DG378" s="277"/>
      <c r="DH378" s="277"/>
      <c r="DI378" s="277"/>
      <c r="DJ378" s="277"/>
      <c r="DK378" s="277"/>
      <c r="DL378" s="277"/>
      <c r="DM378" s="277"/>
      <c r="DN378" s="277"/>
      <c r="DO378" s="277"/>
      <c r="DP378" s="277"/>
      <c r="DQ378" s="277"/>
      <c r="DR378" s="277"/>
      <c r="DS378" s="277"/>
      <c r="DT378" s="277"/>
      <c r="DU378" s="277"/>
      <c r="DV378" s="277"/>
      <c r="DW378" s="277"/>
      <c r="DX378" s="277"/>
      <c r="DY378" s="277"/>
      <c r="DZ378" s="277"/>
      <c r="EA378" s="277"/>
      <c r="EB378" s="277"/>
      <c r="EC378" s="277"/>
      <c r="ED378" s="277"/>
      <c r="EE378" s="277"/>
      <c r="EF378" s="277"/>
      <c r="EG378" s="277"/>
      <c r="EH378" s="277"/>
      <c r="EI378" s="277"/>
      <c r="EJ378" s="277"/>
      <c r="EK378" s="277"/>
      <c r="EL378" s="277"/>
      <c r="EM378" s="277"/>
      <c r="EN378" s="277"/>
      <c r="EO378" s="277"/>
      <c r="EP378" s="277"/>
      <c r="EQ378" s="277"/>
      <c r="ER378" s="277"/>
      <c r="ES378" s="277"/>
      <c r="ET378" s="277"/>
      <c r="EU378" s="277"/>
      <c r="EV378" s="277"/>
      <c r="EW378" s="277"/>
      <c r="EX378" s="277"/>
      <c r="EY378" s="277"/>
      <c r="EZ378" s="277"/>
      <c r="FA378" s="277"/>
      <c r="FB378" s="277"/>
      <c r="FC378" s="277"/>
      <c r="FD378" s="277"/>
      <c r="FE378" s="277"/>
      <c r="FF378" s="277"/>
      <c r="FG378" s="277"/>
      <c r="FH378" s="277"/>
      <c r="FI378" s="277"/>
      <c r="FJ378" s="277"/>
      <c r="FK378" s="277"/>
      <c r="FL378" s="277"/>
      <c r="FM378" s="277"/>
      <c r="FN378" s="277"/>
      <c r="FO378" s="277"/>
      <c r="FP378" s="277"/>
      <c r="FQ378" s="277"/>
      <c r="FR378" s="277"/>
      <c r="FS378" s="277"/>
      <c r="FT378" s="277"/>
      <c r="FU378" s="277"/>
      <c r="FV378" s="277"/>
      <c r="FW378" s="277"/>
      <c r="FX378" s="277"/>
      <c r="FY378" s="277"/>
      <c r="FZ378" s="277"/>
      <c r="GA378" s="277"/>
      <c r="GB378" s="277"/>
      <c r="GC378" s="277"/>
      <c r="GD378" s="277"/>
      <c r="GE378" s="277"/>
      <c r="GF378" s="277"/>
      <c r="GG378" s="277"/>
      <c r="GH378" s="277"/>
      <c r="GI378" s="277"/>
      <c r="GJ378" s="277"/>
      <c r="GK378" s="277"/>
      <c r="GL378" s="277"/>
      <c r="GM378" s="277"/>
      <c r="GN378" s="277"/>
      <c r="GO378" s="277"/>
      <c r="GP378" s="277"/>
      <c r="GQ378" s="277"/>
      <c r="GR378" s="277"/>
      <c r="GS378" s="277"/>
      <c r="GT378" s="277"/>
      <c r="GU378" s="277"/>
      <c r="GV378" s="277"/>
      <c r="GW378" s="277"/>
      <c r="GX378" s="277"/>
      <c r="GY378" s="277"/>
      <c r="GZ378" s="277"/>
      <c r="HA378" s="277"/>
      <c r="HB378" s="277"/>
      <c r="HC378" s="277"/>
      <c r="HD378" s="277"/>
      <c r="HE378" s="277"/>
      <c r="HF378" s="277"/>
      <c r="HG378" s="277"/>
      <c r="HH378" s="277"/>
      <c r="HI378" s="277"/>
      <c r="HJ378" s="277"/>
      <c r="HK378" s="277"/>
      <c r="HL378" s="277"/>
      <c r="HM378" s="277"/>
      <c r="HN378" s="277"/>
      <c r="HO378" s="277"/>
      <c r="HP378" s="277"/>
      <c r="HQ378" s="277"/>
      <c r="HR378" s="277"/>
      <c r="HS378" s="277"/>
      <c r="HT378" s="277"/>
      <c r="HU378" s="277"/>
      <c r="HV378" s="277"/>
      <c r="HW378" s="277"/>
      <c r="HX378" s="277"/>
      <c r="HY378" s="277"/>
    </row>
    <row r="379" spans="1:233" ht="13" x14ac:dyDescent="0.3">
      <c r="A379" s="277"/>
      <c r="B379" s="996" t="s">
        <v>449</v>
      </c>
      <c r="C379" s="585">
        <f>-D221</f>
        <v>-17.550159977485826</v>
      </c>
      <c r="D379" s="270">
        <f>-E221</f>
        <v>-1.2603191488653218</v>
      </c>
      <c r="E379" s="270">
        <f>-F221</f>
        <v>0</v>
      </c>
      <c r="F379" s="270">
        <f>-G221</f>
        <v>0</v>
      </c>
      <c r="G379" s="583"/>
      <c r="H379" s="1010"/>
      <c r="I379" s="1010"/>
      <c r="J379" s="1010"/>
      <c r="K379" s="1010"/>
      <c r="L379" s="1010"/>
      <c r="M379" s="1010"/>
      <c r="N379" s="1010"/>
      <c r="O379" s="1010"/>
      <c r="P379" s="1010"/>
      <c r="Q379" s="1010"/>
      <c r="R379" s="1010"/>
      <c r="S379" s="1010"/>
      <c r="T379" s="1010"/>
      <c r="U379" s="1010"/>
      <c r="V379" s="294"/>
      <c r="W379" s="294"/>
      <c r="X379" s="294"/>
      <c r="Y379" s="294"/>
      <c r="Z379" s="294"/>
      <c r="AA379" s="294"/>
      <c r="AB379" s="294"/>
      <c r="AC379" s="277"/>
      <c r="AD379" s="277"/>
      <c r="AE379" s="277"/>
      <c r="AF379" s="277"/>
      <c r="AG379" s="277"/>
      <c r="AH379" s="277"/>
      <c r="AI379" s="277"/>
      <c r="AJ379" s="277"/>
      <c r="AK379" s="277"/>
      <c r="AL379" s="277"/>
      <c r="AM379" s="277"/>
      <c r="AN379" s="277"/>
      <c r="AO379" s="277"/>
      <c r="AP379" s="277"/>
      <c r="AQ379" s="277"/>
      <c r="AR379" s="277"/>
      <c r="AS379" s="277"/>
      <c r="AT379" s="277"/>
      <c r="AU379" s="277"/>
      <c r="AV379" s="277"/>
      <c r="AW379" s="277"/>
      <c r="AX379" s="277"/>
      <c r="AY379" s="277"/>
      <c r="AZ379" s="277"/>
      <c r="BA379" s="277"/>
      <c r="BB379" s="277"/>
      <c r="BC379" s="277"/>
      <c r="BD379" s="277"/>
      <c r="BE379" s="277"/>
      <c r="BF379" s="277"/>
      <c r="BG379" s="277"/>
      <c r="BH379" s="277"/>
      <c r="BI379" s="277"/>
      <c r="BJ379" s="277"/>
      <c r="BK379" s="277"/>
      <c r="BL379" s="277"/>
      <c r="BM379" s="277"/>
      <c r="BN379" s="277"/>
      <c r="BO379" s="277"/>
      <c r="BP379" s="277"/>
      <c r="BQ379" s="277"/>
      <c r="BR379" s="277"/>
      <c r="BS379" s="277"/>
      <c r="BT379" s="277"/>
      <c r="BU379" s="277"/>
      <c r="BV379" s="277"/>
      <c r="BW379" s="277"/>
      <c r="BX379" s="277"/>
      <c r="BY379" s="277"/>
      <c r="BZ379" s="277"/>
      <c r="CA379" s="277"/>
      <c r="CB379" s="277"/>
      <c r="CC379" s="277"/>
      <c r="CD379" s="277"/>
      <c r="CE379" s="277"/>
      <c r="CF379" s="277"/>
      <c r="CG379" s="277"/>
      <c r="CH379" s="277"/>
      <c r="CI379" s="277"/>
      <c r="CJ379" s="277"/>
      <c r="CK379" s="277"/>
      <c r="CL379" s="277"/>
      <c r="CM379" s="277"/>
      <c r="CN379" s="277"/>
      <c r="CO379" s="277"/>
      <c r="CP379" s="277"/>
      <c r="CQ379" s="277"/>
      <c r="CR379" s="277"/>
      <c r="CS379" s="277"/>
      <c r="CT379" s="277"/>
      <c r="CU379" s="277"/>
      <c r="CV379" s="277"/>
      <c r="CW379" s="277"/>
      <c r="CX379" s="277"/>
      <c r="CY379" s="277"/>
      <c r="CZ379" s="277"/>
      <c r="DA379" s="277"/>
      <c r="DB379" s="277"/>
      <c r="DC379" s="277"/>
      <c r="DD379" s="277"/>
      <c r="DE379" s="277"/>
      <c r="DF379" s="277"/>
      <c r="DG379" s="277"/>
      <c r="DH379" s="277"/>
      <c r="DI379" s="277"/>
      <c r="DJ379" s="277"/>
      <c r="DK379" s="277"/>
      <c r="DL379" s="277"/>
      <c r="DM379" s="277"/>
      <c r="DN379" s="277"/>
      <c r="DO379" s="277"/>
      <c r="DP379" s="277"/>
      <c r="DQ379" s="277"/>
      <c r="DR379" s="277"/>
      <c r="DS379" s="277"/>
      <c r="DT379" s="277"/>
      <c r="DU379" s="277"/>
      <c r="DV379" s="277"/>
      <c r="DW379" s="277"/>
      <c r="DX379" s="277"/>
      <c r="DY379" s="277"/>
      <c r="DZ379" s="277"/>
      <c r="EA379" s="277"/>
      <c r="EB379" s="277"/>
      <c r="EC379" s="277"/>
      <c r="ED379" s="277"/>
      <c r="EE379" s="277"/>
      <c r="EF379" s="277"/>
      <c r="EG379" s="277"/>
      <c r="EH379" s="277"/>
      <c r="EI379" s="277"/>
      <c r="EJ379" s="277"/>
      <c r="EK379" s="277"/>
      <c r="EL379" s="277"/>
      <c r="EM379" s="277"/>
      <c r="EN379" s="277"/>
      <c r="EO379" s="277"/>
      <c r="EP379" s="277"/>
      <c r="EQ379" s="277"/>
      <c r="ER379" s="277"/>
      <c r="ES379" s="277"/>
      <c r="ET379" s="277"/>
      <c r="EU379" s="277"/>
      <c r="EV379" s="277"/>
      <c r="EW379" s="277"/>
      <c r="EX379" s="277"/>
      <c r="EY379" s="277"/>
      <c r="EZ379" s="277"/>
      <c r="FA379" s="277"/>
      <c r="FB379" s="277"/>
      <c r="FC379" s="277"/>
      <c r="FD379" s="277"/>
      <c r="FE379" s="277"/>
      <c r="FF379" s="277"/>
      <c r="FG379" s="277"/>
      <c r="FH379" s="277"/>
      <c r="FI379" s="277"/>
      <c r="FJ379" s="277"/>
      <c r="FK379" s="277"/>
      <c r="FL379" s="277"/>
      <c r="FM379" s="277"/>
      <c r="FN379" s="277"/>
      <c r="FO379" s="277"/>
      <c r="FP379" s="277"/>
      <c r="FQ379" s="277"/>
      <c r="FR379" s="277"/>
      <c r="FS379" s="277"/>
      <c r="FT379" s="277"/>
      <c r="FU379" s="277"/>
      <c r="FV379" s="277"/>
      <c r="FW379" s="277"/>
      <c r="FX379" s="277"/>
      <c r="FY379" s="277"/>
      <c r="FZ379" s="277"/>
      <c r="GA379" s="277"/>
      <c r="GB379" s="277"/>
      <c r="GC379" s="277"/>
      <c r="GD379" s="277"/>
      <c r="GE379" s="277"/>
      <c r="GF379" s="277"/>
      <c r="GG379" s="277"/>
      <c r="GH379" s="277"/>
      <c r="GI379" s="277"/>
      <c r="GJ379" s="277"/>
      <c r="GK379" s="277"/>
      <c r="GL379" s="277"/>
      <c r="GM379" s="277"/>
      <c r="GN379" s="277"/>
      <c r="GO379" s="277"/>
      <c r="GP379" s="277"/>
      <c r="GQ379" s="277"/>
      <c r="GR379" s="277"/>
      <c r="GS379" s="277"/>
      <c r="GT379" s="277"/>
      <c r="GU379" s="277"/>
      <c r="GV379" s="277"/>
      <c r="GW379" s="277"/>
      <c r="GX379" s="277"/>
      <c r="GY379" s="277"/>
      <c r="GZ379" s="277"/>
      <c r="HA379" s="277"/>
      <c r="HB379" s="277"/>
      <c r="HC379" s="277"/>
      <c r="HD379" s="277"/>
      <c r="HE379" s="277"/>
      <c r="HF379" s="277"/>
      <c r="HG379" s="277"/>
      <c r="HH379" s="277"/>
      <c r="HI379" s="277"/>
      <c r="HJ379" s="277"/>
      <c r="HK379" s="277"/>
      <c r="HL379" s="277"/>
      <c r="HM379" s="277"/>
      <c r="HN379" s="277"/>
      <c r="HO379" s="277"/>
      <c r="HP379" s="277"/>
      <c r="HQ379" s="277"/>
      <c r="HR379" s="277"/>
      <c r="HS379" s="277"/>
      <c r="HT379" s="277"/>
      <c r="HU379" s="277"/>
      <c r="HV379" s="277"/>
      <c r="HW379" s="277"/>
      <c r="HX379" s="277"/>
      <c r="HY379" s="277"/>
    </row>
    <row r="380" spans="1:233" ht="13.5" thickBot="1" x14ac:dyDescent="0.35">
      <c r="A380" s="277"/>
      <c r="B380" s="989" t="s">
        <v>634</v>
      </c>
      <c r="C380" s="990">
        <f>'Secondary Sources'!D48-D325</f>
        <v>0</v>
      </c>
      <c r="D380" s="991">
        <f>'Secondary Sources'!E48-E325</f>
        <v>0</v>
      </c>
      <c r="E380" s="991">
        <f>'Secondary Sources'!F48-F325</f>
        <v>0</v>
      </c>
      <c r="F380" s="991">
        <f>'Secondary Sources'!G48-G325</f>
        <v>0</v>
      </c>
      <c r="G380" s="997"/>
      <c r="H380" s="1031"/>
      <c r="I380" s="1010"/>
      <c r="J380" s="1010"/>
      <c r="K380" s="1010"/>
      <c r="L380" s="1010"/>
      <c r="M380" s="1010"/>
      <c r="N380" s="1010"/>
      <c r="O380" s="1010"/>
      <c r="P380" s="1010"/>
      <c r="Q380" s="1010"/>
      <c r="R380" s="1010"/>
      <c r="S380" s="1010"/>
      <c r="T380" s="1010"/>
      <c r="U380" s="1010"/>
      <c r="V380" s="294"/>
      <c r="W380" s="294"/>
      <c r="X380" s="294"/>
      <c r="Y380" s="294"/>
      <c r="Z380" s="294"/>
      <c r="AA380" s="294"/>
      <c r="AB380" s="294"/>
      <c r="AC380" s="277"/>
      <c r="AD380" s="277"/>
      <c r="AE380" s="277"/>
      <c r="AF380" s="277"/>
      <c r="AG380" s="277"/>
      <c r="AH380" s="277"/>
      <c r="AI380" s="277"/>
      <c r="AJ380" s="277"/>
      <c r="AK380" s="277"/>
      <c r="AL380" s="277"/>
      <c r="AM380" s="277"/>
      <c r="AN380" s="277"/>
      <c r="AO380" s="277"/>
      <c r="AP380" s="277"/>
      <c r="AQ380" s="277"/>
      <c r="AR380" s="277"/>
      <c r="AS380" s="277"/>
      <c r="AT380" s="277"/>
      <c r="AU380" s="277"/>
      <c r="AV380" s="277"/>
      <c r="AW380" s="277"/>
      <c r="AX380" s="277"/>
      <c r="AY380" s="277"/>
      <c r="AZ380" s="277"/>
      <c r="BA380" s="277"/>
      <c r="BB380" s="277"/>
      <c r="BC380" s="277"/>
      <c r="BD380" s="277"/>
      <c r="BE380" s="277"/>
      <c r="BF380" s="277"/>
      <c r="BG380" s="277"/>
      <c r="BH380" s="277"/>
      <c r="BI380" s="277"/>
      <c r="BJ380" s="277"/>
      <c r="BK380" s="277"/>
      <c r="BL380" s="277"/>
      <c r="BM380" s="277"/>
      <c r="BN380" s="277"/>
      <c r="BO380" s="277"/>
      <c r="BP380" s="277"/>
      <c r="BQ380" s="277"/>
      <c r="BR380" s="277"/>
      <c r="BS380" s="277"/>
      <c r="BT380" s="277"/>
      <c r="BU380" s="277"/>
      <c r="BV380" s="277"/>
      <c r="BW380" s="277"/>
      <c r="BX380" s="277"/>
      <c r="BY380" s="277"/>
      <c r="BZ380" s="277"/>
      <c r="CA380" s="277"/>
      <c r="CB380" s="277"/>
      <c r="CC380" s="277"/>
      <c r="CD380" s="277"/>
      <c r="CE380" s="277"/>
      <c r="CF380" s="277"/>
      <c r="CG380" s="277"/>
      <c r="CH380" s="277"/>
      <c r="CI380" s="277"/>
      <c r="CJ380" s="277"/>
      <c r="CK380" s="277"/>
      <c r="CL380" s="277"/>
      <c r="CM380" s="277"/>
      <c r="CN380" s="277"/>
      <c r="CO380" s="277"/>
      <c r="CP380" s="277"/>
      <c r="CQ380" s="277"/>
      <c r="CR380" s="277"/>
      <c r="CS380" s="277"/>
      <c r="CT380" s="277"/>
      <c r="CU380" s="277"/>
      <c r="CV380" s="277"/>
      <c r="CW380" s="277"/>
      <c r="CX380" s="277"/>
      <c r="CY380" s="277"/>
      <c r="CZ380" s="277"/>
      <c r="DA380" s="277"/>
      <c r="DB380" s="277"/>
      <c r="DC380" s="277"/>
      <c r="DD380" s="277"/>
      <c r="DE380" s="277"/>
      <c r="DF380" s="277"/>
      <c r="DG380" s="277"/>
      <c r="DH380" s="277"/>
      <c r="DI380" s="277"/>
      <c r="DJ380" s="277"/>
      <c r="DK380" s="277"/>
      <c r="DL380" s="277"/>
      <c r="DM380" s="277"/>
      <c r="DN380" s="277"/>
      <c r="DO380" s="277"/>
      <c r="DP380" s="277"/>
      <c r="DQ380" s="277"/>
      <c r="DR380" s="277"/>
      <c r="DS380" s="277"/>
      <c r="DT380" s="277"/>
      <c r="DU380" s="277"/>
      <c r="DV380" s="277"/>
      <c r="DW380" s="277"/>
      <c r="DX380" s="277"/>
      <c r="DY380" s="277"/>
      <c r="DZ380" s="277"/>
      <c r="EA380" s="277"/>
      <c r="EB380" s="277"/>
      <c r="EC380" s="277"/>
      <c r="ED380" s="277"/>
      <c r="EE380" s="277"/>
      <c r="EF380" s="277"/>
      <c r="EG380" s="277"/>
      <c r="EH380" s="277"/>
      <c r="EI380" s="277"/>
      <c r="EJ380" s="277"/>
      <c r="EK380" s="277"/>
      <c r="EL380" s="277"/>
      <c r="EM380" s="277"/>
      <c r="EN380" s="277"/>
      <c r="EO380" s="277"/>
      <c r="EP380" s="277"/>
      <c r="EQ380" s="277"/>
      <c r="ER380" s="277"/>
      <c r="ES380" s="277"/>
      <c r="ET380" s="277"/>
      <c r="EU380" s="277"/>
      <c r="EV380" s="277"/>
      <c r="EW380" s="277"/>
      <c r="EX380" s="277"/>
      <c r="EY380" s="277"/>
      <c r="EZ380" s="277"/>
      <c r="FA380" s="277"/>
      <c r="FB380" s="277"/>
      <c r="FC380" s="277"/>
      <c r="FD380" s="277"/>
      <c r="FE380" s="277"/>
      <c r="FF380" s="277"/>
      <c r="FG380" s="277"/>
      <c r="FH380" s="277"/>
      <c r="FI380" s="277"/>
      <c r="FJ380" s="277"/>
      <c r="FK380" s="277"/>
      <c r="FL380" s="277"/>
      <c r="FM380" s="277"/>
      <c r="FN380" s="277"/>
      <c r="FO380" s="277"/>
      <c r="FP380" s="277"/>
      <c r="FQ380" s="277"/>
      <c r="FR380" s="277"/>
      <c r="FS380" s="277"/>
      <c r="FT380" s="277"/>
      <c r="FU380" s="277"/>
      <c r="FV380" s="277"/>
      <c r="FW380" s="277"/>
      <c r="FX380" s="277"/>
      <c r="FY380" s="277"/>
      <c r="FZ380" s="277"/>
      <c r="GA380" s="277"/>
      <c r="GB380" s="277"/>
      <c r="GC380" s="277"/>
      <c r="GD380" s="277"/>
      <c r="GE380" s="277"/>
      <c r="GF380" s="277"/>
      <c r="GG380" s="277"/>
      <c r="GH380" s="277"/>
      <c r="GI380" s="277"/>
      <c r="GJ380" s="277"/>
      <c r="GK380" s="277"/>
      <c r="GL380" s="277"/>
      <c r="GM380" s="277"/>
      <c r="GN380" s="277"/>
      <c r="GO380" s="277"/>
      <c r="GP380" s="277"/>
      <c r="GQ380" s="277"/>
      <c r="GR380" s="277"/>
      <c r="GS380" s="277"/>
      <c r="GT380" s="277"/>
      <c r="GU380" s="277"/>
      <c r="GV380" s="277"/>
      <c r="GW380" s="277"/>
      <c r="GX380" s="277"/>
      <c r="GY380" s="277"/>
      <c r="GZ380" s="277"/>
      <c r="HA380" s="277"/>
      <c r="HB380" s="277"/>
      <c r="HC380" s="277"/>
      <c r="HD380" s="277"/>
      <c r="HE380" s="277"/>
      <c r="HF380" s="277"/>
      <c r="HG380" s="277"/>
      <c r="HH380" s="277"/>
      <c r="HI380" s="277"/>
      <c r="HJ380" s="277"/>
      <c r="HK380" s="277"/>
      <c r="HL380" s="277"/>
      <c r="HM380" s="277"/>
      <c r="HN380" s="277"/>
      <c r="HO380" s="277"/>
      <c r="HP380" s="277"/>
      <c r="HQ380" s="277"/>
      <c r="HR380" s="277"/>
      <c r="HS380" s="277"/>
      <c r="HT380" s="277"/>
      <c r="HU380" s="277"/>
      <c r="HV380" s="277"/>
      <c r="HW380" s="277"/>
      <c r="HX380" s="277"/>
      <c r="HY380" s="277"/>
    </row>
    <row r="381" spans="1:233" ht="13.5" thickBot="1" x14ac:dyDescent="0.35">
      <c r="A381" s="277"/>
      <c r="B381" s="995" t="s">
        <v>45</v>
      </c>
      <c r="C381" s="993">
        <f>SUM(C377:C380)</f>
        <v>-17.550159977387089</v>
      </c>
      <c r="D381" s="994">
        <f>SUM(D377:D380)</f>
        <v>-1.2603191488653218</v>
      </c>
      <c r="E381" s="994">
        <f>SUM(E377:E380)</f>
        <v>0</v>
      </c>
      <c r="F381" s="994">
        <f>SUM(F377:F380)</f>
        <v>0</v>
      </c>
      <c r="G381" s="994"/>
      <c r="H381" s="277"/>
      <c r="I381" s="277"/>
      <c r="J381" s="277"/>
      <c r="K381" s="277"/>
      <c r="L381" s="277"/>
      <c r="M381" s="277"/>
      <c r="N381" s="277"/>
      <c r="O381" s="277"/>
      <c r="P381" s="277"/>
      <c r="Q381" s="277"/>
      <c r="R381" s="277"/>
      <c r="S381" s="277"/>
      <c r="T381" s="294"/>
      <c r="U381" s="294"/>
      <c r="V381" s="294"/>
      <c r="W381" s="294"/>
      <c r="X381" s="294"/>
      <c r="Y381" s="294"/>
      <c r="Z381" s="294"/>
      <c r="AA381" s="294"/>
      <c r="AB381" s="294"/>
      <c r="AC381" s="277"/>
      <c r="AD381" s="277"/>
      <c r="AE381" s="277"/>
      <c r="AF381" s="277"/>
      <c r="AG381" s="277"/>
      <c r="AH381" s="277"/>
      <c r="AI381" s="277"/>
      <c r="AJ381" s="277"/>
      <c r="AK381" s="277"/>
      <c r="AL381" s="277"/>
      <c r="AM381" s="277"/>
      <c r="AN381" s="277"/>
      <c r="AO381" s="277"/>
      <c r="AP381" s="277"/>
      <c r="AQ381" s="277"/>
      <c r="AR381" s="277"/>
      <c r="AS381" s="277"/>
      <c r="AT381" s="277"/>
      <c r="AU381" s="277"/>
      <c r="AV381" s="277"/>
      <c r="AW381" s="277"/>
      <c r="AX381" s="277"/>
      <c r="AY381" s="277"/>
      <c r="AZ381" s="277"/>
      <c r="BA381" s="277"/>
      <c r="BB381" s="277"/>
      <c r="BC381" s="277"/>
      <c r="BD381" s="277"/>
      <c r="BE381" s="277"/>
      <c r="BF381" s="277"/>
      <c r="BG381" s="277"/>
      <c r="BH381" s="277"/>
      <c r="BI381" s="277"/>
      <c r="BJ381" s="277"/>
      <c r="BK381" s="277"/>
      <c r="BL381" s="277"/>
      <c r="BM381" s="277"/>
      <c r="BN381" s="277"/>
      <c r="BO381" s="277"/>
      <c r="BP381" s="277"/>
      <c r="BQ381" s="277"/>
      <c r="BR381" s="277"/>
      <c r="BS381" s="277"/>
      <c r="BT381" s="277"/>
      <c r="BU381" s="277"/>
      <c r="BV381" s="277"/>
      <c r="BW381" s="277"/>
      <c r="BX381" s="277"/>
      <c r="BY381" s="277"/>
      <c r="BZ381" s="277"/>
      <c r="CA381" s="277"/>
      <c r="CB381" s="277"/>
      <c r="CC381" s="277"/>
      <c r="CD381" s="277"/>
      <c r="CE381" s="277"/>
      <c r="CF381" s="277"/>
      <c r="CG381" s="277"/>
      <c r="CH381" s="277"/>
      <c r="CI381" s="277"/>
      <c r="CJ381" s="277"/>
      <c r="CK381" s="277"/>
      <c r="CL381" s="277"/>
      <c r="CM381" s="277"/>
      <c r="CN381" s="277"/>
      <c r="CO381" s="277"/>
      <c r="CP381" s="277"/>
      <c r="CQ381" s="277"/>
      <c r="CR381" s="277"/>
      <c r="CS381" s="277"/>
      <c r="CT381" s="277"/>
      <c r="CU381" s="277"/>
      <c r="CV381" s="277"/>
      <c r="CW381" s="277"/>
      <c r="CX381" s="277"/>
      <c r="CY381" s="277"/>
      <c r="CZ381" s="277"/>
      <c r="DA381" s="277"/>
      <c r="DB381" s="277"/>
      <c r="DC381" s="277"/>
      <c r="DD381" s="277"/>
      <c r="DE381" s="277"/>
      <c r="DF381" s="277"/>
      <c r="DG381" s="277"/>
      <c r="DH381" s="277"/>
      <c r="DI381" s="277"/>
      <c r="DJ381" s="277"/>
      <c r="DK381" s="277"/>
      <c r="DL381" s="277"/>
      <c r="DM381" s="277"/>
      <c r="DN381" s="277"/>
      <c r="DO381" s="277"/>
      <c r="DP381" s="277"/>
      <c r="DQ381" s="277"/>
      <c r="DR381" s="277"/>
      <c r="DS381" s="277"/>
      <c r="DT381" s="277"/>
      <c r="DU381" s="277"/>
      <c r="DV381" s="277"/>
      <c r="DW381" s="277"/>
      <c r="DX381" s="277"/>
      <c r="DY381" s="277"/>
      <c r="DZ381" s="277"/>
      <c r="EA381" s="277"/>
      <c r="EB381" s="277"/>
      <c r="EC381" s="277"/>
      <c r="ED381" s="277"/>
      <c r="EE381" s="277"/>
      <c r="EF381" s="277"/>
      <c r="EG381" s="277"/>
      <c r="EH381" s="277"/>
      <c r="EI381" s="277"/>
      <c r="EJ381" s="277"/>
      <c r="EK381" s="277"/>
      <c r="EL381" s="277"/>
      <c r="EM381" s="277"/>
      <c r="EN381" s="277"/>
      <c r="EO381" s="277"/>
      <c r="EP381" s="277"/>
      <c r="EQ381" s="277"/>
      <c r="ER381" s="277"/>
      <c r="ES381" s="277"/>
      <c r="ET381" s="277"/>
      <c r="EU381" s="277"/>
      <c r="EV381" s="277"/>
      <c r="EW381" s="277"/>
      <c r="EX381" s="277"/>
      <c r="EY381" s="277"/>
      <c r="EZ381" s="277"/>
      <c r="FA381" s="277"/>
      <c r="FB381" s="277"/>
      <c r="FC381" s="277"/>
      <c r="FD381" s="277"/>
      <c r="FE381" s="277"/>
      <c r="FF381" s="277"/>
      <c r="FG381" s="277"/>
      <c r="FH381" s="277"/>
      <c r="FI381" s="277"/>
      <c r="FJ381" s="277"/>
      <c r="FK381" s="277"/>
      <c r="FL381" s="277"/>
      <c r="FM381" s="277"/>
      <c r="FN381" s="277"/>
      <c r="FO381" s="277"/>
      <c r="FP381" s="277"/>
      <c r="FQ381" s="277"/>
      <c r="FR381" s="277"/>
      <c r="FS381" s="277"/>
      <c r="FT381" s="277"/>
      <c r="FU381" s="277"/>
      <c r="FV381" s="277"/>
      <c r="FW381" s="277"/>
      <c r="FX381" s="277"/>
      <c r="FY381" s="277"/>
      <c r="FZ381" s="277"/>
      <c r="GA381" s="277"/>
      <c r="GB381" s="277"/>
      <c r="GC381" s="277"/>
      <c r="GD381" s="277"/>
      <c r="GE381" s="277"/>
      <c r="GF381" s="277"/>
      <c r="GG381" s="277"/>
      <c r="GH381" s="277"/>
      <c r="GI381" s="277"/>
      <c r="GJ381" s="277"/>
      <c r="GK381" s="277"/>
      <c r="GL381" s="277"/>
      <c r="GM381" s="277"/>
      <c r="GN381" s="277"/>
      <c r="GO381" s="277"/>
      <c r="GP381" s="277"/>
      <c r="GQ381" s="277"/>
      <c r="GR381" s="277"/>
      <c r="GS381" s="277"/>
      <c r="GT381" s="277"/>
      <c r="GU381" s="277"/>
      <c r="GV381" s="277"/>
      <c r="GW381" s="277"/>
      <c r="GX381" s="277"/>
      <c r="GY381" s="277"/>
      <c r="GZ381" s="277"/>
      <c r="HA381" s="277"/>
      <c r="HB381" s="277"/>
      <c r="HC381" s="277"/>
      <c r="HD381" s="277"/>
      <c r="HE381" s="277"/>
      <c r="HF381" s="277"/>
      <c r="HG381" s="277"/>
      <c r="HH381" s="277"/>
      <c r="HI381" s="277"/>
      <c r="HJ381" s="277"/>
      <c r="HK381" s="277"/>
      <c r="HL381" s="277"/>
      <c r="HM381" s="277"/>
      <c r="HN381" s="277"/>
      <c r="HO381" s="277"/>
      <c r="HP381" s="277"/>
      <c r="HQ381" s="277"/>
      <c r="HR381" s="277"/>
      <c r="HS381" s="277"/>
      <c r="HT381" s="277"/>
      <c r="HU381" s="277"/>
      <c r="HV381" s="277"/>
      <c r="HW381" s="277"/>
      <c r="HX381" s="277"/>
      <c r="HY381" s="277"/>
    </row>
    <row r="382" spans="1:233" s="757" customFormat="1" ht="13.5" thickTop="1" x14ac:dyDescent="0.3">
      <c r="B382" s="758"/>
      <c r="C382" s="759"/>
      <c r="D382" s="759"/>
      <c r="E382" s="759"/>
      <c r="F382" s="759"/>
      <c r="G382" s="760"/>
      <c r="T382" s="760"/>
      <c r="U382" s="760"/>
      <c r="V382" s="760"/>
      <c r="W382" s="760"/>
      <c r="X382" s="760"/>
      <c r="Y382" s="760"/>
      <c r="Z382" s="760"/>
      <c r="AA382" s="760"/>
      <c r="AB382" s="760"/>
    </row>
    <row r="383" spans="1:233" s="757" customFormat="1" ht="13" x14ac:dyDescent="0.3">
      <c r="B383" s="758"/>
      <c r="C383" s="759"/>
      <c r="D383" s="759"/>
      <c r="E383" s="759"/>
      <c r="F383" s="759"/>
      <c r="G383" s="760"/>
      <c r="T383" s="760"/>
      <c r="U383" s="760"/>
      <c r="V383" s="760"/>
      <c r="W383" s="760"/>
      <c r="X383" s="760"/>
      <c r="Y383" s="760"/>
      <c r="Z383" s="760"/>
      <c r="AA383" s="760"/>
      <c r="AB383" s="760"/>
    </row>
    <row r="384" spans="1:233" s="261" customFormat="1" ht="13.5" thickBot="1" x14ac:dyDescent="0.35">
      <c r="A384" s="368"/>
      <c r="B384" s="368"/>
      <c r="C384" s="368"/>
      <c r="D384" s="368"/>
      <c r="E384" s="368"/>
      <c r="F384" s="368"/>
      <c r="G384" s="368"/>
      <c r="H384" s="368"/>
      <c r="I384" s="368"/>
      <c r="J384" s="368"/>
      <c r="K384" s="277"/>
      <c r="L384" s="277"/>
      <c r="M384" s="277"/>
      <c r="N384" s="277"/>
      <c r="O384" s="277"/>
      <c r="P384" s="277"/>
      <c r="Q384" s="277"/>
      <c r="R384" s="277"/>
      <c r="S384" s="277"/>
      <c r="T384" s="294"/>
      <c r="U384" s="294"/>
      <c r="V384" s="294"/>
      <c r="W384" s="294"/>
      <c r="X384" s="294"/>
      <c r="Y384" s="294"/>
      <c r="Z384" s="294"/>
      <c r="AA384" s="294"/>
      <c r="AB384" s="294"/>
      <c r="AC384" s="277"/>
      <c r="AD384" s="277"/>
      <c r="AE384" s="277"/>
      <c r="AF384" s="277"/>
      <c r="AG384" s="277"/>
      <c r="AH384" s="277"/>
      <c r="AI384" s="277"/>
      <c r="AJ384" s="277"/>
      <c r="AK384" s="277"/>
      <c r="AL384" s="277"/>
      <c r="AM384" s="277"/>
      <c r="AN384" s="277"/>
      <c r="AO384" s="277"/>
      <c r="AP384" s="277"/>
      <c r="AQ384" s="277"/>
      <c r="AR384" s="277"/>
      <c r="AS384" s="277"/>
      <c r="AT384" s="277"/>
      <c r="AU384" s="277"/>
      <c r="AV384" s="277"/>
      <c r="AW384" s="277"/>
      <c r="AX384" s="277"/>
      <c r="AY384" s="277"/>
      <c r="AZ384" s="277"/>
      <c r="BA384" s="277"/>
      <c r="BB384" s="277"/>
    </row>
    <row r="385" spans="1:54" customFormat="1" ht="21" thickTop="1" thickBot="1" x14ac:dyDescent="0.45">
      <c r="A385" s="368"/>
      <c r="B385" s="587" t="s">
        <v>444</v>
      </c>
      <c r="C385" s="588"/>
      <c r="D385" s="588"/>
      <c r="E385" s="588"/>
      <c r="F385" s="421"/>
      <c r="G385" s="422"/>
      <c r="H385" s="589"/>
      <c r="I385" s="368"/>
      <c r="J385" s="368"/>
      <c r="K385" s="277"/>
      <c r="L385" s="277"/>
      <c r="M385" s="277"/>
      <c r="N385" s="277"/>
      <c r="O385" s="277"/>
      <c r="P385" s="277"/>
      <c r="Q385" s="277"/>
      <c r="R385" s="277"/>
      <c r="S385" s="277"/>
      <c r="T385" s="294"/>
      <c r="U385" s="294"/>
      <c r="V385" s="294"/>
      <c r="W385" s="294"/>
      <c r="X385" s="294"/>
      <c r="Y385" s="294"/>
      <c r="Z385" s="294"/>
      <c r="AA385" s="294"/>
      <c r="AB385" s="294"/>
      <c r="AC385" s="277"/>
      <c r="AD385" s="277"/>
      <c r="AE385" s="277"/>
      <c r="AF385" s="277"/>
      <c r="AG385" s="277"/>
      <c r="AH385" s="277"/>
      <c r="AI385" s="277"/>
      <c r="AJ385" s="277"/>
      <c r="AK385" s="277"/>
      <c r="AL385" s="277"/>
      <c r="AM385" s="277"/>
      <c r="AN385" s="277"/>
      <c r="AO385" s="277"/>
      <c r="AP385" s="277"/>
      <c r="AQ385" s="277"/>
      <c r="AR385" s="277"/>
      <c r="AS385" s="277"/>
      <c r="AT385" s="277"/>
      <c r="AU385" s="277"/>
      <c r="AV385" s="277"/>
      <c r="AW385" s="277"/>
      <c r="AX385" s="277"/>
      <c r="AY385" s="277"/>
      <c r="AZ385" s="277"/>
      <c r="BA385" s="277"/>
      <c r="BB385" s="277"/>
    </row>
    <row r="386" spans="1:54" ht="33.75" customHeight="1" thickBot="1" x14ac:dyDescent="0.35">
      <c r="A386" s="368"/>
      <c r="B386" s="590"/>
      <c r="C386" s="591" t="s">
        <v>349</v>
      </c>
      <c r="D386" s="592" t="s">
        <v>350</v>
      </c>
      <c r="E386" s="592" t="s">
        <v>351</v>
      </c>
      <c r="F386" s="593" t="s">
        <v>445</v>
      </c>
      <c r="G386" s="594" t="s">
        <v>446</v>
      </c>
      <c r="H386" s="589"/>
      <c r="I386" s="368"/>
      <c r="J386" s="368"/>
      <c r="K386" s="277"/>
      <c r="L386" s="277"/>
      <c r="M386" s="277"/>
      <c r="N386" s="277"/>
      <c r="O386" s="277"/>
      <c r="P386" s="277"/>
      <c r="Q386" s="277"/>
      <c r="R386" s="277"/>
      <c r="S386" s="277"/>
      <c r="T386" s="294"/>
      <c r="U386" s="294"/>
      <c r="V386" s="294"/>
      <c r="W386" s="294"/>
      <c r="X386" s="294"/>
      <c r="Y386" s="294"/>
      <c r="Z386" s="294"/>
      <c r="AA386" s="294"/>
      <c r="AB386" s="294"/>
      <c r="AC386" s="277"/>
      <c r="AD386" s="277"/>
      <c r="AE386" s="277"/>
      <c r="AF386" s="277"/>
      <c r="AG386" s="277"/>
      <c r="AH386" s="277"/>
      <c r="AI386" s="277"/>
      <c r="AJ386" s="277"/>
      <c r="AK386" s="277"/>
      <c r="AL386" s="277"/>
      <c r="AM386" s="277"/>
      <c r="AN386" s="277"/>
      <c r="AO386" s="277"/>
      <c r="AP386" s="277"/>
      <c r="AQ386" s="277"/>
      <c r="AR386" s="277"/>
      <c r="AS386" s="277"/>
      <c r="AT386" s="277"/>
      <c r="AU386" s="277"/>
      <c r="AV386" s="277"/>
      <c r="AW386" s="277"/>
      <c r="AX386" s="277"/>
      <c r="AY386" s="277"/>
      <c r="AZ386" s="277"/>
      <c r="BA386" s="277"/>
      <c r="BB386" s="277"/>
    </row>
    <row r="387" spans="1:54" ht="19.5" customHeight="1" x14ac:dyDescent="0.3">
      <c r="A387" s="368"/>
      <c r="B387" s="595"/>
      <c r="C387" s="596"/>
      <c r="D387" s="597"/>
      <c r="E387" s="597"/>
      <c r="F387" s="597"/>
      <c r="G387" s="765"/>
      <c r="H387" s="1008"/>
      <c r="I387" s="368"/>
      <c r="J387" s="368"/>
      <c r="K387" s="277"/>
      <c r="L387" s="277"/>
      <c r="M387" s="277"/>
      <c r="N387" s="277"/>
      <c r="O387" s="277"/>
      <c r="P387" s="277"/>
      <c r="Q387" s="277"/>
      <c r="R387" s="277"/>
      <c r="S387" s="277"/>
      <c r="T387" s="294"/>
      <c r="U387" s="294"/>
      <c r="V387" s="294"/>
      <c r="W387" s="294"/>
      <c r="X387" s="294"/>
      <c r="Y387" s="294"/>
      <c r="Z387" s="294"/>
      <c r="AA387" s="294"/>
      <c r="AB387" s="294"/>
      <c r="AC387" s="277"/>
      <c r="AD387" s="277"/>
      <c r="AE387" s="277"/>
      <c r="AF387" s="277"/>
      <c r="AG387" s="277"/>
      <c r="AH387" s="277"/>
      <c r="AI387" s="277"/>
      <c r="AJ387" s="277"/>
      <c r="AK387" s="277"/>
      <c r="AL387" s="277"/>
      <c r="AM387" s="277"/>
      <c r="AN387" s="277"/>
      <c r="AO387" s="277"/>
      <c r="AP387" s="277"/>
      <c r="AQ387" s="277"/>
      <c r="AR387" s="277"/>
      <c r="AS387" s="277"/>
      <c r="AT387" s="277"/>
      <c r="AU387" s="277"/>
      <c r="AV387" s="277"/>
      <c r="AW387" s="277"/>
      <c r="AX387" s="277"/>
      <c r="AY387" s="277"/>
      <c r="AZ387" s="277"/>
      <c r="BA387" s="277"/>
      <c r="BB387" s="277"/>
    </row>
    <row r="388" spans="1:54" ht="24.75" customHeight="1" x14ac:dyDescent="0.3">
      <c r="A388" s="368"/>
      <c r="B388" s="1108" t="s">
        <v>598</v>
      </c>
      <c r="C388" s="1109">
        <f>C351</f>
        <v>0</v>
      </c>
      <c r="D388" s="979">
        <f>D351</f>
        <v>0</v>
      </c>
      <c r="E388" s="979">
        <f>E351</f>
        <v>0</v>
      </c>
      <c r="F388" s="979">
        <f>F351</f>
        <v>0</v>
      </c>
      <c r="G388" s="1110"/>
      <c r="H388" s="1008"/>
      <c r="I388" s="368"/>
      <c r="J388" s="368"/>
      <c r="K388" s="277"/>
      <c r="L388" s="277"/>
      <c r="M388" s="277"/>
      <c r="N388" s="277"/>
      <c r="O388" s="277"/>
      <c r="P388" s="277"/>
      <c r="Q388" s="277"/>
      <c r="R388" s="277"/>
      <c r="S388" s="277"/>
      <c r="T388" s="294"/>
      <c r="U388" s="294"/>
      <c r="V388" s="294"/>
      <c r="W388" s="294"/>
      <c r="X388" s="294"/>
      <c r="Y388" s="294"/>
      <c r="Z388" s="294"/>
      <c r="AA388" s="294"/>
      <c r="AB388" s="294"/>
      <c r="AC388" s="277"/>
      <c r="AD388" s="277"/>
      <c r="AE388" s="277"/>
      <c r="AF388" s="277"/>
      <c r="AG388" s="277"/>
      <c r="AH388" s="277"/>
      <c r="AI388" s="277"/>
      <c r="AJ388" s="277"/>
      <c r="AK388" s="277"/>
      <c r="AL388" s="277"/>
      <c r="AM388" s="277"/>
      <c r="AN388" s="277"/>
      <c r="AO388" s="277"/>
      <c r="AP388" s="277"/>
      <c r="AQ388" s="277"/>
      <c r="AR388" s="277"/>
      <c r="AS388" s="277"/>
      <c r="AT388" s="277"/>
      <c r="AU388" s="277"/>
      <c r="AV388" s="277"/>
      <c r="AW388" s="277"/>
      <c r="AX388" s="277"/>
      <c r="AY388" s="277"/>
      <c r="AZ388" s="277"/>
      <c r="BA388" s="277"/>
      <c r="BB388" s="277"/>
    </row>
    <row r="389" spans="1:54" ht="21.75" customHeight="1" x14ac:dyDescent="0.3">
      <c r="A389" s="368"/>
      <c r="B389" s="1108" t="s">
        <v>278</v>
      </c>
      <c r="C389" s="1109">
        <f>C353-'Existing Management Practices'!C177</f>
        <v>0</v>
      </c>
      <c r="D389" s="979">
        <f>D353-'Existing Management Practices'!D177</f>
        <v>0</v>
      </c>
      <c r="E389" s="979">
        <f>E353-'Existing Management Practices'!E177</f>
        <v>0</v>
      </c>
      <c r="F389" s="979">
        <f>F353-'Existing Management Practices'!F177</f>
        <v>0</v>
      </c>
      <c r="G389" s="1111"/>
      <c r="H389" s="1008"/>
      <c r="I389" s="368"/>
      <c r="J389" s="368"/>
      <c r="K389" s="277"/>
      <c r="L389" s="277"/>
      <c r="M389" s="277"/>
      <c r="N389" s="277"/>
      <c r="O389" s="277"/>
      <c r="P389" s="277"/>
      <c r="Q389" s="277"/>
      <c r="R389" s="277"/>
      <c r="S389" s="277"/>
      <c r="T389" s="294"/>
      <c r="U389" s="294"/>
      <c r="V389" s="294"/>
      <c r="W389" s="294"/>
      <c r="X389" s="294"/>
      <c r="Y389" s="294"/>
      <c r="Z389" s="294"/>
      <c r="AA389" s="294"/>
      <c r="AB389" s="294"/>
      <c r="AC389" s="277"/>
      <c r="AD389" s="277"/>
      <c r="AE389" s="277"/>
      <c r="AF389" s="277"/>
      <c r="AG389" s="277"/>
      <c r="AH389" s="277"/>
      <c r="AI389" s="277"/>
      <c r="AJ389" s="277"/>
      <c r="AK389" s="277"/>
      <c r="AL389" s="277"/>
      <c r="AM389" s="277"/>
      <c r="AN389" s="277"/>
      <c r="AO389" s="277"/>
      <c r="AP389" s="277"/>
      <c r="AQ389" s="277"/>
      <c r="AR389" s="277"/>
      <c r="AS389" s="277"/>
      <c r="AT389" s="277"/>
      <c r="AU389" s="277"/>
      <c r="AV389" s="277"/>
      <c r="AW389" s="277"/>
      <c r="AX389" s="277"/>
      <c r="AY389" s="277"/>
      <c r="AZ389" s="277"/>
      <c r="BA389" s="277"/>
      <c r="BB389" s="277"/>
    </row>
    <row r="390" spans="1:54" customFormat="1" ht="22.5" customHeight="1" x14ac:dyDescent="0.3">
      <c r="A390" s="368"/>
      <c r="B390" s="1108" t="s">
        <v>295</v>
      </c>
      <c r="C390" s="1109">
        <f>C354-'Existing Management Practices'!C178</f>
        <v>0</v>
      </c>
      <c r="D390" s="979">
        <f>D354-'Existing Management Practices'!D178</f>
        <v>0</v>
      </c>
      <c r="E390" s="979">
        <f>E354-'Existing Management Practices'!E178</f>
        <v>0</v>
      </c>
      <c r="F390" s="979">
        <f>F354-'Existing Management Practices'!F178</f>
        <v>0</v>
      </c>
      <c r="G390" s="1111"/>
      <c r="H390" s="1008"/>
      <c r="I390" s="368"/>
      <c r="J390" s="368"/>
      <c r="K390" s="277"/>
      <c r="L390" s="277"/>
      <c r="M390" s="277"/>
      <c r="N390" s="277"/>
      <c r="O390" s="277"/>
      <c r="P390" s="277"/>
      <c r="Q390" s="277"/>
      <c r="R390" s="277"/>
      <c r="S390" s="277"/>
      <c r="T390" s="294"/>
      <c r="U390" s="294"/>
      <c r="V390" s="294"/>
      <c r="W390" s="294"/>
      <c r="X390" s="294"/>
      <c r="Y390" s="294"/>
      <c r="Z390" s="294"/>
      <c r="AA390" s="294"/>
      <c r="AB390" s="294"/>
      <c r="AC390" s="277"/>
      <c r="AD390" s="277"/>
      <c r="AE390" s="277"/>
      <c r="AF390" s="277"/>
      <c r="AG390" s="277"/>
      <c r="AH390" s="277"/>
      <c r="AI390" s="277"/>
      <c r="AJ390" s="277"/>
      <c r="AK390" s="277"/>
      <c r="AL390" s="277"/>
      <c r="AM390" s="277"/>
      <c r="AN390" s="277"/>
      <c r="AO390" s="277"/>
      <c r="AP390" s="277"/>
      <c r="AQ390" s="277"/>
      <c r="AR390" s="277"/>
      <c r="AS390" s="277"/>
      <c r="AT390" s="277"/>
      <c r="AU390" s="277"/>
      <c r="AV390" s="277"/>
      <c r="AW390" s="277"/>
      <c r="AX390" s="277"/>
      <c r="AY390" s="277"/>
      <c r="AZ390" s="277"/>
      <c r="BA390" s="277"/>
      <c r="BB390" s="277"/>
    </row>
    <row r="391" spans="1:54" ht="22.5" customHeight="1" x14ac:dyDescent="0.3">
      <c r="A391" s="368"/>
      <c r="B391" s="1108" t="s">
        <v>299</v>
      </c>
      <c r="C391" s="1109">
        <f>C355-'Existing Management Practices'!C179</f>
        <v>0</v>
      </c>
      <c r="D391" s="979">
        <f>D355-'Existing Management Practices'!D179</f>
        <v>0</v>
      </c>
      <c r="E391" s="979">
        <f>E355-'Existing Management Practices'!E179</f>
        <v>0</v>
      </c>
      <c r="F391" s="979">
        <f>F355-'Existing Management Practices'!F179</f>
        <v>0</v>
      </c>
      <c r="G391" s="1111"/>
      <c r="H391" s="1008"/>
      <c r="I391" s="368"/>
      <c r="J391" s="368"/>
      <c r="K391" s="277"/>
      <c r="L391" s="277"/>
      <c r="M391" s="277"/>
      <c r="N391" s="277"/>
      <c r="O391" s="277"/>
      <c r="P391" s="277"/>
      <c r="Q391" s="277"/>
      <c r="R391" s="277"/>
      <c r="S391" s="277"/>
      <c r="T391" s="294"/>
      <c r="U391" s="294"/>
      <c r="V391" s="294"/>
      <c r="W391" s="294"/>
      <c r="X391" s="294"/>
      <c r="Y391" s="294"/>
      <c r="Z391" s="294"/>
      <c r="AA391" s="294"/>
      <c r="AB391" s="294"/>
      <c r="AC391" s="277"/>
      <c r="AD391" s="277"/>
      <c r="AE391" s="277"/>
      <c r="AF391" s="277"/>
      <c r="AG391" s="277"/>
      <c r="AH391" s="277"/>
      <c r="AI391" s="277"/>
      <c r="AJ391" s="277"/>
      <c r="AK391" s="277"/>
      <c r="AL391" s="277"/>
      <c r="AM391" s="277"/>
      <c r="AN391" s="277"/>
      <c r="AO391" s="277"/>
      <c r="AP391" s="277"/>
      <c r="AQ391" s="277"/>
      <c r="AR391" s="277"/>
      <c r="AS391" s="277"/>
      <c r="AT391" s="277"/>
      <c r="AU391" s="277"/>
      <c r="AV391" s="277"/>
      <c r="AW391" s="277"/>
      <c r="AX391" s="277"/>
      <c r="AY391" s="277"/>
      <c r="AZ391" s="277"/>
      <c r="BA391" s="277"/>
      <c r="BB391" s="277"/>
    </row>
    <row r="392" spans="1:54" ht="20.25" customHeight="1" x14ac:dyDescent="0.3">
      <c r="A392" s="368"/>
      <c r="B392" s="1108" t="s">
        <v>353</v>
      </c>
      <c r="C392" s="1109">
        <f>C356-'Existing Management Practices'!C180</f>
        <v>0</v>
      </c>
      <c r="D392" s="979">
        <f>D356-'Existing Management Practices'!D180</f>
        <v>0</v>
      </c>
      <c r="E392" s="979">
        <f>E356-'Existing Management Practices'!E180</f>
        <v>0</v>
      </c>
      <c r="F392" s="979">
        <f>F356-'Existing Management Practices'!F180</f>
        <v>0</v>
      </c>
      <c r="G392" s="1112"/>
      <c r="H392" s="1008"/>
      <c r="I392" s="368"/>
      <c r="J392" s="368"/>
      <c r="K392" s="277"/>
      <c r="L392" s="277"/>
      <c r="M392" s="277"/>
      <c r="N392" s="277"/>
      <c r="O392" s="277"/>
      <c r="P392" s="277"/>
      <c r="Q392" s="277"/>
      <c r="R392" s="277"/>
      <c r="S392" s="277"/>
      <c r="T392" s="294"/>
      <c r="U392" s="294"/>
      <c r="V392" s="294"/>
      <c r="W392" s="294"/>
      <c r="X392" s="294"/>
      <c r="Y392" s="294"/>
      <c r="Z392" s="294"/>
      <c r="AA392" s="294"/>
      <c r="AB392" s="294"/>
      <c r="AC392" s="277"/>
      <c r="AD392" s="277"/>
      <c r="AE392" s="277"/>
      <c r="AF392" s="277"/>
      <c r="AG392" s="277"/>
      <c r="AH392" s="277"/>
      <c r="AI392" s="277"/>
      <c r="AJ392" s="277"/>
      <c r="AK392" s="277"/>
      <c r="AL392" s="277"/>
      <c r="AM392" s="277"/>
      <c r="AN392" s="277"/>
      <c r="AO392" s="277"/>
      <c r="AP392" s="277"/>
      <c r="AQ392" s="277"/>
      <c r="AR392" s="277"/>
      <c r="AS392" s="277"/>
      <c r="AT392" s="277"/>
      <c r="AU392" s="277"/>
      <c r="AV392" s="277"/>
      <c r="AW392" s="277"/>
      <c r="AX392" s="277"/>
      <c r="AY392" s="277"/>
      <c r="AZ392" s="277"/>
      <c r="BA392" s="277"/>
      <c r="BB392" s="277"/>
    </row>
    <row r="393" spans="1:54" ht="20.25" customHeight="1" x14ac:dyDescent="0.3">
      <c r="A393" s="368"/>
      <c r="B393" s="1108" t="s">
        <v>330</v>
      </c>
      <c r="C393" s="1109">
        <f>C359-'Existing Management Practices'!C182</f>
        <v>0</v>
      </c>
      <c r="D393" s="979">
        <f>D359-'Existing Management Practices'!D182</f>
        <v>0</v>
      </c>
      <c r="E393" s="979">
        <f>E359-'Existing Management Practices'!E182</f>
        <v>0</v>
      </c>
      <c r="F393" s="979">
        <f>F359-'Existing Management Practices'!F182</f>
        <v>0</v>
      </c>
      <c r="G393" s="1113">
        <f>G359-'Existing Management Practices'!G182</f>
        <v>0</v>
      </c>
      <c r="H393" s="1042"/>
      <c r="I393" s="368"/>
      <c r="J393" s="368"/>
      <c r="K393" s="277"/>
      <c r="L393" s="277"/>
      <c r="M393" s="277"/>
      <c r="N393" s="277"/>
      <c r="O393" s="277"/>
      <c r="P393" s="277"/>
      <c r="Q393" s="277"/>
      <c r="R393" s="277"/>
      <c r="S393" s="277"/>
      <c r="T393" s="294"/>
      <c r="U393" s="294"/>
      <c r="V393" s="294"/>
      <c r="W393" s="294"/>
      <c r="X393" s="294"/>
      <c r="Y393" s="294"/>
      <c r="Z393" s="294"/>
      <c r="AA393" s="294"/>
      <c r="AB393" s="294"/>
      <c r="AC393" s="277"/>
      <c r="AD393" s="277"/>
      <c r="AE393" s="277"/>
      <c r="AF393" s="277"/>
      <c r="AG393" s="277"/>
      <c r="AH393" s="277"/>
      <c r="AI393" s="277"/>
      <c r="AJ393" s="277"/>
      <c r="AK393" s="277"/>
      <c r="AL393" s="277"/>
      <c r="AM393" s="277"/>
      <c r="AN393" s="277"/>
      <c r="AO393" s="277"/>
      <c r="AP393" s="277"/>
      <c r="AQ393" s="277"/>
      <c r="AR393" s="277"/>
      <c r="AS393" s="277"/>
      <c r="AT393" s="277"/>
      <c r="AU393" s="277"/>
      <c r="AV393" s="277"/>
      <c r="AW393" s="277"/>
      <c r="AX393" s="277"/>
      <c r="AY393" s="277"/>
      <c r="AZ393" s="277"/>
      <c r="BA393" s="277"/>
      <c r="BB393" s="277"/>
    </row>
    <row r="394" spans="1:54" ht="20.25" customHeight="1" x14ac:dyDescent="0.3">
      <c r="A394" s="368"/>
      <c r="B394" s="1108" t="s">
        <v>336</v>
      </c>
      <c r="C394" s="1109">
        <f>C360-'Existing Management Practices'!C183</f>
        <v>0</v>
      </c>
      <c r="D394" s="979">
        <f>D360-'Existing Management Practices'!D183</f>
        <v>0</v>
      </c>
      <c r="E394" s="979">
        <f>E360-'Existing Management Practices'!E183</f>
        <v>0</v>
      </c>
      <c r="F394" s="979">
        <f>F360-'Existing Management Practices'!F183</f>
        <v>0</v>
      </c>
      <c r="G394" s="1112"/>
      <c r="H394" s="1042"/>
      <c r="I394" s="368"/>
      <c r="J394" s="368"/>
      <c r="K394" s="277"/>
      <c r="L394" s="277"/>
      <c r="M394" s="277"/>
      <c r="N394" s="277"/>
      <c r="O394" s="277"/>
      <c r="P394" s="277"/>
      <c r="Q394" s="277"/>
      <c r="R394" s="277"/>
      <c r="S394" s="277"/>
      <c r="T394" s="294"/>
      <c r="U394" s="294"/>
      <c r="V394" s="294"/>
      <c r="W394" s="294"/>
      <c r="X394" s="294"/>
      <c r="Y394" s="294"/>
      <c r="Z394" s="294"/>
      <c r="AA394" s="294"/>
      <c r="AB394" s="294"/>
      <c r="AC394" s="277"/>
      <c r="AD394" s="277"/>
      <c r="AE394" s="277"/>
      <c r="AF394" s="277"/>
      <c r="AG394" s="277"/>
      <c r="AH394" s="277"/>
      <c r="AI394" s="277"/>
      <c r="AJ394" s="277"/>
      <c r="AK394" s="277"/>
      <c r="AL394" s="277"/>
      <c r="AM394" s="277"/>
      <c r="AN394" s="277"/>
      <c r="AO394" s="277"/>
      <c r="AP394" s="277"/>
      <c r="AQ394" s="277"/>
      <c r="AR394" s="277"/>
      <c r="AS394" s="277"/>
      <c r="AT394" s="277"/>
      <c r="AU394" s="277"/>
      <c r="AV394" s="277"/>
      <c r="AW394" s="277"/>
      <c r="AX394" s="277"/>
      <c r="AY394" s="277"/>
      <c r="AZ394" s="277"/>
      <c r="BA394" s="277"/>
      <c r="BB394" s="277"/>
    </row>
    <row r="395" spans="1:54" ht="20.25" customHeight="1" x14ac:dyDescent="0.3">
      <c r="A395" s="368"/>
      <c r="B395" s="1108" t="s">
        <v>342</v>
      </c>
      <c r="C395" s="1109">
        <f>C361-'Existing Management Practices'!C184</f>
        <v>0</v>
      </c>
      <c r="D395" s="979">
        <f>D361-'Existing Management Practices'!D184</f>
        <v>0</v>
      </c>
      <c r="E395" s="979">
        <f>E361-'Existing Management Practices'!E184</f>
        <v>0</v>
      </c>
      <c r="F395" s="979">
        <f>F361-'Existing Management Practices'!F184</f>
        <v>0</v>
      </c>
      <c r="G395" s="1112"/>
      <c r="H395" s="1042"/>
      <c r="I395" s="368"/>
      <c r="J395" s="368"/>
      <c r="K395" s="277"/>
      <c r="L395" s="277"/>
      <c r="M395" s="277"/>
      <c r="N395" s="277"/>
      <c r="O395" s="277"/>
      <c r="P395" s="277"/>
      <c r="Q395" s="277"/>
      <c r="R395" s="277"/>
      <c r="S395" s="277"/>
      <c r="T395" s="294"/>
      <c r="U395" s="294"/>
      <c r="V395" s="294"/>
      <c r="W395" s="294"/>
      <c r="X395" s="294"/>
      <c r="Y395" s="294"/>
      <c r="Z395" s="294"/>
      <c r="AA395" s="294"/>
      <c r="AB395" s="294"/>
      <c r="AC395" s="277"/>
      <c r="AD395" s="277"/>
      <c r="AE395" s="277"/>
      <c r="AF395" s="277"/>
      <c r="AG395" s="277"/>
      <c r="AH395" s="277"/>
      <c r="AI395" s="277"/>
      <c r="AJ395" s="277"/>
      <c r="AK395" s="277"/>
      <c r="AL395" s="277"/>
      <c r="AM395" s="277"/>
      <c r="AN395" s="277"/>
      <c r="AO395" s="277"/>
      <c r="AP395" s="277"/>
      <c r="AQ395" s="277"/>
      <c r="AR395" s="277"/>
      <c r="AS395" s="277"/>
      <c r="AT395" s="277"/>
      <c r="AU395" s="277"/>
      <c r="AV395" s="277"/>
      <c r="AW395" s="277"/>
      <c r="AX395" s="277"/>
      <c r="AY395" s="277"/>
      <c r="AZ395" s="277"/>
      <c r="BA395" s="277"/>
      <c r="BB395" s="277"/>
    </row>
    <row r="396" spans="1:54" ht="20.25" customHeight="1" x14ac:dyDescent="0.3">
      <c r="A396" s="368"/>
      <c r="B396" s="1108" t="s">
        <v>524</v>
      </c>
      <c r="C396" s="1109">
        <f t="shared" ref="C396:G398" si="1">C362</f>
        <v>0</v>
      </c>
      <c r="D396" s="1114">
        <f t="shared" si="1"/>
        <v>0</v>
      </c>
      <c r="E396" s="979">
        <f t="shared" si="1"/>
        <v>0</v>
      </c>
      <c r="F396" s="1114">
        <f t="shared" si="1"/>
        <v>0</v>
      </c>
      <c r="G396" s="1113">
        <f t="shared" si="1"/>
        <v>0</v>
      </c>
      <c r="H396" s="1042"/>
      <c r="I396" s="368"/>
      <c r="J396" s="368"/>
      <c r="K396" s="277"/>
      <c r="L396" s="277"/>
      <c r="M396" s="277"/>
      <c r="N396" s="277"/>
      <c r="O396" s="277"/>
      <c r="P396" s="277"/>
      <c r="Q396" s="277"/>
      <c r="R396" s="277"/>
      <c r="S396" s="277"/>
      <c r="T396" s="294"/>
      <c r="U396" s="294"/>
      <c r="V396" s="294"/>
      <c r="W396" s="294"/>
      <c r="X396" s="294"/>
      <c r="Y396" s="294"/>
      <c r="Z396" s="294"/>
      <c r="AA396" s="294"/>
      <c r="AB396" s="294"/>
      <c r="AC396" s="277"/>
      <c r="AD396" s="277"/>
      <c r="AE396" s="277"/>
      <c r="AF396" s="277"/>
      <c r="AG396" s="277"/>
      <c r="AH396" s="277"/>
      <c r="AI396" s="277"/>
      <c r="AJ396" s="277"/>
      <c r="AK396" s="277"/>
      <c r="AL396" s="277"/>
      <c r="AM396" s="277"/>
      <c r="AN396" s="277"/>
      <c r="AO396" s="277"/>
      <c r="AP396" s="277"/>
      <c r="AQ396" s="277"/>
      <c r="AR396" s="277"/>
      <c r="AS396" s="277"/>
      <c r="AT396" s="277"/>
      <c r="AU396" s="277"/>
      <c r="AV396" s="277"/>
      <c r="AW396" s="277"/>
      <c r="AX396" s="277"/>
      <c r="AY396" s="277"/>
      <c r="AZ396" s="277"/>
      <c r="BA396" s="277"/>
      <c r="BB396" s="277"/>
    </row>
    <row r="397" spans="1:54" ht="26.25" customHeight="1" x14ac:dyDescent="0.3">
      <c r="A397" s="368"/>
      <c r="B397" s="1108" t="s">
        <v>523</v>
      </c>
      <c r="C397" s="1115">
        <f t="shared" si="1"/>
        <v>0</v>
      </c>
      <c r="D397" s="1114">
        <f t="shared" si="1"/>
        <v>0</v>
      </c>
      <c r="E397" s="979">
        <f t="shared" si="1"/>
        <v>0</v>
      </c>
      <c r="F397" s="1114">
        <f t="shared" si="1"/>
        <v>0</v>
      </c>
      <c r="G397" s="1113">
        <f t="shared" si="1"/>
        <v>0</v>
      </c>
      <c r="H397" s="1042"/>
      <c r="I397" s="368"/>
      <c r="J397" s="368"/>
      <c r="K397" s="277"/>
      <c r="L397" s="277"/>
      <c r="M397" s="277"/>
      <c r="N397" s="277"/>
      <c r="O397" s="277"/>
      <c r="P397" s="277"/>
      <c r="Q397" s="277"/>
      <c r="R397" s="277"/>
      <c r="S397" s="277"/>
      <c r="T397" s="294"/>
      <c r="U397" s="294"/>
      <c r="V397" s="294"/>
      <c r="W397" s="294"/>
      <c r="X397" s="294"/>
      <c r="Y397" s="294"/>
      <c r="Z397" s="294"/>
      <c r="AA397" s="294"/>
      <c r="AB397" s="294"/>
      <c r="AC397" s="277"/>
      <c r="AD397" s="277"/>
      <c r="AE397" s="277"/>
      <c r="AF397" s="277"/>
      <c r="AG397" s="277"/>
      <c r="AH397" s="277"/>
      <c r="AI397" s="277"/>
      <c r="AJ397" s="277"/>
      <c r="AK397" s="277"/>
      <c r="AL397" s="277"/>
      <c r="AM397" s="277"/>
      <c r="AN397" s="277"/>
      <c r="AO397" s="277"/>
      <c r="AP397" s="277"/>
      <c r="AQ397" s="277"/>
      <c r="AR397" s="277"/>
      <c r="AS397" s="277"/>
      <c r="AT397" s="277"/>
      <c r="AU397" s="277"/>
      <c r="AV397" s="277"/>
      <c r="AW397" s="277"/>
      <c r="AX397" s="277"/>
      <c r="AY397" s="277"/>
      <c r="AZ397" s="277"/>
      <c r="BA397" s="277"/>
      <c r="BB397" s="277"/>
    </row>
    <row r="398" spans="1:54" ht="18.75" customHeight="1" x14ac:dyDescent="0.3">
      <c r="A398" s="368"/>
      <c r="B398" s="1108" t="s">
        <v>448</v>
      </c>
      <c r="C398" s="1115">
        <f t="shared" si="1"/>
        <v>88.676436649160593</v>
      </c>
      <c r="D398" s="1114">
        <f t="shared" si="1"/>
        <v>19.737716478614736</v>
      </c>
      <c r="E398" s="979">
        <f t="shared" si="1"/>
        <v>1583.299792385965</v>
      </c>
      <c r="F398" s="1114">
        <f t="shared" si="1"/>
        <v>1087.3737754112346</v>
      </c>
      <c r="G398" s="1113">
        <f t="shared" si="1"/>
        <v>6.8188856755871949</v>
      </c>
      <c r="H398" s="1042"/>
      <c r="I398" s="368"/>
      <c r="J398" s="368"/>
      <c r="K398" s="277"/>
      <c r="L398" s="277"/>
      <c r="M398" s="277"/>
      <c r="N398" s="277"/>
      <c r="O398" s="277"/>
      <c r="P398" s="277"/>
      <c r="Q398" s="277"/>
      <c r="R398" s="277"/>
      <c r="S398" s="277"/>
      <c r="T398" s="294"/>
      <c r="U398" s="294"/>
      <c r="V398" s="294"/>
      <c r="W398" s="294"/>
      <c r="X398" s="294"/>
      <c r="Y398" s="294"/>
      <c r="Z398" s="294"/>
      <c r="AA398" s="294"/>
      <c r="AB398" s="294"/>
      <c r="AC398" s="277"/>
      <c r="AD398" s="277"/>
      <c r="AE398" s="277"/>
      <c r="AF398" s="277"/>
      <c r="AG398" s="277"/>
      <c r="AH398" s="277"/>
      <c r="AI398" s="277"/>
      <c r="AJ398" s="277"/>
      <c r="AK398" s="277"/>
      <c r="AL398" s="277"/>
      <c r="AM398" s="277"/>
      <c r="AN398" s="277"/>
      <c r="AO398" s="277"/>
      <c r="AP398" s="277"/>
      <c r="AQ398" s="277"/>
      <c r="AR398" s="277"/>
      <c r="AS398" s="277"/>
      <c r="AT398" s="277"/>
      <c r="AU398" s="277"/>
      <c r="AV398" s="277"/>
      <c r="AW398" s="277"/>
      <c r="AX398" s="277"/>
      <c r="AY398" s="277"/>
      <c r="AZ398" s="277"/>
      <c r="BA398" s="277"/>
      <c r="BB398" s="277"/>
    </row>
    <row r="399" spans="1:54" ht="18" customHeight="1" x14ac:dyDescent="0.3">
      <c r="A399" s="368"/>
      <c r="B399" s="1108" t="s">
        <v>417</v>
      </c>
      <c r="C399" s="1115">
        <f t="shared" ref="C399:F402" si="2">C366</f>
        <v>0</v>
      </c>
      <c r="D399" s="1114">
        <f t="shared" si="2"/>
        <v>0</v>
      </c>
      <c r="E399" s="979">
        <f t="shared" si="2"/>
        <v>0</v>
      </c>
      <c r="F399" s="1114">
        <f t="shared" si="2"/>
        <v>0</v>
      </c>
      <c r="G399" s="1111"/>
      <c r="H399" s="1042"/>
      <c r="I399" s="586"/>
      <c r="J399" s="586"/>
      <c r="K399" s="277"/>
      <c r="L399" s="277"/>
      <c r="M399" s="277"/>
      <c r="N399" s="277"/>
      <c r="O399" s="277"/>
      <c r="P399" s="277"/>
      <c r="Q399" s="277"/>
      <c r="R399" s="277"/>
      <c r="S399" s="277"/>
      <c r="T399" s="294"/>
      <c r="U399" s="294"/>
      <c r="V399" s="294"/>
      <c r="W399" s="294"/>
      <c r="X399" s="294"/>
      <c r="Y399" s="294"/>
      <c r="Z399" s="294"/>
      <c r="AA399" s="294"/>
      <c r="AB399" s="294"/>
      <c r="AC399" s="277"/>
      <c r="AD399" s="277"/>
      <c r="AE399" s="277"/>
      <c r="AF399" s="277"/>
      <c r="AG399" s="277"/>
      <c r="AH399" s="277"/>
      <c r="AI399" s="277"/>
      <c r="AJ399" s="277"/>
      <c r="AK399" s="277"/>
      <c r="AL399" s="277"/>
      <c r="AM399" s="277"/>
      <c r="AN399" s="277"/>
      <c r="AO399" s="277"/>
      <c r="AP399" s="277"/>
      <c r="AQ399" s="277"/>
      <c r="AR399" s="277"/>
      <c r="AS399" s="277"/>
      <c r="AT399" s="277"/>
      <c r="AU399" s="277"/>
      <c r="AV399" s="277"/>
      <c r="AW399" s="277"/>
      <c r="AX399" s="277"/>
      <c r="AY399" s="277"/>
      <c r="AZ399" s="277"/>
      <c r="BA399" s="277"/>
      <c r="BB399" s="277"/>
    </row>
    <row r="400" spans="1:54" ht="13.5" customHeight="1" x14ac:dyDescent="0.3">
      <c r="A400" s="368"/>
      <c r="B400" s="1108" t="s">
        <v>420</v>
      </c>
      <c r="C400" s="1115">
        <f t="shared" si="2"/>
        <v>0</v>
      </c>
      <c r="D400" s="1114">
        <f t="shared" si="2"/>
        <v>0</v>
      </c>
      <c r="E400" s="979">
        <f t="shared" si="2"/>
        <v>0</v>
      </c>
      <c r="F400" s="1114">
        <f t="shared" si="2"/>
        <v>0</v>
      </c>
      <c r="G400" s="1111"/>
      <c r="H400" s="1042"/>
      <c r="I400" s="368"/>
      <c r="J400" s="368"/>
      <c r="K400" s="277"/>
      <c r="L400" s="277"/>
      <c r="M400" s="277"/>
      <c r="N400" s="277"/>
      <c r="O400" s="277"/>
      <c r="P400" s="277"/>
      <c r="Q400" s="277"/>
      <c r="R400" s="277"/>
      <c r="S400" s="277"/>
      <c r="T400" s="294"/>
      <c r="U400" s="294"/>
      <c r="V400" s="294"/>
      <c r="W400" s="294"/>
      <c r="X400" s="294"/>
      <c r="Y400" s="294"/>
      <c r="Z400" s="294"/>
      <c r="AA400" s="294"/>
      <c r="AB400" s="294"/>
      <c r="AC400" s="277"/>
      <c r="AD400" s="277"/>
      <c r="AE400" s="277"/>
      <c r="AF400" s="277"/>
      <c r="AG400" s="277"/>
      <c r="AH400" s="277"/>
      <c r="AI400" s="277"/>
      <c r="AJ400" s="277"/>
      <c r="AK400" s="277"/>
      <c r="AL400" s="277"/>
      <c r="AM400" s="277"/>
      <c r="AN400" s="277"/>
      <c r="AO400" s="277"/>
      <c r="AP400" s="277"/>
      <c r="AQ400" s="277"/>
      <c r="AR400" s="277"/>
      <c r="AS400" s="277"/>
      <c r="AT400" s="277"/>
      <c r="AU400" s="277"/>
      <c r="AV400" s="277"/>
      <c r="AW400" s="277"/>
      <c r="AX400" s="277"/>
      <c r="AY400" s="277"/>
      <c r="AZ400" s="277"/>
      <c r="BA400" s="277"/>
      <c r="BB400" s="277"/>
    </row>
    <row r="401" spans="1:233" ht="19.5" customHeight="1" x14ac:dyDescent="0.3">
      <c r="A401" s="368"/>
      <c r="B401" s="1108" t="s">
        <v>422</v>
      </c>
      <c r="C401" s="1115">
        <f t="shared" si="2"/>
        <v>0</v>
      </c>
      <c r="D401" s="1114">
        <f t="shared" si="2"/>
        <v>0</v>
      </c>
      <c r="E401" s="979">
        <f t="shared" si="2"/>
        <v>0</v>
      </c>
      <c r="F401" s="1114">
        <f t="shared" si="2"/>
        <v>0</v>
      </c>
      <c r="G401" s="1111"/>
      <c r="H401" s="1042"/>
      <c r="I401" s="368"/>
      <c r="J401" s="368"/>
      <c r="K401" s="277"/>
      <c r="L401" s="277"/>
      <c r="M401" s="277"/>
      <c r="N401" s="277"/>
      <c r="O401" s="277"/>
      <c r="P401" s="277"/>
      <c r="Q401" s="277"/>
      <c r="R401" s="277"/>
      <c r="S401" s="277"/>
      <c r="T401" s="294"/>
      <c r="U401" s="294"/>
      <c r="V401" s="294"/>
      <c r="W401" s="294"/>
      <c r="X401" s="294"/>
      <c r="Y401" s="294"/>
      <c r="Z401" s="294"/>
      <c r="AA401" s="294"/>
      <c r="AB401" s="294"/>
      <c r="AC401" s="277"/>
      <c r="AD401" s="277"/>
      <c r="AE401" s="277"/>
      <c r="AF401" s="277"/>
      <c r="AG401" s="277"/>
      <c r="AH401" s="277"/>
      <c r="AI401" s="277"/>
      <c r="AJ401" s="277"/>
      <c r="AK401" s="277"/>
      <c r="AL401" s="277"/>
      <c r="AM401" s="277"/>
      <c r="AN401" s="277"/>
      <c r="AO401" s="277"/>
      <c r="AP401" s="277"/>
      <c r="AQ401" s="277"/>
      <c r="AR401" s="277"/>
      <c r="AS401" s="277"/>
      <c r="AT401" s="277"/>
      <c r="AU401" s="277"/>
      <c r="AV401" s="277"/>
      <c r="AW401" s="277"/>
      <c r="AX401" s="277"/>
      <c r="AY401" s="277"/>
      <c r="AZ401" s="277"/>
      <c r="BA401" s="277"/>
      <c r="BB401" s="277"/>
    </row>
    <row r="402" spans="1:233" ht="18" customHeight="1" x14ac:dyDescent="0.3">
      <c r="A402" s="368"/>
      <c r="B402" s="1108" t="s">
        <v>450</v>
      </c>
      <c r="C402" s="1115">
        <f t="shared" si="2"/>
        <v>0</v>
      </c>
      <c r="D402" s="1114">
        <f t="shared" si="2"/>
        <v>0</v>
      </c>
      <c r="E402" s="979">
        <f t="shared" si="2"/>
        <v>0</v>
      </c>
      <c r="F402" s="1114">
        <f t="shared" si="2"/>
        <v>0</v>
      </c>
      <c r="G402" s="1111"/>
      <c r="H402" s="1042"/>
      <c r="I402" s="368"/>
      <c r="J402" s="368"/>
      <c r="K402" s="277"/>
      <c r="L402" s="277"/>
      <c r="M402" s="277"/>
      <c r="N402" s="277"/>
      <c r="O402" s="277"/>
      <c r="P402" s="277"/>
      <c r="Q402" s="277"/>
      <c r="R402" s="277"/>
      <c r="S402" s="277"/>
      <c r="T402" s="294"/>
      <c r="U402" s="294"/>
      <c r="V402" s="294"/>
      <c r="W402" s="294"/>
      <c r="X402" s="294"/>
      <c r="Y402" s="294"/>
      <c r="Z402" s="294"/>
      <c r="AA402" s="294"/>
      <c r="AB402" s="294"/>
      <c r="AC402" s="277"/>
      <c r="AD402" s="277"/>
      <c r="AE402" s="277"/>
      <c r="AF402" s="277"/>
      <c r="AG402" s="277"/>
      <c r="AH402" s="277"/>
      <c r="AI402" s="277"/>
      <c r="AJ402" s="277"/>
      <c r="AK402" s="277"/>
      <c r="AL402" s="277"/>
      <c r="AM402" s="277"/>
      <c r="AN402" s="277"/>
      <c r="AO402" s="277"/>
      <c r="AP402" s="277"/>
      <c r="AQ402" s="277"/>
      <c r="AR402" s="277"/>
      <c r="AS402" s="277"/>
      <c r="AT402" s="277"/>
      <c r="AU402" s="277"/>
      <c r="AV402" s="277"/>
      <c r="AW402" s="277"/>
      <c r="AX402" s="277"/>
      <c r="AY402" s="277"/>
      <c r="AZ402" s="277"/>
      <c r="BA402" s="277"/>
      <c r="BB402" s="277"/>
    </row>
    <row r="403" spans="1:233" s="277" customFormat="1" ht="12.75" customHeight="1" x14ac:dyDescent="0.3">
      <c r="A403" s="368"/>
      <c r="B403" s="1108" t="s">
        <v>623</v>
      </c>
      <c r="C403" s="1115">
        <f t="shared" ref="C403:F404" si="3">C370</f>
        <v>0</v>
      </c>
      <c r="D403" s="1114">
        <f t="shared" si="3"/>
        <v>0</v>
      </c>
      <c r="E403" s="1114">
        <f t="shared" si="3"/>
        <v>0</v>
      </c>
      <c r="F403" s="1114">
        <f t="shared" si="3"/>
        <v>0</v>
      </c>
      <c r="G403" s="1111"/>
      <c r="H403" s="1042"/>
      <c r="I403" s="368"/>
      <c r="J403" s="368"/>
      <c r="T403" s="294"/>
      <c r="U403" s="294"/>
      <c r="V403" s="294"/>
      <c r="W403" s="294"/>
      <c r="X403" s="294"/>
      <c r="Y403" s="294"/>
      <c r="Z403" s="294"/>
      <c r="AA403" s="294"/>
      <c r="AB403" s="294"/>
    </row>
    <row r="404" spans="1:233" ht="12.75" customHeight="1" thickBot="1" x14ac:dyDescent="0.35">
      <c r="A404" s="368"/>
      <c r="B404" s="1116" t="s">
        <v>438</v>
      </c>
      <c r="C404" s="1117">
        <f t="shared" si="3"/>
        <v>0</v>
      </c>
      <c r="D404" s="1118">
        <f t="shared" si="3"/>
        <v>0</v>
      </c>
      <c r="E404" s="1118">
        <f t="shared" si="3"/>
        <v>0</v>
      </c>
      <c r="F404" s="1119">
        <f t="shared" si="3"/>
        <v>0</v>
      </c>
      <c r="G404" s="1120"/>
      <c r="H404" s="1042"/>
      <c r="I404" s="368"/>
      <c r="J404" s="368"/>
      <c r="K404" s="277"/>
      <c r="L404" s="277"/>
      <c r="M404" s="277"/>
      <c r="N404" s="277"/>
      <c r="O404" s="277"/>
      <c r="P404" s="277"/>
      <c r="Q404" s="277"/>
      <c r="R404" s="277"/>
      <c r="S404" s="277"/>
      <c r="T404" s="294"/>
      <c r="U404" s="294"/>
      <c r="V404" s="294"/>
      <c r="W404" s="294"/>
      <c r="X404" s="294"/>
      <c r="Y404" s="294"/>
      <c r="Z404" s="294"/>
      <c r="AA404" s="294"/>
      <c r="AB404" s="294"/>
      <c r="AC404" s="277"/>
      <c r="AD404" s="277"/>
      <c r="AE404" s="277"/>
      <c r="AF404" s="277"/>
      <c r="AG404" s="277"/>
      <c r="AH404" s="277"/>
      <c r="AI404" s="277"/>
      <c r="AJ404" s="277"/>
      <c r="AK404" s="277"/>
      <c r="AL404" s="277"/>
      <c r="AM404" s="277"/>
      <c r="AN404" s="277"/>
      <c r="AO404" s="277"/>
      <c r="AP404" s="277"/>
      <c r="AQ404" s="277"/>
      <c r="AR404" s="277"/>
      <c r="AS404" s="277"/>
      <c r="AT404" s="277"/>
      <c r="AU404" s="277"/>
      <c r="AV404" s="277"/>
      <c r="AW404" s="277"/>
      <c r="AX404" s="277"/>
      <c r="AY404" s="277"/>
      <c r="AZ404" s="277"/>
      <c r="BA404" s="277"/>
      <c r="BB404" s="277"/>
      <c r="BC404" s="277"/>
      <c r="BD404" s="277"/>
      <c r="BE404" s="277"/>
      <c r="BF404" s="277"/>
      <c r="BG404" s="277"/>
      <c r="BH404" s="277"/>
      <c r="BI404" s="277"/>
      <c r="BJ404" s="277"/>
      <c r="BK404" s="277"/>
      <c r="BL404" s="277"/>
      <c r="BM404" s="277"/>
      <c r="BN404" s="277"/>
      <c r="BO404" s="277"/>
      <c r="BP404" s="277"/>
      <c r="BQ404" s="277"/>
      <c r="BR404" s="277"/>
      <c r="BS404" s="277"/>
      <c r="BT404" s="277"/>
      <c r="BU404" s="277"/>
      <c r="BV404" s="277"/>
      <c r="BW404" s="277"/>
      <c r="BX404" s="277"/>
      <c r="BY404" s="277"/>
      <c r="BZ404" s="277"/>
      <c r="CA404" s="277"/>
      <c r="CB404" s="277"/>
      <c r="CC404" s="277"/>
      <c r="CD404" s="277"/>
      <c r="CE404" s="277"/>
      <c r="CF404" s="277"/>
      <c r="CG404" s="277"/>
      <c r="CH404" s="277"/>
      <c r="CI404" s="277"/>
      <c r="CJ404" s="277"/>
      <c r="CK404" s="277"/>
      <c r="CL404" s="277"/>
      <c r="CM404" s="277"/>
      <c r="CN404" s="277"/>
      <c r="CO404" s="277"/>
      <c r="CP404" s="277"/>
      <c r="CQ404" s="277"/>
      <c r="CR404" s="277"/>
      <c r="CS404" s="277"/>
      <c r="CT404" s="277"/>
      <c r="CU404" s="277"/>
      <c r="CV404" s="277"/>
      <c r="CW404" s="277"/>
      <c r="CX404" s="277"/>
      <c r="CY404" s="277"/>
      <c r="CZ404" s="277"/>
      <c r="DA404" s="277"/>
      <c r="DB404" s="277"/>
      <c r="DC404" s="277"/>
      <c r="DD404" s="277"/>
      <c r="DE404" s="277"/>
      <c r="DF404" s="277"/>
      <c r="DG404" s="277"/>
      <c r="DH404" s="277"/>
      <c r="DI404" s="277"/>
      <c r="DJ404" s="277"/>
      <c r="DK404" s="277"/>
      <c r="DL404" s="277"/>
      <c r="DM404" s="277"/>
      <c r="DN404" s="277"/>
      <c r="DO404" s="277"/>
      <c r="DP404" s="277"/>
      <c r="DQ404" s="277"/>
      <c r="DR404" s="277"/>
      <c r="DS404" s="277"/>
      <c r="DT404" s="277"/>
      <c r="DU404" s="277"/>
      <c r="DV404" s="277"/>
      <c r="DW404" s="277"/>
      <c r="DX404" s="277"/>
      <c r="DY404" s="277"/>
      <c r="DZ404" s="277"/>
      <c r="EA404" s="277"/>
      <c r="EB404" s="277"/>
      <c r="EC404" s="277"/>
      <c r="ED404" s="277"/>
      <c r="EE404" s="277"/>
      <c r="EF404" s="277"/>
      <c r="EG404" s="277"/>
      <c r="EH404" s="277"/>
      <c r="EI404" s="277"/>
      <c r="EJ404" s="277"/>
      <c r="EK404" s="277"/>
      <c r="EL404" s="277"/>
      <c r="EM404" s="277"/>
      <c r="EN404" s="277"/>
      <c r="EO404" s="277"/>
      <c r="EP404" s="277"/>
      <c r="EQ404" s="277"/>
      <c r="ER404" s="277"/>
      <c r="ES404" s="277"/>
      <c r="ET404" s="277"/>
      <c r="EU404" s="277"/>
      <c r="EV404" s="277"/>
      <c r="EW404" s="277"/>
      <c r="EX404" s="277"/>
      <c r="EY404" s="277"/>
      <c r="EZ404" s="277"/>
      <c r="FA404" s="277"/>
      <c r="FB404" s="277"/>
      <c r="FC404" s="277"/>
      <c r="FD404" s="277"/>
      <c r="FE404" s="277"/>
      <c r="FF404" s="277"/>
      <c r="FG404" s="277"/>
      <c r="FH404" s="277"/>
      <c r="FI404" s="277"/>
      <c r="FJ404" s="277"/>
      <c r="FK404" s="277"/>
      <c r="FL404" s="277"/>
      <c r="FM404" s="277"/>
      <c r="FN404" s="277"/>
      <c r="FO404" s="277"/>
      <c r="FP404" s="277"/>
      <c r="FQ404" s="277"/>
      <c r="FR404" s="277"/>
      <c r="FS404" s="277"/>
      <c r="FT404" s="277"/>
      <c r="FU404" s="277"/>
      <c r="FV404" s="277"/>
      <c r="FW404" s="277"/>
      <c r="FX404" s="277"/>
      <c r="FY404" s="277"/>
      <c r="FZ404" s="277"/>
      <c r="GA404" s="277"/>
      <c r="GB404" s="277"/>
      <c r="GC404" s="277"/>
      <c r="GD404" s="277"/>
      <c r="GE404" s="277"/>
      <c r="GF404" s="277"/>
      <c r="GG404" s="277"/>
      <c r="GH404" s="277"/>
      <c r="GI404" s="277"/>
      <c r="GJ404" s="277"/>
      <c r="GK404" s="277"/>
      <c r="GL404" s="277"/>
      <c r="GM404" s="277"/>
      <c r="GN404" s="277"/>
      <c r="GO404" s="277"/>
      <c r="GP404" s="277"/>
      <c r="GQ404" s="277"/>
      <c r="GR404" s="277"/>
      <c r="GS404" s="277"/>
      <c r="GT404" s="277"/>
      <c r="GU404" s="277"/>
      <c r="GV404" s="277"/>
      <c r="GW404" s="277"/>
      <c r="GX404" s="277"/>
      <c r="GY404" s="277"/>
      <c r="GZ404" s="277"/>
      <c r="HA404" s="277"/>
      <c r="HB404" s="277"/>
      <c r="HC404" s="277"/>
      <c r="HD404" s="277"/>
      <c r="HE404" s="277"/>
      <c r="HF404" s="277"/>
      <c r="HG404" s="277"/>
      <c r="HH404" s="277"/>
      <c r="HI404" s="277"/>
      <c r="HJ404" s="277"/>
      <c r="HK404" s="277"/>
      <c r="HL404" s="277"/>
      <c r="HM404" s="277"/>
      <c r="HN404" s="277"/>
      <c r="HO404" s="277"/>
      <c r="HP404" s="277"/>
      <c r="HQ404" s="277"/>
      <c r="HR404" s="277"/>
      <c r="HS404" s="277"/>
      <c r="HT404" s="277"/>
      <c r="HU404" s="277"/>
      <c r="HV404" s="277"/>
      <c r="HW404" s="277"/>
      <c r="HX404" s="277"/>
      <c r="HY404" s="277"/>
    </row>
    <row r="405" spans="1:233" ht="13.5" thickBot="1" x14ac:dyDescent="0.35">
      <c r="A405" s="368"/>
      <c r="B405" s="1121" t="s">
        <v>526</v>
      </c>
      <c r="C405" s="1122">
        <f>SUM(C388:C404)</f>
        <v>88.676436649160593</v>
      </c>
      <c r="D405" s="1122">
        <f>SUM(D388:D404)</f>
        <v>19.737716478614736</v>
      </c>
      <c r="E405" s="1122">
        <f>SUM(E388:E404)</f>
        <v>1583.299792385965</v>
      </c>
      <c r="F405" s="1122">
        <f>SUM(F388:F404)</f>
        <v>1087.3737754112346</v>
      </c>
      <c r="G405" s="1123">
        <f>SUM(G388:G404)</f>
        <v>6.8188856755871949</v>
      </c>
      <c r="H405" s="589"/>
      <c r="I405" s="368"/>
      <c r="J405" s="368"/>
      <c r="K405" s="277"/>
      <c r="L405" s="277"/>
      <c r="M405" s="277"/>
      <c r="N405" s="277"/>
      <c r="O405" s="277"/>
      <c r="P405" s="277"/>
      <c r="Q405" s="277"/>
      <c r="R405" s="277"/>
      <c r="S405" s="277"/>
      <c r="T405" s="294"/>
      <c r="U405" s="294"/>
      <c r="V405" s="294"/>
      <c r="W405" s="294"/>
      <c r="X405" s="294"/>
      <c r="Y405" s="294"/>
      <c r="Z405" s="294"/>
      <c r="AA405" s="294"/>
      <c r="AB405" s="294"/>
      <c r="AC405" s="277"/>
      <c r="AD405" s="277"/>
      <c r="AE405" s="277"/>
      <c r="AF405" s="277"/>
      <c r="AG405" s="277"/>
      <c r="AH405" s="277"/>
      <c r="AI405" s="277"/>
      <c r="AJ405" s="277"/>
      <c r="AK405" s="277"/>
      <c r="AL405" s="277"/>
      <c r="AM405" s="277"/>
      <c r="AN405" s="277"/>
      <c r="AO405" s="277"/>
      <c r="AP405" s="277"/>
      <c r="AQ405" s="277"/>
      <c r="AR405" s="277"/>
      <c r="AS405" s="277"/>
      <c r="AT405" s="277"/>
      <c r="AU405" s="277"/>
      <c r="AV405" s="277"/>
      <c r="AW405" s="277"/>
      <c r="AX405" s="277"/>
      <c r="AY405" s="277"/>
      <c r="AZ405" s="277"/>
      <c r="BA405" s="277"/>
      <c r="BB405" s="277"/>
      <c r="BC405" s="277"/>
      <c r="BD405" s="277"/>
      <c r="BE405" s="277"/>
      <c r="BF405" s="277"/>
      <c r="BG405" s="277"/>
      <c r="BH405" s="277"/>
      <c r="BI405" s="277"/>
      <c r="BJ405" s="277"/>
      <c r="BK405" s="277"/>
      <c r="BL405" s="277"/>
      <c r="BM405" s="277"/>
      <c r="BN405" s="277"/>
      <c r="BO405" s="277"/>
      <c r="BP405" s="277"/>
      <c r="BQ405" s="277"/>
      <c r="BR405" s="277"/>
      <c r="BS405" s="277"/>
      <c r="BT405" s="277"/>
      <c r="BU405" s="277"/>
      <c r="BV405" s="277"/>
      <c r="BW405" s="277"/>
      <c r="BX405" s="277"/>
      <c r="BY405" s="277"/>
      <c r="BZ405" s="277"/>
      <c r="CA405" s="277"/>
      <c r="CB405" s="277"/>
      <c r="CC405" s="277"/>
      <c r="CD405" s="277"/>
      <c r="CE405" s="277"/>
      <c r="CF405" s="277"/>
      <c r="CG405" s="277"/>
      <c r="CH405" s="277"/>
      <c r="CI405" s="277"/>
      <c r="CJ405" s="277"/>
      <c r="CK405" s="277"/>
      <c r="CL405" s="277"/>
      <c r="CM405" s="277"/>
      <c r="CN405" s="277"/>
      <c r="CO405" s="277"/>
      <c r="CP405" s="277"/>
      <c r="CQ405" s="277"/>
      <c r="CR405" s="277"/>
      <c r="CS405" s="277"/>
      <c r="CT405" s="277"/>
      <c r="CU405" s="277"/>
      <c r="CV405" s="277"/>
      <c r="CW405" s="277"/>
      <c r="CX405" s="277"/>
      <c r="CY405" s="277"/>
      <c r="CZ405" s="277"/>
      <c r="DA405" s="277"/>
      <c r="DB405" s="277"/>
      <c r="DC405" s="277"/>
      <c r="DD405" s="277"/>
      <c r="DE405" s="277"/>
      <c r="DF405" s="277"/>
      <c r="DG405" s="277"/>
      <c r="DH405" s="277"/>
      <c r="DI405" s="277"/>
      <c r="DJ405" s="277"/>
      <c r="DK405" s="277"/>
      <c r="DL405" s="277"/>
      <c r="DM405" s="277"/>
      <c r="DN405" s="277"/>
      <c r="DO405" s="277"/>
      <c r="DP405" s="277"/>
      <c r="DQ405" s="277"/>
      <c r="DR405" s="277"/>
      <c r="DS405" s="277"/>
      <c r="DT405" s="277"/>
      <c r="DU405" s="277"/>
      <c r="DV405" s="277"/>
      <c r="DW405" s="277"/>
      <c r="DX405" s="277"/>
      <c r="DY405" s="277"/>
      <c r="DZ405" s="277"/>
      <c r="EA405" s="277"/>
      <c r="EB405" s="277"/>
      <c r="EC405" s="277"/>
      <c r="ED405" s="277"/>
      <c r="EE405" s="277"/>
      <c r="EF405" s="277"/>
      <c r="EG405" s="277"/>
      <c r="EH405" s="277"/>
      <c r="EI405" s="277"/>
      <c r="EJ405" s="277"/>
      <c r="EK405" s="277"/>
      <c r="EL405" s="277"/>
      <c r="EM405" s="277"/>
      <c r="EN405" s="277"/>
      <c r="EO405" s="277"/>
      <c r="EP405" s="277"/>
      <c r="EQ405" s="277"/>
      <c r="ER405" s="277"/>
      <c r="ES405" s="277"/>
      <c r="ET405" s="277"/>
      <c r="EU405" s="277"/>
      <c r="EV405" s="277"/>
      <c r="EW405" s="277"/>
      <c r="EX405" s="277"/>
      <c r="EY405" s="277"/>
      <c r="EZ405" s="277"/>
      <c r="FA405" s="277"/>
      <c r="FB405" s="277"/>
      <c r="FC405" s="277"/>
      <c r="FD405" s="277"/>
      <c r="FE405" s="277"/>
      <c r="FF405" s="277"/>
      <c r="FG405" s="277"/>
      <c r="FH405" s="277"/>
      <c r="FI405" s="277"/>
      <c r="FJ405" s="277"/>
      <c r="FK405" s="277"/>
      <c r="FL405" s="277"/>
      <c r="FM405" s="277"/>
      <c r="FN405" s="277"/>
      <c r="FO405" s="277"/>
      <c r="FP405" s="277"/>
      <c r="FQ405" s="277"/>
      <c r="FR405" s="277"/>
      <c r="FS405" s="277"/>
      <c r="FT405" s="277"/>
      <c r="FU405" s="277"/>
      <c r="FV405" s="277"/>
      <c r="FW405" s="277"/>
      <c r="FX405" s="277"/>
      <c r="FY405" s="277"/>
      <c r="FZ405" s="277"/>
      <c r="GA405" s="277"/>
      <c r="GB405" s="277"/>
      <c r="GC405" s="277"/>
      <c r="GD405" s="277"/>
      <c r="GE405" s="277"/>
      <c r="GF405" s="277"/>
      <c r="GG405" s="277"/>
      <c r="GH405" s="277"/>
      <c r="GI405" s="277"/>
      <c r="GJ405" s="277"/>
      <c r="GK405" s="277"/>
      <c r="GL405" s="277"/>
      <c r="GM405" s="277"/>
      <c r="GN405" s="277"/>
      <c r="GO405" s="277"/>
      <c r="GP405" s="277"/>
      <c r="GQ405" s="277"/>
      <c r="GR405" s="277"/>
      <c r="GS405" s="277"/>
      <c r="GT405" s="277"/>
      <c r="GU405" s="277"/>
      <c r="GV405" s="277"/>
      <c r="GW405" s="277"/>
      <c r="GX405" s="277"/>
      <c r="GY405" s="277"/>
      <c r="GZ405" s="277"/>
      <c r="HA405" s="277"/>
      <c r="HB405" s="277"/>
      <c r="HC405" s="277"/>
      <c r="HD405" s="277"/>
      <c r="HE405" s="277"/>
      <c r="HF405" s="277"/>
      <c r="HG405" s="277"/>
      <c r="HH405" s="277"/>
      <c r="HI405" s="277"/>
      <c r="HJ405" s="277"/>
      <c r="HK405" s="277"/>
      <c r="HL405" s="277"/>
      <c r="HM405" s="277"/>
      <c r="HN405" s="277"/>
      <c r="HO405" s="277"/>
      <c r="HP405" s="277"/>
      <c r="HQ405" s="277"/>
      <c r="HR405" s="277"/>
      <c r="HS405" s="277"/>
      <c r="HT405" s="277"/>
      <c r="HU405" s="277"/>
      <c r="HV405" s="277"/>
      <c r="HW405" s="277"/>
      <c r="HX405" s="277"/>
      <c r="HY405" s="277"/>
    </row>
    <row r="406" spans="1:233" s="277" customFormat="1" ht="16" thickTop="1" x14ac:dyDescent="0.35">
      <c r="B406" s="1828" t="s">
        <v>527</v>
      </c>
      <c r="C406" s="1829"/>
      <c r="D406" s="1829"/>
      <c r="E406" s="1829"/>
      <c r="F406" s="1829"/>
      <c r="G406" s="1124"/>
      <c r="H406" s="294"/>
      <c r="T406" s="294"/>
      <c r="U406" s="294"/>
      <c r="V406" s="294"/>
      <c r="W406" s="294"/>
      <c r="X406" s="294"/>
      <c r="Y406" s="294"/>
      <c r="Z406" s="294"/>
      <c r="AA406" s="294"/>
      <c r="AB406" s="294"/>
    </row>
    <row r="407" spans="1:233" ht="13" x14ac:dyDescent="0.3">
      <c r="A407" s="277"/>
      <c r="B407" s="1125" t="s">
        <v>235</v>
      </c>
      <c r="C407" s="979">
        <f>C405-C408</f>
        <v>88.676436649160593</v>
      </c>
      <c r="D407" s="979">
        <f>D405-D408</f>
        <v>19.737716478614736</v>
      </c>
      <c r="E407" s="979">
        <f>E405-E408</f>
        <v>1583.299792385965</v>
      </c>
      <c r="F407" s="1126">
        <f>F405-F408</f>
        <v>1087.3737754112346</v>
      </c>
      <c r="G407" s="1113">
        <f>G405-G408</f>
        <v>6.8188856755871949</v>
      </c>
      <c r="H407" s="1011"/>
      <c r="I407" s="277"/>
      <c r="J407" s="277"/>
      <c r="K407" s="277"/>
      <c r="L407" s="277"/>
      <c r="M407" s="277"/>
      <c r="N407" s="277"/>
      <c r="O407" s="277"/>
      <c r="P407" s="277"/>
      <c r="Q407" s="277"/>
      <c r="R407" s="277"/>
      <c r="S407" s="277"/>
      <c r="T407" s="294"/>
      <c r="U407" s="294"/>
      <c r="V407" s="294"/>
      <c r="W407" s="294"/>
      <c r="X407" s="294"/>
      <c r="Y407" s="294"/>
      <c r="Z407" s="294"/>
      <c r="AA407" s="294"/>
      <c r="AB407" s="294"/>
      <c r="AC407" s="277"/>
      <c r="AD407" s="277"/>
      <c r="AE407" s="277"/>
      <c r="AF407" s="277"/>
      <c r="AG407" s="277"/>
      <c r="AH407" s="277"/>
      <c r="AI407" s="277"/>
      <c r="AJ407" s="277"/>
      <c r="AK407" s="277"/>
      <c r="AL407" s="277"/>
      <c r="AM407" s="277"/>
      <c r="AN407" s="277"/>
      <c r="AO407" s="277"/>
      <c r="AP407" s="277"/>
      <c r="AQ407" s="277"/>
      <c r="AR407" s="277"/>
      <c r="AS407" s="277"/>
      <c r="AT407" s="277"/>
      <c r="AU407" s="277"/>
      <c r="AV407" s="277"/>
      <c r="AW407" s="277"/>
      <c r="AX407" s="277"/>
      <c r="AY407" s="277"/>
      <c r="AZ407" s="277"/>
      <c r="BA407" s="277"/>
      <c r="BB407" s="277"/>
      <c r="BC407" s="277"/>
      <c r="BD407" s="277"/>
      <c r="BE407" s="277"/>
      <c r="BF407" s="277"/>
      <c r="BG407" s="277"/>
      <c r="BH407" s="277"/>
      <c r="BI407" s="277"/>
      <c r="BJ407" s="277"/>
      <c r="BK407" s="277"/>
      <c r="BL407" s="277"/>
      <c r="BM407" s="277"/>
      <c r="BN407" s="277"/>
      <c r="BO407" s="277"/>
      <c r="BP407" s="277"/>
      <c r="BQ407" s="277"/>
      <c r="BR407" s="277"/>
      <c r="BS407" s="277"/>
      <c r="BT407" s="277"/>
      <c r="BU407" s="277"/>
      <c r="BV407" s="277"/>
      <c r="BW407" s="277"/>
      <c r="BX407" s="277"/>
      <c r="BY407" s="277"/>
      <c r="BZ407" s="277"/>
      <c r="CA407" s="277"/>
      <c r="CB407" s="277"/>
      <c r="CC407" s="277"/>
      <c r="CD407" s="277"/>
      <c r="CE407" s="277"/>
      <c r="CF407" s="277"/>
      <c r="CG407" s="277"/>
      <c r="CH407" s="277"/>
      <c r="CI407" s="277"/>
      <c r="CJ407" s="277"/>
      <c r="CK407" s="277"/>
      <c r="CL407" s="277"/>
      <c r="CM407" s="277"/>
      <c r="CN407" s="277"/>
      <c r="CO407" s="277"/>
      <c r="CP407" s="277"/>
      <c r="CQ407" s="277"/>
      <c r="CR407" s="277"/>
      <c r="CS407" s="277"/>
      <c r="CT407" s="277"/>
      <c r="CU407" s="277"/>
      <c r="CV407" s="277"/>
      <c r="CW407" s="277"/>
      <c r="CX407" s="277"/>
      <c r="CY407" s="277"/>
      <c r="CZ407" s="277"/>
      <c r="DA407" s="277"/>
      <c r="DB407" s="277"/>
      <c r="DC407" s="277"/>
      <c r="DD407" s="277"/>
      <c r="DE407" s="277"/>
      <c r="DF407" s="277"/>
      <c r="DG407" s="277"/>
      <c r="DH407" s="277"/>
      <c r="DI407" s="277"/>
      <c r="DJ407" s="277"/>
      <c r="DK407" s="277"/>
      <c r="DL407" s="277"/>
      <c r="DM407" s="277"/>
      <c r="DN407" s="277"/>
      <c r="DO407" s="277"/>
      <c r="DP407" s="277"/>
      <c r="DQ407" s="277"/>
      <c r="DR407" s="277"/>
      <c r="DS407" s="277"/>
      <c r="DT407" s="277"/>
      <c r="DU407" s="277"/>
      <c r="DV407" s="277"/>
      <c r="DW407" s="277"/>
      <c r="DX407" s="277"/>
      <c r="DY407" s="277"/>
      <c r="DZ407" s="277"/>
      <c r="EA407" s="277"/>
      <c r="EB407" s="277"/>
      <c r="EC407" s="277"/>
      <c r="ED407" s="277"/>
      <c r="EE407" s="277"/>
      <c r="EF407" s="277"/>
      <c r="EG407" s="277"/>
      <c r="EH407" s="277"/>
      <c r="EI407" s="277"/>
      <c r="EJ407" s="277"/>
      <c r="EK407" s="277"/>
      <c r="EL407" s="277"/>
      <c r="EM407" s="277"/>
      <c r="EN407" s="277"/>
      <c r="EO407" s="277"/>
      <c r="EP407" s="277"/>
      <c r="EQ407" s="277"/>
      <c r="ER407" s="277"/>
      <c r="ES407" s="277"/>
      <c r="ET407" s="277"/>
      <c r="EU407" s="277"/>
      <c r="EV407" s="277"/>
      <c r="EW407" s="277"/>
      <c r="EX407" s="277"/>
      <c r="EY407" s="277"/>
      <c r="EZ407" s="277"/>
      <c r="FA407" s="277"/>
      <c r="FB407" s="277"/>
      <c r="FC407" s="277"/>
      <c r="FD407" s="277"/>
      <c r="FE407" s="277"/>
      <c r="FF407" s="277"/>
      <c r="FG407" s="277"/>
      <c r="FH407" s="277"/>
      <c r="FI407" s="277"/>
      <c r="FJ407" s="277"/>
      <c r="FK407" s="277"/>
      <c r="FL407" s="277"/>
      <c r="FM407" s="277"/>
      <c r="FN407" s="277"/>
      <c r="FO407" s="277"/>
      <c r="FP407" s="277"/>
      <c r="FQ407" s="277"/>
      <c r="FR407" s="277"/>
      <c r="FS407" s="277"/>
      <c r="FT407" s="277"/>
      <c r="FU407" s="277"/>
      <c r="FV407" s="277"/>
      <c r="FW407" s="277"/>
      <c r="FX407" s="277"/>
      <c r="FY407" s="277"/>
      <c r="FZ407" s="277"/>
      <c r="GA407" s="277"/>
      <c r="GB407" s="277"/>
      <c r="GC407" s="277"/>
      <c r="GD407" s="277"/>
      <c r="GE407" s="277"/>
      <c r="GF407" s="277"/>
      <c r="GG407" s="277"/>
      <c r="GH407" s="277"/>
      <c r="GI407" s="277"/>
      <c r="GJ407" s="277"/>
      <c r="GK407" s="277"/>
      <c r="GL407" s="277"/>
      <c r="GM407" s="277"/>
      <c r="GN407" s="277"/>
      <c r="GO407" s="277"/>
      <c r="GP407" s="277"/>
      <c r="GQ407" s="277"/>
      <c r="GR407" s="277"/>
      <c r="GS407" s="277"/>
      <c r="GT407" s="277"/>
      <c r="GU407" s="277"/>
      <c r="GV407" s="277"/>
      <c r="GW407" s="277"/>
      <c r="GX407" s="277"/>
      <c r="GY407" s="277"/>
      <c r="GZ407" s="277"/>
      <c r="HA407" s="277"/>
      <c r="HB407" s="277"/>
      <c r="HC407" s="277"/>
      <c r="HD407" s="277"/>
      <c r="HE407" s="277"/>
      <c r="HF407" s="277"/>
      <c r="HG407" s="277"/>
      <c r="HH407" s="277"/>
      <c r="HI407" s="277"/>
      <c r="HJ407" s="277"/>
      <c r="HK407" s="277"/>
      <c r="HL407" s="277"/>
      <c r="HM407" s="277"/>
      <c r="HN407" s="277"/>
      <c r="HO407" s="277"/>
      <c r="HP407" s="277"/>
      <c r="HQ407" s="277"/>
      <c r="HR407" s="277"/>
      <c r="HS407" s="277"/>
      <c r="HT407" s="277"/>
      <c r="HU407" s="277"/>
      <c r="HV407" s="277"/>
      <c r="HW407" s="277"/>
      <c r="HX407" s="277"/>
      <c r="HY407" s="277"/>
    </row>
    <row r="408" spans="1:233" ht="13.5" thickBot="1" x14ac:dyDescent="0.35">
      <c r="A408" s="277"/>
      <c r="B408" s="1127" t="s">
        <v>522</v>
      </c>
      <c r="C408" s="1128">
        <f>C404+C395+C399+C401/2+C402</f>
        <v>0</v>
      </c>
      <c r="D408" s="1128">
        <f>D404+D395+D399+D401/2+D402</f>
        <v>0</v>
      </c>
      <c r="E408" s="1128">
        <f>E404+E395+E399+E401/2+E402</f>
        <v>0</v>
      </c>
      <c r="F408" s="1129">
        <f>F404+F395+F399+F401/2+F402</f>
        <v>0</v>
      </c>
      <c r="G408" s="1130">
        <f>G404+G395+G399+G401/2+G402</f>
        <v>0</v>
      </c>
      <c r="H408" s="294"/>
      <c r="I408" s="277"/>
      <c r="J408" s="277"/>
      <c r="K408" s="277"/>
      <c r="L408" s="277"/>
      <c r="M408" s="277"/>
      <c r="N408" s="277"/>
      <c r="O408" s="277"/>
      <c r="P408" s="277"/>
      <c r="Q408" s="277"/>
      <c r="R408" s="277"/>
      <c r="S408" s="277"/>
      <c r="T408" s="294"/>
      <c r="U408" s="294"/>
      <c r="V408" s="294"/>
      <c r="W408" s="294"/>
      <c r="X408" s="294"/>
      <c r="Y408" s="294"/>
      <c r="Z408" s="294"/>
      <c r="AA408" s="294"/>
      <c r="AB408" s="294"/>
      <c r="AC408" s="277"/>
      <c r="AD408" s="277"/>
      <c r="AE408" s="277"/>
      <c r="AF408" s="277"/>
      <c r="AG408" s="277"/>
      <c r="AH408" s="277"/>
      <c r="AI408" s="277"/>
      <c r="AJ408" s="277"/>
      <c r="AK408" s="277"/>
      <c r="AL408" s="277"/>
      <c r="AM408" s="277"/>
      <c r="AN408" s="277"/>
      <c r="AO408" s="277"/>
      <c r="AP408" s="277"/>
      <c r="AQ408" s="277"/>
      <c r="AR408" s="277"/>
      <c r="AS408" s="277"/>
      <c r="AT408" s="277"/>
      <c r="AU408" s="277"/>
      <c r="AV408" s="277"/>
      <c r="AW408" s="277"/>
      <c r="AX408" s="277"/>
      <c r="AY408" s="277"/>
      <c r="AZ408" s="277"/>
      <c r="BA408" s="277"/>
      <c r="BB408" s="277"/>
      <c r="BC408" s="277"/>
      <c r="BD408" s="277"/>
      <c r="BE408" s="277"/>
      <c r="BF408" s="277"/>
      <c r="BG408" s="277"/>
      <c r="BH408" s="277"/>
      <c r="BI408" s="277"/>
      <c r="BJ408" s="277"/>
      <c r="BK408" s="277"/>
      <c r="BL408" s="277"/>
      <c r="BM408" s="277"/>
      <c r="BN408" s="277"/>
      <c r="BO408" s="277"/>
      <c r="BP408" s="277"/>
      <c r="BQ408" s="277"/>
      <c r="BR408" s="277"/>
      <c r="BS408" s="277"/>
      <c r="BT408" s="277"/>
      <c r="BU408" s="277"/>
      <c r="BV408" s="277"/>
      <c r="BW408" s="277"/>
      <c r="BX408" s="277"/>
      <c r="BY408" s="277"/>
      <c r="BZ408" s="277"/>
      <c r="CA408" s="277"/>
      <c r="CB408" s="277"/>
      <c r="CC408" s="277"/>
      <c r="CD408" s="277"/>
      <c r="CE408" s="277"/>
      <c r="CF408" s="277"/>
      <c r="CG408" s="277"/>
      <c r="CH408" s="277"/>
      <c r="CI408" s="277"/>
      <c r="CJ408" s="277"/>
      <c r="CK408" s="277"/>
      <c r="CL408" s="277"/>
      <c r="CM408" s="277"/>
      <c r="CN408" s="277"/>
      <c r="CO408" s="277"/>
      <c r="CP408" s="277"/>
      <c r="CQ408" s="277"/>
      <c r="CR408" s="277"/>
      <c r="CS408" s="277"/>
      <c r="CT408" s="277"/>
      <c r="CU408" s="277"/>
      <c r="CV408" s="277"/>
      <c r="CW408" s="277"/>
      <c r="CX408" s="277"/>
      <c r="CY408" s="277"/>
      <c r="CZ408" s="277"/>
      <c r="DA408" s="277"/>
      <c r="DB408" s="277"/>
      <c r="DC408" s="277"/>
      <c r="DD408" s="277"/>
      <c r="DE408" s="277"/>
      <c r="DF408" s="277"/>
      <c r="DG408" s="277"/>
      <c r="DH408" s="277"/>
      <c r="DI408" s="277"/>
      <c r="DJ408" s="277"/>
      <c r="DK408" s="277"/>
      <c r="DL408" s="277"/>
      <c r="DM408" s="277"/>
      <c r="DN408" s="277"/>
      <c r="DO408" s="277"/>
      <c r="DP408" s="277"/>
      <c r="DQ408" s="277"/>
      <c r="DR408" s="277"/>
      <c r="DS408" s="277"/>
      <c r="DT408" s="277"/>
      <c r="DU408" s="277"/>
      <c r="DV408" s="277"/>
      <c r="DW408" s="277"/>
      <c r="DX408" s="277"/>
      <c r="DY408" s="277"/>
      <c r="DZ408" s="277"/>
      <c r="EA408" s="277"/>
      <c r="EB408" s="277"/>
      <c r="EC408" s="277"/>
      <c r="ED408" s="277"/>
      <c r="EE408" s="277"/>
      <c r="EF408" s="277"/>
      <c r="EG408" s="277"/>
      <c r="EH408" s="277"/>
      <c r="EI408" s="277"/>
      <c r="EJ408" s="277"/>
      <c r="EK408" s="277"/>
      <c r="EL408" s="277"/>
      <c r="EM408" s="277"/>
      <c r="EN408" s="277"/>
      <c r="EO408" s="277"/>
      <c r="EP408" s="277"/>
      <c r="EQ408" s="277"/>
      <c r="ER408" s="277"/>
      <c r="ES408" s="277"/>
      <c r="ET408" s="277"/>
      <c r="EU408" s="277"/>
      <c r="EV408" s="277"/>
      <c r="EW408" s="277"/>
      <c r="EX408" s="277"/>
      <c r="EY408" s="277"/>
      <c r="EZ408" s="277"/>
      <c r="FA408" s="277"/>
      <c r="FB408" s="277"/>
      <c r="FC408" s="277"/>
      <c r="FD408" s="277"/>
      <c r="FE408" s="277"/>
      <c r="FF408" s="277"/>
      <c r="FG408" s="277"/>
      <c r="FH408" s="277"/>
      <c r="FI408" s="277"/>
      <c r="FJ408" s="277"/>
      <c r="FK408" s="277"/>
      <c r="FL408" s="277"/>
      <c r="FM408" s="277"/>
      <c r="FN408" s="277"/>
      <c r="FO408" s="277"/>
      <c r="FP408" s="277"/>
      <c r="FQ408" s="277"/>
      <c r="FR408" s="277"/>
      <c r="FS408" s="277"/>
      <c r="FT408" s="277"/>
      <c r="FU408" s="277"/>
      <c r="FV408" s="277"/>
      <c r="FW408" s="277"/>
      <c r="FX408" s="277"/>
      <c r="FY408" s="277"/>
      <c r="FZ408" s="277"/>
      <c r="GA408" s="277"/>
      <c r="GB408" s="277"/>
      <c r="GC408" s="277"/>
      <c r="GD408" s="277"/>
      <c r="GE408" s="277"/>
      <c r="GF408" s="277"/>
      <c r="GG408" s="277"/>
      <c r="GH408" s="277"/>
      <c r="GI408" s="277"/>
      <c r="GJ408" s="277"/>
      <c r="GK408" s="277"/>
      <c r="GL408" s="277"/>
      <c r="GM408" s="277"/>
      <c r="GN408" s="277"/>
      <c r="GO408" s="277"/>
      <c r="GP408" s="277"/>
      <c r="GQ408" s="277"/>
      <c r="GR408" s="277"/>
      <c r="GS408" s="277"/>
      <c r="GT408" s="277"/>
      <c r="GU408" s="277"/>
      <c r="GV408" s="277"/>
      <c r="GW408" s="277"/>
      <c r="GX408" s="277"/>
      <c r="GY408" s="277"/>
      <c r="GZ408" s="277"/>
      <c r="HA408" s="277"/>
      <c r="HB408" s="277"/>
      <c r="HC408" s="277"/>
      <c r="HD408" s="277"/>
      <c r="HE408" s="277"/>
      <c r="HF408" s="277"/>
      <c r="HG408" s="277"/>
      <c r="HH408" s="277"/>
      <c r="HI408" s="277"/>
      <c r="HJ408" s="277"/>
      <c r="HK408" s="277"/>
      <c r="HL408" s="277"/>
      <c r="HM408" s="277"/>
      <c r="HN408" s="277"/>
      <c r="HO408" s="277"/>
      <c r="HP408" s="277"/>
      <c r="HQ408" s="277"/>
      <c r="HR408" s="277"/>
      <c r="HS408" s="277"/>
      <c r="HT408" s="277"/>
      <c r="HU408" s="277"/>
      <c r="HV408" s="277"/>
      <c r="HW408" s="277"/>
      <c r="HX408" s="277"/>
      <c r="HY408" s="277"/>
    </row>
    <row r="409" spans="1:233" ht="13" x14ac:dyDescent="0.3">
      <c r="A409" s="277"/>
      <c r="B409" s="1131" t="s">
        <v>631</v>
      </c>
      <c r="C409" s="1132">
        <f>C405</f>
        <v>88.676436649160593</v>
      </c>
      <c r="D409" s="1132">
        <f>D405</f>
        <v>19.737716478614736</v>
      </c>
      <c r="E409" s="1132">
        <f>E405</f>
        <v>1583.299792385965</v>
      </c>
      <c r="F409" s="1132">
        <f>F405</f>
        <v>1087.3737754112346</v>
      </c>
      <c r="G409" s="1133">
        <f>G405</f>
        <v>6.8188856755871949</v>
      </c>
      <c r="H409" s="986"/>
      <c r="I409" s="277"/>
      <c r="J409" s="277"/>
      <c r="K409" s="277"/>
      <c r="L409" s="277"/>
      <c r="M409" s="277"/>
      <c r="N409" s="277"/>
      <c r="O409" s="277"/>
      <c r="P409" s="277"/>
      <c r="Q409" s="277"/>
      <c r="R409" s="277"/>
      <c r="S409" s="277"/>
      <c r="T409" s="294"/>
      <c r="U409" s="294"/>
      <c r="V409" s="294"/>
      <c r="W409" s="294"/>
      <c r="X409" s="294"/>
      <c r="Y409" s="294"/>
      <c r="Z409" s="294"/>
      <c r="AA409" s="294"/>
      <c r="AB409" s="294"/>
      <c r="AC409" s="277"/>
      <c r="AD409" s="277"/>
      <c r="AE409" s="277"/>
      <c r="AF409" s="277"/>
      <c r="AG409" s="277"/>
      <c r="AH409" s="277"/>
      <c r="AI409" s="277"/>
      <c r="AJ409" s="277"/>
      <c r="AK409" s="277"/>
      <c r="AL409" s="277"/>
      <c r="AM409" s="277"/>
      <c r="AN409" s="277"/>
      <c r="AO409" s="277"/>
      <c r="AP409" s="277"/>
      <c r="AQ409" s="277"/>
      <c r="AR409" s="277"/>
      <c r="AS409" s="277"/>
      <c r="AT409" s="277"/>
      <c r="AU409" s="277"/>
      <c r="AV409" s="277"/>
      <c r="AW409" s="277"/>
      <c r="AX409" s="277"/>
      <c r="AY409" s="277"/>
      <c r="AZ409" s="277"/>
      <c r="BA409" s="277"/>
      <c r="BB409" s="277"/>
      <c r="BC409" s="277"/>
      <c r="BD409" s="277"/>
      <c r="BE409" s="277"/>
      <c r="BF409" s="277"/>
      <c r="BG409" s="277"/>
      <c r="BH409" s="277"/>
      <c r="BI409" s="277"/>
      <c r="BJ409" s="277"/>
      <c r="BK409" s="277"/>
      <c r="BL409" s="277"/>
      <c r="BM409" s="277"/>
      <c r="BN409" s="277"/>
      <c r="BO409" s="277"/>
      <c r="BP409" s="277"/>
      <c r="BQ409" s="277"/>
      <c r="BR409" s="277"/>
      <c r="BS409" s="277"/>
      <c r="BT409" s="277"/>
      <c r="BU409" s="277"/>
      <c r="BV409" s="277"/>
      <c r="BW409" s="277"/>
      <c r="BX409" s="277"/>
      <c r="BY409" s="277"/>
      <c r="BZ409" s="277"/>
      <c r="CA409" s="277"/>
      <c r="CB409" s="277"/>
      <c r="CC409" s="277"/>
      <c r="CD409" s="277"/>
      <c r="CE409" s="277"/>
      <c r="CF409" s="277"/>
      <c r="CG409" s="277"/>
      <c r="CH409" s="277"/>
      <c r="CI409" s="277"/>
      <c r="CJ409" s="277"/>
      <c r="CK409" s="277"/>
      <c r="CL409" s="277"/>
      <c r="CM409" s="277"/>
      <c r="CN409" s="277"/>
      <c r="CO409" s="277"/>
      <c r="CP409" s="277"/>
      <c r="CQ409" s="277"/>
      <c r="CR409" s="277"/>
      <c r="CS409" s="277"/>
      <c r="CT409" s="277"/>
      <c r="CU409" s="277"/>
      <c r="CV409" s="277"/>
      <c r="CW409" s="277"/>
      <c r="CX409" s="277"/>
      <c r="CY409" s="277"/>
      <c r="CZ409" s="277"/>
      <c r="DA409" s="277"/>
      <c r="DB409" s="277"/>
      <c r="DC409" s="277"/>
      <c r="DD409" s="277"/>
      <c r="DE409" s="277"/>
      <c r="DF409" s="277"/>
      <c r="DG409" s="277"/>
      <c r="DH409" s="277"/>
      <c r="DI409" s="277"/>
      <c r="DJ409" s="277"/>
      <c r="DK409" s="277"/>
      <c r="DL409" s="277"/>
      <c r="DM409" s="277"/>
      <c r="DN409" s="277"/>
      <c r="DO409" s="277"/>
      <c r="DP409" s="277"/>
      <c r="DQ409" s="277"/>
      <c r="DR409" s="277"/>
      <c r="DS409" s="277"/>
      <c r="DT409" s="277"/>
      <c r="DU409" s="277"/>
      <c r="DV409" s="277"/>
      <c r="DW409" s="277"/>
      <c r="DX409" s="277"/>
      <c r="DY409" s="277"/>
      <c r="DZ409" s="277"/>
      <c r="EA409" s="277"/>
      <c r="EB409" s="277"/>
      <c r="EC409" s="277"/>
      <c r="ED409" s="277"/>
      <c r="EE409" s="277"/>
      <c r="EF409" s="277"/>
      <c r="EG409" s="277"/>
      <c r="EH409" s="277"/>
      <c r="EI409" s="277"/>
      <c r="EJ409" s="277"/>
      <c r="EK409" s="277"/>
      <c r="EL409" s="277"/>
      <c r="EM409" s="277"/>
      <c r="EN409" s="277"/>
      <c r="EO409" s="277"/>
      <c r="EP409" s="277"/>
      <c r="EQ409" s="277"/>
      <c r="ER409" s="277"/>
      <c r="ES409" s="277"/>
      <c r="ET409" s="277"/>
      <c r="EU409" s="277"/>
      <c r="EV409" s="277"/>
      <c r="EW409" s="277"/>
      <c r="EX409" s="277"/>
      <c r="EY409" s="277"/>
      <c r="EZ409" s="277"/>
      <c r="FA409" s="277"/>
      <c r="FB409" s="277"/>
      <c r="FC409" s="277"/>
      <c r="FD409" s="277"/>
      <c r="FE409" s="277"/>
      <c r="FF409" s="277"/>
      <c r="FG409" s="277"/>
      <c r="FH409" s="277"/>
      <c r="FI409" s="277"/>
      <c r="FJ409" s="277"/>
      <c r="FK409" s="277"/>
      <c r="FL409" s="277"/>
      <c r="FM409" s="277"/>
      <c r="FN409" s="277"/>
      <c r="FO409" s="277"/>
      <c r="FP409" s="277"/>
      <c r="FQ409" s="277"/>
      <c r="FR409" s="277"/>
      <c r="FS409" s="277"/>
      <c r="FT409" s="277"/>
      <c r="FU409" s="277"/>
      <c r="FV409" s="277"/>
      <c r="FW409" s="277"/>
      <c r="FX409" s="277"/>
      <c r="FY409" s="277"/>
      <c r="FZ409" s="277"/>
      <c r="GA409" s="277"/>
      <c r="GB409" s="277"/>
      <c r="GC409" s="277"/>
      <c r="GD409" s="277"/>
      <c r="GE409" s="277"/>
      <c r="GF409" s="277"/>
      <c r="GG409" s="277"/>
      <c r="GH409" s="277"/>
      <c r="GI409" s="277"/>
      <c r="GJ409" s="277"/>
      <c r="GK409" s="277"/>
      <c r="GL409" s="277"/>
      <c r="GM409" s="277"/>
      <c r="GN409" s="277"/>
      <c r="GO409" s="277"/>
      <c r="GP409" s="277"/>
      <c r="GQ409" s="277"/>
      <c r="GR409" s="277"/>
      <c r="GS409" s="277"/>
      <c r="GT409" s="277"/>
      <c r="GU409" s="277"/>
      <c r="GV409" s="277"/>
      <c r="GW409" s="277"/>
      <c r="GX409" s="277"/>
      <c r="GY409" s="277"/>
      <c r="GZ409" s="277"/>
      <c r="HA409" s="277"/>
      <c r="HB409" s="277"/>
      <c r="HC409" s="277"/>
      <c r="HD409" s="277"/>
      <c r="HE409" s="277"/>
      <c r="HF409" s="277"/>
      <c r="HG409" s="277"/>
      <c r="HH409" s="277"/>
      <c r="HI409" s="277"/>
      <c r="HJ409" s="277"/>
      <c r="HK409" s="277"/>
      <c r="HL409" s="277"/>
      <c r="HM409" s="277"/>
      <c r="HN409" s="277"/>
      <c r="HO409" s="277"/>
      <c r="HP409" s="277"/>
      <c r="HQ409" s="277"/>
      <c r="HR409" s="277"/>
      <c r="HS409" s="277"/>
      <c r="HT409" s="277"/>
      <c r="HU409" s="277"/>
      <c r="HV409" s="277"/>
      <c r="HW409" s="277"/>
      <c r="HX409" s="277"/>
      <c r="HY409" s="277"/>
    </row>
    <row r="410" spans="1:233" ht="15.5" x14ac:dyDescent="0.35">
      <c r="A410" s="277"/>
      <c r="B410" s="1910" t="s">
        <v>535</v>
      </c>
      <c r="C410" s="1911"/>
      <c r="D410" s="1911"/>
      <c r="E410" s="1911"/>
      <c r="F410" s="1911"/>
      <c r="G410" s="1912"/>
      <c r="H410" s="294"/>
      <c r="I410" s="277"/>
      <c r="J410" s="277"/>
      <c r="K410" s="277"/>
      <c r="L410" s="277"/>
      <c r="M410" s="277"/>
      <c r="N410" s="277"/>
      <c r="O410" s="277"/>
      <c r="P410" s="277"/>
      <c r="Q410" s="277"/>
      <c r="R410" s="277"/>
      <c r="S410" s="277"/>
      <c r="T410" s="294"/>
      <c r="U410" s="294"/>
      <c r="V410" s="294"/>
      <c r="W410" s="294"/>
      <c r="X410" s="294"/>
      <c r="Y410" s="294"/>
      <c r="Z410" s="294"/>
      <c r="AA410" s="294"/>
      <c r="AB410" s="294"/>
      <c r="AC410" s="277"/>
      <c r="AD410" s="277"/>
      <c r="AE410" s="277"/>
      <c r="AF410" s="277"/>
      <c r="AG410" s="277"/>
      <c r="AH410" s="277"/>
      <c r="AI410" s="277"/>
      <c r="AJ410" s="277"/>
      <c r="AK410" s="277"/>
      <c r="AL410" s="277"/>
      <c r="AM410" s="277"/>
      <c r="AN410" s="277"/>
      <c r="AO410" s="277"/>
      <c r="AP410" s="277"/>
      <c r="AQ410" s="277"/>
      <c r="AR410" s="277"/>
      <c r="AS410" s="277"/>
      <c r="AT410" s="277"/>
      <c r="AU410" s="277"/>
      <c r="AV410" s="277"/>
      <c r="AW410" s="277"/>
      <c r="AX410" s="277"/>
      <c r="AY410" s="277"/>
      <c r="AZ410" s="277"/>
      <c r="BA410" s="277"/>
      <c r="BB410" s="277"/>
      <c r="BC410" s="277"/>
      <c r="BD410" s="277"/>
      <c r="BE410" s="277"/>
      <c r="BF410" s="277"/>
      <c r="BG410" s="277"/>
      <c r="BH410" s="277"/>
      <c r="BI410" s="277"/>
      <c r="BJ410" s="277"/>
      <c r="BK410" s="277"/>
      <c r="BL410" s="277"/>
      <c r="BM410" s="277"/>
      <c r="BN410" s="277"/>
      <c r="BO410" s="277"/>
      <c r="BP410" s="277"/>
      <c r="BQ410" s="277"/>
      <c r="BR410" s="277"/>
      <c r="BS410" s="277"/>
      <c r="BT410" s="277"/>
      <c r="BU410" s="277"/>
      <c r="BV410" s="277"/>
      <c r="BW410" s="277"/>
      <c r="BX410" s="277"/>
      <c r="BY410" s="277"/>
      <c r="BZ410" s="277"/>
      <c r="CA410" s="277"/>
      <c r="CB410" s="277"/>
      <c r="CC410" s="277"/>
      <c r="CD410" s="277"/>
      <c r="CE410" s="277"/>
      <c r="CF410" s="277"/>
      <c r="CG410" s="277"/>
      <c r="CH410" s="277"/>
      <c r="CI410" s="277"/>
      <c r="CJ410" s="277"/>
      <c r="CK410" s="277"/>
      <c r="CL410" s="277"/>
      <c r="CM410" s="277"/>
      <c r="CN410" s="277"/>
      <c r="CO410" s="277"/>
      <c r="CP410" s="277"/>
      <c r="CQ410" s="277"/>
      <c r="CR410" s="277"/>
      <c r="CS410" s="277"/>
      <c r="CT410" s="277"/>
      <c r="CU410" s="277"/>
      <c r="CV410" s="277"/>
      <c r="CW410" s="277"/>
      <c r="CX410" s="277"/>
      <c r="CY410" s="277"/>
      <c r="CZ410" s="277"/>
      <c r="DA410" s="277"/>
      <c r="DB410" s="277"/>
      <c r="DC410" s="277"/>
      <c r="DD410" s="277"/>
      <c r="DE410" s="277"/>
      <c r="DF410" s="277"/>
      <c r="DG410" s="277"/>
      <c r="DH410" s="277"/>
      <c r="DI410" s="277"/>
      <c r="DJ410" s="277"/>
      <c r="DK410" s="277"/>
      <c r="DL410" s="277"/>
      <c r="DM410" s="277"/>
      <c r="DN410" s="277"/>
      <c r="DO410" s="277"/>
      <c r="DP410" s="277"/>
      <c r="DQ410" s="277"/>
      <c r="DR410" s="277"/>
      <c r="DS410" s="277"/>
      <c r="DT410" s="277"/>
      <c r="DU410" s="277"/>
      <c r="DV410" s="277"/>
      <c r="DW410" s="277"/>
      <c r="DX410" s="277"/>
      <c r="DY410" s="277"/>
      <c r="DZ410" s="277"/>
      <c r="EA410" s="277"/>
      <c r="EB410" s="277"/>
      <c r="EC410" s="277"/>
      <c r="ED410" s="277"/>
      <c r="EE410" s="277"/>
      <c r="EF410" s="277"/>
      <c r="EG410" s="277"/>
      <c r="EH410" s="277"/>
      <c r="EI410" s="277"/>
      <c r="EJ410" s="277"/>
      <c r="EK410" s="277"/>
      <c r="EL410" s="277"/>
      <c r="EM410" s="277"/>
      <c r="EN410" s="277"/>
      <c r="EO410" s="277"/>
      <c r="EP410" s="277"/>
      <c r="EQ410" s="277"/>
      <c r="ER410" s="277"/>
      <c r="ES410" s="277"/>
      <c r="ET410" s="277"/>
      <c r="EU410" s="277"/>
      <c r="EV410" s="277"/>
      <c r="EW410" s="277"/>
      <c r="EX410" s="277"/>
      <c r="EY410" s="277"/>
      <c r="EZ410" s="277"/>
      <c r="FA410" s="277"/>
      <c r="FB410" s="277"/>
      <c r="FC410" s="277"/>
      <c r="FD410" s="277"/>
      <c r="FE410" s="277"/>
      <c r="FF410" s="277"/>
      <c r="FG410" s="277"/>
      <c r="FH410" s="277"/>
      <c r="FI410" s="277"/>
      <c r="FJ410" s="277"/>
      <c r="FK410" s="277"/>
      <c r="FL410" s="277"/>
      <c r="FM410" s="277"/>
      <c r="FN410" s="277"/>
      <c r="FO410" s="277"/>
      <c r="FP410" s="277"/>
      <c r="FQ410" s="277"/>
      <c r="FR410" s="277"/>
      <c r="FS410" s="277"/>
      <c r="FT410" s="277"/>
      <c r="FU410" s="277"/>
      <c r="FV410" s="277"/>
      <c r="FW410" s="277"/>
      <c r="FX410" s="277"/>
      <c r="FY410" s="277"/>
      <c r="FZ410" s="277"/>
      <c r="GA410" s="277"/>
      <c r="GB410" s="277"/>
      <c r="GC410" s="277"/>
      <c r="GD410" s="277"/>
      <c r="GE410" s="277"/>
      <c r="GF410" s="277"/>
      <c r="GG410" s="277"/>
      <c r="GH410" s="277"/>
      <c r="GI410" s="277"/>
      <c r="GJ410" s="277"/>
      <c r="GK410" s="277"/>
      <c r="GL410" s="277"/>
      <c r="GM410" s="277"/>
      <c r="GN410" s="277"/>
      <c r="GO410" s="277"/>
      <c r="GP410" s="277"/>
      <c r="GQ410" s="277"/>
      <c r="GR410" s="277"/>
      <c r="GS410" s="277"/>
      <c r="GT410" s="277"/>
      <c r="GU410" s="277"/>
      <c r="GV410" s="277"/>
      <c r="GW410" s="277"/>
      <c r="GX410" s="277"/>
      <c r="GY410" s="277"/>
      <c r="GZ410" s="277"/>
      <c r="HA410" s="277"/>
      <c r="HB410" s="277"/>
      <c r="HC410" s="277"/>
      <c r="HD410" s="277"/>
      <c r="HE410" s="277"/>
      <c r="HF410" s="277"/>
      <c r="HG410" s="277"/>
      <c r="HH410" s="277"/>
      <c r="HI410" s="277"/>
      <c r="HJ410" s="277"/>
      <c r="HK410" s="277"/>
      <c r="HL410" s="277"/>
      <c r="HM410" s="277"/>
      <c r="HN410" s="277"/>
      <c r="HO410" s="277"/>
      <c r="HP410" s="277"/>
      <c r="HQ410" s="277"/>
      <c r="HR410" s="277"/>
      <c r="HS410" s="277"/>
      <c r="HT410" s="277"/>
      <c r="HU410" s="277"/>
      <c r="HV410" s="277"/>
      <c r="HW410" s="277"/>
      <c r="HX410" s="277"/>
      <c r="HY410" s="277"/>
    </row>
    <row r="411" spans="1:233" ht="13.5" customHeight="1" x14ac:dyDescent="0.3">
      <c r="A411" s="368"/>
      <c r="B411" s="1134" t="s">
        <v>632</v>
      </c>
      <c r="C411" s="1114">
        <f>C377</f>
        <v>9.8736264166806788E-11</v>
      </c>
      <c r="D411" s="1114">
        <f>D377</f>
        <v>0</v>
      </c>
      <c r="E411" s="979">
        <f>E377</f>
        <v>0</v>
      </c>
      <c r="F411" s="1114">
        <f>F377</f>
        <v>0</v>
      </c>
      <c r="G411" s="1111"/>
      <c r="H411" s="1007"/>
      <c r="I411" s="368"/>
      <c r="J411" s="368"/>
      <c r="K411" s="277"/>
      <c r="L411" s="277"/>
      <c r="M411" s="277"/>
      <c r="N411" s="277"/>
      <c r="O411" s="277"/>
      <c r="P411" s="277"/>
      <c r="Q411" s="277"/>
      <c r="R411" s="277"/>
      <c r="S411" s="277"/>
      <c r="T411" s="294"/>
      <c r="U411" s="294"/>
      <c r="V411" s="294"/>
      <c r="W411" s="294"/>
      <c r="X411" s="294"/>
      <c r="Y411" s="294"/>
      <c r="Z411" s="294"/>
      <c r="AA411" s="294"/>
      <c r="AB411" s="294"/>
      <c r="AC411" s="277"/>
      <c r="AD411" s="277"/>
      <c r="AE411" s="277"/>
      <c r="AF411" s="277"/>
      <c r="AG411" s="277"/>
      <c r="AH411" s="277"/>
      <c r="AI411" s="277"/>
      <c r="AJ411" s="277"/>
      <c r="AK411" s="277"/>
      <c r="AL411" s="277"/>
      <c r="AM411" s="277"/>
      <c r="AN411" s="277"/>
      <c r="AO411" s="277"/>
      <c r="AP411" s="277"/>
      <c r="AQ411" s="277"/>
      <c r="AR411" s="277"/>
      <c r="AS411" s="277"/>
      <c r="AT411" s="277"/>
      <c r="AU411" s="277"/>
      <c r="AV411" s="277"/>
      <c r="AW411" s="277"/>
      <c r="AX411" s="277"/>
      <c r="AY411" s="277"/>
      <c r="AZ411" s="277"/>
      <c r="BA411" s="277"/>
      <c r="BB411" s="277"/>
    </row>
    <row r="412" spans="1:233" ht="19.5" customHeight="1" x14ac:dyDescent="0.3">
      <c r="A412" s="368"/>
      <c r="B412" s="1134" t="s">
        <v>355</v>
      </c>
      <c r="C412" s="1114">
        <f>C378-'Existing Management Practices'!C192</f>
        <v>0</v>
      </c>
      <c r="D412" s="1114">
        <f>D378-'Existing Management Practices'!D192</f>
        <v>0</v>
      </c>
      <c r="E412" s="979">
        <f>E378-'Existing Management Practices'!E192</f>
        <v>0</v>
      </c>
      <c r="F412" s="1114">
        <f>F378-'Existing Management Practices'!F192</f>
        <v>0</v>
      </c>
      <c r="G412" s="1111"/>
      <c r="H412" s="1002"/>
      <c r="I412" s="1015"/>
      <c r="J412" s="1015"/>
      <c r="K412" s="1016"/>
      <c r="L412" s="1016"/>
      <c r="M412" s="1016"/>
      <c r="N412" s="1016"/>
      <c r="O412" s="1016"/>
      <c r="P412" s="1016"/>
      <c r="Q412" s="1016"/>
      <c r="R412" s="1016"/>
      <c r="S412" s="1016"/>
      <c r="T412" s="1017"/>
      <c r="U412" s="1017"/>
      <c r="V412" s="1017"/>
      <c r="W412" s="294"/>
      <c r="X412" s="294"/>
      <c r="Y412" s="294"/>
      <c r="Z412" s="294"/>
      <c r="AA412" s="294"/>
      <c r="AB412" s="294"/>
      <c r="AC412" s="277"/>
      <c r="AD412" s="277"/>
      <c r="AE412" s="277"/>
      <c r="AF412" s="277"/>
      <c r="AG412" s="277"/>
      <c r="AH412" s="277"/>
      <c r="AI412" s="277"/>
      <c r="AJ412" s="277"/>
      <c r="AK412" s="277"/>
      <c r="AL412" s="277"/>
      <c r="AM412" s="277"/>
      <c r="AN412" s="277"/>
      <c r="AO412" s="277"/>
      <c r="AP412" s="277"/>
      <c r="AQ412" s="277"/>
      <c r="AR412" s="277"/>
      <c r="AS412" s="277"/>
      <c r="AT412" s="277"/>
      <c r="AU412" s="277"/>
      <c r="AV412" s="277"/>
      <c r="AW412" s="277"/>
      <c r="AX412" s="277"/>
      <c r="AY412" s="277"/>
      <c r="AZ412" s="277"/>
      <c r="BA412" s="277"/>
      <c r="BB412" s="277"/>
    </row>
    <row r="413" spans="1:233" ht="18" customHeight="1" x14ac:dyDescent="0.3">
      <c r="A413" s="368"/>
      <c r="B413" s="1134" t="s">
        <v>449</v>
      </c>
      <c r="C413" s="1114">
        <f t="shared" ref="C413:F414" si="4">C379</f>
        <v>-17.550159977485826</v>
      </c>
      <c r="D413" s="1114">
        <f t="shared" si="4"/>
        <v>-1.2603191488653218</v>
      </c>
      <c r="E413" s="979">
        <f t="shared" si="4"/>
        <v>0</v>
      </c>
      <c r="F413" s="1114">
        <f t="shared" si="4"/>
        <v>0</v>
      </c>
      <c r="G413" s="1111"/>
      <c r="H413" s="1002"/>
      <c r="I413" s="1015"/>
      <c r="J413" s="1015"/>
      <c r="K413" s="1016"/>
      <c r="L413" s="1016"/>
      <c r="M413" s="1016"/>
      <c r="N413" s="1016"/>
      <c r="O413" s="1016"/>
      <c r="P413" s="1016"/>
      <c r="Q413" s="1016"/>
      <c r="R413" s="1016"/>
      <c r="S413" s="1016"/>
      <c r="T413" s="1017"/>
      <c r="U413" s="1017"/>
      <c r="V413" s="1017"/>
      <c r="W413" s="294"/>
      <c r="X413" s="294"/>
      <c r="Y413" s="294"/>
      <c r="Z413" s="294"/>
      <c r="AA413" s="294"/>
      <c r="AB413" s="294"/>
      <c r="AC413" s="277"/>
      <c r="AD413" s="277"/>
      <c r="AE413" s="277"/>
      <c r="AF413" s="277"/>
      <c r="AG413" s="277"/>
      <c r="AH413" s="277"/>
      <c r="AI413" s="277"/>
      <c r="AJ413" s="277"/>
      <c r="AK413" s="277"/>
      <c r="AL413" s="277"/>
      <c r="AM413" s="277"/>
      <c r="AN413" s="277"/>
      <c r="AO413" s="277"/>
      <c r="AP413" s="277"/>
      <c r="AQ413" s="277"/>
      <c r="AR413" s="277"/>
      <c r="AS413" s="277"/>
      <c r="AT413" s="277"/>
      <c r="AU413" s="277"/>
      <c r="AV413" s="277"/>
      <c r="AW413" s="277"/>
      <c r="AX413" s="277"/>
      <c r="AY413" s="277"/>
      <c r="AZ413" s="277"/>
      <c r="BA413" s="277"/>
      <c r="BB413" s="277"/>
    </row>
    <row r="414" spans="1:233" ht="18" customHeight="1" thickBot="1" x14ac:dyDescent="0.35">
      <c r="A414" s="368"/>
      <c r="B414" s="1135" t="s">
        <v>635</v>
      </c>
      <c r="C414" s="1119">
        <f t="shared" si="4"/>
        <v>0</v>
      </c>
      <c r="D414" s="1136">
        <f t="shared" si="4"/>
        <v>0</v>
      </c>
      <c r="E414" s="1137">
        <f t="shared" si="4"/>
        <v>0</v>
      </c>
      <c r="F414" s="1136">
        <f t="shared" si="4"/>
        <v>0</v>
      </c>
      <c r="G414" s="1138"/>
      <c r="H414" s="1015"/>
      <c r="I414" s="1015"/>
      <c r="J414" s="1015"/>
      <c r="K414" s="1016"/>
      <c r="L414" s="1034"/>
      <c r="M414" s="1016"/>
      <c r="N414" s="1016"/>
      <c r="O414" s="1016"/>
      <c r="P414" s="1016"/>
      <c r="Q414" s="1016"/>
      <c r="R414" s="1016"/>
      <c r="S414" s="1016"/>
      <c r="T414" s="1017"/>
      <c r="U414" s="1017"/>
      <c r="V414" s="1017"/>
      <c r="W414" s="294"/>
      <c r="X414" s="294"/>
      <c r="Y414" s="294"/>
      <c r="Z414" s="294"/>
      <c r="AA414" s="294"/>
      <c r="AB414" s="294"/>
      <c r="AC414" s="277"/>
      <c r="AD414" s="277"/>
      <c r="AE414" s="277"/>
      <c r="AF414" s="277"/>
      <c r="AG414" s="277"/>
      <c r="AH414" s="277"/>
      <c r="AI414" s="277"/>
      <c r="AJ414" s="277"/>
      <c r="AK414" s="277"/>
      <c r="AL414" s="277"/>
      <c r="AM414" s="277"/>
      <c r="AN414" s="277"/>
      <c r="AO414" s="277"/>
      <c r="AP414" s="277"/>
      <c r="AQ414" s="277"/>
      <c r="AR414" s="277"/>
      <c r="AS414" s="277"/>
      <c r="AT414" s="277"/>
      <c r="AU414" s="277"/>
      <c r="AV414" s="277"/>
      <c r="AW414" s="277"/>
      <c r="AX414" s="277"/>
      <c r="AY414" s="277"/>
      <c r="AZ414" s="277"/>
      <c r="BA414" s="277"/>
      <c r="BB414" s="277"/>
    </row>
    <row r="415" spans="1:233" ht="13.5" thickBot="1" x14ac:dyDescent="0.35">
      <c r="A415" s="368"/>
      <c r="B415" s="1121" t="s">
        <v>633</v>
      </c>
      <c r="C415" s="1122">
        <f>SUM(C411:C414)</f>
        <v>-17.550159977387089</v>
      </c>
      <c r="D415" s="1122">
        <f>SUM(D411:D414)</f>
        <v>-1.2603191488653218</v>
      </c>
      <c r="E415" s="1122">
        <f>SUM(E411:E414)</f>
        <v>0</v>
      </c>
      <c r="F415" s="1122">
        <f>SUM(F411:F414)</f>
        <v>0</v>
      </c>
      <c r="G415" s="1139"/>
      <c r="H415" s="277"/>
      <c r="I415" s="277"/>
      <c r="J415" s="277"/>
      <c r="K415" s="277"/>
      <c r="L415" s="277"/>
      <c r="M415" s="277"/>
      <c r="N415" s="277"/>
      <c r="O415" s="277"/>
      <c r="P415" s="277"/>
      <c r="Q415" s="277"/>
      <c r="R415" s="277"/>
      <c r="S415" s="277"/>
      <c r="T415" s="294"/>
      <c r="U415" s="294"/>
      <c r="V415" s="294"/>
      <c r="W415" s="294"/>
      <c r="X415" s="294"/>
      <c r="Y415" s="294"/>
      <c r="Z415" s="294"/>
      <c r="AA415" s="294"/>
      <c r="AB415" s="294"/>
      <c r="AC415" s="277"/>
      <c r="AD415" s="277"/>
      <c r="AE415" s="277"/>
      <c r="AF415" s="277"/>
      <c r="AG415" s="277"/>
      <c r="AH415" s="277"/>
      <c r="AI415" s="277"/>
      <c r="AJ415" s="277"/>
      <c r="AK415" s="277"/>
      <c r="AL415" s="277"/>
      <c r="AM415" s="277"/>
      <c r="AN415" s="277"/>
      <c r="AO415" s="277"/>
      <c r="AP415" s="277"/>
      <c r="AQ415" s="277"/>
      <c r="AR415" s="277"/>
      <c r="AS415" s="277"/>
      <c r="AT415" s="277"/>
      <c r="AU415" s="277"/>
      <c r="AV415" s="277"/>
      <c r="AW415" s="277"/>
      <c r="AX415" s="277"/>
      <c r="AY415" s="277"/>
      <c r="AZ415" s="277"/>
      <c r="BA415" s="277"/>
      <c r="BB415" s="277"/>
      <c r="BC415" s="277"/>
      <c r="BD415" s="277"/>
      <c r="BE415" s="277"/>
      <c r="BF415" s="277"/>
      <c r="BG415" s="277"/>
      <c r="BH415" s="277"/>
      <c r="BI415" s="277"/>
      <c r="BJ415" s="277"/>
      <c r="BK415" s="277"/>
      <c r="BL415" s="277"/>
      <c r="BM415" s="277"/>
      <c r="BN415" s="277"/>
      <c r="BO415" s="277"/>
      <c r="BP415" s="277"/>
      <c r="BQ415" s="277"/>
      <c r="BR415" s="277"/>
      <c r="BS415" s="277"/>
      <c r="BT415" s="277"/>
      <c r="BU415" s="277"/>
      <c r="BV415" s="277"/>
      <c r="BW415" s="277"/>
      <c r="BX415" s="277"/>
      <c r="BY415" s="277"/>
      <c r="BZ415" s="277"/>
      <c r="CA415" s="277"/>
      <c r="CB415" s="277"/>
      <c r="CC415" s="277"/>
      <c r="CD415" s="277"/>
      <c r="CE415" s="277"/>
      <c r="CF415" s="277"/>
      <c r="CG415" s="277"/>
      <c r="CH415" s="277"/>
      <c r="CI415" s="277"/>
      <c r="CJ415" s="277"/>
      <c r="CK415" s="277"/>
      <c r="CL415" s="277"/>
      <c r="CM415" s="277"/>
      <c r="CN415" s="277"/>
      <c r="CO415" s="277"/>
      <c r="CP415" s="277"/>
      <c r="CQ415" s="277"/>
      <c r="CR415" s="277"/>
      <c r="CS415" s="277"/>
      <c r="CT415" s="277"/>
      <c r="CU415" s="277"/>
      <c r="CV415" s="277"/>
      <c r="CW415" s="277"/>
      <c r="CX415" s="277"/>
      <c r="CY415" s="277"/>
      <c r="CZ415" s="277"/>
      <c r="DA415" s="277"/>
      <c r="DB415" s="277"/>
      <c r="DC415" s="277"/>
      <c r="DD415" s="277"/>
      <c r="DE415" s="277"/>
      <c r="DF415" s="277"/>
      <c r="DG415" s="277"/>
      <c r="DH415" s="277"/>
      <c r="DI415" s="277"/>
      <c r="DJ415" s="277"/>
      <c r="DK415" s="277"/>
      <c r="DL415" s="277"/>
      <c r="DM415" s="277"/>
      <c r="DN415" s="277"/>
      <c r="DO415" s="277"/>
      <c r="DP415" s="277"/>
      <c r="DQ415" s="277"/>
      <c r="DR415" s="277"/>
      <c r="DS415" s="277"/>
      <c r="DT415" s="277"/>
      <c r="DU415" s="277"/>
      <c r="DV415" s="277"/>
      <c r="DW415" s="277"/>
      <c r="DX415" s="277"/>
      <c r="DY415" s="277"/>
      <c r="DZ415" s="277"/>
      <c r="EA415" s="277"/>
      <c r="EB415" s="277"/>
      <c r="EC415" s="277"/>
      <c r="ED415" s="277"/>
      <c r="EE415" s="277"/>
      <c r="EF415" s="277"/>
      <c r="EG415" s="277"/>
      <c r="EH415" s="277"/>
      <c r="EI415" s="277"/>
      <c r="EJ415" s="277"/>
      <c r="EK415" s="277"/>
      <c r="EL415" s="277"/>
      <c r="EM415" s="277"/>
      <c r="EN415" s="277"/>
      <c r="EO415" s="277"/>
      <c r="EP415" s="277"/>
      <c r="EQ415" s="277"/>
      <c r="ER415" s="277"/>
      <c r="ES415" s="277"/>
      <c r="ET415" s="277"/>
      <c r="EU415" s="277"/>
      <c r="EV415" s="277"/>
      <c r="EW415" s="277"/>
      <c r="EX415" s="277"/>
      <c r="EY415" s="277"/>
      <c r="EZ415" s="277"/>
      <c r="FA415" s="277"/>
      <c r="FB415" s="277"/>
      <c r="FC415" s="277"/>
      <c r="FD415" s="277"/>
      <c r="FE415" s="277"/>
      <c r="FF415" s="277"/>
      <c r="FG415" s="277"/>
      <c r="FH415" s="277"/>
      <c r="FI415" s="277"/>
      <c r="FJ415" s="277"/>
      <c r="FK415" s="277"/>
      <c r="FL415" s="277"/>
      <c r="FM415" s="277"/>
      <c r="FN415" s="277"/>
      <c r="FO415" s="277"/>
      <c r="FP415" s="277"/>
      <c r="FQ415" s="277"/>
      <c r="FR415" s="277"/>
      <c r="FS415" s="277"/>
      <c r="FT415" s="277"/>
      <c r="FU415" s="277"/>
      <c r="FV415" s="277"/>
      <c r="FW415" s="277"/>
      <c r="FX415" s="277"/>
      <c r="FY415" s="277"/>
      <c r="FZ415" s="277"/>
      <c r="GA415" s="277"/>
      <c r="GB415" s="277"/>
      <c r="GC415" s="277"/>
      <c r="GD415" s="277"/>
      <c r="GE415" s="277"/>
      <c r="GF415" s="277"/>
      <c r="GG415" s="277"/>
      <c r="GH415" s="277"/>
      <c r="GI415" s="277"/>
      <c r="GJ415" s="277"/>
      <c r="GK415" s="277"/>
      <c r="GL415" s="277"/>
      <c r="GM415" s="277"/>
      <c r="GN415" s="277"/>
      <c r="GO415" s="277"/>
      <c r="GP415" s="277"/>
      <c r="GQ415" s="277"/>
      <c r="GR415" s="277"/>
      <c r="GS415" s="277"/>
      <c r="GT415" s="277"/>
      <c r="GU415" s="277"/>
      <c r="GV415" s="277"/>
      <c r="GW415" s="277"/>
      <c r="GX415" s="277"/>
      <c r="GY415" s="277"/>
      <c r="GZ415" s="277"/>
      <c r="HA415" s="277"/>
      <c r="HB415" s="277"/>
      <c r="HC415" s="277"/>
      <c r="HD415" s="277"/>
      <c r="HE415" s="277"/>
      <c r="HF415" s="277"/>
      <c r="HG415" s="277"/>
      <c r="HH415" s="277"/>
      <c r="HI415" s="277"/>
      <c r="HJ415" s="277"/>
      <c r="HK415" s="277"/>
      <c r="HL415" s="277"/>
      <c r="HM415" s="277"/>
      <c r="HN415" s="277"/>
      <c r="HO415" s="277"/>
      <c r="HP415" s="277"/>
      <c r="HQ415" s="277"/>
      <c r="HR415" s="277"/>
      <c r="HS415" s="277"/>
      <c r="HT415" s="277"/>
      <c r="HU415" s="277"/>
      <c r="HV415" s="277"/>
      <c r="HW415" s="277"/>
      <c r="HX415" s="277"/>
      <c r="HY415" s="277"/>
    </row>
    <row r="416" spans="1:233" s="277" customFormat="1" ht="12.75" hidden="1" customHeight="1" thickTop="1" x14ac:dyDescent="0.3">
      <c r="B416" s="1140"/>
      <c r="C416" s="1141">
        <f>SUM(C411:C415)</f>
        <v>-35.100319954774179</v>
      </c>
      <c r="D416" s="1141"/>
      <c r="E416" s="1141"/>
      <c r="F416" s="1141"/>
      <c r="G416" s="1141"/>
      <c r="T416" s="294"/>
      <c r="U416" s="294"/>
      <c r="V416" s="294"/>
      <c r="W416" s="294"/>
      <c r="X416" s="294"/>
      <c r="Y416" s="294"/>
      <c r="Z416" s="294"/>
      <c r="AA416" s="294"/>
      <c r="AB416" s="294"/>
    </row>
    <row r="417" spans="2:28" s="277" customFormat="1" ht="12.75" hidden="1" customHeight="1" x14ac:dyDescent="0.25">
      <c r="B417" s="1142" t="s">
        <v>280</v>
      </c>
      <c r="C417" s="1142"/>
      <c r="D417" s="1142"/>
      <c r="E417" s="1142"/>
      <c r="F417" s="1142"/>
      <c r="G417" s="1142"/>
      <c r="T417" s="294"/>
      <c r="U417" s="294"/>
      <c r="V417" s="294"/>
      <c r="W417" s="294"/>
      <c r="X417" s="294"/>
      <c r="Y417" s="294"/>
      <c r="Z417" s="294"/>
      <c r="AA417" s="294"/>
      <c r="AB417" s="294"/>
    </row>
    <row r="418" spans="2:28" s="277" customFormat="1" ht="12.75" hidden="1" customHeight="1" x14ac:dyDescent="0.25">
      <c r="B418" s="1142" t="s">
        <v>357</v>
      </c>
      <c r="C418" s="1142"/>
      <c r="D418" s="1142"/>
      <c r="E418" s="1142"/>
      <c r="F418" s="1142"/>
      <c r="G418" s="1142"/>
      <c r="T418" s="294"/>
      <c r="U418" s="294"/>
      <c r="V418" s="294"/>
      <c r="W418" s="294"/>
      <c r="X418" s="294"/>
      <c r="Y418" s="294"/>
      <c r="Z418" s="294"/>
      <c r="AA418" s="294"/>
      <c r="AB418" s="294"/>
    </row>
    <row r="419" spans="2:28" s="277" customFormat="1" ht="12.75" customHeight="1" thickTop="1" x14ac:dyDescent="0.25">
      <c r="B419" s="1142"/>
      <c r="C419" s="1142"/>
      <c r="D419" s="1142"/>
      <c r="E419" s="1142"/>
      <c r="F419" s="1142"/>
      <c r="G419" s="1142"/>
      <c r="T419" s="294"/>
      <c r="U419" s="294"/>
      <c r="V419" s="294"/>
      <c r="W419" s="294"/>
      <c r="X419" s="294"/>
      <c r="Y419" s="294"/>
      <c r="Z419" s="294"/>
      <c r="AA419" s="294"/>
      <c r="AB419" s="294"/>
    </row>
    <row r="420" spans="2:28" s="277" customFormat="1" ht="12.75" customHeight="1" x14ac:dyDescent="0.25">
      <c r="C420" s="598"/>
      <c r="D420" s="598"/>
      <c r="E420" s="598"/>
      <c r="F420" s="598"/>
      <c r="G420" s="598"/>
      <c r="T420" s="294"/>
      <c r="U420" s="294"/>
      <c r="V420" s="294"/>
      <c r="W420" s="294"/>
      <c r="X420" s="294"/>
      <c r="Y420" s="294"/>
      <c r="Z420" s="294"/>
      <c r="AA420" s="294"/>
      <c r="AB420" s="294"/>
    </row>
    <row r="421" spans="2:28" s="277" customFormat="1" ht="12.75" customHeight="1" x14ac:dyDescent="0.25">
      <c r="T421" s="294"/>
      <c r="U421" s="294"/>
      <c r="V421" s="294"/>
      <c r="W421" s="294"/>
      <c r="X421" s="294"/>
      <c r="Y421" s="294"/>
      <c r="Z421" s="294"/>
      <c r="AA421" s="294"/>
      <c r="AB421" s="294"/>
    </row>
    <row r="422" spans="2:28" s="277" customFormat="1" ht="12.75" customHeight="1" x14ac:dyDescent="0.25">
      <c r="C422" s="1041"/>
      <c r="D422" s="1041"/>
      <c r="E422" s="1041"/>
      <c r="F422" s="1041"/>
      <c r="T422" s="294"/>
      <c r="U422" s="294"/>
      <c r="V422" s="294"/>
      <c r="W422" s="294"/>
      <c r="X422" s="294"/>
      <c r="Y422" s="294"/>
      <c r="Z422" s="294"/>
      <c r="AA422" s="294"/>
      <c r="AB422" s="294"/>
    </row>
    <row r="423" spans="2:28" s="277" customFormat="1" ht="12.75" customHeight="1" x14ac:dyDescent="0.25">
      <c r="C423" s="598"/>
      <c r="T423" s="294"/>
      <c r="U423" s="294"/>
      <c r="V423" s="294"/>
      <c r="W423" s="294"/>
      <c r="X423" s="294"/>
      <c r="Y423" s="294"/>
      <c r="Z423" s="294"/>
      <c r="AA423" s="294"/>
      <c r="AB423" s="294"/>
    </row>
    <row r="424" spans="2:28" s="277" customFormat="1" ht="12.75" customHeight="1" x14ac:dyDescent="0.25">
      <c r="T424" s="294"/>
      <c r="U424" s="294"/>
      <c r="V424" s="294"/>
      <c r="W424" s="294"/>
      <c r="X424" s="294"/>
      <c r="Y424" s="294"/>
      <c r="Z424" s="294"/>
      <c r="AA424" s="294"/>
      <c r="AB424" s="294"/>
    </row>
    <row r="425" spans="2:28" s="277" customFormat="1" ht="12.75" customHeight="1" x14ac:dyDescent="0.25">
      <c r="T425" s="294"/>
      <c r="U425" s="294"/>
      <c r="V425" s="294"/>
      <c r="W425" s="294"/>
      <c r="X425" s="294"/>
      <c r="Y425" s="294"/>
      <c r="Z425" s="294"/>
      <c r="AA425" s="294"/>
      <c r="AB425" s="294"/>
    </row>
    <row r="426" spans="2:28" s="277" customFormat="1" ht="12.75" customHeight="1" x14ac:dyDescent="0.25">
      <c r="T426" s="294"/>
      <c r="U426" s="294"/>
      <c r="V426" s="294"/>
      <c r="W426" s="294"/>
      <c r="X426" s="294"/>
      <c r="Y426" s="294"/>
      <c r="Z426" s="294"/>
      <c r="AA426" s="294"/>
      <c r="AB426" s="294"/>
    </row>
    <row r="427" spans="2:28" s="277" customFormat="1" ht="12.75" customHeight="1" x14ac:dyDescent="0.25">
      <c r="T427" s="294"/>
      <c r="U427" s="294"/>
      <c r="V427" s="294"/>
      <c r="W427" s="294"/>
      <c r="X427" s="294"/>
      <c r="Y427" s="294"/>
      <c r="Z427" s="294"/>
      <c r="AA427" s="294"/>
      <c r="AB427" s="294"/>
    </row>
    <row r="428" spans="2:28" s="277" customFormat="1" ht="12.75" customHeight="1" x14ac:dyDescent="0.25">
      <c r="C428" s="277" t="s">
        <v>590</v>
      </c>
      <c r="T428" s="294"/>
      <c r="U428" s="294"/>
      <c r="V428" s="294"/>
      <c r="W428" s="294"/>
      <c r="X428" s="294"/>
      <c r="Y428" s="294"/>
      <c r="Z428" s="294"/>
      <c r="AA428" s="294"/>
      <c r="AB428" s="294"/>
    </row>
    <row r="429" spans="2:28" s="277" customFormat="1" ht="12.75" customHeight="1" x14ac:dyDescent="0.25">
      <c r="T429" s="294"/>
      <c r="U429" s="294"/>
      <c r="V429" s="294"/>
      <c r="W429" s="294"/>
      <c r="X429" s="294"/>
      <c r="Y429" s="294"/>
      <c r="Z429" s="294"/>
      <c r="AA429" s="294"/>
      <c r="AB429" s="294"/>
    </row>
    <row r="430" spans="2:28" s="277" customFormat="1" ht="12.75" customHeight="1" x14ac:dyDescent="0.25">
      <c r="T430" s="294"/>
      <c r="U430" s="294"/>
      <c r="V430" s="294"/>
      <c r="W430" s="294"/>
      <c r="X430" s="294"/>
      <c r="Y430" s="294"/>
      <c r="Z430" s="294"/>
      <c r="AA430" s="294"/>
      <c r="AB430" s="294"/>
    </row>
    <row r="431" spans="2:28" s="277" customFormat="1" ht="12.75" customHeight="1" x14ac:dyDescent="0.25">
      <c r="T431" s="294"/>
      <c r="U431" s="294"/>
      <c r="V431" s="294"/>
      <c r="W431" s="294"/>
      <c r="X431" s="294"/>
      <c r="Y431" s="294"/>
      <c r="Z431" s="294"/>
      <c r="AA431" s="294"/>
      <c r="AB431" s="294"/>
    </row>
    <row r="432" spans="2:28" s="277" customFormat="1" ht="12.75" customHeight="1" x14ac:dyDescent="0.25">
      <c r="T432" s="294"/>
      <c r="U432" s="294"/>
      <c r="V432" s="294"/>
      <c r="W432" s="294"/>
      <c r="X432" s="294"/>
      <c r="Y432" s="294"/>
      <c r="Z432" s="294"/>
      <c r="AA432" s="294"/>
      <c r="AB432" s="294"/>
    </row>
    <row r="433" spans="1:54" s="277" customFormat="1" ht="12.75" customHeight="1" x14ac:dyDescent="0.25">
      <c r="T433" s="294"/>
      <c r="U433" s="294"/>
      <c r="V433" s="294"/>
      <c r="W433" s="294"/>
      <c r="X433" s="294"/>
      <c r="Y433" s="294"/>
      <c r="Z433" s="294"/>
      <c r="AA433" s="294"/>
      <c r="AB433" s="294"/>
    </row>
    <row r="434" spans="1:54" s="277" customFormat="1" ht="12.75" customHeight="1" x14ac:dyDescent="0.25">
      <c r="T434" s="294"/>
      <c r="U434" s="294"/>
      <c r="V434" s="294"/>
      <c r="W434" s="294"/>
      <c r="X434" s="294"/>
      <c r="Y434" s="294"/>
      <c r="Z434" s="294"/>
      <c r="AA434" s="294"/>
      <c r="AB434" s="294"/>
    </row>
    <row r="435" spans="1:54" s="277" customFormat="1" ht="12.75" customHeight="1" x14ac:dyDescent="0.25">
      <c r="T435" s="294"/>
      <c r="U435" s="294"/>
      <c r="V435" s="294"/>
      <c r="W435" s="294"/>
      <c r="X435" s="294"/>
      <c r="Y435" s="294"/>
      <c r="Z435" s="294"/>
      <c r="AA435" s="294"/>
      <c r="AB435" s="294"/>
    </row>
    <row r="436" spans="1:54" ht="12.75" customHeight="1" x14ac:dyDescent="0.25">
      <c r="A436" s="277"/>
      <c r="B436" s="277"/>
      <c r="C436" s="277"/>
      <c r="D436" s="277"/>
      <c r="E436" s="277"/>
      <c r="F436" s="277"/>
      <c r="G436" s="277"/>
      <c r="H436" s="277"/>
      <c r="I436" s="277"/>
      <c r="J436" s="277"/>
      <c r="K436" s="277"/>
      <c r="L436" s="277"/>
      <c r="M436" s="277"/>
      <c r="N436" s="277"/>
      <c r="O436" s="277"/>
      <c r="P436" s="277"/>
      <c r="Q436" s="277"/>
      <c r="R436" s="277"/>
      <c r="S436" s="277"/>
      <c r="T436" s="294"/>
      <c r="U436" s="294"/>
      <c r="V436" s="294"/>
      <c r="W436" s="294"/>
      <c r="X436" s="294"/>
      <c r="Y436" s="294"/>
      <c r="Z436" s="294"/>
      <c r="AA436" s="294"/>
      <c r="AB436" s="294"/>
      <c r="AC436" s="277"/>
      <c r="AD436" s="277"/>
      <c r="AE436" s="277"/>
      <c r="AF436" s="277"/>
      <c r="AG436" s="277"/>
      <c r="AH436" s="277"/>
      <c r="AI436" s="277"/>
      <c r="AJ436" s="277"/>
      <c r="AK436" s="277"/>
      <c r="AL436" s="277"/>
      <c r="AM436" s="277"/>
      <c r="AN436" s="277"/>
      <c r="AO436" s="277"/>
      <c r="AP436" s="277"/>
      <c r="AQ436" s="277"/>
      <c r="AR436" s="277"/>
      <c r="AS436" s="277"/>
      <c r="AT436" s="277"/>
      <c r="AU436" s="277"/>
      <c r="AV436" s="277"/>
      <c r="AW436" s="277"/>
      <c r="AX436" s="277"/>
      <c r="AY436" s="277"/>
      <c r="AZ436" s="277"/>
      <c r="BA436" s="277"/>
      <c r="BB436" s="277"/>
    </row>
    <row r="437" spans="1:54" ht="12.75" customHeight="1" x14ac:dyDescent="0.25">
      <c r="A437" s="277"/>
      <c r="B437" s="277"/>
      <c r="C437" s="277"/>
      <c r="D437" s="277"/>
      <c r="E437" s="277"/>
      <c r="F437" s="277"/>
      <c r="G437" s="277"/>
      <c r="H437" s="277"/>
      <c r="I437" s="277"/>
      <c r="J437" s="277"/>
      <c r="K437" s="277"/>
      <c r="L437" s="277"/>
      <c r="M437" s="277"/>
      <c r="N437" s="277"/>
      <c r="O437" s="277"/>
      <c r="P437" s="277"/>
      <c r="Q437" s="277"/>
      <c r="R437" s="277"/>
      <c r="S437" s="277"/>
      <c r="T437" s="294"/>
      <c r="U437" s="294"/>
      <c r="V437" s="294"/>
      <c r="W437" s="294"/>
      <c r="X437" s="294"/>
      <c r="Y437" s="294"/>
      <c r="Z437" s="294"/>
      <c r="AA437" s="294"/>
      <c r="AB437" s="294"/>
      <c r="AC437" s="277"/>
      <c r="AD437" s="277"/>
      <c r="AE437" s="277"/>
      <c r="AF437" s="277"/>
      <c r="AG437" s="277"/>
      <c r="AH437" s="277"/>
      <c r="AI437" s="277"/>
      <c r="AJ437" s="277"/>
      <c r="AK437" s="277"/>
      <c r="AL437" s="277"/>
      <c r="AM437" s="277"/>
      <c r="AN437" s="277"/>
      <c r="AO437" s="277"/>
      <c r="AP437" s="277"/>
      <c r="AQ437" s="277"/>
      <c r="AR437" s="277"/>
      <c r="AS437" s="277"/>
      <c r="AT437" s="277"/>
      <c r="AU437" s="277"/>
      <c r="AV437" s="277"/>
      <c r="AW437" s="277"/>
      <c r="AX437" s="277"/>
      <c r="AY437" s="277"/>
      <c r="AZ437" s="277"/>
      <c r="BA437" s="277"/>
      <c r="BB437" s="277"/>
    </row>
    <row r="438" spans="1:54" ht="12.75" customHeight="1" x14ac:dyDescent="0.25">
      <c r="A438" s="277"/>
      <c r="B438" s="277"/>
      <c r="C438" s="277"/>
      <c r="D438" s="277"/>
      <c r="E438" s="277"/>
      <c r="F438" s="277"/>
      <c r="G438" s="277"/>
      <c r="H438" s="277"/>
      <c r="I438" s="277"/>
      <c r="J438" s="277"/>
      <c r="K438" s="277"/>
      <c r="L438" s="277"/>
      <c r="M438" s="277"/>
      <c r="N438" s="277"/>
      <c r="O438" s="277"/>
      <c r="P438" s="277"/>
      <c r="Q438" s="277"/>
      <c r="R438" s="277"/>
      <c r="S438" s="277"/>
      <c r="T438" s="294"/>
      <c r="U438" s="294"/>
      <c r="V438" s="294"/>
      <c r="W438" s="294"/>
      <c r="X438" s="294"/>
      <c r="Y438" s="294"/>
      <c r="Z438" s="294"/>
      <c r="AA438" s="294"/>
      <c r="AB438" s="294"/>
      <c r="AC438" s="277"/>
      <c r="AD438" s="277"/>
      <c r="AE438" s="277"/>
      <c r="AF438" s="277"/>
      <c r="AG438" s="277"/>
      <c r="AH438" s="277"/>
      <c r="AI438" s="277"/>
      <c r="AJ438" s="277"/>
      <c r="AK438" s="277"/>
      <c r="AL438" s="277"/>
      <c r="AM438" s="277"/>
      <c r="AN438" s="277"/>
      <c r="AO438" s="277"/>
      <c r="AP438" s="277"/>
      <c r="AQ438" s="277"/>
      <c r="AR438" s="277"/>
      <c r="AS438" s="277"/>
      <c r="AT438" s="277"/>
      <c r="AU438" s="277"/>
      <c r="AV438" s="277"/>
      <c r="AW438" s="277"/>
      <c r="AX438" s="277"/>
      <c r="AY438" s="277"/>
      <c r="AZ438" s="277"/>
      <c r="BA438" s="277"/>
      <c r="BB438" s="277"/>
    </row>
    <row r="439" spans="1:54" ht="12.75" customHeight="1" x14ac:dyDescent="0.25">
      <c r="A439" s="277"/>
      <c r="B439" s="277"/>
      <c r="C439" s="277"/>
      <c r="D439" s="277"/>
      <c r="E439" s="277"/>
      <c r="F439" s="277"/>
      <c r="G439" s="277"/>
      <c r="H439" s="277"/>
      <c r="I439" s="277"/>
      <c r="J439" s="277"/>
      <c r="K439" s="277"/>
      <c r="L439" s="277"/>
      <c r="M439" s="277"/>
      <c r="N439" s="277"/>
      <c r="O439" s="277"/>
      <c r="P439" s="277"/>
      <c r="Q439" s="277"/>
      <c r="R439" s="277"/>
      <c r="S439" s="277"/>
      <c r="T439" s="294"/>
      <c r="U439" s="294"/>
      <c r="V439" s="294"/>
      <c r="W439" s="294"/>
      <c r="X439" s="294"/>
      <c r="Y439" s="294"/>
      <c r="Z439" s="294"/>
      <c r="AA439" s="294"/>
      <c r="AB439" s="294"/>
      <c r="AC439" s="277"/>
      <c r="AD439" s="277"/>
      <c r="AE439" s="277"/>
      <c r="AF439" s="277"/>
      <c r="AG439" s="277"/>
      <c r="AH439" s="277"/>
      <c r="AI439" s="277"/>
      <c r="AJ439" s="277"/>
      <c r="AK439" s="277"/>
      <c r="AL439" s="277"/>
      <c r="AM439" s="277"/>
      <c r="AN439" s="277"/>
      <c r="AO439" s="277"/>
      <c r="AP439" s="277"/>
      <c r="AQ439" s="277"/>
      <c r="AR439" s="277"/>
      <c r="AS439" s="277"/>
      <c r="AT439" s="277"/>
      <c r="AU439" s="277"/>
      <c r="AV439" s="277"/>
      <c r="AW439" s="277"/>
      <c r="AX439" s="277"/>
      <c r="AY439" s="277"/>
      <c r="AZ439" s="277"/>
      <c r="BA439" s="277"/>
      <c r="BB439" s="277"/>
    </row>
    <row r="440" spans="1:54" ht="12.75" customHeight="1" x14ac:dyDescent="0.25">
      <c r="A440" s="277"/>
      <c r="B440" s="277"/>
      <c r="C440" s="277"/>
      <c r="D440" s="277"/>
      <c r="E440" s="277"/>
      <c r="F440" s="277"/>
      <c r="G440" s="277"/>
      <c r="H440" s="277"/>
      <c r="I440" s="277"/>
      <c r="J440" s="277"/>
      <c r="K440" s="277"/>
      <c r="L440" s="277"/>
      <c r="M440" s="277"/>
      <c r="N440" s="277"/>
      <c r="O440" s="277"/>
      <c r="P440" s="277"/>
      <c r="Q440" s="277"/>
      <c r="R440" s="277"/>
      <c r="S440" s="277"/>
      <c r="T440" s="294"/>
      <c r="U440" s="294"/>
      <c r="V440" s="294"/>
      <c r="W440" s="294"/>
      <c r="X440" s="294"/>
      <c r="Y440" s="294"/>
      <c r="Z440" s="294"/>
      <c r="AA440" s="294"/>
      <c r="AB440" s="294"/>
      <c r="AC440" s="277"/>
      <c r="AD440" s="277"/>
      <c r="AE440" s="277"/>
      <c r="AF440" s="277"/>
      <c r="AG440" s="277"/>
      <c r="AH440" s="277"/>
      <c r="AI440" s="277"/>
      <c r="AJ440" s="277"/>
      <c r="AK440" s="277"/>
      <c r="AL440" s="277"/>
      <c r="AM440" s="277"/>
      <c r="AN440" s="277"/>
      <c r="AO440" s="277"/>
      <c r="AP440" s="277"/>
      <c r="AQ440" s="277"/>
      <c r="AR440" s="277"/>
      <c r="AS440" s="277"/>
      <c r="AT440" s="277"/>
      <c r="AU440" s="277"/>
      <c r="AV440" s="277"/>
      <c r="AW440" s="277"/>
      <c r="AX440" s="277"/>
      <c r="AY440" s="277"/>
      <c r="AZ440" s="277"/>
      <c r="BA440" s="277"/>
      <c r="BB440" s="277"/>
    </row>
    <row r="441" spans="1:54" ht="12.75" customHeight="1" x14ac:dyDescent="0.25">
      <c r="A441" s="277"/>
      <c r="B441" s="277"/>
      <c r="C441" s="277"/>
      <c r="D441" s="277"/>
      <c r="E441" s="277"/>
      <c r="F441" s="277"/>
      <c r="G441" s="277"/>
      <c r="H441" s="277"/>
      <c r="I441" s="277"/>
      <c r="J441" s="277"/>
      <c r="K441" s="277"/>
      <c r="L441" s="277"/>
      <c r="M441" s="277"/>
      <c r="N441" s="277"/>
      <c r="O441" s="277"/>
      <c r="P441" s="277"/>
      <c r="Q441" s="277"/>
      <c r="R441" s="277"/>
      <c r="S441" s="277"/>
      <c r="T441" s="294"/>
      <c r="U441" s="294"/>
      <c r="V441" s="294"/>
      <c r="W441" s="294"/>
      <c r="X441" s="294"/>
      <c r="Y441" s="294"/>
      <c r="Z441" s="294"/>
      <c r="AA441" s="294"/>
      <c r="AB441" s="294"/>
      <c r="AC441" s="277"/>
      <c r="AD441" s="277"/>
      <c r="AE441" s="277"/>
      <c r="AF441" s="277"/>
      <c r="AG441" s="277"/>
      <c r="AH441" s="277"/>
      <c r="AI441" s="277"/>
      <c r="AJ441" s="277"/>
      <c r="AK441" s="277"/>
      <c r="AL441" s="277"/>
      <c r="AM441" s="277"/>
      <c r="AN441" s="277"/>
      <c r="AO441" s="277"/>
      <c r="AP441" s="277"/>
      <c r="AQ441" s="277"/>
      <c r="AR441" s="277"/>
      <c r="AS441" s="277"/>
      <c r="AT441" s="277"/>
      <c r="AU441" s="277"/>
      <c r="AV441" s="277"/>
      <c r="AW441" s="277"/>
      <c r="AX441" s="277"/>
      <c r="AY441" s="277"/>
      <c r="AZ441" s="277"/>
      <c r="BA441" s="277"/>
      <c r="BB441" s="277"/>
    </row>
    <row r="442" spans="1:54" ht="12.75" customHeight="1" x14ac:dyDescent="0.25">
      <c r="A442" s="277"/>
      <c r="B442" s="277"/>
      <c r="C442" s="277"/>
      <c r="D442" s="277"/>
      <c r="E442" s="277"/>
      <c r="F442" s="277"/>
      <c r="G442" s="277"/>
      <c r="H442" s="277"/>
      <c r="I442" s="277"/>
      <c r="J442" s="277"/>
      <c r="K442" s="277"/>
      <c r="L442" s="277"/>
      <c r="M442" s="277"/>
      <c r="N442" s="277"/>
      <c r="O442" s="277"/>
      <c r="P442" s="277"/>
      <c r="Q442" s="277"/>
      <c r="R442" s="277"/>
      <c r="S442" s="277"/>
      <c r="T442" s="294"/>
      <c r="U442" s="294"/>
      <c r="V442" s="294"/>
      <c r="W442" s="294"/>
      <c r="X442" s="294"/>
      <c r="Y442" s="294"/>
      <c r="Z442" s="294"/>
      <c r="AA442" s="294"/>
      <c r="AB442" s="294"/>
      <c r="AC442" s="277"/>
      <c r="AD442" s="277"/>
      <c r="AE442" s="277"/>
      <c r="AF442" s="277"/>
      <c r="AG442" s="277"/>
      <c r="AH442" s="277"/>
      <c r="AI442" s="277"/>
      <c r="AJ442" s="277"/>
      <c r="AK442" s="277"/>
      <c r="AL442" s="277"/>
      <c r="AM442" s="277"/>
      <c r="AN442" s="277"/>
      <c r="AO442" s="277"/>
      <c r="AP442" s="277"/>
      <c r="AQ442" s="277"/>
      <c r="AR442" s="277"/>
      <c r="AS442" s="277"/>
      <c r="AT442" s="277"/>
      <c r="AU442" s="277"/>
      <c r="AV442" s="277"/>
      <c r="AW442" s="277"/>
      <c r="AX442" s="277"/>
      <c r="AY442" s="277"/>
      <c r="AZ442" s="277"/>
      <c r="BA442" s="277"/>
      <c r="BB442" s="277"/>
    </row>
    <row r="443" spans="1:54" ht="12.75" customHeight="1" x14ac:dyDescent="0.25">
      <c r="A443" s="277"/>
      <c r="B443" s="277"/>
      <c r="C443" s="277"/>
      <c r="D443" s="277"/>
      <c r="E443" s="277"/>
      <c r="F443" s="277"/>
      <c r="G443" s="277"/>
      <c r="H443" s="277"/>
      <c r="I443" s="277"/>
      <c r="J443" s="277"/>
      <c r="K443" s="277"/>
      <c r="L443" s="277"/>
      <c r="M443" s="277"/>
      <c r="N443" s="277"/>
      <c r="O443" s="277"/>
      <c r="P443" s="277"/>
      <c r="Q443" s="277"/>
      <c r="R443" s="277"/>
      <c r="S443" s="277"/>
      <c r="T443" s="294"/>
      <c r="U443" s="294"/>
      <c r="V443" s="294"/>
      <c r="W443" s="294"/>
      <c r="X443" s="294"/>
      <c r="Y443" s="294"/>
      <c r="Z443" s="294"/>
      <c r="AA443" s="294"/>
      <c r="AB443" s="294"/>
      <c r="AC443" s="277"/>
      <c r="AD443" s="277"/>
      <c r="AE443" s="277"/>
      <c r="AF443" s="277"/>
      <c r="AG443" s="277"/>
      <c r="AH443" s="277"/>
      <c r="AI443" s="277"/>
      <c r="AJ443" s="277"/>
      <c r="AK443" s="277"/>
      <c r="AL443" s="277"/>
      <c r="AM443" s="277"/>
      <c r="AN443" s="277"/>
      <c r="AO443" s="277"/>
      <c r="AP443" s="277"/>
      <c r="AQ443" s="277"/>
      <c r="AR443" s="277"/>
      <c r="AS443" s="277"/>
      <c r="AT443" s="277"/>
      <c r="AU443" s="277"/>
      <c r="AV443" s="277"/>
      <c r="AW443" s="277"/>
      <c r="AX443" s="277"/>
      <c r="AY443" s="277"/>
      <c r="AZ443" s="277"/>
      <c r="BA443" s="277"/>
      <c r="BB443" s="277"/>
    </row>
    <row r="444" spans="1:54" ht="12.75" customHeight="1" x14ac:dyDescent="0.25">
      <c r="A444" s="277"/>
      <c r="B444" s="277"/>
      <c r="C444" s="277"/>
      <c r="D444" s="277"/>
      <c r="E444" s="277"/>
      <c r="F444" s="277"/>
      <c r="G444" s="277"/>
      <c r="H444" s="277"/>
      <c r="I444" s="277"/>
      <c r="J444" s="277"/>
      <c r="K444" s="277"/>
      <c r="L444" s="277"/>
      <c r="M444" s="277"/>
      <c r="N444" s="277"/>
      <c r="O444" s="277"/>
      <c r="P444" s="277"/>
      <c r="Q444" s="277"/>
      <c r="R444" s="277"/>
      <c r="S444" s="277"/>
      <c r="T444" s="294"/>
      <c r="U444" s="294"/>
      <c r="V444" s="294"/>
      <c r="W444" s="294"/>
      <c r="X444" s="294"/>
      <c r="Y444" s="294"/>
      <c r="Z444" s="294"/>
      <c r="AA444" s="294"/>
      <c r="AB444" s="294"/>
      <c r="AC444" s="277"/>
      <c r="AD444" s="277"/>
      <c r="AE444" s="277"/>
      <c r="AF444" s="277"/>
      <c r="AG444" s="277"/>
      <c r="AH444" s="277"/>
      <c r="AI444" s="277"/>
      <c r="AJ444" s="277"/>
      <c r="AK444" s="277"/>
      <c r="AL444" s="277"/>
      <c r="AM444" s="277"/>
      <c r="AN444" s="277"/>
      <c r="AO444" s="277"/>
      <c r="AP444" s="277"/>
      <c r="AQ444" s="277"/>
      <c r="AR444" s="277"/>
      <c r="AS444" s="277"/>
      <c r="AT444" s="277"/>
      <c r="AU444" s="277"/>
      <c r="AV444" s="277"/>
      <c r="AW444" s="277"/>
      <c r="AX444" s="277"/>
      <c r="AY444" s="277"/>
      <c r="AZ444" s="277"/>
      <c r="BA444" s="277"/>
      <c r="BB444" s="277"/>
    </row>
    <row r="445" spans="1:54" ht="12.75" customHeight="1" x14ac:dyDescent="0.25">
      <c r="A445" s="277"/>
      <c r="B445" s="277"/>
      <c r="C445" s="277"/>
      <c r="D445" s="277"/>
      <c r="E445" s="277"/>
      <c r="F445" s="277"/>
      <c r="G445" s="277"/>
      <c r="H445" s="277"/>
      <c r="I445" s="277"/>
      <c r="J445" s="277"/>
      <c r="K445" s="277"/>
      <c r="L445" s="277"/>
      <c r="M445" s="277"/>
      <c r="N445" s="277"/>
      <c r="O445" s="277"/>
      <c r="P445" s="277"/>
      <c r="Q445" s="277"/>
      <c r="R445" s="277"/>
      <c r="S445" s="277"/>
      <c r="T445" s="294"/>
      <c r="U445" s="294"/>
      <c r="V445" s="294"/>
      <c r="W445" s="294"/>
      <c r="X445" s="294"/>
      <c r="Y445" s="294"/>
      <c r="Z445" s="294"/>
      <c r="AA445" s="294"/>
      <c r="AB445" s="294"/>
      <c r="AC445" s="277"/>
      <c r="AD445" s="277"/>
      <c r="AE445" s="277"/>
      <c r="AF445" s="277"/>
      <c r="AG445" s="277"/>
      <c r="AH445" s="277"/>
      <c r="AI445" s="277"/>
      <c r="AJ445" s="277"/>
      <c r="AK445" s="277"/>
      <c r="AL445" s="277"/>
      <c r="AM445" s="277"/>
      <c r="AN445" s="277"/>
      <c r="AO445" s="277"/>
      <c r="AP445" s="277"/>
      <c r="AQ445" s="277"/>
      <c r="AR445" s="277"/>
      <c r="AS445" s="277"/>
      <c r="AT445" s="277"/>
      <c r="AU445" s="277"/>
      <c r="AV445" s="277"/>
      <c r="AW445" s="277"/>
      <c r="AX445" s="277"/>
      <c r="AY445" s="277"/>
      <c r="AZ445" s="277"/>
      <c r="BA445" s="277"/>
      <c r="BB445" s="277"/>
    </row>
    <row r="446" spans="1:54" ht="12.75" customHeight="1" x14ac:dyDescent="0.25">
      <c r="A446" s="277"/>
      <c r="B446" s="277"/>
      <c r="C446" s="277"/>
      <c r="D446" s="277"/>
      <c r="E446" s="277"/>
      <c r="F446" s="277"/>
      <c r="G446" s="277"/>
      <c r="H446" s="277"/>
      <c r="I446" s="277"/>
      <c r="J446" s="277"/>
      <c r="K446" s="277"/>
      <c r="L446" s="277"/>
      <c r="M446" s="277"/>
      <c r="N446" s="277"/>
      <c r="O446" s="277"/>
      <c r="P446" s="277"/>
      <c r="Q446" s="277"/>
      <c r="R446" s="277"/>
      <c r="S446" s="277"/>
      <c r="T446" s="294"/>
      <c r="U446" s="294"/>
      <c r="V446" s="294"/>
      <c r="W446" s="294"/>
      <c r="X446" s="294"/>
      <c r="Y446" s="294"/>
      <c r="Z446" s="294"/>
      <c r="AA446" s="294"/>
      <c r="AB446" s="294"/>
      <c r="AC446" s="277"/>
      <c r="AD446" s="277"/>
      <c r="AE446" s="277"/>
      <c r="AF446" s="277"/>
      <c r="AG446" s="277"/>
      <c r="AH446" s="277"/>
      <c r="AI446" s="277"/>
      <c r="AJ446" s="277"/>
      <c r="AK446" s="277"/>
      <c r="AL446" s="277"/>
      <c r="AM446" s="277"/>
      <c r="AN446" s="277"/>
      <c r="AO446" s="277"/>
      <c r="AP446" s="277"/>
      <c r="AQ446" s="277"/>
      <c r="AR446" s="277"/>
      <c r="AS446" s="277"/>
      <c r="AT446" s="277"/>
      <c r="AU446" s="277"/>
      <c r="AV446" s="277"/>
      <c r="AW446" s="277"/>
      <c r="AX446" s="277"/>
      <c r="AY446" s="277"/>
      <c r="AZ446" s="277"/>
      <c r="BA446" s="277"/>
      <c r="BB446" s="277"/>
    </row>
    <row r="447" spans="1:54" ht="12.75" customHeight="1" x14ac:dyDescent="0.25">
      <c r="A447" s="277"/>
      <c r="B447" s="277"/>
      <c r="C447" s="277"/>
      <c r="D447" s="277"/>
      <c r="E447" s="277"/>
      <c r="F447" s="277"/>
      <c r="G447" s="277"/>
      <c r="H447" s="277"/>
      <c r="I447" s="277"/>
      <c r="J447" s="277"/>
      <c r="K447" s="277"/>
      <c r="L447" s="277"/>
      <c r="M447" s="277"/>
      <c r="N447" s="277"/>
      <c r="O447" s="277"/>
      <c r="P447" s="277"/>
      <c r="Q447" s="277"/>
      <c r="R447" s="277"/>
      <c r="S447" s="277"/>
      <c r="T447" s="294"/>
      <c r="U447" s="294"/>
      <c r="V447" s="294"/>
      <c r="W447" s="294"/>
      <c r="X447" s="294"/>
      <c r="Y447" s="294"/>
      <c r="Z447" s="294"/>
      <c r="AA447" s="294"/>
      <c r="AB447" s="294"/>
      <c r="AC447" s="277"/>
      <c r="AD447" s="277"/>
      <c r="AE447" s="277"/>
      <c r="AF447" s="277"/>
      <c r="AG447" s="277"/>
      <c r="AH447" s="277"/>
      <c r="AI447" s="277"/>
      <c r="AJ447" s="277"/>
      <c r="AK447" s="277"/>
      <c r="AL447" s="277"/>
      <c r="AM447" s="277"/>
      <c r="AN447" s="277"/>
      <c r="AO447" s="277"/>
      <c r="AP447" s="277"/>
      <c r="AQ447" s="277"/>
      <c r="AR447" s="277"/>
      <c r="AS447" s="277"/>
      <c r="AT447" s="277"/>
      <c r="AU447" s="277"/>
      <c r="AV447" s="277"/>
      <c r="AW447" s="277"/>
      <c r="AX447" s="277"/>
      <c r="AY447" s="277"/>
      <c r="AZ447" s="277"/>
      <c r="BA447" s="277"/>
      <c r="BB447" s="277"/>
    </row>
    <row r="448" spans="1:54" ht="12.75" customHeight="1" x14ac:dyDescent="0.25">
      <c r="A448" s="277"/>
      <c r="B448" s="277"/>
      <c r="C448" s="277"/>
      <c r="D448" s="277"/>
      <c r="E448" s="277"/>
      <c r="F448" s="277"/>
      <c r="G448" s="277"/>
      <c r="H448" s="277"/>
      <c r="I448" s="277"/>
      <c r="J448" s="277"/>
      <c r="K448" s="277"/>
      <c r="L448" s="277"/>
      <c r="M448" s="277"/>
      <c r="N448" s="277"/>
      <c r="O448" s="277"/>
      <c r="P448" s="277"/>
      <c r="Q448" s="277"/>
      <c r="R448" s="277"/>
      <c r="S448" s="277"/>
      <c r="T448" s="294"/>
      <c r="U448" s="294"/>
      <c r="V448" s="294"/>
      <c r="W448" s="294"/>
      <c r="X448" s="294"/>
      <c r="Y448" s="294"/>
      <c r="Z448" s="294"/>
      <c r="AA448" s="294"/>
      <c r="AB448" s="294"/>
      <c r="AC448" s="277"/>
      <c r="AD448" s="277"/>
      <c r="AE448" s="277"/>
      <c r="AF448" s="277"/>
      <c r="AG448" s="277"/>
      <c r="AH448" s="277"/>
      <c r="AI448" s="277"/>
      <c r="AJ448" s="277"/>
      <c r="AK448" s="277"/>
      <c r="AL448" s="277"/>
      <c r="AM448" s="277"/>
      <c r="AN448" s="277"/>
      <c r="AO448" s="277"/>
      <c r="AP448" s="277"/>
      <c r="AQ448" s="277"/>
      <c r="AR448" s="277"/>
      <c r="AS448" s="277"/>
      <c r="AT448" s="277"/>
      <c r="AU448" s="277"/>
      <c r="AV448" s="277"/>
      <c r="AW448" s="277"/>
      <c r="AX448" s="277"/>
      <c r="AY448" s="277"/>
      <c r="AZ448" s="277"/>
      <c r="BA448" s="277"/>
      <c r="BB448" s="277"/>
    </row>
    <row r="449" spans="1:54" ht="12.75" customHeight="1" x14ac:dyDescent="0.25">
      <c r="A449" s="277"/>
      <c r="B449" s="277"/>
      <c r="C449" s="277"/>
      <c r="D449" s="277"/>
      <c r="E449" s="277"/>
      <c r="F449" s="277"/>
      <c r="G449" s="277"/>
      <c r="H449" s="277"/>
      <c r="I449" s="277"/>
      <c r="J449" s="277"/>
      <c r="K449" s="277"/>
      <c r="L449" s="277"/>
      <c r="M449" s="277"/>
      <c r="N449" s="277"/>
      <c r="O449" s="277"/>
      <c r="P449" s="277"/>
      <c r="Q449" s="277"/>
      <c r="R449" s="277"/>
      <c r="S449" s="277"/>
      <c r="T449" s="294"/>
      <c r="U449" s="294"/>
      <c r="V449" s="294"/>
      <c r="W449" s="294"/>
      <c r="X449" s="294"/>
      <c r="Y449" s="294"/>
      <c r="Z449" s="294"/>
      <c r="AA449" s="294"/>
      <c r="AB449" s="294"/>
      <c r="AC449" s="277"/>
      <c r="AD449" s="277"/>
      <c r="AE449" s="277"/>
      <c r="AF449" s="277"/>
      <c r="AG449" s="277"/>
      <c r="AH449" s="277"/>
      <c r="AI449" s="277"/>
      <c r="AJ449" s="277"/>
      <c r="AK449" s="277"/>
      <c r="AL449" s="277"/>
      <c r="AM449" s="277"/>
      <c r="AN449" s="277"/>
      <c r="AO449" s="277"/>
      <c r="AP449" s="277"/>
      <c r="AQ449" s="277"/>
      <c r="AR449" s="277"/>
      <c r="AS449" s="277"/>
      <c r="AT449" s="277"/>
      <c r="AU449" s="277"/>
      <c r="AV449" s="277"/>
      <c r="AW449" s="277"/>
      <c r="AX449" s="277"/>
      <c r="AY449" s="277"/>
      <c r="AZ449" s="277"/>
      <c r="BA449" s="277"/>
      <c r="BB449" s="277"/>
    </row>
    <row r="450" spans="1:54" ht="12.75" customHeight="1" x14ac:dyDescent="0.25">
      <c r="A450" s="277"/>
      <c r="B450" s="277"/>
      <c r="C450" s="277"/>
      <c r="D450" s="277"/>
      <c r="E450" s="277"/>
      <c r="F450" s="277"/>
      <c r="G450" s="277"/>
      <c r="H450" s="277"/>
      <c r="I450" s="277"/>
      <c r="J450" s="277"/>
      <c r="K450" s="277"/>
      <c r="L450" s="277"/>
      <c r="M450" s="277"/>
      <c r="N450" s="277"/>
      <c r="O450" s="277"/>
      <c r="P450" s="277"/>
      <c r="Q450" s="277"/>
      <c r="R450" s="277"/>
      <c r="S450" s="277"/>
      <c r="T450" s="294"/>
      <c r="U450" s="294"/>
      <c r="V450" s="294"/>
      <c r="W450" s="294"/>
      <c r="X450" s="294"/>
      <c r="Y450" s="294"/>
      <c r="Z450" s="294"/>
      <c r="AA450" s="294"/>
      <c r="AB450" s="294"/>
      <c r="AC450" s="277"/>
      <c r="AD450" s="277"/>
      <c r="AE450" s="277"/>
      <c r="AF450" s="277"/>
      <c r="AG450" s="277"/>
      <c r="AH450" s="277"/>
      <c r="AI450" s="277"/>
      <c r="AJ450" s="277"/>
      <c r="AK450" s="277"/>
      <c r="AL450" s="277"/>
      <c r="AM450" s="277"/>
      <c r="AN450" s="277"/>
      <c r="AO450" s="277"/>
      <c r="AP450" s="277"/>
      <c r="AQ450" s="277"/>
      <c r="AR450" s="277"/>
      <c r="AS450" s="277"/>
      <c r="AT450" s="277"/>
      <c r="AU450" s="277"/>
      <c r="AV450" s="277"/>
      <c r="AW450" s="277"/>
      <c r="AX450" s="277"/>
      <c r="AY450" s="277"/>
      <c r="AZ450" s="277"/>
      <c r="BA450" s="277"/>
      <c r="BB450" s="277"/>
    </row>
    <row r="451" spans="1:54" ht="12.75" customHeight="1" x14ac:dyDescent="0.25">
      <c r="A451" s="277"/>
      <c r="B451" s="277"/>
      <c r="C451" s="277"/>
      <c r="D451" s="277"/>
      <c r="E451" s="277"/>
      <c r="F451" s="277"/>
      <c r="G451" s="277"/>
      <c r="H451" s="277"/>
      <c r="I451" s="277"/>
      <c r="J451" s="277"/>
      <c r="K451" s="277"/>
      <c r="L451" s="277"/>
      <c r="M451" s="277"/>
      <c r="N451" s="277"/>
      <c r="O451" s="277"/>
      <c r="P451" s="277"/>
      <c r="Q451" s="277"/>
      <c r="R451" s="277"/>
      <c r="S451" s="277"/>
      <c r="T451" s="294"/>
      <c r="U451" s="294"/>
      <c r="V451" s="294"/>
      <c r="W451" s="294"/>
      <c r="X451" s="294"/>
      <c r="Y451" s="294"/>
      <c r="Z451" s="294"/>
      <c r="AA451" s="294"/>
      <c r="AB451" s="294"/>
      <c r="AC451" s="277"/>
      <c r="AD451" s="277"/>
      <c r="AE451" s="277"/>
      <c r="AF451" s="277"/>
      <c r="AG451" s="277"/>
      <c r="AH451" s="277"/>
      <c r="AI451" s="277"/>
      <c r="AJ451" s="277"/>
      <c r="AK451" s="277"/>
      <c r="AL451" s="277"/>
      <c r="AM451" s="277"/>
      <c r="AN451" s="277"/>
      <c r="AO451" s="277"/>
      <c r="AP451" s="277"/>
      <c r="AQ451" s="277"/>
      <c r="AR451" s="277"/>
      <c r="AS451" s="277"/>
      <c r="AT451" s="277"/>
      <c r="AU451" s="277"/>
      <c r="AV451" s="277"/>
      <c r="AW451" s="277"/>
      <c r="AX451" s="277"/>
      <c r="AY451" s="277"/>
      <c r="AZ451" s="277"/>
      <c r="BA451" s="277"/>
      <c r="BB451" s="277"/>
    </row>
    <row r="452" spans="1:54" ht="12.75" customHeight="1" x14ac:dyDescent="0.25">
      <c r="A452" s="277"/>
      <c r="B452" s="277"/>
      <c r="C452" s="277"/>
      <c r="D452" s="277"/>
      <c r="E452" s="277"/>
      <c r="F452" s="277"/>
      <c r="G452" s="277"/>
      <c r="H452" s="277"/>
      <c r="I452" s="277"/>
      <c r="J452" s="277"/>
      <c r="K452" s="277"/>
      <c r="L452" s="277"/>
      <c r="M452" s="277"/>
      <c r="N452" s="277"/>
      <c r="O452" s="277"/>
      <c r="P452" s="277"/>
      <c r="Q452" s="277"/>
      <c r="R452" s="277"/>
      <c r="S452" s="277"/>
      <c r="T452" s="294"/>
      <c r="U452" s="294"/>
      <c r="V452" s="294"/>
      <c r="W452" s="294"/>
      <c r="X452" s="294"/>
      <c r="Y452" s="294"/>
      <c r="Z452" s="294"/>
      <c r="AA452" s="294"/>
      <c r="AB452" s="294"/>
      <c r="AC452" s="277"/>
      <c r="AD452" s="277"/>
      <c r="AE452" s="277"/>
      <c r="AF452" s="277"/>
      <c r="AG452" s="277"/>
      <c r="AH452" s="277"/>
      <c r="AI452" s="277"/>
      <c r="AJ452" s="277"/>
      <c r="AK452" s="277"/>
      <c r="AL452" s="277"/>
      <c r="AM452" s="277"/>
      <c r="AN452" s="277"/>
      <c r="AO452" s="277"/>
      <c r="AP452" s="277"/>
      <c r="AQ452" s="277"/>
      <c r="AR452" s="277"/>
      <c r="AS452" s="277"/>
      <c r="AT452" s="277"/>
      <c r="AU452" s="277"/>
      <c r="AV452" s="277"/>
      <c r="AW452" s="277"/>
      <c r="AX452" s="277"/>
      <c r="AY452" s="277"/>
      <c r="AZ452" s="277"/>
      <c r="BA452" s="277"/>
      <c r="BB452" s="277"/>
    </row>
    <row r="453" spans="1:54" ht="12.75" customHeight="1" x14ac:dyDescent="0.25">
      <c r="A453" s="277"/>
      <c r="B453" s="277"/>
      <c r="C453" s="277"/>
      <c r="D453" s="277"/>
      <c r="E453" s="277"/>
      <c r="F453" s="277"/>
      <c r="G453" s="277"/>
      <c r="H453" s="277"/>
      <c r="I453" s="277"/>
      <c r="J453" s="277"/>
      <c r="K453" s="277"/>
      <c r="L453" s="277"/>
      <c r="M453" s="277"/>
      <c r="N453" s="277"/>
      <c r="O453" s="277"/>
      <c r="P453" s="277"/>
      <c r="Q453" s="277"/>
      <c r="R453" s="277"/>
      <c r="S453" s="277"/>
      <c r="T453" s="294"/>
      <c r="U453" s="294"/>
      <c r="V453" s="294"/>
      <c r="W453" s="294"/>
      <c r="X453" s="294"/>
      <c r="Y453" s="294"/>
      <c r="Z453" s="294"/>
      <c r="AA453" s="294"/>
      <c r="AB453" s="294"/>
      <c r="AC453" s="277"/>
      <c r="AD453" s="277"/>
      <c r="AE453" s="277"/>
      <c r="AF453" s="277"/>
      <c r="AG453" s="277"/>
      <c r="AH453" s="277"/>
      <c r="AI453" s="277"/>
      <c r="AJ453" s="277"/>
      <c r="AK453" s="277"/>
      <c r="AL453" s="277"/>
      <c r="AM453" s="277"/>
      <c r="AN453" s="277"/>
      <c r="AO453" s="277"/>
      <c r="AP453" s="277"/>
      <c r="AQ453" s="277"/>
      <c r="AR453" s="277"/>
      <c r="AS453" s="277"/>
      <c r="AT453" s="277"/>
      <c r="AU453" s="277"/>
      <c r="AV453" s="277"/>
      <c r="AW453" s="277"/>
      <c r="AX453" s="277"/>
      <c r="AY453" s="277"/>
      <c r="AZ453" s="277"/>
      <c r="BA453" s="277"/>
      <c r="BB453" s="277"/>
    </row>
    <row r="454" spans="1:54" ht="12.75" customHeight="1" x14ac:dyDescent="0.25">
      <c r="A454" s="277"/>
      <c r="B454" s="277"/>
      <c r="C454" s="277"/>
      <c r="D454" s="277"/>
      <c r="E454" s="277"/>
      <c r="F454" s="277"/>
      <c r="G454" s="277"/>
      <c r="H454" s="277"/>
      <c r="I454" s="277"/>
      <c r="J454" s="277"/>
      <c r="K454" s="277"/>
      <c r="L454" s="277"/>
      <c r="M454" s="277"/>
      <c r="N454" s="277"/>
      <c r="O454" s="277"/>
      <c r="P454" s="277"/>
      <c r="Q454" s="277"/>
      <c r="R454" s="277"/>
      <c r="S454" s="277"/>
      <c r="T454" s="294"/>
      <c r="U454" s="294"/>
      <c r="V454" s="294"/>
      <c r="W454" s="294"/>
      <c r="X454" s="294"/>
      <c r="Y454" s="294"/>
      <c r="Z454" s="294"/>
      <c r="AA454" s="294"/>
      <c r="AB454" s="294"/>
      <c r="AC454" s="277"/>
      <c r="AD454" s="277"/>
      <c r="AE454" s="277"/>
      <c r="AF454" s="277"/>
      <c r="AG454" s="277"/>
      <c r="AH454" s="277"/>
      <c r="AI454" s="277"/>
      <c r="AJ454" s="277"/>
      <c r="AK454" s="277"/>
      <c r="AL454" s="277"/>
      <c r="AM454" s="277"/>
      <c r="AN454" s="277"/>
      <c r="AO454" s="277"/>
      <c r="AP454" s="277"/>
      <c r="AQ454" s="277"/>
      <c r="AR454" s="277"/>
      <c r="AS454" s="277"/>
      <c r="AT454" s="277"/>
      <c r="AU454" s="277"/>
      <c r="AV454" s="277"/>
      <c r="AW454" s="277"/>
      <c r="AX454" s="277"/>
      <c r="AY454" s="277"/>
      <c r="AZ454" s="277"/>
      <c r="BA454" s="277"/>
      <c r="BB454" s="277"/>
    </row>
    <row r="455" spans="1:54" ht="12.75" customHeight="1" x14ac:dyDescent="0.25">
      <c r="A455" s="277"/>
      <c r="B455" s="277"/>
      <c r="C455" s="277"/>
      <c r="D455" s="277"/>
      <c r="E455" s="277"/>
      <c r="F455" s="277"/>
      <c r="G455" s="277"/>
      <c r="H455" s="277"/>
      <c r="I455" s="277"/>
      <c r="J455" s="277"/>
      <c r="K455" s="277"/>
      <c r="L455" s="277"/>
      <c r="M455" s="277"/>
      <c r="N455" s="277"/>
      <c r="O455" s="277"/>
      <c r="P455" s="277"/>
      <c r="Q455" s="277"/>
      <c r="R455" s="277"/>
      <c r="S455" s="277"/>
      <c r="T455" s="294"/>
      <c r="U455" s="294"/>
      <c r="V455" s="294"/>
      <c r="W455" s="294"/>
      <c r="X455" s="294"/>
      <c r="Y455" s="294"/>
      <c r="Z455" s="294"/>
      <c r="AA455" s="294"/>
      <c r="AB455" s="294"/>
      <c r="AC455" s="277"/>
      <c r="AD455" s="277"/>
      <c r="AE455" s="277"/>
      <c r="AF455" s="277"/>
      <c r="AG455" s="277"/>
      <c r="AH455" s="277"/>
      <c r="AI455" s="277"/>
      <c r="AJ455" s="277"/>
      <c r="AK455" s="277"/>
      <c r="AL455" s="277"/>
      <c r="AM455" s="277"/>
      <c r="AN455" s="277"/>
      <c r="AO455" s="277"/>
      <c r="AP455" s="277"/>
      <c r="AQ455" s="277"/>
      <c r="AR455" s="277"/>
      <c r="AS455" s="277"/>
      <c r="AT455" s="277"/>
      <c r="AU455" s="277"/>
      <c r="AV455" s="277"/>
      <c r="AW455" s="277"/>
      <c r="AX455" s="277"/>
      <c r="AY455" s="277"/>
      <c r="AZ455" s="277"/>
      <c r="BA455" s="277"/>
      <c r="BB455" s="277"/>
    </row>
    <row r="456" spans="1:54" ht="12.75" customHeight="1" x14ac:dyDescent="0.25">
      <c r="A456" s="277"/>
      <c r="B456" s="277"/>
      <c r="C456" s="277"/>
      <c r="D456" s="277"/>
      <c r="E456" s="277"/>
      <c r="F456" s="277"/>
      <c r="G456" s="277"/>
      <c r="H456" s="277"/>
      <c r="I456" s="277"/>
      <c r="J456" s="277"/>
      <c r="K456" s="277"/>
      <c r="L456" s="277"/>
      <c r="M456" s="277"/>
      <c r="N456" s="277"/>
      <c r="O456" s="277"/>
      <c r="P456" s="277"/>
      <c r="Q456" s="277"/>
      <c r="R456" s="277"/>
      <c r="S456" s="277"/>
      <c r="T456" s="294"/>
      <c r="U456" s="294"/>
      <c r="V456" s="294"/>
      <c r="W456" s="294"/>
      <c r="X456" s="294"/>
      <c r="Y456" s="294"/>
      <c r="Z456" s="294"/>
      <c r="AA456" s="294"/>
      <c r="AB456" s="294"/>
      <c r="AC456" s="277"/>
      <c r="AD456" s="277"/>
      <c r="AE456" s="277"/>
      <c r="AF456" s="277"/>
      <c r="AG456" s="277"/>
      <c r="AH456" s="277"/>
      <c r="AI456" s="277"/>
      <c r="AJ456" s="277"/>
      <c r="AK456" s="277"/>
      <c r="AL456" s="277"/>
      <c r="AM456" s="277"/>
      <c r="AN456" s="277"/>
      <c r="AO456" s="277"/>
      <c r="AP456" s="277"/>
      <c r="AQ456" s="277"/>
      <c r="AR456" s="277"/>
      <c r="AS456" s="277"/>
      <c r="AT456" s="277"/>
      <c r="AU456" s="277"/>
      <c r="AV456" s="277"/>
      <c r="AW456" s="277"/>
      <c r="AX456" s="277"/>
      <c r="AY456" s="277"/>
      <c r="AZ456" s="277"/>
      <c r="BA456" s="277"/>
      <c r="BB456" s="277"/>
    </row>
    <row r="457" spans="1:54" ht="12.75" customHeight="1" x14ac:dyDescent="0.25">
      <c r="A457" s="277"/>
      <c r="B457" s="277"/>
      <c r="C457" s="277"/>
      <c r="D457" s="277"/>
      <c r="E457" s="277"/>
      <c r="F457" s="277"/>
      <c r="G457" s="277"/>
      <c r="H457" s="277"/>
      <c r="I457" s="277"/>
      <c r="J457" s="277"/>
      <c r="K457" s="277"/>
      <c r="L457" s="277"/>
      <c r="M457" s="277"/>
      <c r="N457" s="277"/>
      <c r="O457" s="277"/>
      <c r="P457" s="277"/>
      <c r="Q457" s="277"/>
      <c r="R457" s="277"/>
      <c r="S457" s="277"/>
      <c r="T457" s="294"/>
      <c r="U457" s="294"/>
      <c r="V457" s="294"/>
      <c r="W457" s="294"/>
      <c r="X457" s="294"/>
      <c r="Y457" s="294"/>
      <c r="Z457" s="294"/>
      <c r="AA457" s="294"/>
      <c r="AB457" s="294"/>
      <c r="AC457" s="277"/>
      <c r="AD457" s="277"/>
      <c r="AE457" s="277"/>
      <c r="AF457" s="277"/>
      <c r="AG457" s="277"/>
      <c r="AH457" s="277"/>
      <c r="AI457" s="277"/>
      <c r="AJ457" s="277"/>
      <c r="AK457" s="277"/>
      <c r="AL457" s="277"/>
      <c r="AM457" s="277"/>
      <c r="AN457" s="277"/>
      <c r="AO457" s="277"/>
      <c r="AP457" s="277"/>
      <c r="AQ457" s="277"/>
      <c r="AR457" s="277"/>
      <c r="AS457" s="277"/>
      <c r="AT457" s="277"/>
      <c r="AU457" s="277"/>
      <c r="AV457" s="277"/>
      <c r="AW457" s="277"/>
      <c r="AX457" s="277"/>
      <c r="AY457" s="277"/>
      <c r="AZ457" s="277"/>
      <c r="BA457" s="277"/>
      <c r="BB457" s="277"/>
    </row>
    <row r="458" spans="1:54" ht="12.75" customHeight="1" x14ac:dyDescent="0.25">
      <c r="A458" s="277"/>
      <c r="B458" s="277"/>
      <c r="C458" s="277"/>
      <c r="D458" s="277"/>
      <c r="E458" s="277"/>
      <c r="F458" s="277"/>
      <c r="G458" s="277"/>
      <c r="H458" s="277"/>
      <c r="I458" s="277"/>
      <c r="J458" s="277"/>
      <c r="K458" s="277"/>
      <c r="L458" s="277"/>
      <c r="M458" s="277"/>
      <c r="N458" s="277"/>
      <c r="O458" s="277"/>
      <c r="P458" s="277"/>
      <c r="Q458" s="277"/>
      <c r="R458" s="277"/>
      <c r="S458" s="277"/>
      <c r="T458" s="294"/>
      <c r="U458" s="294"/>
      <c r="V458" s="294"/>
      <c r="W458" s="294"/>
      <c r="X458" s="294"/>
      <c r="Y458" s="294"/>
      <c r="Z458" s="294"/>
      <c r="AA458" s="294"/>
      <c r="AB458" s="294"/>
      <c r="AC458" s="277"/>
      <c r="AD458" s="277"/>
      <c r="AE458" s="277"/>
      <c r="AF458" s="277"/>
      <c r="AG458" s="277"/>
      <c r="AH458" s="277"/>
      <c r="AI458" s="277"/>
      <c r="AJ458" s="277"/>
      <c r="AK458" s="277"/>
      <c r="AL458" s="277"/>
      <c r="AM458" s="277"/>
      <c r="AN458" s="277"/>
      <c r="AO458" s="277"/>
      <c r="AP458" s="277"/>
      <c r="AQ458" s="277"/>
      <c r="AR458" s="277"/>
      <c r="AS458" s="277"/>
      <c r="AT458" s="277"/>
      <c r="AU458" s="277"/>
      <c r="AV458" s="277"/>
      <c r="AW458" s="277"/>
      <c r="AX458" s="277"/>
      <c r="AY458" s="277"/>
      <c r="AZ458" s="277"/>
      <c r="BA458" s="277"/>
      <c r="BB458" s="277"/>
    </row>
    <row r="459" spans="1:54" ht="12.75" customHeight="1" x14ac:dyDescent="0.25">
      <c r="A459" s="277"/>
      <c r="B459" s="277"/>
      <c r="C459" s="277"/>
      <c r="D459" s="277"/>
      <c r="E459" s="277"/>
      <c r="F459" s="277"/>
      <c r="G459" s="277"/>
      <c r="H459" s="277"/>
      <c r="I459" s="277"/>
      <c r="J459" s="277"/>
      <c r="K459" s="277"/>
      <c r="L459" s="277"/>
      <c r="M459" s="277"/>
      <c r="N459" s="277"/>
      <c r="O459" s="277"/>
      <c r="P459" s="277"/>
      <c r="Q459" s="277"/>
      <c r="R459" s="277"/>
      <c r="S459" s="277"/>
      <c r="T459" s="294"/>
      <c r="U459" s="294"/>
      <c r="V459" s="294"/>
      <c r="W459" s="294"/>
      <c r="X459" s="294"/>
      <c r="Y459" s="294"/>
      <c r="Z459" s="294"/>
      <c r="AA459" s="294"/>
      <c r="AB459" s="294"/>
      <c r="AC459" s="277"/>
      <c r="AD459" s="277"/>
      <c r="AE459" s="277"/>
      <c r="AF459" s="277"/>
      <c r="AG459" s="277"/>
      <c r="AH459" s="277"/>
      <c r="AI459" s="277"/>
      <c r="AJ459" s="277"/>
      <c r="AK459" s="277"/>
      <c r="AL459" s="277"/>
      <c r="AM459" s="277"/>
      <c r="AN459" s="277"/>
      <c r="AO459" s="277"/>
      <c r="AP459" s="277"/>
      <c r="AQ459" s="277"/>
      <c r="AR459" s="277"/>
      <c r="AS459" s="277"/>
      <c r="AT459" s="277"/>
      <c r="AU459" s="277"/>
      <c r="AV459" s="277"/>
      <c r="AW459" s="277"/>
      <c r="AX459" s="277"/>
      <c r="AY459" s="277"/>
      <c r="AZ459" s="277"/>
      <c r="BA459" s="277"/>
      <c r="BB459" s="277"/>
    </row>
    <row r="460" spans="1:54" ht="12.75" customHeight="1" x14ac:dyDescent="0.25">
      <c r="A460" s="277"/>
      <c r="B460" s="277"/>
      <c r="C460" s="277"/>
      <c r="D460" s="277"/>
      <c r="E460" s="277"/>
      <c r="F460" s="277"/>
      <c r="G460" s="277"/>
      <c r="H460" s="277"/>
      <c r="I460" s="277"/>
      <c r="J460" s="277"/>
      <c r="K460" s="277"/>
      <c r="L460" s="277"/>
      <c r="M460" s="277"/>
      <c r="N460" s="277"/>
      <c r="O460" s="277"/>
      <c r="P460" s="277"/>
      <c r="Q460" s="277"/>
      <c r="R460" s="277"/>
      <c r="S460" s="277"/>
      <c r="T460" s="294"/>
      <c r="U460" s="294"/>
      <c r="V460" s="294"/>
      <c r="W460" s="294"/>
      <c r="X460" s="294"/>
      <c r="Y460" s="294"/>
      <c r="Z460" s="294"/>
      <c r="AA460" s="294"/>
      <c r="AB460" s="294"/>
      <c r="AC460" s="277"/>
      <c r="AD460" s="277"/>
      <c r="AE460" s="277"/>
      <c r="AF460" s="277"/>
      <c r="AG460" s="277"/>
      <c r="AH460" s="277"/>
      <c r="AI460" s="277"/>
      <c r="AJ460" s="277"/>
      <c r="AK460" s="277"/>
      <c r="AL460" s="277"/>
      <c r="AM460" s="277"/>
      <c r="AN460" s="277"/>
      <c r="AO460" s="277"/>
      <c r="AP460" s="277"/>
      <c r="AQ460" s="277"/>
      <c r="AR460" s="277"/>
      <c r="AS460" s="277"/>
      <c r="AT460" s="277"/>
      <c r="AU460" s="277"/>
      <c r="AV460" s="277"/>
      <c r="AW460" s="277"/>
      <c r="AX460" s="277"/>
      <c r="AY460" s="277"/>
      <c r="AZ460" s="277"/>
      <c r="BA460" s="277"/>
      <c r="BB460" s="277"/>
    </row>
    <row r="461" spans="1:54" ht="12.75" customHeight="1" x14ac:dyDescent="0.25">
      <c r="A461" s="277"/>
      <c r="B461" s="277"/>
      <c r="C461" s="277"/>
      <c r="D461" s="277"/>
      <c r="E461" s="277"/>
      <c r="F461" s="277"/>
      <c r="G461" s="277"/>
      <c r="H461" s="277"/>
      <c r="I461" s="277"/>
      <c r="J461" s="277"/>
      <c r="K461" s="277"/>
      <c r="L461" s="277"/>
      <c r="M461" s="277"/>
      <c r="N461" s="277"/>
      <c r="O461" s="277"/>
      <c r="P461" s="277"/>
      <c r="Q461" s="277"/>
      <c r="R461" s="277"/>
      <c r="S461" s="277"/>
      <c r="T461" s="294"/>
      <c r="U461" s="294"/>
      <c r="V461" s="294"/>
      <c r="W461" s="294"/>
      <c r="X461" s="294"/>
      <c r="Y461" s="294"/>
      <c r="Z461" s="294"/>
      <c r="AA461" s="294"/>
      <c r="AB461" s="294"/>
      <c r="AC461" s="277"/>
      <c r="AD461" s="277"/>
      <c r="AE461" s="277"/>
      <c r="AF461" s="277"/>
      <c r="AG461" s="277"/>
      <c r="AH461" s="277"/>
      <c r="AI461" s="277"/>
      <c r="AJ461" s="277"/>
      <c r="AK461" s="277"/>
      <c r="AL461" s="277"/>
      <c r="AM461" s="277"/>
      <c r="AN461" s="277"/>
      <c r="AO461" s="277"/>
      <c r="AP461" s="277"/>
      <c r="AQ461" s="277"/>
      <c r="AR461" s="277"/>
      <c r="AS461" s="277"/>
      <c r="AT461" s="277"/>
      <c r="AU461" s="277"/>
      <c r="AV461" s="277"/>
      <c r="AW461" s="277"/>
      <c r="AX461" s="277"/>
      <c r="AY461" s="277"/>
      <c r="AZ461" s="277"/>
      <c r="BA461" s="277"/>
      <c r="BB461" s="277"/>
    </row>
    <row r="462" spans="1:54" ht="12.75" customHeight="1" x14ac:dyDescent="0.25">
      <c r="A462" s="277"/>
      <c r="B462" s="277"/>
      <c r="C462" s="277"/>
      <c r="D462" s="277"/>
      <c r="E462" s="277"/>
      <c r="F462" s="277"/>
      <c r="G462" s="277"/>
      <c r="H462" s="277"/>
      <c r="I462" s="277"/>
      <c r="J462" s="277"/>
      <c r="K462" s="277"/>
      <c r="L462" s="277"/>
      <c r="M462" s="277"/>
      <c r="N462" s="277"/>
      <c r="O462" s="277"/>
      <c r="P462" s="277"/>
      <c r="Q462" s="277"/>
      <c r="R462" s="277"/>
      <c r="S462" s="277"/>
      <c r="T462" s="294"/>
      <c r="U462" s="294"/>
      <c r="V462" s="294"/>
      <c r="W462" s="294"/>
      <c r="X462" s="294"/>
      <c r="Y462" s="294"/>
      <c r="Z462" s="294"/>
      <c r="AA462" s="294"/>
      <c r="AB462" s="294"/>
      <c r="AC462" s="277"/>
      <c r="AD462" s="277"/>
      <c r="AE462" s="277"/>
      <c r="AF462" s="277"/>
      <c r="AG462" s="277"/>
      <c r="AH462" s="277"/>
      <c r="AI462" s="277"/>
      <c r="AJ462" s="277"/>
      <c r="AK462" s="277"/>
      <c r="AL462" s="277"/>
      <c r="AM462" s="277"/>
      <c r="AN462" s="277"/>
      <c r="AO462" s="277"/>
      <c r="AP462" s="277"/>
      <c r="AQ462" s="277"/>
      <c r="AR462" s="277"/>
      <c r="AS462" s="277"/>
      <c r="AT462" s="277"/>
      <c r="AU462" s="277"/>
      <c r="AV462" s="277"/>
      <c r="AW462" s="277"/>
      <c r="AX462" s="277"/>
      <c r="AY462" s="277"/>
      <c r="AZ462" s="277"/>
      <c r="BA462" s="277"/>
      <c r="BB462" s="277"/>
    </row>
    <row r="463" spans="1:54" ht="12.75" customHeight="1" x14ac:dyDescent="0.25">
      <c r="A463" s="277"/>
      <c r="B463" s="277"/>
      <c r="C463" s="277"/>
      <c r="D463" s="277"/>
      <c r="E463" s="277"/>
      <c r="F463" s="277"/>
      <c r="G463" s="277"/>
      <c r="H463" s="277"/>
      <c r="I463" s="277"/>
      <c r="J463" s="277"/>
      <c r="K463" s="277"/>
      <c r="L463" s="277"/>
      <c r="M463" s="277"/>
      <c r="N463" s="277"/>
      <c r="O463" s="277"/>
      <c r="P463" s="277"/>
      <c r="Q463" s="277"/>
      <c r="R463" s="277"/>
      <c r="S463" s="277"/>
      <c r="T463" s="294"/>
      <c r="U463" s="294"/>
      <c r="V463" s="294"/>
      <c r="W463" s="294"/>
      <c r="X463" s="294"/>
      <c r="Y463" s="294"/>
      <c r="Z463" s="294"/>
      <c r="AA463" s="294"/>
      <c r="AB463" s="294"/>
      <c r="AC463" s="277"/>
      <c r="AD463" s="277"/>
      <c r="AE463" s="277"/>
      <c r="AF463" s="277"/>
      <c r="AG463" s="277"/>
      <c r="AH463" s="277"/>
      <c r="AI463" s="277"/>
      <c r="AJ463" s="277"/>
      <c r="AK463" s="277"/>
      <c r="AL463" s="277"/>
      <c r="AM463" s="277"/>
      <c r="AN463" s="277"/>
      <c r="AO463" s="277"/>
      <c r="AP463" s="277"/>
      <c r="AQ463" s="277"/>
      <c r="AR463" s="277"/>
      <c r="AS463" s="277"/>
      <c r="AT463" s="277"/>
      <c r="AU463" s="277"/>
      <c r="AV463" s="277"/>
      <c r="AW463" s="277"/>
      <c r="AX463" s="277"/>
      <c r="AY463" s="277"/>
      <c r="AZ463" s="277"/>
      <c r="BA463" s="277"/>
      <c r="BB463" s="277"/>
    </row>
    <row r="464" spans="1:54" ht="12.75" customHeight="1" x14ac:dyDescent="0.25">
      <c r="A464" s="277"/>
      <c r="B464" s="277"/>
      <c r="C464" s="277"/>
      <c r="D464" s="277"/>
      <c r="E464" s="277"/>
      <c r="F464" s="277"/>
      <c r="G464" s="277"/>
      <c r="H464" s="277"/>
      <c r="I464" s="277"/>
      <c r="J464" s="277"/>
      <c r="K464" s="277"/>
      <c r="L464" s="277"/>
      <c r="M464" s="277"/>
      <c r="N464" s="277"/>
      <c r="O464" s="277"/>
      <c r="P464" s="277"/>
      <c r="Q464" s="277"/>
      <c r="R464" s="277"/>
      <c r="S464" s="277"/>
      <c r="T464" s="294"/>
      <c r="U464" s="294"/>
      <c r="V464" s="294"/>
      <c r="W464" s="294"/>
      <c r="X464" s="294"/>
      <c r="Y464" s="294"/>
      <c r="Z464" s="294"/>
      <c r="AA464" s="294"/>
      <c r="AB464" s="294"/>
      <c r="AC464" s="277"/>
      <c r="AD464" s="277"/>
      <c r="AE464" s="277"/>
      <c r="AF464" s="277"/>
      <c r="AG464" s="277"/>
      <c r="AH464" s="277"/>
      <c r="AI464" s="277"/>
      <c r="AJ464" s="277"/>
      <c r="AK464" s="277"/>
      <c r="AL464" s="277"/>
      <c r="AM464" s="277"/>
      <c r="AN464" s="277"/>
      <c r="AO464" s="277"/>
      <c r="AP464" s="277"/>
      <c r="AQ464" s="277"/>
      <c r="AR464" s="277"/>
      <c r="AS464" s="277"/>
      <c r="AT464" s="277"/>
      <c r="AU464" s="277"/>
      <c r="AV464" s="277"/>
      <c r="AW464" s="277"/>
      <c r="AX464" s="277"/>
      <c r="AY464" s="277"/>
      <c r="AZ464" s="277"/>
      <c r="BA464" s="277"/>
      <c r="BB464" s="277"/>
    </row>
    <row r="465" spans="1:54" ht="12.75" customHeight="1" x14ac:dyDescent="0.25">
      <c r="A465" s="277"/>
      <c r="B465" s="277"/>
      <c r="C465" s="277"/>
      <c r="D465" s="277"/>
      <c r="E465" s="277"/>
      <c r="F465" s="277"/>
      <c r="G465" s="277"/>
      <c r="H465" s="277"/>
      <c r="I465" s="277"/>
      <c r="J465" s="277"/>
      <c r="K465" s="277"/>
      <c r="L465" s="277"/>
      <c r="M465" s="277"/>
      <c r="N465" s="277"/>
      <c r="O465" s="277"/>
      <c r="P465" s="277"/>
      <c r="Q465" s="277"/>
      <c r="R465" s="277"/>
      <c r="S465" s="277"/>
      <c r="T465" s="294"/>
      <c r="U465" s="294"/>
      <c r="V465" s="294"/>
      <c r="W465" s="294"/>
      <c r="X465" s="294"/>
      <c r="Y465" s="294"/>
      <c r="Z465" s="294"/>
      <c r="AA465" s="294"/>
      <c r="AB465" s="294"/>
      <c r="AC465" s="277"/>
      <c r="AD465" s="277"/>
      <c r="AE465" s="277"/>
      <c r="AF465" s="277"/>
      <c r="AG465" s="277"/>
      <c r="AH465" s="277"/>
      <c r="AI465" s="277"/>
      <c r="AJ465" s="277"/>
      <c r="AK465" s="277"/>
      <c r="AL465" s="277"/>
      <c r="AM465" s="277"/>
      <c r="AN465" s="277"/>
      <c r="AO465" s="277"/>
      <c r="AP465" s="277"/>
      <c r="AQ465" s="277"/>
      <c r="AR465" s="277"/>
      <c r="AS465" s="277"/>
      <c r="AT465" s="277"/>
      <c r="AU465" s="277"/>
      <c r="AV465" s="277"/>
      <c r="AW465" s="277"/>
      <c r="AX465" s="277"/>
      <c r="AY465" s="277"/>
      <c r="AZ465" s="277"/>
      <c r="BA465" s="277"/>
      <c r="BB465" s="277"/>
    </row>
    <row r="466" spans="1:54" ht="12.75" customHeight="1" x14ac:dyDescent="0.25">
      <c r="A466" s="277"/>
      <c r="B466" s="277"/>
      <c r="C466" s="277"/>
      <c r="D466" s="277"/>
      <c r="E466" s="277"/>
      <c r="F466" s="277"/>
      <c r="G466" s="277"/>
      <c r="H466" s="277"/>
      <c r="I466" s="277"/>
      <c r="J466" s="277"/>
      <c r="K466" s="277"/>
      <c r="L466" s="277"/>
      <c r="M466" s="277"/>
      <c r="N466" s="277"/>
      <c r="O466" s="277"/>
      <c r="P466" s="277"/>
      <c r="Q466" s="277"/>
      <c r="R466" s="277"/>
      <c r="S466" s="277"/>
      <c r="T466" s="294"/>
      <c r="U466" s="294"/>
      <c r="V466" s="294"/>
      <c r="W466" s="294"/>
      <c r="X466" s="294"/>
      <c r="Y466" s="294"/>
      <c r="Z466" s="294"/>
      <c r="AA466" s="294"/>
      <c r="AB466" s="294"/>
      <c r="AC466" s="277"/>
      <c r="AD466" s="277"/>
      <c r="AE466" s="277"/>
      <c r="AF466" s="277"/>
      <c r="AG466" s="277"/>
      <c r="AH466" s="277"/>
      <c r="AI466" s="277"/>
      <c r="AJ466" s="277"/>
      <c r="AK466" s="277"/>
      <c r="AL466" s="277"/>
      <c r="AM466" s="277"/>
      <c r="AN466" s="277"/>
      <c r="AO466" s="277"/>
      <c r="AP466" s="277"/>
      <c r="AQ466" s="277"/>
      <c r="AR466" s="277"/>
      <c r="AS466" s="277"/>
      <c r="AT466" s="277"/>
      <c r="AU466" s="277"/>
      <c r="AV466" s="277"/>
      <c r="AW466" s="277"/>
      <c r="AX466" s="277"/>
      <c r="AY466" s="277"/>
      <c r="AZ466" s="277"/>
      <c r="BA466" s="277"/>
      <c r="BB466" s="277"/>
    </row>
    <row r="467" spans="1:54" ht="12.75" customHeight="1" x14ac:dyDescent="0.25">
      <c r="A467" s="277"/>
      <c r="B467" s="277"/>
      <c r="C467" s="277"/>
      <c r="D467" s="277"/>
      <c r="E467" s="277"/>
      <c r="F467" s="277"/>
      <c r="G467" s="277"/>
      <c r="H467" s="277"/>
      <c r="I467" s="277"/>
      <c r="J467" s="277"/>
      <c r="K467" s="277"/>
      <c r="L467" s="277"/>
      <c r="M467" s="277"/>
      <c r="N467" s="277"/>
      <c r="O467" s="277"/>
      <c r="P467" s="277"/>
      <c r="Q467" s="277"/>
      <c r="R467" s="277"/>
      <c r="S467" s="277"/>
      <c r="T467" s="294"/>
      <c r="U467" s="294"/>
      <c r="V467" s="294"/>
      <c r="W467" s="294"/>
      <c r="X467" s="294"/>
      <c r="Y467" s="294"/>
      <c r="Z467" s="294"/>
      <c r="AA467" s="294"/>
      <c r="AB467" s="294"/>
      <c r="AC467" s="277"/>
      <c r="AD467" s="277"/>
      <c r="AE467" s="277"/>
      <c r="AF467" s="277"/>
      <c r="AG467" s="277"/>
      <c r="AH467" s="277"/>
      <c r="AI467" s="277"/>
      <c r="AJ467" s="277"/>
      <c r="AK467" s="277"/>
      <c r="AL467" s="277"/>
      <c r="AM467" s="277"/>
      <c r="AN467" s="277"/>
      <c r="AO467" s="277"/>
      <c r="AP467" s="277"/>
      <c r="AQ467" s="277"/>
      <c r="AR467" s="277"/>
      <c r="AS467" s="277"/>
      <c r="AT467" s="277"/>
      <c r="AU467" s="277"/>
      <c r="AV467" s="277"/>
      <c r="AW467" s="277"/>
      <c r="AX467" s="277"/>
      <c r="AY467" s="277"/>
      <c r="AZ467" s="277"/>
      <c r="BA467" s="277"/>
      <c r="BB467" s="277"/>
    </row>
    <row r="468" spans="1:54" ht="12.75" customHeight="1" x14ac:dyDescent="0.25">
      <c r="A468" s="277"/>
      <c r="B468" s="277"/>
      <c r="C468" s="277"/>
      <c r="D468" s="277"/>
      <c r="E468" s="277"/>
      <c r="F468" s="277"/>
      <c r="G468" s="277"/>
      <c r="H468" s="277"/>
      <c r="I468" s="277"/>
      <c r="J468" s="277"/>
      <c r="K468" s="277"/>
      <c r="L468" s="277"/>
      <c r="M468" s="277"/>
      <c r="N468" s="277"/>
      <c r="O468" s="277"/>
      <c r="P468" s="277"/>
      <c r="Q468" s="277"/>
      <c r="R468" s="277"/>
      <c r="S468" s="277"/>
      <c r="T468" s="294"/>
      <c r="U468" s="294"/>
      <c r="V468" s="294"/>
      <c r="W468" s="294"/>
      <c r="X468" s="294"/>
      <c r="Y468" s="294"/>
      <c r="Z468" s="294"/>
      <c r="AA468" s="294"/>
      <c r="AB468" s="294"/>
      <c r="AC468" s="277"/>
      <c r="AD468" s="277"/>
      <c r="AE468" s="277"/>
      <c r="AF468" s="277"/>
      <c r="AG468" s="277"/>
      <c r="AH468" s="277"/>
      <c r="AI468" s="277"/>
      <c r="AJ468" s="277"/>
      <c r="AK468" s="277"/>
      <c r="AL468" s="277"/>
      <c r="AM468" s="277"/>
      <c r="AN468" s="277"/>
      <c r="AO468" s="277"/>
      <c r="AP468" s="277"/>
      <c r="AQ468" s="277"/>
      <c r="AR468" s="277"/>
      <c r="AS468" s="277"/>
      <c r="AT468" s="277"/>
      <c r="AU468" s="277"/>
      <c r="AV468" s="277"/>
      <c r="AW468" s="277"/>
      <c r="AX468" s="277"/>
      <c r="AY468" s="277"/>
      <c r="AZ468" s="277"/>
      <c r="BA468" s="277"/>
      <c r="BB468" s="277"/>
    </row>
    <row r="469" spans="1:54" ht="12.75" customHeight="1" x14ac:dyDescent="0.25">
      <c r="A469" s="277"/>
      <c r="B469" s="277"/>
      <c r="C469" s="277"/>
      <c r="D469" s="277"/>
      <c r="E469" s="277"/>
      <c r="F469" s="277"/>
      <c r="G469" s="277"/>
      <c r="H469" s="277"/>
      <c r="I469" s="277"/>
      <c r="J469" s="277"/>
      <c r="K469" s="277"/>
      <c r="L469" s="277"/>
      <c r="M469" s="277"/>
      <c r="N469" s="277"/>
      <c r="O469" s="277"/>
      <c r="P469" s="277"/>
      <c r="Q469" s="277"/>
      <c r="R469" s="277"/>
      <c r="S469" s="277"/>
      <c r="T469" s="294"/>
      <c r="U469" s="294"/>
      <c r="V469" s="294"/>
      <c r="W469" s="294"/>
      <c r="X469" s="294"/>
      <c r="Y469" s="294"/>
      <c r="Z469" s="294"/>
      <c r="AA469" s="294"/>
      <c r="AB469" s="294"/>
      <c r="AC469" s="277"/>
      <c r="AD469" s="277"/>
      <c r="AE469" s="277"/>
      <c r="AF469" s="277"/>
      <c r="AG469" s="277"/>
      <c r="AH469" s="277"/>
      <c r="AI469" s="277"/>
      <c r="AJ469" s="277"/>
      <c r="AK469" s="277"/>
      <c r="AL469" s="277"/>
      <c r="AM469" s="277"/>
      <c r="AN469" s="277"/>
      <c r="AO469" s="277"/>
      <c r="AP469" s="277"/>
      <c r="AQ469" s="277"/>
      <c r="AR469" s="277"/>
      <c r="AS469" s="277"/>
      <c r="AT469" s="277"/>
      <c r="AU469" s="277"/>
      <c r="AV469" s="277"/>
      <c r="AW469" s="277"/>
      <c r="AX469" s="277"/>
      <c r="AY469" s="277"/>
      <c r="AZ469" s="277"/>
      <c r="BA469" s="277"/>
      <c r="BB469" s="277"/>
    </row>
    <row r="470" spans="1:54" ht="12.75" customHeight="1" x14ac:dyDescent="0.25">
      <c r="A470" s="277"/>
      <c r="B470" s="277"/>
      <c r="C470" s="277"/>
      <c r="D470" s="277"/>
      <c r="E470" s="277"/>
      <c r="F470" s="277"/>
      <c r="G470" s="277"/>
      <c r="H470" s="277"/>
      <c r="I470" s="277"/>
      <c r="J470" s="277"/>
      <c r="K470" s="277"/>
      <c r="L470" s="277"/>
      <c r="M470" s="277"/>
      <c r="N470" s="277"/>
      <c r="O470" s="277"/>
      <c r="P470" s="277"/>
      <c r="Q470" s="277"/>
      <c r="R470" s="277"/>
      <c r="S470" s="277"/>
      <c r="T470" s="294"/>
      <c r="U470" s="294"/>
      <c r="V470" s="294"/>
      <c r="W470" s="294"/>
      <c r="X470" s="294"/>
      <c r="Y470" s="294"/>
      <c r="Z470" s="294"/>
      <c r="AA470" s="294"/>
      <c r="AB470" s="294"/>
      <c r="AC470" s="277"/>
      <c r="AD470" s="277"/>
      <c r="AE470" s="277"/>
      <c r="AF470" s="277"/>
      <c r="AG470" s="277"/>
      <c r="AH470" s="277"/>
      <c r="AI470" s="277"/>
      <c r="AJ470" s="277"/>
      <c r="AK470" s="277"/>
      <c r="AL470" s="277"/>
      <c r="AM470" s="277"/>
      <c r="AN470" s="277"/>
      <c r="AO470" s="277"/>
      <c r="AP470" s="277"/>
      <c r="AQ470" s="277"/>
      <c r="AR470" s="277"/>
      <c r="AS470" s="277"/>
      <c r="AT470" s="277"/>
      <c r="AU470" s="277"/>
      <c r="AV470" s="277"/>
      <c r="AW470" s="277"/>
      <c r="AX470" s="277"/>
      <c r="AY470" s="277"/>
      <c r="AZ470" s="277"/>
      <c r="BA470" s="277"/>
      <c r="BB470" s="277"/>
    </row>
    <row r="471" spans="1:54" ht="12.75" customHeight="1" x14ac:dyDescent="0.25">
      <c r="A471" s="277"/>
      <c r="B471" s="277"/>
      <c r="C471" s="277"/>
      <c r="D471" s="277"/>
      <c r="E471" s="277"/>
      <c r="F471" s="277"/>
      <c r="G471" s="277"/>
      <c r="H471" s="277"/>
      <c r="I471" s="277"/>
      <c r="J471" s="277"/>
      <c r="K471" s="277"/>
      <c r="L471" s="277"/>
      <c r="M471" s="277"/>
      <c r="N471" s="277"/>
      <c r="O471" s="277"/>
      <c r="P471" s="277"/>
      <c r="Q471" s="277"/>
      <c r="R471" s="277"/>
      <c r="S471" s="277"/>
      <c r="T471" s="294"/>
      <c r="U471" s="294"/>
      <c r="V471" s="294"/>
      <c r="W471" s="294"/>
      <c r="X471" s="294"/>
      <c r="Y471" s="294"/>
      <c r="Z471" s="294"/>
      <c r="AA471" s="294"/>
      <c r="AB471" s="294"/>
      <c r="AC471" s="277"/>
      <c r="AD471" s="277"/>
      <c r="AE471" s="277"/>
      <c r="AF471" s="277"/>
      <c r="AG471" s="277"/>
      <c r="AH471" s="277"/>
      <c r="AI471" s="277"/>
      <c r="AJ471" s="277"/>
      <c r="AK471" s="277"/>
      <c r="AL471" s="277"/>
      <c r="AM471" s="277"/>
      <c r="AN471" s="277"/>
      <c r="AO471" s="277"/>
      <c r="AP471" s="277"/>
      <c r="AQ471" s="277"/>
      <c r="AR471" s="277"/>
      <c r="AS471" s="277"/>
      <c r="AT471" s="277"/>
      <c r="AU471" s="277"/>
      <c r="AV471" s="277"/>
      <c r="AW471" s="277"/>
      <c r="AX471" s="277"/>
      <c r="AY471" s="277"/>
      <c r="AZ471" s="277"/>
      <c r="BA471" s="277"/>
      <c r="BB471" s="277"/>
    </row>
    <row r="472" spans="1:54" ht="12.75" customHeight="1" x14ac:dyDescent="0.25">
      <c r="A472" s="277"/>
      <c r="B472" s="277"/>
      <c r="C472" s="277"/>
      <c r="D472" s="277"/>
      <c r="E472" s="277"/>
      <c r="F472" s="277"/>
      <c r="G472" s="277"/>
      <c r="H472" s="277"/>
      <c r="I472" s="277"/>
      <c r="J472" s="277"/>
      <c r="K472" s="277"/>
      <c r="L472" s="277"/>
      <c r="M472" s="277"/>
      <c r="N472" s="277"/>
      <c r="O472" s="277"/>
      <c r="P472" s="277"/>
      <c r="Q472" s="277"/>
      <c r="R472" s="277"/>
      <c r="S472" s="277"/>
      <c r="T472" s="294"/>
      <c r="U472" s="294"/>
      <c r="V472" s="294"/>
      <c r="W472" s="294"/>
      <c r="X472" s="294"/>
      <c r="Y472" s="294"/>
      <c r="Z472" s="294"/>
      <c r="AA472" s="294"/>
      <c r="AB472" s="294"/>
      <c r="AC472" s="277"/>
      <c r="AD472" s="277"/>
      <c r="AE472" s="277"/>
      <c r="AF472" s="277"/>
      <c r="AG472" s="277"/>
      <c r="AH472" s="277"/>
      <c r="AI472" s="277"/>
      <c r="AJ472" s="277"/>
      <c r="AK472" s="277"/>
      <c r="AL472" s="277"/>
      <c r="AM472" s="277"/>
      <c r="AN472" s="277"/>
      <c r="AO472" s="277"/>
      <c r="AP472" s="277"/>
      <c r="AQ472" s="277"/>
      <c r="AR472" s="277"/>
      <c r="AS472" s="277"/>
      <c r="AT472" s="277"/>
      <c r="AU472" s="277"/>
      <c r="AV472" s="277"/>
      <c r="AW472" s="277"/>
      <c r="AX472" s="277"/>
      <c r="AY472" s="277"/>
      <c r="AZ472" s="277"/>
      <c r="BA472" s="277"/>
      <c r="BB472" s="277"/>
    </row>
    <row r="473" spans="1:54" ht="12.75" customHeight="1" x14ac:dyDescent="0.25">
      <c r="A473" s="277"/>
      <c r="B473" s="277"/>
      <c r="C473" s="277"/>
      <c r="D473" s="277"/>
      <c r="E473" s="277"/>
      <c r="F473" s="277"/>
      <c r="G473" s="277"/>
      <c r="H473" s="277"/>
      <c r="I473" s="277"/>
      <c r="J473" s="277"/>
      <c r="K473" s="277"/>
      <c r="L473" s="277"/>
      <c r="M473" s="277"/>
      <c r="N473" s="277"/>
      <c r="O473" s="277"/>
      <c r="P473" s="277"/>
      <c r="Q473" s="277"/>
      <c r="R473" s="277"/>
      <c r="S473" s="277"/>
      <c r="T473" s="294"/>
      <c r="U473" s="294"/>
      <c r="V473" s="294"/>
      <c r="W473" s="294"/>
      <c r="X473" s="294"/>
      <c r="Y473" s="294"/>
      <c r="Z473" s="294"/>
      <c r="AA473" s="294"/>
      <c r="AB473" s="294"/>
      <c r="AC473" s="277"/>
      <c r="AD473" s="277"/>
      <c r="AE473" s="277"/>
      <c r="AF473" s="277"/>
      <c r="AG473" s="277"/>
      <c r="AH473" s="277"/>
      <c r="AI473" s="277"/>
      <c r="AJ473" s="277"/>
      <c r="AK473" s="277"/>
      <c r="AL473" s="277"/>
      <c r="AM473" s="277"/>
      <c r="AN473" s="277"/>
      <c r="AO473" s="277"/>
      <c r="AP473" s="277"/>
      <c r="AQ473" s="277"/>
      <c r="AR473" s="277"/>
      <c r="AS473" s="277"/>
      <c r="AT473" s="277"/>
      <c r="AU473" s="277"/>
      <c r="AV473" s="277"/>
      <c r="AW473" s="277"/>
      <c r="AX473" s="277"/>
      <c r="AY473" s="277"/>
      <c r="AZ473" s="277"/>
      <c r="BA473" s="277"/>
      <c r="BB473" s="277"/>
    </row>
    <row r="474" spans="1:54" ht="12.75" customHeight="1" x14ac:dyDescent="0.25">
      <c r="A474" s="277"/>
      <c r="B474" s="277"/>
      <c r="C474" s="277"/>
      <c r="D474" s="277"/>
      <c r="E474" s="277"/>
      <c r="F474" s="277"/>
      <c r="G474" s="277"/>
      <c r="H474" s="277"/>
      <c r="I474" s="277"/>
      <c r="J474" s="277"/>
      <c r="K474" s="277"/>
      <c r="L474" s="277"/>
      <c r="M474" s="277"/>
      <c r="N474" s="277"/>
      <c r="O474" s="277"/>
      <c r="P474" s="277"/>
      <c r="Q474" s="277"/>
      <c r="R474" s="277"/>
      <c r="S474" s="277"/>
      <c r="T474" s="294"/>
      <c r="U474" s="294"/>
      <c r="V474" s="294"/>
      <c r="W474" s="294"/>
      <c r="X474" s="294"/>
      <c r="Y474" s="294"/>
      <c r="Z474" s="294"/>
      <c r="AA474" s="294"/>
      <c r="AB474" s="294"/>
      <c r="AC474" s="277"/>
      <c r="AD474" s="277"/>
      <c r="AE474" s="277"/>
      <c r="AF474" s="277"/>
      <c r="AG474" s="277"/>
      <c r="AH474" s="277"/>
      <c r="AI474" s="277"/>
      <c r="AJ474" s="277"/>
      <c r="AK474" s="277"/>
      <c r="AL474" s="277"/>
      <c r="AM474" s="277"/>
      <c r="AN474" s="277"/>
      <c r="AO474" s="277"/>
      <c r="AP474" s="277"/>
      <c r="AQ474" s="277"/>
      <c r="AR474" s="277"/>
      <c r="AS474" s="277"/>
      <c r="AT474" s="277"/>
      <c r="AU474" s="277"/>
      <c r="AV474" s="277"/>
      <c r="AW474" s="277"/>
      <c r="AX474" s="277"/>
      <c r="AY474" s="277"/>
      <c r="AZ474" s="277"/>
      <c r="BA474" s="277"/>
      <c r="BB474" s="277"/>
    </row>
    <row r="475" spans="1:54" ht="12.75" customHeight="1" x14ac:dyDescent="0.25">
      <c r="A475" s="277"/>
      <c r="B475" s="277"/>
      <c r="C475" s="277"/>
      <c r="D475" s="277"/>
      <c r="E475" s="277"/>
      <c r="F475" s="277"/>
      <c r="G475" s="277"/>
      <c r="H475" s="277"/>
      <c r="I475" s="277"/>
      <c r="J475" s="277"/>
      <c r="K475" s="277"/>
      <c r="L475" s="277"/>
      <c r="M475" s="277"/>
      <c r="N475" s="277"/>
      <c r="O475" s="277"/>
      <c r="P475" s="277"/>
      <c r="Q475" s="277"/>
      <c r="R475" s="277"/>
      <c r="S475" s="277"/>
      <c r="T475" s="294"/>
      <c r="U475" s="294"/>
      <c r="V475" s="294"/>
      <c r="W475" s="294"/>
      <c r="X475" s="294"/>
      <c r="Y475" s="294"/>
      <c r="Z475" s="294"/>
      <c r="AA475" s="294"/>
      <c r="AB475" s="294"/>
      <c r="AC475" s="277"/>
      <c r="AD475" s="277"/>
      <c r="AE475" s="277"/>
      <c r="AF475" s="277"/>
      <c r="AG475" s="277"/>
      <c r="AH475" s="277"/>
      <c r="AI475" s="277"/>
      <c r="AJ475" s="277"/>
      <c r="AK475" s="277"/>
      <c r="AL475" s="277"/>
      <c r="AM475" s="277"/>
      <c r="AN475" s="277"/>
      <c r="AO475" s="277"/>
      <c r="AP475" s="277"/>
      <c r="AQ475" s="277"/>
      <c r="AR475" s="277"/>
      <c r="AS475" s="277"/>
      <c r="AT475" s="277"/>
      <c r="AU475" s="277"/>
      <c r="AV475" s="277"/>
      <c r="AW475" s="277"/>
      <c r="AX475" s="277"/>
      <c r="AY475" s="277"/>
      <c r="AZ475" s="277"/>
      <c r="BA475" s="277"/>
      <c r="BB475" s="277"/>
    </row>
    <row r="476" spans="1:54" ht="12.75" customHeight="1" x14ac:dyDescent="0.25">
      <c r="A476" s="277"/>
      <c r="B476" s="277"/>
      <c r="C476" s="277"/>
      <c r="D476" s="277"/>
      <c r="E476" s="277"/>
      <c r="F476" s="277"/>
      <c r="G476" s="277"/>
      <c r="H476" s="277"/>
      <c r="I476" s="277"/>
      <c r="J476" s="277"/>
      <c r="K476" s="277"/>
      <c r="L476" s="277"/>
      <c r="M476" s="277"/>
      <c r="N476" s="277"/>
      <c r="O476" s="277"/>
      <c r="P476" s="277"/>
      <c r="Q476" s="277"/>
      <c r="R476" s="277"/>
      <c r="S476" s="277"/>
      <c r="T476" s="294"/>
      <c r="U476" s="294"/>
      <c r="V476" s="294"/>
      <c r="W476" s="294"/>
      <c r="X476" s="294"/>
      <c r="Y476" s="294"/>
      <c r="Z476" s="294"/>
      <c r="AA476" s="294"/>
      <c r="AB476" s="294"/>
      <c r="AC476" s="277"/>
      <c r="AD476" s="277"/>
      <c r="AE476" s="277"/>
      <c r="AF476" s="277"/>
      <c r="AG476" s="277"/>
      <c r="AH476" s="277"/>
      <c r="AI476" s="277"/>
      <c r="AJ476" s="277"/>
      <c r="AK476" s="277"/>
      <c r="AL476" s="277"/>
      <c r="AM476" s="277"/>
      <c r="AN476" s="277"/>
      <c r="AO476" s="277"/>
      <c r="AP476" s="277"/>
      <c r="AQ476" s="277"/>
      <c r="AR476" s="277"/>
      <c r="AS476" s="277"/>
      <c r="AT476" s="277"/>
      <c r="AU476" s="277"/>
      <c r="AV476" s="277"/>
      <c r="AW476" s="277"/>
      <c r="AX476" s="277"/>
      <c r="AY476" s="277"/>
      <c r="AZ476" s="277"/>
      <c r="BA476" s="277"/>
      <c r="BB476" s="277"/>
    </row>
    <row r="477" spans="1:54" ht="12.75" customHeight="1" x14ac:dyDescent="0.25">
      <c r="A477" s="277"/>
      <c r="B477" s="277"/>
      <c r="C477" s="277"/>
      <c r="D477" s="277"/>
      <c r="E477" s="277"/>
      <c r="F477" s="277"/>
      <c r="G477" s="277"/>
      <c r="H477" s="277"/>
      <c r="I477" s="277"/>
      <c r="J477" s="277"/>
      <c r="K477" s="277"/>
      <c r="L477" s="277"/>
      <c r="M477" s="277"/>
      <c r="N477" s="277"/>
      <c r="O477" s="277"/>
      <c r="P477" s="277"/>
      <c r="Q477" s="277"/>
      <c r="R477" s="277"/>
      <c r="S477" s="277"/>
      <c r="T477" s="294"/>
      <c r="U477" s="294"/>
      <c r="V477" s="294"/>
      <c r="W477" s="294"/>
      <c r="X477" s="294"/>
      <c r="Y477" s="294"/>
      <c r="Z477" s="294"/>
      <c r="AA477" s="294"/>
      <c r="AB477" s="294"/>
      <c r="AC477" s="277"/>
      <c r="AD477" s="277"/>
      <c r="AE477" s="277"/>
      <c r="AF477" s="277"/>
      <c r="AG477" s="277"/>
      <c r="AH477" s="277"/>
      <c r="AI477" s="277"/>
      <c r="AJ477" s="277"/>
      <c r="AK477" s="277"/>
      <c r="AL477" s="277"/>
      <c r="AM477" s="277"/>
      <c r="AN477" s="277"/>
      <c r="AO477" s="277"/>
      <c r="AP477" s="277"/>
      <c r="AQ477" s="277"/>
      <c r="AR477" s="277"/>
      <c r="AS477" s="277"/>
      <c r="AT477" s="277"/>
      <c r="AU477" s="277"/>
      <c r="AV477" s="277"/>
      <c r="AW477" s="277"/>
      <c r="AX477" s="277"/>
      <c r="AY477" s="277"/>
      <c r="AZ477" s="277"/>
      <c r="BA477" s="277"/>
      <c r="BB477" s="277"/>
    </row>
    <row r="478" spans="1:54" ht="12.75" customHeight="1" x14ac:dyDescent="0.25">
      <c r="A478" s="277"/>
      <c r="B478" s="277"/>
      <c r="C478" s="277"/>
      <c r="D478" s="277"/>
      <c r="E478" s="277"/>
      <c r="F478" s="277"/>
      <c r="G478" s="277"/>
      <c r="H478" s="277"/>
      <c r="I478" s="277"/>
      <c r="J478" s="277"/>
      <c r="K478" s="277"/>
      <c r="L478" s="277"/>
      <c r="M478" s="277"/>
      <c r="N478" s="277"/>
      <c r="O478" s="277"/>
      <c r="P478" s="277"/>
      <c r="Q478" s="277"/>
      <c r="R478" s="277"/>
      <c r="S478" s="277"/>
      <c r="T478" s="294"/>
      <c r="U478" s="294"/>
      <c r="V478" s="294"/>
      <c r="W478" s="294"/>
      <c r="X478" s="294"/>
      <c r="Y478" s="294"/>
      <c r="Z478" s="294"/>
      <c r="AA478" s="294"/>
      <c r="AB478" s="294"/>
      <c r="AC478" s="277"/>
      <c r="AD478" s="277"/>
      <c r="AE478" s="277"/>
      <c r="AF478" s="277"/>
      <c r="AG478" s="277"/>
      <c r="AH478" s="277"/>
      <c r="AI478" s="277"/>
      <c r="AJ478" s="277"/>
      <c r="AK478" s="277"/>
      <c r="AL478" s="277"/>
      <c r="AM478" s="277"/>
      <c r="AN478" s="277"/>
      <c r="AO478" s="277"/>
      <c r="AP478" s="277"/>
      <c r="AQ478" s="277"/>
      <c r="AR478" s="277"/>
      <c r="AS478" s="277"/>
      <c r="AT478" s="277"/>
      <c r="AU478" s="277"/>
      <c r="AV478" s="277"/>
      <c r="AW478" s="277"/>
      <c r="AX478" s="277"/>
      <c r="AY478" s="277"/>
      <c r="AZ478" s="277"/>
      <c r="BA478" s="277"/>
      <c r="BB478" s="277"/>
    </row>
    <row r="479" spans="1:54" ht="12.75" customHeight="1" x14ac:dyDescent="0.25">
      <c r="A479" s="277"/>
      <c r="B479" s="277"/>
      <c r="C479" s="277"/>
      <c r="D479" s="277"/>
      <c r="E479" s="277"/>
      <c r="F479" s="277"/>
      <c r="G479" s="277"/>
      <c r="H479" s="277"/>
      <c r="I479" s="277"/>
      <c r="J479" s="277"/>
      <c r="K479" s="277"/>
      <c r="L479" s="277"/>
      <c r="M479" s="277"/>
      <c r="N479" s="277"/>
      <c r="O479" s="277"/>
      <c r="P479" s="277"/>
      <c r="Q479" s="277"/>
      <c r="R479" s="277"/>
      <c r="S479" s="277"/>
      <c r="T479" s="294"/>
      <c r="U479" s="294"/>
      <c r="V479" s="294"/>
      <c r="W479" s="294"/>
      <c r="X479" s="294"/>
      <c r="Y479" s="294"/>
      <c r="Z479" s="294"/>
      <c r="AA479" s="294"/>
      <c r="AB479" s="294"/>
      <c r="AC479" s="277"/>
      <c r="AD479" s="277"/>
      <c r="AE479" s="277"/>
      <c r="AF479" s="277"/>
      <c r="AG479" s="277"/>
      <c r="AH479" s="277"/>
      <c r="AI479" s="277"/>
      <c r="AJ479" s="277"/>
      <c r="AK479" s="277"/>
      <c r="AL479" s="277"/>
      <c r="AM479" s="277"/>
      <c r="AN479" s="277"/>
      <c r="AO479" s="277"/>
      <c r="AP479" s="277"/>
      <c r="AQ479" s="277"/>
      <c r="AR479" s="277"/>
      <c r="AS479" s="277"/>
      <c r="AT479" s="277"/>
      <c r="AU479" s="277"/>
      <c r="AV479" s="277"/>
      <c r="AW479" s="277"/>
      <c r="AX479" s="277"/>
      <c r="AY479" s="277"/>
      <c r="AZ479" s="277"/>
      <c r="BA479" s="277"/>
      <c r="BB479" s="277"/>
    </row>
    <row r="480" spans="1:54" ht="12.75" customHeight="1" x14ac:dyDescent="0.25">
      <c r="A480" s="277"/>
      <c r="B480" s="277"/>
      <c r="C480" s="277"/>
      <c r="D480" s="277"/>
      <c r="E480" s="277"/>
      <c r="F480" s="277"/>
      <c r="G480" s="277"/>
      <c r="H480" s="277"/>
      <c r="I480" s="277"/>
      <c r="J480" s="277"/>
      <c r="K480" s="277"/>
      <c r="L480" s="277"/>
      <c r="M480" s="277"/>
      <c r="N480" s="277"/>
      <c r="O480" s="277"/>
      <c r="P480" s="277"/>
      <c r="Q480" s="277"/>
      <c r="R480" s="277"/>
      <c r="S480" s="277"/>
      <c r="T480" s="294"/>
      <c r="U480" s="294"/>
      <c r="V480" s="294"/>
      <c r="W480" s="294"/>
      <c r="X480" s="294"/>
      <c r="Y480" s="294"/>
      <c r="Z480" s="294"/>
      <c r="AA480" s="294"/>
      <c r="AB480" s="294"/>
      <c r="AC480" s="277"/>
      <c r="AD480" s="277"/>
      <c r="AE480" s="277"/>
      <c r="AF480" s="277"/>
      <c r="AG480" s="277"/>
      <c r="AH480" s="277"/>
      <c r="AI480" s="277"/>
      <c r="AJ480" s="277"/>
      <c r="AK480" s="277"/>
      <c r="AL480" s="277"/>
      <c r="AM480" s="277"/>
      <c r="AN480" s="277"/>
      <c r="AO480" s="277"/>
      <c r="AP480" s="277"/>
      <c r="AQ480" s="277"/>
      <c r="AR480" s="277"/>
      <c r="AS480" s="277"/>
      <c r="AT480" s="277"/>
      <c r="AU480" s="277"/>
      <c r="AV480" s="277"/>
      <c r="AW480" s="277"/>
      <c r="AX480" s="277"/>
      <c r="AY480" s="277"/>
      <c r="AZ480" s="277"/>
      <c r="BA480" s="277"/>
      <c r="BB480" s="277"/>
    </row>
    <row r="481" spans="1:54" ht="12.75" customHeight="1" x14ac:dyDescent="0.25">
      <c r="A481" s="277"/>
      <c r="B481" s="277"/>
      <c r="C481" s="277"/>
      <c r="D481" s="277"/>
      <c r="E481" s="277"/>
      <c r="F481" s="277"/>
      <c r="G481" s="277"/>
      <c r="H481" s="277"/>
      <c r="I481" s="277"/>
      <c r="J481" s="277"/>
      <c r="K481" s="277"/>
      <c r="L481" s="277"/>
      <c r="M481" s="277"/>
      <c r="N481" s="277"/>
      <c r="O481" s="277"/>
      <c r="P481" s="277"/>
      <c r="Q481" s="277"/>
      <c r="R481" s="277"/>
      <c r="S481" s="277"/>
      <c r="T481" s="294"/>
      <c r="U481" s="294"/>
      <c r="V481" s="294"/>
      <c r="W481" s="294"/>
      <c r="X481" s="294"/>
      <c r="Y481" s="294"/>
      <c r="Z481" s="294"/>
      <c r="AA481" s="294"/>
      <c r="AB481" s="294"/>
      <c r="AC481" s="277"/>
      <c r="AD481" s="277"/>
      <c r="AE481" s="277"/>
      <c r="AF481" s="277"/>
      <c r="AG481" s="277"/>
      <c r="AH481" s="277"/>
      <c r="AI481" s="277"/>
      <c r="AJ481" s="277"/>
      <c r="AK481" s="277"/>
      <c r="AL481" s="277"/>
      <c r="AM481" s="277"/>
      <c r="AN481" s="277"/>
      <c r="AO481" s="277"/>
      <c r="AP481" s="277"/>
      <c r="AQ481" s="277"/>
      <c r="AR481" s="277"/>
      <c r="AS481" s="277"/>
      <c r="AT481" s="277"/>
      <c r="AU481" s="277"/>
      <c r="AV481" s="277"/>
      <c r="AW481" s="277"/>
      <c r="AX481" s="277"/>
      <c r="AY481" s="277"/>
      <c r="AZ481" s="277"/>
      <c r="BA481" s="277"/>
      <c r="BB481" s="277"/>
    </row>
    <row r="482" spans="1:54" ht="12.75" customHeight="1" x14ac:dyDescent="0.25">
      <c r="A482" s="277"/>
      <c r="B482" s="277"/>
      <c r="C482" s="277"/>
      <c r="D482" s="277"/>
      <c r="E482" s="277"/>
      <c r="F482" s="277"/>
      <c r="G482" s="277"/>
      <c r="H482" s="277"/>
      <c r="I482" s="277"/>
      <c r="J482" s="277"/>
      <c r="K482" s="277"/>
      <c r="L482" s="277"/>
      <c r="M482" s="277"/>
      <c r="N482" s="277"/>
      <c r="O482" s="277"/>
      <c r="P482" s="277"/>
      <c r="Q482" s="277"/>
      <c r="R482" s="277"/>
      <c r="S482" s="277"/>
      <c r="T482" s="294"/>
      <c r="U482" s="294"/>
      <c r="V482" s="294"/>
      <c r="W482" s="294"/>
      <c r="X482" s="294"/>
      <c r="Y482" s="294"/>
      <c r="Z482" s="294"/>
      <c r="AA482" s="294"/>
      <c r="AB482" s="294"/>
      <c r="AC482" s="277"/>
      <c r="AD482" s="277"/>
      <c r="AE482" s="277"/>
      <c r="AF482" s="277"/>
      <c r="AG482" s="277"/>
      <c r="AH482" s="277"/>
      <c r="AI482" s="277"/>
      <c r="AJ482" s="277"/>
      <c r="AK482" s="277"/>
      <c r="AL482" s="277"/>
      <c r="AM482" s="277"/>
      <c r="AN482" s="277"/>
      <c r="AO482" s="277"/>
      <c r="AP482" s="277"/>
      <c r="AQ482" s="277"/>
      <c r="AR482" s="277"/>
      <c r="AS482" s="277"/>
      <c r="AT482" s="277"/>
      <c r="AU482" s="277"/>
      <c r="AV482" s="277"/>
      <c r="AW482" s="277"/>
      <c r="AX482" s="277"/>
      <c r="AY482" s="277"/>
      <c r="AZ482" s="277"/>
      <c r="BA482" s="277"/>
      <c r="BB482" s="277"/>
    </row>
    <row r="483" spans="1:54" ht="12.75" customHeight="1" x14ac:dyDescent="0.25">
      <c r="A483" s="277"/>
      <c r="B483" s="277"/>
      <c r="C483" s="277"/>
      <c r="D483" s="277"/>
      <c r="E483" s="277"/>
      <c r="F483" s="277"/>
      <c r="G483" s="277"/>
      <c r="H483" s="277"/>
      <c r="I483" s="277"/>
      <c r="J483" s="277"/>
      <c r="K483" s="277"/>
      <c r="L483" s="277"/>
      <c r="M483" s="277"/>
      <c r="N483" s="277"/>
      <c r="O483" s="277"/>
      <c r="P483" s="277"/>
      <c r="Q483" s="277"/>
      <c r="R483" s="277"/>
      <c r="S483" s="277"/>
      <c r="T483" s="294"/>
      <c r="U483" s="294"/>
      <c r="V483" s="294"/>
      <c r="W483" s="294"/>
      <c r="X483" s="294"/>
      <c r="Y483" s="294"/>
      <c r="Z483" s="294"/>
      <c r="AA483" s="294"/>
      <c r="AB483" s="294"/>
      <c r="AC483" s="277"/>
      <c r="AD483" s="277"/>
      <c r="AE483" s="277"/>
      <c r="AF483" s="277"/>
      <c r="AG483" s="277"/>
      <c r="AH483" s="277"/>
      <c r="AI483" s="277"/>
      <c r="AJ483" s="277"/>
      <c r="AK483" s="277"/>
      <c r="AL483" s="277"/>
      <c r="AM483" s="277"/>
      <c r="AN483" s="277"/>
      <c r="AO483" s="277"/>
      <c r="AP483" s="277"/>
      <c r="AQ483" s="277"/>
      <c r="AR483" s="277"/>
      <c r="AS483" s="277"/>
      <c r="AT483" s="277"/>
      <c r="AU483" s="277"/>
      <c r="AV483" s="277"/>
      <c r="AW483" s="277"/>
      <c r="AX483" s="277"/>
      <c r="AY483" s="277"/>
      <c r="AZ483" s="277"/>
      <c r="BA483" s="277"/>
      <c r="BB483" s="277"/>
    </row>
    <row r="484" spans="1:54" ht="12.75" customHeight="1" x14ac:dyDescent="0.25">
      <c r="A484" s="277"/>
      <c r="B484" s="277"/>
      <c r="C484" s="277"/>
      <c r="D484" s="277"/>
      <c r="E484" s="277"/>
      <c r="F484" s="277"/>
      <c r="G484" s="277"/>
      <c r="H484" s="277"/>
      <c r="I484" s="277"/>
      <c r="J484" s="277"/>
      <c r="K484" s="277"/>
      <c r="L484" s="277"/>
      <c r="M484" s="277"/>
      <c r="N484" s="277"/>
      <c r="O484" s="277"/>
      <c r="P484" s="277"/>
      <c r="Q484" s="277"/>
      <c r="R484" s="277"/>
      <c r="S484" s="277"/>
      <c r="T484" s="294"/>
      <c r="U484" s="294"/>
      <c r="V484" s="294"/>
      <c r="W484" s="294"/>
      <c r="X484" s="294"/>
      <c r="Y484" s="294"/>
      <c r="Z484" s="294"/>
      <c r="AA484" s="294"/>
      <c r="AB484" s="294"/>
      <c r="AC484" s="277"/>
      <c r="AD484" s="277"/>
      <c r="AE484" s="277"/>
      <c r="AF484" s="277"/>
      <c r="AG484" s="277"/>
      <c r="AH484" s="277"/>
      <c r="AI484" s="277"/>
      <c r="AJ484" s="277"/>
      <c r="AK484" s="277"/>
      <c r="AL484" s="277"/>
      <c r="AM484" s="277"/>
      <c r="AN484" s="277"/>
      <c r="AO484" s="277"/>
      <c r="AP484" s="277"/>
      <c r="AQ484" s="277"/>
      <c r="AR484" s="277"/>
      <c r="AS484" s="277"/>
      <c r="AT484" s="277"/>
      <c r="AU484" s="277"/>
      <c r="AV484" s="277"/>
      <c r="AW484" s="277"/>
      <c r="AX484" s="277"/>
      <c r="AY484" s="277"/>
      <c r="AZ484" s="277"/>
      <c r="BA484" s="277"/>
      <c r="BB484" s="277"/>
    </row>
    <row r="485" spans="1:54" ht="12.75" customHeight="1" x14ac:dyDescent="0.25">
      <c r="A485" s="277"/>
      <c r="B485" s="277"/>
      <c r="C485" s="277"/>
      <c r="D485" s="277"/>
      <c r="E485" s="277"/>
      <c r="F485" s="277"/>
      <c r="G485" s="277"/>
      <c r="H485" s="277"/>
      <c r="I485" s="277"/>
      <c r="J485" s="277"/>
      <c r="K485" s="277"/>
      <c r="L485" s="277"/>
      <c r="M485" s="277"/>
      <c r="N485" s="277"/>
      <c r="O485" s="277"/>
      <c r="P485" s="277"/>
      <c r="Q485" s="277"/>
      <c r="R485" s="277"/>
      <c r="S485" s="277"/>
      <c r="T485" s="294"/>
      <c r="U485" s="294"/>
      <c r="V485" s="294"/>
      <c r="W485" s="294"/>
      <c r="X485" s="294"/>
      <c r="Y485" s="294"/>
      <c r="Z485" s="294"/>
      <c r="AA485" s="294"/>
      <c r="AB485" s="294"/>
      <c r="AC485" s="277"/>
      <c r="AD485" s="277"/>
      <c r="AE485" s="277"/>
      <c r="AF485" s="277"/>
      <c r="AG485" s="277"/>
      <c r="AH485" s="277"/>
      <c r="AI485" s="277"/>
      <c r="AJ485" s="277"/>
      <c r="AK485" s="277"/>
      <c r="AL485" s="277"/>
      <c r="AM485" s="277"/>
      <c r="AN485" s="277"/>
      <c r="AO485" s="277"/>
      <c r="AP485" s="277"/>
      <c r="AQ485" s="277"/>
      <c r="AR485" s="277"/>
      <c r="AS485" s="277"/>
      <c r="AT485" s="277"/>
      <c r="AU485" s="277"/>
      <c r="AV485" s="277"/>
      <c r="AW485" s="277"/>
      <c r="AX485" s="277"/>
      <c r="AY485" s="277"/>
      <c r="AZ485" s="277"/>
      <c r="BA485" s="277"/>
      <c r="BB485" s="277"/>
    </row>
    <row r="486" spans="1:54" ht="12.75" customHeight="1" x14ac:dyDescent="0.25">
      <c r="A486" s="277"/>
      <c r="B486" s="277"/>
      <c r="C486" s="277"/>
      <c r="D486" s="277"/>
      <c r="E486" s="277"/>
      <c r="F486" s="277"/>
      <c r="G486" s="277"/>
      <c r="H486" s="277"/>
      <c r="I486" s="277"/>
      <c r="J486" s="277"/>
      <c r="K486" s="277"/>
      <c r="L486" s="277"/>
      <c r="M486" s="277"/>
      <c r="N486" s="277"/>
      <c r="O486" s="277"/>
      <c r="P486" s="277"/>
      <c r="Q486" s="277"/>
      <c r="R486" s="277"/>
      <c r="S486" s="277"/>
      <c r="T486" s="294"/>
      <c r="U486" s="294"/>
      <c r="V486" s="294"/>
      <c r="W486" s="294"/>
      <c r="X486" s="294"/>
      <c r="Y486" s="294"/>
      <c r="Z486" s="294"/>
      <c r="AA486" s="294"/>
      <c r="AB486" s="294"/>
      <c r="AC486" s="277"/>
      <c r="AD486" s="277"/>
      <c r="AE486" s="277"/>
      <c r="AF486" s="277"/>
      <c r="AG486" s="277"/>
      <c r="AH486" s="277"/>
      <c r="AI486" s="277"/>
      <c r="AJ486" s="277"/>
      <c r="AK486" s="277"/>
      <c r="AL486" s="277"/>
      <c r="AM486" s="277"/>
      <c r="AN486" s="277"/>
      <c r="AO486" s="277"/>
      <c r="AP486" s="277"/>
      <c r="AQ486" s="277"/>
      <c r="AR486" s="277"/>
      <c r="AS486" s="277"/>
      <c r="AT486" s="277"/>
      <c r="AU486" s="277"/>
      <c r="AV486" s="277"/>
      <c r="AW486" s="277"/>
      <c r="AX486" s="277"/>
      <c r="AY486" s="277"/>
      <c r="AZ486" s="277"/>
      <c r="BA486" s="277"/>
      <c r="BB486" s="277"/>
    </row>
    <row r="487" spans="1:54" ht="12.75" customHeight="1" x14ac:dyDescent="0.25">
      <c r="A487" s="277"/>
      <c r="B487" s="277"/>
      <c r="C487" s="277"/>
      <c r="D487" s="277"/>
      <c r="E487" s="277"/>
      <c r="F487" s="277"/>
      <c r="G487" s="277"/>
      <c r="H487" s="277"/>
      <c r="I487" s="277"/>
      <c r="J487" s="277"/>
      <c r="K487" s="277"/>
      <c r="L487" s="277"/>
      <c r="M487" s="277"/>
      <c r="N487" s="277"/>
      <c r="O487" s="277"/>
      <c r="P487" s="277"/>
      <c r="Q487" s="277"/>
      <c r="R487" s="277"/>
      <c r="S487" s="277"/>
      <c r="T487" s="294"/>
      <c r="U487" s="294"/>
      <c r="V487" s="294"/>
      <c r="W487" s="294"/>
      <c r="X487" s="294"/>
      <c r="Y487" s="294"/>
      <c r="Z487" s="294"/>
      <c r="AA487" s="294"/>
      <c r="AB487" s="294"/>
      <c r="AC487" s="277"/>
      <c r="AD487" s="277"/>
      <c r="AE487" s="277"/>
      <c r="AF487" s="277"/>
      <c r="AG487" s="277"/>
      <c r="AH487" s="277"/>
      <c r="AI487" s="277"/>
      <c r="AJ487" s="277"/>
      <c r="AK487" s="277"/>
      <c r="AL487" s="277"/>
      <c r="AM487" s="277"/>
      <c r="AN487" s="277"/>
      <c r="AO487" s="277"/>
      <c r="AP487" s="277"/>
      <c r="AQ487" s="277"/>
      <c r="AR487" s="277"/>
      <c r="AS487" s="277"/>
      <c r="AT487" s="277"/>
      <c r="AU487" s="277"/>
      <c r="AV487" s="277"/>
      <c r="AW487" s="277"/>
      <c r="AX487" s="277"/>
      <c r="AY487" s="277"/>
      <c r="AZ487" s="277"/>
      <c r="BA487" s="277"/>
      <c r="BB487" s="277"/>
    </row>
    <row r="488" spans="1:54" ht="12.75" customHeight="1" x14ac:dyDescent="0.25">
      <c r="A488" s="277"/>
      <c r="B488" s="277"/>
      <c r="C488" s="277"/>
      <c r="D488" s="277"/>
      <c r="E488" s="277"/>
      <c r="F488" s="277"/>
      <c r="G488" s="277"/>
      <c r="H488" s="277"/>
      <c r="I488" s="277"/>
      <c r="J488" s="277"/>
      <c r="K488" s="277"/>
      <c r="L488" s="277"/>
      <c r="M488" s="277"/>
      <c r="N488" s="277"/>
      <c r="O488" s="277"/>
      <c r="P488" s="277"/>
      <c r="Q488" s="277"/>
      <c r="R488" s="277"/>
      <c r="S488" s="277"/>
      <c r="T488" s="294"/>
      <c r="U488" s="294"/>
      <c r="V488" s="294"/>
      <c r="W488" s="294"/>
      <c r="X488" s="294"/>
      <c r="Y488" s="294"/>
      <c r="Z488" s="294"/>
      <c r="AA488" s="294"/>
      <c r="AB488" s="294"/>
      <c r="AC488" s="277"/>
      <c r="AD488" s="277"/>
      <c r="AE488" s="277"/>
      <c r="AF488" s="277"/>
      <c r="AG488" s="277"/>
      <c r="AH488" s="277"/>
      <c r="AI488" s="277"/>
      <c r="AJ488" s="277"/>
      <c r="AK488" s="277"/>
      <c r="AL488" s="277"/>
      <c r="AM488" s="277"/>
      <c r="AN488" s="277"/>
      <c r="AO488" s="277"/>
      <c r="AP488" s="277"/>
      <c r="AQ488" s="277"/>
      <c r="AR488" s="277"/>
      <c r="AS488" s="277"/>
      <c r="AT488" s="277"/>
      <c r="AU488" s="277"/>
      <c r="AV488" s="277"/>
      <c r="AW488" s="277"/>
      <c r="AX488" s="277"/>
      <c r="AY488" s="277"/>
      <c r="AZ488" s="277"/>
      <c r="BA488" s="277"/>
      <c r="BB488" s="277"/>
    </row>
    <row r="489" spans="1:54" ht="12.75" customHeight="1" x14ac:dyDescent="0.25">
      <c r="A489" s="277"/>
      <c r="B489" s="277"/>
      <c r="C489" s="277"/>
      <c r="D489" s="277"/>
      <c r="E489" s="277"/>
      <c r="F489" s="277"/>
      <c r="G489" s="277"/>
      <c r="H489" s="277"/>
      <c r="I489" s="277"/>
      <c r="J489" s="277"/>
      <c r="K489" s="277"/>
      <c r="L489" s="277"/>
      <c r="M489" s="277"/>
      <c r="N489" s="277"/>
      <c r="O489" s="277"/>
      <c r="P489" s="277"/>
      <c r="Q489" s="277"/>
      <c r="R489" s="277"/>
      <c r="S489" s="277"/>
      <c r="T489" s="294"/>
      <c r="U489" s="294"/>
      <c r="V489" s="294"/>
      <c r="W489" s="294"/>
      <c r="X489" s="294"/>
      <c r="Y489" s="294"/>
      <c r="Z489" s="294"/>
      <c r="AA489" s="294"/>
      <c r="AB489" s="294"/>
      <c r="AC489" s="277"/>
      <c r="AD489" s="277"/>
      <c r="AE489" s="277"/>
      <c r="AF489" s="277"/>
      <c r="AG489" s="277"/>
      <c r="AH489" s="277"/>
      <c r="AI489" s="277"/>
      <c r="AJ489" s="277"/>
      <c r="AK489" s="277"/>
      <c r="AL489" s="277"/>
      <c r="AM489" s="277"/>
      <c r="AN489" s="277"/>
      <c r="AO489" s="277"/>
      <c r="AP489" s="277"/>
      <c r="AQ489" s="277"/>
      <c r="AR489" s="277"/>
      <c r="AS489" s="277"/>
      <c r="AT489" s="277"/>
      <c r="AU489" s="277"/>
      <c r="AV489" s="277"/>
      <c r="AW489" s="277"/>
      <c r="AX489" s="277"/>
      <c r="AY489" s="277"/>
      <c r="AZ489" s="277"/>
      <c r="BA489" s="277"/>
      <c r="BB489" s="277"/>
    </row>
    <row r="490" spans="1:54" ht="12.75" customHeight="1" x14ac:dyDescent="0.25">
      <c r="A490" s="277"/>
      <c r="B490" s="277"/>
      <c r="C490" s="277"/>
      <c r="D490" s="277"/>
      <c r="E490" s="277"/>
      <c r="F490" s="277"/>
      <c r="G490" s="277"/>
      <c r="H490" s="277"/>
      <c r="I490" s="277"/>
      <c r="J490" s="277"/>
      <c r="K490" s="277"/>
      <c r="L490" s="277"/>
      <c r="M490" s="277"/>
      <c r="N490" s="277"/>
      <c r="O490" s="277"/>
      <c r="P490" s="277"/>
      <c r="Q490" s="277"/>
      <c r="R490" s="277"/>
      <c r="S490" s="277"/>
      <c r="T490" s="294"/>
      <c r="U490" s="294"/>
      <c r="V490" s="294"/>
      <c r="W490" s="294"/>
      <c r="X490" s="294"/>
      <c r="Y490" s="294"/>
      <c r="Z490" s="294"/>
      <c r="AA490" s="294"/>
      <c r="AB490" s="294"/>
      <c r="AC490" s="277"/>
      <c r="AD490" s="277"/>
      <c r="AE490" s="277"/>
      <c r="AF490" s="277"/>
      <c r="AG490" s="277"/>
      <c r="AH490" s="277"/>
      <c r="AI490" s="277"/>
      <c r="AJ490" s="277"/>
      <c r="AK490" s="277"/>
      <c r="AL490" s="277"/>
      <c r="AM490" s="277"/>
      <c r="AN490" s="277"/>
      <c r="AO490" s="277"/>
      <c r="AP490" s="277"/>
      <c r="AQ490" s="277"/>
      <c r="AR490" s="277"/>
      <c r="AS490" s="277"/>
      <c r="AT490" s="277"/>
      <c r="AU490" s="277"/>
      <c r="AV490" s="277"/>
      <c r="AW490" s="277"/>
      <c r="AX490" s="277"/>
      <c r="AY490" s="277"/>
      <c r="AZ490" s="277"/>
      <c r="BA490" s="277"/>
      <c r="BB490" s="277"/>
    </row>
    <row r="491" spans="1:54" ht="12.75" customHeight="1" x14ac:dyDescent="0.25">
      <c r="A491" s="277"/>
      <c r="B491" s="277"/>
      <c r="C491" s="277"/>
      <c r="D491" s="277"/>
      <c r="E491" s="277"/>
      <c r="F491" s="277"/>
      <c r="G491" s="277"/>
      <c r="H491" s="277"/>
      <c r="I491" s="277"/>
      <c r="J491" s="277"/>
      <c r="K491" s="277"/>
      <c r="L491" s="277"/>
      <c r="M491" s="277"/>
      <c r="N491" s="277"/>
      <c r="O491" s="277"/>
      <c r="P491" s="277"/>
      <c r="Q491" s="277"/>
      <c r="R491" s="277"/>
      <c r="S491" s="277"/>
      <c r="T491" s="294"/>
      <c r="U491" s="294"/>
      <c r="V491" s="294"/>
      <c r="W491" s="294"/>
      <c r="X491" s="294"/>
      <c r="Y491" s="294"/>
      <c r="Z491" s="294"/>
      <c r="AA491" s="294"/>
      <c r="AB491" s="294"/>
      <c r="AC491" s="277"/>
      <c r="AD491" s="277"/>
      <c r="AE491" s="277"/>
      <c r="AF491" s="277"/>
      <c r="AG491" s="277"/>
      <c r="AH491" s="277"/>
      <c r="AI491" s="277"/>
      <c r="AJ491" s="277"/>
      <c r="AK491" s="277"/>
      <c r="AL491" s="277"/>
      <c r="AM491" s="277"/>
      <c r="AN491" s="277"/>
      <c r="AO491" s="277"/>
      <c r="AP491" s="277"/>
      <c r="AQ491" s="277"/>
      <c r="AR491" s="277"/>
      <c r="AS491" s="277"/>
      <c r="AT491" s="277"/>
      <c r="AU491" s="277"/>
      <c r="AV491" s="277"/>
      <c r="AW491" s="277"/>
      <c r="AX491" s="277"/>
      <c r="AY491" s="277"/>
      <c r="AZ491" s="277"/>
      <c r="BA491" s="277"/>
      <c r="BB491" s="277"/>
    </row>
    <row r="492" spans="1:54" ht="12.75" customHeight="1" x14ac:dyDescent="0.25">
      <c r="A492" s="277"/>
      <c r="B492" s="277"/>
      <c r="C492" s="277"/>
      <c r="D492" s="277"/>
      <c r="E492" s="277"/>
      <c r="F492" s="277"/>
      <c r="G492" s="277"/>
      <c r="H492" s="277"/>
      <c r="I492" s="277"/>
      <c r="J492" s="277"/>
      <c r="K492" s="277"/>
      <c r="L492" s="277"/>
      <c r="M492" s="277"/>
      <c r="N492" s="277"/>
      <c r="O492" s="277"/>
      <c r="P492" s="277"/>
      <c r="Q492" s="277"/>
      <c r="R492" s="277"/>
      <c r="S492" s="277"/>
      <c r="T492" s="294"/>
      <c r="U492" s="294"/>
      <c r="V492" s="294"/>
      <c r="W492" s="294"/>
      <c r="X492" s="294"/>
      <c r="Y492" s="294"/>
      <c r="Z492" s="294"/>
      <c r="AA492" s="294"/>
      <c r="AB492" s="294"/>
      <c r="AC492" s="277"/>
      <c r="AD492" s="277"/>
      <c r="AE492" s="277"/>
      <c r="AF492" s="277"/>
      <c r="AG492" s="277"/>
      <c r="AH492" s="277"/>
      <c r="AI492" s="277"/>
      <c r="AJ492" s="277"/>
      <c r="AK492" s="277"/>
      <c r="AL492" s="277"/>
      <c r="AM492" s="277"/>
      <c r="AN492" s="277"/>
      <c r="AO492" s="277"/>
      <c r="AP492" s="277"/>
      <c r="AQ492" s="277"/>
      <c r="AR492" s="277"/>
      <c r="AS492" s="277"/>
      <c r="AT492" s="277"/>
      <c r="AU492" s="277"/>
      <c r="AV492" s="277"/>
      <c r="AW492" s="277"/>
      <c r="AX492" s="277"/>
      <c r="AY492" s="277"/>
      <c r="AZ492" s="277"/>
      <c r="BA492" s="277"/>
      <c r="BB492" s="277"/>
    </row>
    <row r="493" spans="1:54" ht="12.75" customHeight="1" x14ac:dyDescent="0.25">
      <c r="A493" s="277"/>
      <c r="B493" s="277"/>
      <c r="C493" s="277"/>
      <c r="D493" s="277"/>
      <c r="E493" s="277"/>
      <c r="F493" s="277"/>
      <c r="G493" s="277"/>
      <c r="H493" s="277"/>
      <c r="I493" s="277"/>
      <c r="J493" s="277"/>
      <c r="K493" s="277"/>
      <c r="L493" s="277"/>
      <c r="M493" s="277"/>
      <c r="N493" s="277"/>
      <c r="O493" s="277"/>
      <c r="P493" s="277"/>
      <c r="Q493" s="277"/>
      <c r="R493" s="277"/>
      <c r="S493" s="277"/>
      <c r="T493" s="294"/>
      <c r="U493" s="294"/>
      <c r="V493" s="294"/>
      <c r="W493" s="294"/>
      <c r="X493" s="294"/>
      <c r="Y493" s="294"/>
      <c r="Z493" s="294"/>
      <c r="AA493" s="294"/>
      <c r="AB493" s="294"/>
      <c r="AC493" s="277"/>
      <c r="AD493" s="277"/>
      <c r="AE493" s="277"/>
      <c r="AF493" s="277"/>
      <c r="AG493" s="277"/>
      <c r="AH493" s="277"/>
      <c r="AI493" s="277"/>
      <c r="AJ493" s="277"/>
      <c r="AK493" s="277"/>
      <c r="AL493" s="277"/>
      <c r="AM493" s="277"/>
      <c r="AN493" s="277"/>
      <c r="AO493" s="277"/>
      <c r="AP493" s="277"/>
      <c r="AQ493" s="277"/>
      <c r="AR493" s="277"/>
      <c r="AS493" s="277"/>
      <c r="AT493" s="277"/>
      <c r="AU493" s="277"/>
      <c r="AV493" s="277"/>
      <c r="AW493" s="277"/>
      <c r="AX493" s="277"/>
      <c r="AY493" s="277"/>
      <c r="AZ493" s="277"/>
      <c r="BA493" s="277"/>
      <c r="BB493" s="277"/>
    </row>
    <row r="494" spans="1:54" ht="12.75" customHeight="1" x14ac:dyDescent="0.25">
      <c r="A494" s="277"/>
      <c r="B494" s="277"/>
      <c r="C494" s="277"/>
      <c r="D494" s="277"/>
      <c r="E494" s="277"/>
      <c r="F494" s="277"/>
      <c r="G494" s="277"/>
      <c r="H494" s="277"/>
      <c r="I494" s="277"/>
      <c r="J494" s="277"/>
      <c r="K494" s="277"/>
      <c r="L494" s="277"/>
      <c r="M494" s="277"/>
      <c r="N494" s="277"/>
      <c r="O494" s="277"/>
      <c r="P494" s="277"/>
      <c r="Q494" s="277"/>
      <c r="R494" s="277"/>
      <c r="S494" s="277"/>
      <c r="T494" s="294"/>
      <c r="U494" s="294"/>
      <c r="V494" s="294"/>
      <c r="W494" s="294"/>
      <c r="X494" s="294"/>
      <c r="Y494" s="294"/>
      <c r="Z494" s="294"/>
      <c r="AA494" s="294"/>
      <c r="AB494" s="294"/>
      <c r="AC494" s="277"/>
      <c r="AD494" s="277"/>
      <c r="AE494" s="277"/>
      <c r="AF494" s="277"/>
      <c r="AG494" s="277"/>
      <c r="AH494" s="277"/>
      <c r="AI494" s="277"/>
      <c r="AJ494" s="277"/>
      <c r="AK494" s="277"/>
      <c r="AL494" s="277"/>
      <c r="AM494" s="277"/>
      <c r="AN494" s="277"/>
      <c r="AO494" s="277"/>
      <c r="AP494" s="277"/>
      <c r="AQ494" s="277"/>
      <c r="AR494" s="277"/>
      <c r="AS494" s="277"/>
      <c r="AT494" s="277"/>
      <c r="AU494" s="277"/>
      <c r="AV494" s="277"/>
      <c r="AW494" s="277"/>
      <c r="AX494" s="277"/>
      <c r="AY494" s="277"/>
      <c r="AZ494" s="277"/>
      <c r="BA494" s="277"/>
      <c r="BB494" s="277"/>
    </row>
    <row r="495" spans="1:54" ht="12.75" customHeight="1" x14ac:dyDescent="0.25">
      <c r="A495" s="277"/>
      <c r="B495" s="277"/>
      <c r="C495" s="277"/>
      <c r="D495" s="277"/>
      <c r="E495" s="277"/>
      <c r="F495" s="277"/>
      <c r="G495" s="277"/>
      <c r="H495" s="277"/>
      <c r="I495" s="277"/>
      <c r="J495" s="277"/>
      <c r="K495" s="277"/>
      <c r="L495" s="277"/>
      <c r="M495" s="277"/>
      <c r="N495" s="277"/>
      <c r="O495" s="277"/>
      <c r="P495" s="277"/>
      <c r="Q495" s="277"/>
      <c r="R495" s="277"/>
      <c r="S495" s="277"/>
      <c r="T495" s="294"/>
      <c r="U495" s="294"/>
      <c r="V495" s="294"/>
      <c r="W495" s="294"/>
      <c r="X495" s="294"/>
      <c r="Y495" s="294"/>
      <c r="Z495" s="294"/>
      <c r="AA495" s="294"/>
      <c r="AB495" s="294"/>
      <c r="AC495" s="277"/>
      <c r="AD495" s="277"/>
      <c r="AE495" s="277"/>
      <c r="AF495" s="277"/>
      <c r="AG495" s="277"/>
      <c r="AH495" s="277"/>
      <c r="AI495" s="277"/>
      <c r="AJ495" s="277"/>
      <c r="AK495" s="277"/>
      <c r="AL495" s="277"/>
      <c r="AM495" s="277"/>
      <c r="AN495" s="277"/>
      <c r="AO495" s="277"/>
      <c r="AP495" s="277"/>
      <c r="AQ495" s="277"/>
      <c r="AR495" s="277"/>
      <c r="AS495" s="277"/>
      <c r="AT495" s="277"/>
      <c r="AU495" s="277"/>
      <c r="AV495" s="277"/>
      <c r="AW495" s="277"/>
      <c r="AX495" s="277"/>
      <c r="AY495" s="277"/>
      <c r="AZ495" s="277"/>
      <c r="BA495" s="277"/>
      <c r="BB495" s="277"/>
    </row>
    <row r="496" spans="1:54" ht="12.75" customHeight="1" x14ac:dyDescent="0.25">
      <c r="A496" s="277"/>
      <c r="B496" s="277"/>
      <c r="C496" s="277"/>
      <c r="D496" s="277"/>
      <c r="E496" s="277"/>
      <c r="F496" s="277"/>
      <c r="G496" s="277"/>
      <c r="H496" s="277"/>
      <c r="I496" s="277"/>
      <c r="J496" s="277"/>
      <c r="K496" s="277"/>
      <c r="L496" s="277"/>
      <c r="M496" s="277"/>
      <c r="N496" s="277"/>
      <c r="O496" s="277"/>
      <c r="P496" s="277"/>
      <c r="Q496" s="277"/>
      <c r="R496" s="277"/>
      <c r="S496" s="277"/>
      <c r="T496" s="294"/>
      <c r="U496" s="294"/>
      <c r="V496" s="294"/>
      <c r="W496" s="294"/>
      <c r="X496" s="294"/>
      <c r="Y496" s="294"/>
      <c r="Z496" s="294"/>
      <c r="AA496" s="294"/>
      <c r="AB496" s="294"/>
      <c r="AC496" s="277"/>
      <c r="AD496" s="277"/>
      <c r="AE496" s="277"/>
      <c r="AF496" s="277"/>
      <c r="AG496" s="277"/>
      <c r="AH496" s="277"/>
      <c r="AI496" s="277"/>
      <c r="AJ496" s="277"/>
      <c r="AK496" s="277"/>
      <c r="AL496" s="277"/>
      <c r="AM496" s="277"/>
      <c r="AN496" s="277"/>
      <c r="AO496" s="277"/>
      <c r="AP496" s="277"/>
      <c r="AQ496" s="277"/>
      <c r="AR496" s="277"/>
      <c r="AS496" s="277"/>
      <c r="AT496" s="277"/>
      <c r="AU496" s="277"/>
      <c r="AV496" s="277"/>
      <c r="AW496" s="277"/>
      <c r="AX496" s="277"/>
      <c r="AY496" s="277"/>
      <c r="AZ496" s="277"/>
      <c r="BA496" s="277"/>
      <c r="BB496" s="277"/>
    </row>
    <row r="497" spans="1:54" ht="12.75" customHeight="1" x14ac:dyDescent="0.25">
      <c r="A497" s="277"/>
      <c r="B497" s="277"/>
      <c r="C497" s="277"/>
      <c r="D497" s="277"/>
      <c r="E497" s="277"/>
      <c r="F497" s="277"/>
      <c r="G497" s="277"/>
      <c r="H497" s="277"/>
      <c r="I497" s="277"/>
      <c r="J497" s="277"/>
      <c r="K497" s="277"/>
      <c r="L497" s="277"/>
      <c r="M497" s="277"/>
      <c r="N497" s="277"/>
      <c r="O497" s="277"/>
      <c r="P497" s="277"/>
      <c r="Q497" s="277"/>
      <c r="R497" s="277"/>
      <c r="S497" s="277"/>
      <c r="T497" s="294"/>
      <c r="U497" s="294"/>
      <c r="V497" s="294"/>
      <c r="W497" s="294"/>
      <c r="X497" s="294"/>
      <c r="Y497" s="294"/>
      <c r="Z497" s="294"/>
      <c r="AA497" s="294"/>
      <c r="AB497" s="294"/>
      <c r="AC497" s="277"/>
      <c r="AD497" s="277"/>
      <c r="AE497" s="277"/>
      <c r="AF497" s="277"/>
      <c r="AG497" s="277"/>
      <c r="AH497" s="277"/>
      <c r="AI497" s="277"/>
      <c r="AJ497" s="277"/>
      <c r="AK497" s="277"/>
      <c r="AL497" s="277"/>
      <c r="AM497" s="277"/>
      <c r="AN497" s="277"/>
      <c r="AO497" s="277"/>
      <c r="AP497" s="277"/>
      <c r="AQ497" s="277"/>
      <c r="AR497" s="277"/>
      <c r="AS497" s="277"/>
      <c r="AT497" s="277"/>
      <c r="AU497" s="277"/>
      <c r="AV497" s="277"/>
      <c r="AW497" s="277"/>
      <c r="AX497" s="277"/>
      <c r="AY497" s="277"/>
      <c r="AZ497" s="277"/>
      <c r="BA497" s="277"/>
      <c r="BB497" s="277"/>
    </row>
    <row r="498" spans="1:54" ht="12.75" customHeight="1" x14ac:dyDescent="0.25">
      <c r="A498" s="277"/>
      <c r="B498" s="277"/>
      <c r="C498" s="277"/>
      <c r="D498" s="277"/>
      <c r="E498" s="277"/>
      <c r="F498" s="277"/>
      <c r="G498" s="277"/>
      <c r="H498" s="277"/>
      <c r="I498" s="277"/>
      <c r="J498" s="277"/>
      <c r="K498" s="277"/>
      <c r="L498" s="277"/>
      <c r="M498" s="277"/>
      <c r="N498" s="277"/>
      <c r="O498" s="277"/>
      <c r="P498" s="277"/>
      <c r="Q498" s="277"/>
      <c r="R498" s="277"/>
      <c r="S498" s="277"/>
      <c r="T498" s="294"/>
      <c r="U498" s="294"/>
      <c r="V498" s="294"/>
      <c r="W498" s="294"/>
      <c r="X498" s="294"/>
      <c r="Y498" s="294"/>
      <c r="Z498" s="294"/>
      <c r="AA498" s="294"/>
      <c r="AB498" s="294"/>
      <c r="AC498" s="277"/>
      <c r="AD498" s="277"/>
      <c r="AE498" s="277"/>
      <c r="AF498" s="277"/>
      <c r="AG498" s="277"/>
      <c r="AH498" s="277"/>
      <c r="AI498" s="277"/>
      <c r="AJ498" s="277"/>
      <c r="AK498" s="277"/>
      <c r="AL498" s="277"/>
      <c r="AM498" s="277"/>
      <c r="AN498" s="277"/>
      <c r="AO498" s="277"/>
      <c r="AP498" s="277"/>
      <c r="AQ498" s="277"/>
      <c r="AR498" s="277"/>
      <c r="AS498" s="277"/>
      <c r="AT498" s="277"/>
      <c r="AU498" s="277"/>
      <c r="AV498" s="277"/>
      <c r="AW498" s="277"/>
      <c r="AX498" s="277"/>
      <c r="AY498" s="277"/>
      <c r="AZ498" s="277"/>
      <c r="BA498" s="277"/>
      <c r="BB498" s="277"/>
    </row>
    <row r="499" spans="1:54" ht="12.75" customHeight="1" x14ac:dyDescent="0.25">
      <c r="A499" s="277"/>
      <c r="B499" s="277"/>
      <c r="C499" s="277"/>
      <c r="D499" s="277"/>
      <c r="E499" s="277"/>
      <c r="F499" s="277"/>
      <c r="G499" s="277"/>
      <c r="H499" s="277"/>
      <c r="I499" s="277"/>
      <c r="J499" s="277"/>
      <c r="K499" s="277"/>
      <c r="L499" s="277"/>
      <c r="M499" s="277"/>
      <c r="N499" s="277"/>
      <c r="O499" s="277"/>
      <c r="P499" s="277"/>
      <c r="Q499" s="277"/>
      <c r="R499" s="277"/>
      <c r="S499" s="277"/>
      <c r="T499" s="294"/>
      <c r="U499" s="294"/>
      <c r="V499" s="294"/>
      <c r="W499" s="294"/>
      <c r="X499" s="294"/>
      <c r="Y499" s="294"/>
      <c r="Z499" s="294"/>
      <c r="AA499" s="294"/>
      <c r="AB499" s="294"/>
      <c r="AC499" s="277"/>
      <c r="AD499" s="277"/>
      <c r="AE499" s="277"/>
      <c r="AF499" s="277"/>
      <c r="AG499" s="277"/>
      <c r="AH499" s="277"/>
      <c r="AI499" s="277"/>
      <c r="AJ499" s="277"/>
      <c r="AK499" s="277"/>
      <c r="AL499" s="277"/>
      <c r="AM499" s="277"/>
      <c r="AN499" s="277"/>
      <c r="AO499" s="277"/>
      <c r="AP499" s="277"/>
      <c r="AQ499" s="277"/>
      <c r="AR499" s="277"/>
      <c r="AS499" s="277"/>
      <c r="AT499" s="277"/>
      <c r="AU499" s="277"/>
      <c r="AV499" s="277"/>
      <c r="AW499" s="277"/>
      <c r="AX499" s="277"/>
      <c r="AY499" s="277"/>
      <c r="AZ499" s="277"/>
      <c r="BA499" s="277"/>
      <c r="BB499" s="277"/>
    </row>
    <row r="500" spans="1:54" ht="12.75" customHeight="1" x14ac:dyDescent="0.25">
      <c r="A500" s="277"/>
      <c r="B500" s="277"/>
      <c r="C500" s="277"/>
      <c r="D500" s="277"/>
      <c r="E500" s="277"/>
      <c r="F500" s="277"/>
      <c r="G500" s="277"/>
      <c r="H500" s="277"/>
      <c r="I500" s="277"/>
      <c r="J500" s="277"/>
      <c r="K500" s="277"/>
      <c r="L500" s="277"/>
      <c r="M500" s="277"/>
      <c r="N500" s="277"/>
      <c r="O500" s="277"/>
      <c r="P500" s="277"/>
      <c r="Q500" s="277"/>
      <c r="R500" s="277"/>
      <c r="S500" s="277"/>
      <c r="T500" s="294"/>
      <c r="U500" s="294"/>
      <c r="V500" s="294"/>
      <c r="W500" s="294"/>
      <c r="X500" s="294"/>
      <c r="Y500" s="294"/>
      <c r="Z500" s="294"/>
      <c r="AA500" s="294"/>
      <c r="AB500" s="294"/>
      <c r="AC500" s="277"/>
      <c r="AD500" s="277"/>
      <c r="AE500" s="277"/>
      <c r="AF500" s="277"/>
      <c r="AG500" s="277"/>
      <c r="AH500" s="277"/>
      <c r="AI500" s="277"/>
      <c r="AJ500" s="277"/>
      <c r="AK500" s="277"/>
      <c r="AL500" s="277"/>
      <c r="AM500" s="277"/>
      <c r="AN500" s="277"/>
      <c r="AO500" s="277"/>
      <c r="AP500" s="277"/>
      <c r="AQ500" s="277"/>
      <c r="AR500" s="277"/>
      <c r="AS500" s="277"/>
      <c r="AT500" s="277"/>
      <c r="AU500" s="277"/>
      <c r="AV500" s="277"/>
      <c r="AW500" s="277"/>
      <c r="AX500" s="277"/>
      <c r="AY500" s="277"/>
      <c r="AZ500" s="277"/>
      <c r="BA500" s="277"/>
      <c r="BB500" s="277"/>
    </row>
    <row r="501" spans="1:54" ht="12.75" customHeight="1" x14ac:dyDescent="0.25">
      <c r="A501" s="277"/>
      <c r="B501" s="277"/>
      <c r="C501" s="277"/>
      <c r="D501" s="277"/>
      <c r="E501" s="277"/>
      <c r="F501" s="277"/>
      <c r="G501" s="277"/>
      <c r="H501" s="277"/>
      <c r="I501" s="277"/>
      <c r="J501" s="277"/>
      <c r="K501" s="277"/>
      <c r="L501" s="277"/>
      <c r="M501" s="277"/>
      <c r="N501" s="277"/>
      <c r="O501" s="277"/>
      <c r="P501" s="277"/>
      <c r="Q501" s="277"/>
      <c r="R501" s="277"/>
      <c r="S501" s="277"/>
      <c r="T501" s="294"/>
      <c r="U501" s="294"/>
      <c r="V501" s="294"/>
      <c r="W501" s="294"/>
      <c r="X501" s="294"/>
      <c r="Y501" s="294"/>
      <c r="Z501" s="294"/>
      <c r="AA501" s="294"/>
      <c r="AB501" s="294"/>
      <c r="AC501" s="277"/>
      <c r="AD501" s="277"/>
      <c r="AE501" s="277"/>
      <c r="AF501" s="277"/>
      <c r="AG501" s="277"/>
      <c r="AH501" s="277"/>
      <c r="AI501" s="277"/>
      <c r="AJ501" s="277"/>
      <c r="AK501" s="277"/>
      <c r="AL501" s="277"/>
      <c r="AM501" s="277"/>
      <c r="AN501" s="277"/>
      <c r="AO501" s="277"/>
      <c r="AP501" s="277"/>
      <c r="AQ501" s="277"/>
      <c r="AR501" s="277"/>
      <c r="AS501" s="277"/>
      <c r="AT501" s="277"/>
      <c r="AU501" s="277"/>
      <c r="AV501" s="277"/>
      <c r="AW501" s="277"/>
      <c r="AX501" s="277"/>
      <c r="AY501" s="277"/>
      <c r="AZ501" s="277"/>
      <c r="BA501" s="277"/>
      <c r="BB501" s="277"/>
    </row>
    <row r="502" spans="1:54" ht="12.75" customHeight="1" x14ac:dyDescent="0.25">
      <c r="A502" s="277"/>
      <c r="B502" s="277"/>
      <c r="C502" s="277"/>
      <c r="D502" s="277"/>
      <c r="E502" s="277"/>
      <c r="F502" s="277"/>
      <c r="G502" s="277"/>
      <c r="H502" s="277"/>
      <c r="I502" s="277"/>
      <c r="J502" s="277"/>
      <c r="K502" s="277"/>
      <c r="L502" s="277"/>
      <c r="M502" s="277"/>
      <c r="N502" s="277"/>
      <c r="O502" s="277"/>
      <c r="P502" s="277"/>
      <c r="Q502" s="277"/>
      <c r="R502" s="277"/>
      <c r="S502" s="277"/>
      <c r="T502" s="294"/>
      <c r="U502" s="294"/>
      <c r="V502" s="294"/>
      <c r="W502" s="294"/>
      <c r="X502" s="294"/>
      <c r="Y502" s="294"/>
      <c r="Z502" s="294"/>
      <c r="AA502" s="294"/>
      <c r="AB502" s="294"/>
      <c r="AC502" s="277"/>
      <c r="AD502" s="277"/>
      <c r="AE502" s="277"/>
      <c r="AF502" s="277"/>
      <c r="AG502" s="277"/>
      <c r="AH502" s="277"/>
      <c r="AI502" s="277"/>
      <c r="AJ502" s="277"/>
      <c r="AK502" s="277"/>
      <c r="AL502" s="277"/>
      <c r="AM502" s="277"/>
      <c r="AN502" s="277"/>
      <c r="AO502" s="277"/>
      <c r="AP502" s="277"/>
      <c r="AQ502" s="277"/>
      <c r="AR502" s="277"/>
      <c r="AS502" s="277"/>
      <c r="AT502" s="277"/>
      <c r="AU502" s="277"/>
      <c r="AV502" s="277"/>
      <c r="AW502" s="277"/>
      <c r="AX502" s="277"/>
      <c r="AY502" s="277"/>
      <c r="AZ502" s="277"/>
      <c r="BA502" s="277"/>
      <c r="BB502" s="277"/>
    </row>
    <row r="503" spans="1:54" ht="12.75" customHeight="1" x14ac:dyDescent="0.25">
      <c r="A503" s="277"/>
      <c r="B503" s="277"/>
      <c r="C503" s="277"/>
      <c r="D503" s="277"/>
      <c r="E503" s="277"/>
      <c r="F503" s="277"/>
      <c r="G503" s="277"/>
      <c r="H503" s="277"/>
      <c r="I503" s="277"/>
      <c r="J503" s="277"/>
      <c r="K503" s="277"/>
      <c r="L503" s="277"/>
      <c r="M503" s="277"/>
      <c r="N503" s="277"/>
      <c r="O503" s="277"/>
      <c r="P503" s="277"/>
      <c r="Q503" s="277"/>
      <c r="R503" s="277"/>
      <c r="S503" s="277"/>
      <c r="T503" s="294"/>
      <c r="U503" s="294"/>
      <c r="V503" s="294"/>
      <c r="W503" s="294"/>
      <c r="X503" s="294"/>
      <c r="Y503" s="294"/>
      <c r="Z503" s="294"/>
      <c r="AA503" s="294"/>
      <c r="AB503" s="294"/>
      <c r="AC503" s="277"/>
      <c r="AD503" s="277"/>
      <c r="AE503" s="277"/>
      <c r="AF503" s="277"/>
      <c r="AG503" s="277"/>
      <c r="AH503" s="277"/>
      <c r="AI503" s="277"/>
      <c r="AJ503" s="277"/>
      <c r="AK503" s="277"/>
      <c r="AL503" s="277"/>
      <c r="AM503" s="277"/>
      <c r="AN503" s="277"/>
      <c r="AO503" s="277"/>
      <c r="AP503" s="277"/>
      <c r="AQ503" s="277"/>
      <c r="AR503" s="277"/>
      <c r="AS503" s="277"/>
      <c r="AT503" s="277"/>
      <c r="AU503" s="277"/>
      <c r="AV503" s="277"/>
      <c r="AW503" s="277"/>
      <c r="AX503" s="277"/>
      <c r="AY503" s="277"/>
      <c r="AZ503" s="277"/>
      <c r="BA503" s="277"/>
      <c r="BB503" s="277"/>
    </row>
    <row r="504" spans="1:54" ht="12.75" customHeight="1" x14ac:dyDescent="0.25">
      <c r="A504" s="277"/>
      <c r="B504" s="277"/>
      <c r="C504" s="277"/>
      <c r="D504" s="277"/>
      <c r="E504" s="277"/>
      <c r="F504" s="277"/>
      <c r="G504" s="277"/>
      <c r="H504" s="277"/>
      <c r="I504" s="277"/>
      <c r="J504" s="277"/>
      <c r="K504" s="277"/>
      <c r="L504" s="277"/>
      <c r="M504" s="277"/>
      <c r="N504" s="277"/>
      <c r="O504" s="277"/>
      <c r="P504" s="277"/>
      <c r="Q504" s="277"/>
      <c r="R504" s="277"/>
      <c r="S504" s="277"/>
      <c r="T504" s="294"/>
      <c r="U504" s="294"/>
      <c r="V504" s="294"/>
      <c r="W504" s="294"/>
      <c r="X504" s="294"/>
      <c r="Y504" s="294"/>
      <c r="Z504" s="294"/>
      <c r="AA504" s="294"/>
      <c r="AB504" s="294"/>
      <c r="AC504" s="277"/>
      <c r="AD504" s="277"/>
      <c r="AE504" s="277"/>
      <c r="AF504" s="277"/>
      <c r="AG504" s="277"/>
      <c r="AH504" s="277"/>
      <c r="AI504" s="277"/>
      <c r="AJ504" s="277"/>
      <c r="AK504" s="277"/>
      <c r="AL504" s="277"/>
      <c r="AM504" s="277"/>
      <c r="AN504" s="277"/>
      <c r="AO504" s="277"/>
      <c r="AP504" s="277"/>
      <c r="AQ504" s="277"/>
      <c r="AR504" s="277"/>
      <c r="AS504" s="277"/>
      <c r="AT504" s="277"/>
      <c r="AU504" s="277"/>
      <c r="AV504" s="277"/>
      <c r="AW504" s="277"/>
      <c r="AX504" s="277"/>
      <c r="AY504" s="277"/>
      <c r="AZ504" s="277"/>
      <c r="BA504" s="277"/>
      <c r="BB504" s="277"/>
    </row>
    <row r="505" spans="1:54" ht="12.75" customHeight="1" x14ac:dyDescent="0.25">
      <c r="A505" s="277"/>
      <c r="B505" s="277"/>
      <c r="C505" s="277"/>
      <c r="D505" s="277"/>
      <c r="E505" s="277"/>
      <c r="F505" s="277"/>
      <c r="G505" s="277"/>
      <c r="H505" s="277"/>
      <c r="I505" s="277"/>
      <c r="J505" s="277"/>
      <c r="K505" s="277"/>
      <c r="L505" s="277"/>
      <c r="M505" s="277"/>
      <c r="N505" s="277"/>
      <c r="O505" s="277"/>
      <c r="P505" s="277"/>
      <c r="Q505" s="277"/>
      <c r="R505" s="277"/>
      <c r="S505" s="277"/>
      <c r="T505" s="294"/>
      <c r="U505" s="294"/>
      <c r="V505" s="294"/>
      <c r="W505" s="294"/>
      <c r="X505" s="294"/>
      <c r="Y505" s="294"/>
      <c r="Z505" s="294"/>
      <c r="AA505" s="294"/>
      <c r="AB505" s="294"/>
      <c r="AC505" s="277"/>
      <c r="AD505" s="277"/>
      <c r="AE505" s="277"/>
      <c r="AF505" s="277"/>
      <c r="AG505" s="277"/>
      <c r="AH505" s="277"/>
      <c r="AI505" s="277"/>
      <c r="AJ505" s="277"/>
      <c r="AK505" s="277"/>
      <c r="AL505" s="277"/>
      <c r="AM505" s="277"/>
      <c r="AN505" s="277"/>
      <c r="AO505" s="277"/>
      <c r="AP505" s="277"/>
      <c r="AQ505" s="277"/>
      <c r="AR505" s="277"/>
      <c r="AS505" s="277"/>
      <c r="AT505" s="277"/>
      <c r="AU505" s="277"/>
      <c r="AV505" s="277"/>
      <c r="AW505" s="277"/>
      <c r="AX505" s="277"/>
      <c r="AY505" s="277"/>
      <c r="AZ505" s="277"/>
      <c r="BA505" s="277"/>
      <c r="BB505" s="277"/>
    </row>
    <row r="506" spans="1:54" ht="12.75" customHeight="1" x14ac:dyDescent="0.25">
      <c r="A506" s="277"/>
      <c r="B506" s="277"/>
      <c r="C506" s="277"/>
      <c r="D506" s="277"/>
      <c r="E506" s="277"/>
      <c r="F506" s="277"/>
      <c r="G506" s="277"/>
      <c r="H506" s="277"/>
      <c r="I506" s="277"/>
      <c r="J506" s="277"/>
      <c r="K506" s="277"/>
      <c r="L506" s="277"/>
      <c r="M506" s="277"/>
      <c r="N506" s="277"/>
      <c r="O506" s="277"/>
      <c r="P506" s="277"/>
      <c r="Q506" s="277"/>
      <c r="R506" s="277"/>
      <c r="S506" s="277"/>
      <c r="T506" s="294"/>
      <c r="U506" s="294"/>
      <c r="V506" s="294"/>
      <c r="W506" s="294"/>
      <c r="X506" s="294"/>
      <c r="Y506" s="294"/>
      <c r="Z506" s="294"/>
      <c r="AA506" s="294"/>
      <c r="AB506" s="294"/>
      <c r="AC506" s="277"/>
      <c r="AD506" s="277"/>
      <c r="AE506" s="277"/>
      <c r="AF506" s="277"/>
      <c r="AG506" s="277"/>
      <c r="AH506" s="277"/>
      <c r="AI506" s="277"/>
      <c r="AJ506" s="277"/>
      <c r="AK506" s="277"/>
      <c r="AL506" s="277"/>
      <c r="AM506" s="277"/>
      <c r="AN506" s="277"/>
      <c r="AO506" s="277"/>
      <c r="AP506" s="277"/>
      <c r="AQ506" s="277"/>
      <c r="AR506" s="277"/>
      <c r="AS506" s="277"/>
      <c r="AT506" s="277"/>
      <c r="AU506" s="277"/>
      <c r="AV506" s="277"/>
      <c r="AW506" s="277"/>
      <c r="AX506" s="277"/>
      <c r="AY506" s="277"/>
      <c r="AZ506" s="277"/>
      <c r="BA506" s="277"/>
      <c r="BB506" s="277"/>
    </row>
    <row r="507" spans="1:54" ht="12.75" customHeight="1" x14ac:dyDescent="0.25">
      <c r="A507" s="277"/>
      <c r="B507" s="277"/>
      <c r="C507" s="277"/>
      <c r="D507" s="277"/>
      <c r="E507" s="277"/>
      <c r="F507" s="277"/>
      <c r="G507" s="277"/>
      <c r="H507" s="277"/>
      <c r="I507" s="277"/>
      <c r="J507" s="277"/>
      <c r="K507" s="277"/>
      <c r="L507" s="277"/>
      <c r="M507" s="277"/>
      <c r="N507" s="277"/>
      <c r="O507" s="277"/>
      <c r="P507" s="277"/>
      <c r="Q507" s="277"/>
      <c r="R507" s="277"/>
      <c r="S507" s="277"/>
      <c r="T507" s="294"/>
      <c r="U507" s="294"/>
      <c r="V507" s="294"/>
      <c r="W507" s="294"/>
      <c r="X507" s="294"/>
      <c r="Y507" s="294"/>
      <c r="Z507" s="294"/>
      <c r="AA507" s="294"/>
      <c r="AB507" s="294"/>
      <c r="AC507" s="277"/>
      <c r="AD507" s="277"/>
      <c r="AE507" s="277"/>
      <c r="AF507" s="277"/>
      <c r="AG507" s="277"/>
      <c r="AH507" s="277"/>
      <c r="AI507" s="277"/>
      <c r="AJ507" s="277"/>
      <c r="AK507" s="277"/>
      <c r="AL507" s="277"/>
      <c r="AM507" s="277"/>
      <c r="AN507" s="277"/>
      <c r="AO507" s="277"/>
      <c r="AP507" s="277"/>
      <c r="AQ507" s="277"/>
      <c r="AR507" s="277"/>
      <c r="AS507" s="277"/>
      <c r="AT507" s="277"/>
      <c r="AU507" s="277"/>
      <c r="AV507" s="277"/>
      <c r="AW507" s="277"/>
      <c r="AX507" s="277"/>
      <c r="AY507" s="277"/>
      <c r="AZ507" s="277"/>
      <c r="BA507" s="277"/>
      <c r="BB507" s="277"/>
    </row>
    <row r="508" spans="1:54" ht="12.75" customHeight="1" x14ac:dyDescent="0.25">
      <c r="A508" s="277"/>
      <c r="B508" s="277"/>
      <c r="C508" s="277"/>
      <c r="D508" s="277"/>
      <c r="E508" s="277"/>
      <c r="F508" s="277"/>
      <c r="G508" s="277"/>
      <c r="H508" s="277"/>
      <c r="I508" s="277"/>
      <c r="J508" s="277"/>
      <c r="K508" s="277"/>
      <c r="L508" s="277"/>
      <c r="M508" s="277"/>
      <c r="N508" s="277"/>
      <c r="O508" s="277"/>
      <c r="P508" s="277"/>
      <c r="Q508" s="277"/>
      <c r="R508" s="277"/>
      <c r="S508" s="277"/>
      <c r="T508" s="294"/>
      <c r="U508" s="294"/>
      <c r="V508" s="294"/>
      <c r="W508" s="294"/>
      <c r="X508" s="294"/>
      <c r="Y508" s="294"/>
      <c r="Z508" s="294"/>
      <c r="AA508" s="294"/>
      <c r="AB508" s="294"/>
      <c r="AC508" s="277"/>
      <c r="AD508" s="277"/>
      <c r="AE508" s="277"/>
      <c r="AF508" s="277"/>
      <c r="AG508" s="277"/>
      <c r="AH508" s="277"/>
      <c r="AI508" s="277"/>
      <c r="AJ508" s="277"/>
      <c r="AK508" s="277"/>
      <c r="AL508" s="277"/>
      <c r="AM508" s="277"/>
      <c r="AN508" s="277"/>
      <c r="AO508" s="277"/>
      <c r="AP508" s="277"/>
      <c r="AQ508" s="277"/>
      <c r="AR508" s="277"/>
      <c r="AS508" s="277"/>
      <c r="AT508" s="277"/>
      <c r="AU508" s="277"/>
      <c r="AV508" s="277"/>
      <c r="AW508" s="277"/>
      <c r="AX508" s="277"/>
      <c r="AY508" s="277"/>
      <c r="AZ508" s="277"/>
      <c r="BA508" s="277"/>
      <c r="BB508" s="277"/>
    </row>
    <row r="509" spans="1:54" ht="12.75" customHeight="1" x14ac:dyDescent="0.25">
      <c r="A509" s="277"/>
      <c r="B509" s="277"/>
      <c r="C509" s="277"/>
      <c r="D509" s="277"/>
      <c r="E509" s="277"/>
      <c r="F509" s="277"/>
      <c r="G509" s="277"/>
      <c r="H509" s="277"/>
      <c r="I509" s="277"/>
      <c r="J509" s="277"/>
      <c r="K509" s="277"/>
      <c r="L509" s="277"/>
      <c r="M509" s="277"/>
      <c r="N509" s="277"/>
      <c r="O509" s="277"/>
      <c r="P509" s="277"/>
      <c r="Q509" s="277"/>
      <c r="R509" s="277"/>
      <c r="S509" s="277"/>
      <c r="T509" s="294"/>
      <c r="U509" s="294"/>
      <c r="V509" s="294"/>
      <c r="W509" s="294"/>
      <c r="X509" s="294"/>
      <c r="Y509" s="294"/>
      <c r="Z509" s="294"/>
      <c r="AA509" s="294"/>
      <c r="AB509" s="294"/>
      <c r="AC509" s="277"/>
      <c r="AD509" s="277"/>
      <c r="AE509" s="277"/>
      <c r="AF509" s="277"/>
      <c r="AG509" s="277"/>
      <c r="AH509" s="277"/>
      <c r="AI509" s="277"/>
      <c r="AJ509" s="277"/>
      <c r="AK509" s="277"/>
      <c r="AL509" s="277"/>
      <c r="AM509" s="277"/>
      <c r="AN509" s="277"/>
      <c r="AO509" s="277"/>
      <c r="AP509" s="277"/>
      <c r="AQ509" s="277"/>
      <c r="AR509" s="277"/>
      <c r="AS509" s="277"/>
      <c r="AT509" s="277"/>
      <c r="AU509" s="277"/>
      <c r="AV509" s="277"/>
      <c r="AW509" s="277"/>
      <c r="AX509" s="277"/>
      <c r="AY509" s="277"/>
      <c r="AZ509" s="277"/>
      <c r="BA509" s="277"/>
      <c r="BB509" s="277"/>
    </row>
    <row r="510" spans="1:54" ht="12.75" customHeight="1" x14ac:dyDescent="0.25">
      <c r="A510" s="277"/>
      <c r="B510" s="277"/>
      <c r="C510" s="277"/>
      <c r="D510" s="277"/>
      <c r="E510" s="277"/>
      <c r="F510" s="277"/>
      <c r="G510" s="277"/>
      <c r="H510" s="277"/>
      <c r="I510" s="277"/>
      <c r="J510" s="277"/>
      <c r="K510" s="277"/>
      <c r="L510" s="277"/>
      <c r="M510" s="277"/>
      <c r="N510" s="277"/>
      <c r="O510" s="277"/>
      <c r="P510" s="277"/>
      <c r="Q510" s="277"/>
      <c r="R510" s="277"/>
      <c r="S510" s="277"/>
      <c r="T510" s="294"/>
      <c r="U510" s="294"/>
      <c r="V510" s="294"/>
      <c r="W510" s="294"/>
      <c r="X510" s="294"/>
      <c r="Y510" s="294"/>
      <c r="Z510" s="294"/>
      <c r="AA510" s="294"/>
      <c r="AB510" s="294"/>
      <c r="AC510" s="277"/>
      <c r="AD510" s="277"/>
      <c r="AE510" s="277"/>
      <c r="AF510" s="277"/>
      <c r="AG510" s="277"/>
      <c r="AH510" s="277"/>
      <c r="AI510" s="277"/>
      <c r="AJ510" s="277"/>
      <c r="AK510" s="277"/>
      <c r="AL510" s="277"/>
      <c r="AM510" s="277"/>
      <c r="AN510" s="277"/>
      <c r="AO510" s="277"/>
      <c r="AP510" s="277"/>
      <c r="AQ510" s="277"/>
      <c r="AR510" s="277"/>
      <c r="AS510" s="277"/>
      <c r="AT510" s="277"/>
      <c r="AU510" s="277"/>
      <c r="AV510" s="277"/>
      <c r="AW510" s="277"/>
      <c r="AX510" s="277"/>
      <c r="AY510" s="277"/>
      <c r="AZ510" s="277"/>
      <c r="BA510" s="277"/>
      <c r="BB510" s="277"/>
    </row>
    <row r="511" spans="1:54" ht="12.75" customHeight="1" x14ac:dyDescent="0.25">
      <c r="A511" s="277"/>
      <c r="B511" s="277"/>
      <c r="C511" s="277"/>
      <c r="D511" s="277"/>
      <c r="E511" s="277"/>
      <c r="F511" s="277"/>
      <c r="G511" s="277"/>
      <c r="H511" s="277"/>
      <c r="I511" s="277"/>
      <c r="J511" s="277"/>
      <c r="K511" s="277"/>
      <c r="L511" s="277"/>
      <c r="M511" s="277"/>
      <c r="N511" s="277"/>
      <c r="O511" s="277"/>
      <c r="P511" s="277"/>
      <c r="Q511" s="277"/>
      <c r="R511" s="277"/>
      <c r="S511" s="277"/>
      <c r="T511" s="294"/>
      <c r="U511" s="294"/>
      <c r="V511" s="294"/>
      <c r="W511" s="294"/>
      <c r="X511" s="294"/>
      <c r="Y511" s="294"/>
      <c r="Z511" s="294"/>
      <c r="AA511" s="294"/>
      <c r="AB511" s="294"/>
      <c r="AC511" s="277"/>
      <c r="AD511" s="277"/>
      <c r="AE511" s="277"/>
      <c r="AF511" s="277"/>
      <c r="AG511" s="277"/>
      <c r="AH511" s="277"/>
      <c r="AI511" s="277"/>
      <c r="AJ511" s="277"/>
      <c r="AK511" s="277"/>
      <c r="AL511" s="277"/>
      <c r="AM511" s="277"/>
      <c r="AN511" s="277"/>
      <c r="AO511" s="277"/>
      <c r="AP511" s="277"/>
      <c r="AQ511" s="277"/>
      <c r="AR511" s="277"/>
      <c r="AS511" s="277"/>
      <c r="AT511" s="277"/>
      <c r="AU511" s="277"/>
      <c r="AV511" s="277"/>
      <c r="AW511" s="277"/>
      <c r="AX511" s="277"/>
      <c r="AY511" s="277"/>
      <c r="AZ511" s="277"/>
      <c r="BA511" s="277"/>
      <c r="BB511" s="277"/>
    </row>
    <row r="512" spans="1:54" ht="12.75" customHeight="1" x14ac:dyDescent="0.25">
      <c r="A512" s="277"/>
      <c r="B512" s="277"/>
      <c r="C512" s="277"/>
      <c r="D512" s="277"/>
      <c r="E512" s="277"/>
      <c r="F512" s="277"/>
      <c r="G512" s="277"/>
      <c r="H512" s="277"/>
      <c r="I512" s="277"/>
      <c r="J512" s="277"/>
      <c r="K512" s="277"/>
      <c r="L512" s="277"/>
      <c r="M512" s="277"/>
      <c r="N512" s="277"/>
      <c r="O512" s="277"/>
      <c r="P512" s="277"/>
      <c r="Q512" s="277"/>
      <c r="R512" s="277"/>
      <c r="S512" s="277"/>
      <c r="T512" s="294"/>
      <c r="U512" s="294"/>
      <c r="V512" s="294"/>
      <c r="W512" s="294"/>
      <c r="X512" s="294"/>
      <c r="Y512" s="294"/>
      <c r="Z512" s="294"/>
      <c r="AA512" s="294"/>
      <c r="AB512" s="294"/>
      <c r="AC512" s="277"/>
      <c r="AD512" s="277"/>
      <c r="AE512" s="277"/>
      <c r="AF512" s="277"/>
      <c r="AG512" s="277"/>
      <c r="AH512" s="277"/>
      <c r="AI512" s="277"/>
      <c r="AJ512" s="277"/>
      <c r="AK512" s="277"/>
      <c r="AL512" s="277"/>
      <c r="AM512" s="277"/>
      <c r="AN512" s="277"/>
      <c r="AO512" s="277"/>
      <c r="AP512" s="277"/>
      <c r="AQ512" s="277"/>
      <c r="AR512" s="277"/>
      <c r="AS512" s="277"/>
      <c r="AT512" s="277"/>
      <c r="AU512" s="277"/>
      <c r="AV512" s="277"/>
      <c r="AW512" s="277"/>
      <c r="AX512" s="277"/>
      <c r="AY512" s="277"/>
      <c r="AZ512" s="277"/>
      <c r="BA512" s="277"/>
      <c r="BB512" s="277"/>
    </row>
    <row r="513" spans="1:54" ht="12.75" customHeight="1" x14ac:dyDescent="0.25">
      <c r="A513" s="277"/>
      <c r="B513" s="277"/>
      <c r="C513" s="277"/>
      <c r="D513" s="277"/>
      <c r="E513" s="277"/>
      <c r="F513" s="277"/>
      <c r="G513" s="277"/>
      <c r="H513" s="277"/>
      <c r="I513" s="277"/>
      <c r="J513" s="277"/>
      <c r="K513" s="277"/>
      <c r="L513" s="277"/>
      <c r="M513" s="277"/>
      <c r="N513" s="277"/>
      <c r="O513" s="277"/>
      <c r="P513" s="277"/>
      <c r="Q513" s="277"/>
      <c r="R513" s="277"/>
      <c r="S513" s="277"/>
      <c r="T513" s="294"/>
      <c r="U513" s="294"/>
      <c r="V513" s="294"/>
      <c r="W513" s="294"/>
      <c r="X513" s="294"/>
      <c r="Y513" s="294"/>
      <c r="Z513" s="294"/>
      <c r="AA513" s="294"/>
      <c r="AB513" s="294"/>
      <c r="AC513" s="277"/>
      <c r="AD513" s="277"/>
      <c r="AE513" s="277"/>
      <c r="AF513" s="277"/>
      <c r="AG513" s="277"/>
      <c r="AH513" s="277"/>
      <c r="AI513" s="277"/>
      <c r="AJ513" s="277"/>
      <c r="AK513" s="277"/>
      <c r="AL513" s="277"/>
      <c r="AM513" s="277"/>
      <c r="AN513" s="277"/>
      <c r="AO513" s="277"/>
      <c r="AP513" s="277"/>
      <c r="AQ513" s="277"/>
      <c r="AR513" s="277"/>
      <c r="AS513" s="277"/>
      <c r="AT513" s="277"/>
      <c r="AU513" s="277"/>
      <c r="AV513" s="277"/>
      <c r="AW513" s="277"/>
      <c r="AX513" s="277"/>
      <c r="AY513" s="277"/>
      <c r="AZ513" s="277"/>
      <c r="BA513" s="277"/>
      <c r="BB513" s="277"/>
    </row>
    <row r="514" spans="1:54" ht="12.75" customHeight="1" x14ac:dyDescent="0.25">
      <c r="A514" s="277"/>
      <c r="B514" s="277"/>
      <c r="C514" s="277"/>
      <c r="D514" s="277"/>
      <c r="E514" s="277"/>
      <c r="F514" s="277"/>
      <c r="G514" s="277"/>
      <c r="H514" s="277"/>
      <c r="I514" s="277"/>
      <c r="J514" s="277"/>
      <c r="K514" s="277"/>
      <c r="L514" s="277"/>
      <c r="M514" s="277"/>
      <c r="N514" s="277"/>
      <c r="O514" s="277"/>
      <c r="P514" s="277"/>
      <c r="Q514" s="277"/>
      <c r="R514" s="277"/>
      <c r="S514" s="277"/>
      <c r="T514" s="294"/>
      <c r="U514" s="294"/>
      <c r="V514" s="294"/>
      <c r="W514" s="294"/>
      <c r="X514" s="294"/>
      <c r="Y514" s="294"/>
      <c r="Z514" s="294"/>
      <c r="AA514" s="294"/>
      <c r="AB514" s="294"/>
      <c r="AC514" s="277"/>
      <c r="AD514" s="277"/>
      <c r="AE514" s="277"/>
      <c r="AF514" s="277"/>
      <c r="AG514" s="277"/>
      <c r="AH514" s="277"/>
      <c r="AI514" s="277"/>
      <c r="AJ514" s="277"/>
      <c r="AK514" s="277"/>
      <c r="AL514" s="277"/>
      <c r="AM514" s="277"/>
      <c r="AN514" s="277"/>
      <c r="AO514" s="277"/>
      <c r="AP514" s="277"/>
      <c r="AQ514" s="277"/>
      <c r="AR514" s="277"/>
      <c r="AS514" s="277"/>
      <c r="AT514" s="277"/>
      <c r="AU514" s="277"/>
      <c r="AV514" s="277"/>
      <c r="AW514" s="277"/>
      <c r="AX514" s="277"/>
      <c r="AY514" s="277"/>
      <c r="AZ514" s="277"/>
      <c r="BA514" s="277"/>
      <c r="BB514" s="277"/>
    </row>
    <row r="515" spans="1:54" ht="12.75" customHeight="1" x14ac:dyDescent="0.25">
      <c r="A515" s="277"/>
      <c r="B515" s="277"/>
      <c r="C515" s="277"/>
      <c r="D515" s="277"/>
      <c r="E515" s="277"/>
      <c r="F515" s="277"/>
      <c r="G515" s="277"/>
      <c r="H515" s="277"/>
      <c r="I515" s="277"/>
      <c r="J515" s="277"/>
      <c r="K515" s="277"/>
      <c r="L515" s="277"/>
      <c r="M515" s="277"/>
      <c r="N515" s="277"/>
      <c r="O515" s="277"/>
      <c r="P515" s="277"/>
      <c r="Q515" s="277"/>
      <c r="R515" s="277"/>
      <c r="S515" s="277"/>
      <c r="T515" s="294"/>
      <c r="U515" s="294"/>
      <c r="V515" s="294"/>
      <c r="W515" s="294"/>
      <c r="X515" s="294"/>
      <c r="Y515" s="294"/>
      <c r="Z515" s="294"/>
      <c r="AA515" s="294"/>
      <c r="AB515" s="294"/>
      <c r="AC515" s="277"/>
      <c r="AD515" s="277"/>
      <c r="AE515" s="277"/>
      <c r="AF515" s="277"/>
      <c r="AG515" s="277"/>
      <c r="AH515" s="277"/>
      <c r="AI515" s="277"/>
      <c r="AJ515" s="277"/>
      <c r="AK515" s="277"/>
      <c r="AL515" s="277"/>
      <c r="AM515" s="277"/>
      <c r="AN515" s="277"/>
      <c r="AO515" s="277"/>
      <c r="AP515" s="277"/>
      <c r="AQ515" s="277"/>
      <c r="AR515" s="277"/>
      <c r="AS515" s="277"/>
      <c r="AT515" s="277"/>
      <c r="AU515" s="277"/>
      <c r="AV515" s="277"/>
      <c r="AW515" s="277"/>
      <c r="AX515" s="277"/>
      <c r="AY515" s="277"/>
      <c r="AZ515" s="277"/>
      <c r="BA515" s="277"/>
      <c r="BB515" s="277"/>
    </row>
    <row r="516" spans="1:54" ht="12.75" customHeight="1" x14ac:dyDescent="0.25">
      <c r="A516" s="277"/>
      <c r="B516" s="277"/>
      <c r="C516" s="277"/>
      <c r="D516" s="277"/>
      <c r="E516" s="277"/>
      <c r="F516" s="277"/>
      <c r="G516" s="277"/>
      <c r="H516" s="277"/>
      <c r="I516" s="277"/>
      <c r="J516" s="277"/>
      <c r="K516" s="277"/>
      <c r="L516" s="277"/>
      <c r="M516" s="277"/>
      <c r="N516" s="277"/>
      <c r="O516" s="277"/>
      <c r="P516" s="277"/>
      <c r="Q516" s="277"/>
      <c r="R516" s="277"/>
      <c r="S516" s="277"/>
      <c r="T516" s="294"/>
      <c r="U516" s="294"/>
      <c r="V516" s="294"/>
      <c r="W516" s="294"/>
      <c r="X516" s="294"/>
      <c r="Y516" s="294"/>
      <c r="Z516" s="294"/>
      <c r="AA516" s="294"/>
      <c r="AB516" s="294"/>
      <c r="AC516" s="277"/>
      <c r="AD516" s="277"/>
      <c r="AE516" s="277"/>
      <c r="AF516" s="277"/>
      <c r="AG516" s="277"/>
      <c r="AH516" s="277"/>
      <c r="AI516" s="277"/>
      <c r="AJ516" s="277"/>
      <c r="AK516" s="277"/>
      <c r="AL516" s="277"/>
      <c r="AM516" s="277"/>
      <c r="AN516" s="277"/>
      <c r="AO516" s="277"/>
      <c r="AP516" s="277"/>
      <c r="AQ516" s="277"/>
      <c r="AR516" s="277"/>
      <c r="AS516" s="277"/>
      <c r="AT516" s="277"/>
      <c r="AU516" s="277"/>
      <c r="AV516" s="277"/>
      <c r="AW516" s="277"/>
      <c r="AX516" s="277"/>
      <c r="AY516" s="277"/>
      <c r="AZ516" s="277"/>
      <c r="BA516" s="277"/>
      <c r="BB516" s="277"/>
    </row>
    <row r="517" spans="1:54" ht="12.75" customHeight="1" x14ac:dyDescent="0.25">
      <c r="A517" s="277"/>
      <c r="B517" s="277"/>
      <c r="C517" s="277"/>
      <c r="D517" s="277"/>
      <c r="E517" s="277"/>
      <c r="F517" s="277"/>
      <c r="G517" s="277"/>
      <c r="H517" s="277"/>
      <c r="I517" s="277"/>
      <c r="J517" s="277"/>
      <c r="K517" s="277"/>
      <c r="L517" s="277"/>
      <c r="M517" s="277"/>
      <c r="N517" s="277"/>
      <c r="O517" s="277"/>
      <c r="P517" s="277"/>
      <c r="Q517" s="277"/>
      <c r="R517" s="277"/>
      <c r="S517" s="277"/>
      <c r="T517" s="294"/>
      <c r="U517" s="294"/>
      <c r="V517" s="294"/>
      <c r="W517" s="294"/>
      <c r="X517" s="294"/>
      <c r="Y517" s="294"/>
      <c r="Z517" s="294"/>
      <c r="AA517" s="294"/>
      <c r="AB517" s="294"/>
      <c r="AC517" s="277"/>
      <c r="AD517" s="277"/>
      <c r="AE517" s="277"/>
      <c r="AF517" s="277"/>
      <c r="AG517" s="277"/>
      <c r="AH517" s="277"/>
      <c r="AI517" s="277"/>
      <c r="AJ517" s="277"/>
      <c r="AK517" s="277"/>
      <c r="AL517" s="277"/>
      <c r="AM517" s="277"/>
      <c r="AN517" s="277"/>
      <c r="AO517" s="277"/>
      <c r="AP517" s="277"/>
      <c r="AQ517" s="277"/>
      <c r="AR517" s="277"/>
      <c r="AS517" s="277"/>
      <c r="AT517" s="277"/>
      <c r="AU517" s="277"/>
      <c r="AV517" s="277"/>
      <c r="AW517" s="277"/>
      <c r="AX517" s="277"/>
      <c r="AY517" s="277"/>
      <c r="AZ517" s="277"/>
      <c r="BA517" s="277"/>
      <c r="BB517" s="277"/>
    </row>
    <row r="518" spans="1:54" ht="12.75" customHeight="1" x14ac:dyDescent="0.25">
      <c r="A518" s="277"/>
      <c r="B518" s="277"/>
      <c r="C518" s="277"/>
      <c r="D518" s="277"/>
      <c r="E518" s="277"/>
      <c r="F518" s="277"/>
      <c r="G518" s="277"/>
      <c r="H518" s="277"/>
      <c r="I518" s="277"/>
      <c r="J518" s="277"/>
      <c r="K518" s="277"/>
      <c r="L518" s="277"/>
      <c r="M518" s="277"/>
      <c r="N518" s="277"/>
      <c r="O518" s="277"/>
      <c r="P518" s="277"/>
      <c r="Q518" s="277"/>
      <c r="R518" s="277"/>
      <c r="S518" s="277"/>
      <c r="T518" s="294"/>
      <c r="U518" s="294"/>
      <c r="V518" s="294"/>
      <c r="W518" s="294"/>
      <c r="X518" s="294"/>
      <c r="Y518" s="294"/>
      <c r="Z518" s="294"/>
      <c r="AA518" s="294"/>
      <c r="AB518" s="294"/>
      <c r="AC518" s="277"/>
      <c r="AD518" s="277"/>
      <c r="AE518" s="277"/>
      <c r="AF518" s="277"/>
      <c r="AG518" s="277"/>
      <c r="AH518" s="277"/>
      <c r="AI518" s="277"/>
      <c r="AJ518" s="277"/>
      <c r="AK518" s="277"/>
      <c r="AL518" s="277"/>
      <c r="AM518" s="277"/>
      <c r="AN518" s="277"/>
      <c r="AO518" s="277"/>
      <c r="AP518" s="277"/>
      <c r="AQ518" s="277"/>
      <c r="AR518" s="277"/>
      <c r="AS518" s="277"/>
      <c r="AT518" s="277"/>
      <c r="AU518" s="277"/>
      <c r="AV518" s="277"/>
      <c r="AW518" s="277"/>
      <c r="AX518" s="277"/>
      <c r="AY518" s="277"/>
      <c r="AZ518" s="277"/>
      <c r="BA518" s="277"/>
      <c r="BB518" s="277"/>
    </row>
    <row r="519" spans="1:54" ht="12.75" customHeight="1" x14ac:dyDescent="0.25">
      <c r="A519" s="277"/>
      <c r="B519" s="277"/>
      <c r="C519" s="277"/>
      <c r="D519" s="277"/>
      <c r="E519" s="277"/>
      <c r="F519" s="277"/>
      <c r="G519" s="277"/>
      <c r="H519" s="277"/>
      <c r="I519" s="277"/>
      <c r="J519" s="277"/>
      <c r="K519" s="277"/>
      <c r="L519" s="277"/>
      <c r="M519" s="277"/>
      <c r="N519" s="277"/>
      <c r="O519" s="277"/>
      <c r="P519" s="277"/>
      <c r="Q519" s="277"/>
      <c r="R519" s="277"/>
      <c r="S519" s="277"/>
      <c r="T519" s="294"/>
      <c r="U519" s="294"/>
      <c r="V519" s="294"/>
      <c r="W519" s="294"/>
      <c r="X519" s="294"/>
      <c r="Y519" s="294"/>
      <c r="Z519" s="294"/>
      <c r="AA519" s="294"/>
      <c r="AB519" s="294"/>
      <c r="AC519" s="277"/>
      <c r="AD519" s="277"/>
      <c r="AE519" s="277"/>
      <c r="AF519" s="277"/>
      <c r="AG519" s="277"/>
      <c r="AH519" s="277"/>
      <c r="AI519" s="277"/>
      <c r="AJ519" s="277"/>
      <c r="AK519" s="277"/>
      <c r="AL519" s="277"/>
      <c r="AM519" s="277"/>
      <c r="AN519" s="277"/>
      <c r="AO519" s="277"/>
      <c r="AP519" s="277"/>
      <c r="AQ519" s="277"/>
      <c r="AR519" s="277"/>
      <c r="AS519" s="277"/>
      <c r="AT519" s="277"/>
      <c r="AU519" s="277"/>
      <c r="AV519" s="277"/>
      <c r="AW519" s="277"/>
      <c r="AX519" s="277"/>
      <c r="AY519" s="277"/>
      <c r="AZ519" s="277"/>
      <c r="BA519" s="277"/>
      <c r="BB519" s="277"/>
    </row>
    <row r="520" spans="1:54" ht="12.75" customHeight="1" x14ac:dyDescent="0.25">
      <c r="A520" s="277"/>
      <c r="B520" s="277"/>
      <c r="C520" s="277"/>
      <c r="D520" s="277"/>
      <c r="E520" s="277"/>
      <c r="F520" s="277"/>
      <c r="G520" s="277"/>
      <c r="H520" s="277"/>
      <c r="I520" s="277"/>
      <c r="J520" s="277"/>
      <c r="K520" s="277"/>
      <c r="L520" s="277"/>
      <c r="M520" s="277"/>
      <c r="N520" s="277"/>
      <c r="O520" s="277"/>
      <c r="P520" s="277"/>
      <c r="Q520" s="277"/>
      <c r="R520" s="277"/>
      <c r="S520" s="277"/>
      <c r="T520" s="294"/>
      <c r="U520" s="294"/>
      <c r="V520" s="294"/>
      <c r="W520" s="294"/>
      <c r="X520" s="294"/>
      <c r="Y520" s="294"/>
      <c r="Z520" s="294"/>
      <c r="AA520" s="294"/>
      <c r="AB520" s="294"/>
      <c r="AC520" s="277"/>
      <c r="AD520" s="277"/>
      <c r="AE520" s="277"/>
      <c r="AF520" s="277"/>
      <c r="AG520" s="277"/>
      <c r="AH520" s="277"/>
      <c r="AI520" s="277"/>
      <c r="AJ520" s="277"/>
      <c r="AK520" s="277"/>
      <c r="AL520" s="277"/>
      <c r="AM520" s="277"/>
      <c r="AN520" s="277"/>
      <c r="AO520" s="277"/>
      <c r="AP520" s="277"/>
      <c r="AQ520" s="277"/>
      <c r="AR520" s="277"/>
      <c r="AS520" s="277"/>
      <c r="AT520" s="277"/>
      <c r="AU520" s="277"/>
      <c r="AV520" s="277"/>
      <c r="AW520" s="277"/>
      <c r="AX520" s="277"/>
      <c r="AY520" s="277"/>
      <c r="AZ520" s="277"/>
      <c r="BA520" s="277"/>
      <c r="BB520" s="277"/>
    </row>
    <row r="521" spans="1:54" ht="12.75" customHeight="1" x14ac:dyDescent="0.25">
      <c r="A521" s="277"/>
      <c r="B521" s="277"/>
      <c r="C521" s="277"/>
      <c r="D521" s="277"/>
      <c r="E521" s="277"/>
      <c r="F521" s="277"/>
      <c r="G521" s="277"/>
      <c r="H521" s="277"/>
      <c r="I521" s="277"/>
      <c r="J521" s="277"/>
      <c r="K521" s="277"/>
      <c r="L521" s="277"/>
      <c r="M521" s="277"/>
      <c r="N521" s="277"/>
      <c r="O521" s="277"/>
      <c r="P521" s="277"/>
      <c r="Q521" s="277"/>
      <c r="R521" s="277"/>
      <c r="S521" s="277"/>
      <c r="T521" s="294"/>
      <c r="U521" s="294"/>
      <c r="V521" s="294"/>
      <c r="W521" s="294"/>
      <c r="X521" s="294"/>
      <c r="Y521" s="294"/>
      <c r="Z521" s="294"/>
      <c r="AA521" s="294"/>
      <c r="AB521" s="294"/>
      <c r="AC521" s="277"/>
      <c r="AD521" s="277"/>
      <c r="AE521" s="277"/>
      <c r="AF521" s="277"/>
      <c r="AG521" s="277"/>
      <c r="AH521" s="277"/>
      <c r="AI521" s="277"/>
      <c r="AJ521" s="277"/>
      <c r="AK521" s="277"/>
      <c r="AL521" s="277"/>
      <c r="AM521" s="277"/>
      <c r="AN521" s="277"/>
      <c r="AO521" s="277"/>
      <c r="AP521" s="277"/>
      <c r="AQ521" s="277"/>
      <c r="AR521" s="277"/>
      <c r="AS521" s="277"/>
      <c r="AT521" s="277"/>
      <c r="AU521" s="277"/>
      <c r="AV521" s="277"/>
      <c r="AW521" s="277"/>
      <c r="AX521" s="277"/>
      <c r="AY521" s="277"/>
      <c r="AZ521" s="277"/>
      <c r="BA521" s="277"/>
      <c r="BB521" s="277"/>
    </row>
    <row r="522" spans="1:54" ht="12.75" customHeight="1" x14ac:dyDescent="0.25">
      <c r="A522" s="277"/>
      <c r="B522" s="277"/>
      <c r="C522" s="277"/>
      <c r="D522" s="277"/>
      <c r="E522" s="277"/>
      <c r="F522" s="277"/>
      <c r="G522" s="277"/>
      <c r="H522" s="277"/>
      <c r="I522" s="277"/>
      <c r="J522" s="277"/>
      <c r="K522" s="277"/>
      <c r="L522" s="277"/>
      <c r="M522" s="277"/>
      <c r="N522" s="277"/>
      <c r="O522" s="277"/>
      <c r="P522" s="277"/>
      <c r="Q522" s="277"/>
      <c r="R522" s="277"/>
      <c r="S522" s="277"/>
      <c r="T522" s="294"/>
      <c r="U522" s="294"/>
      <c r="V522" s="294"/>
      <c r="W522" s="294"/>
      <c r="X522" s="294"/>
      <c r="Y522" s="294"/>
      <c r="Z522" s="294"/>
      <c r="AA522" s="294"/>
      <c r="AB522" s="294"/>
      <c r="AC522" s="277"/>
      <c r="AD522" s="277"/>
      <c r="AE522" s="277"/>
      <c r="AF522" s="277"/>
      <c r="AG522" s="277"/>
      <c r="AH522" s="277"/>
      <c r="AI522" s="277"/>
      <c r="AJ522" s="277"/>
      <c r="AK522" s="277"/>
      <c r="AL522" s="277"/>
      <c r="AM522" s="277"/>
      <c r="AN522" s="277"/>
      <c r="AO522" s="277"/>
      <c r="AP522" s="277"/>
      <c r="AQ522" s="277"/>
      <c r="AR522" s="277"/>
      <c r="AS522" s="277"/>
      <c r="AT522" s="277"/>
      <c r="AU522" s="277"/>
      <c r="AV522" s="277"/>
      <c r="AW522" s="277"/>
      <c r="AX522" s="277"/>
      <c r="AY522" s="277"/>
      <c r="AZ522" s="277"/>
      <c r="BA522" s="277"/>
      <c r="BB522" s="277"/>
    </row>
    <row r="523" spans="1:54" ht="12.75" customHeight="1" x14ac:dyDescent="0.25">
      <c r="A523" s="277"/>
      <c r="B523" s="277"/>
      <c r="C523" s="277"/>
      <c r="D523" s="277"/>
      <c r="E523" s="277"/>
      <c r="F523" s="277"/>
      <c r="G523" s="277"/>
      <c r="H523" s="277"/>
      <c r="I523" s="277"/>
      <c r="J523" s="277"/>
      <c r="K523" s="277"/>
      <c r="L523" s="277"/>
      <c r="M523" s="277"/>
      <c r="N523" s="277"/>
      <c r="O523" s="277"/>
      <c r="P523" s="277"/>
      <c r="Q523" s="277"/>
      <c r="R523" s="277"/>
      <c r="S523" s="277"/>
      <c r="T523" s="294"/>
      <c r="U523" s="294"/>
      <c r="V523" s="294"/>
      <c r="W523" s="294"/>
      <c r="X523" s="294"/>
      <c r="Y523" s="294"/>
      <c r="Z523" s="294"/>
      <c r="AA523" s="294"/>
      <c r="AB523" s="294"/>
      <c r="AC523" s="277"/>
      <c r="AD523" s="277"/>
      <c r="AE523" s="277"/>
      <c r="AF523" s="277"/>
      <c r="AG523" s="277"/>
      <c r="AH523" s="277"/>
      <c r="AI523" s="277"/>
      <c r="AJ523" s="277"/>
      <c r="AK523" s="277"/>
      <c r="AL523" s="277"/>
      <c r="AM523" s="277"/>
      <c r="AN523" s="277"/>
      <c r="AO523" s="277"/>
      <c r="AP523" s="277"/>
      <c r="AQ523" s="277"/>
      <c r="AR523" s="277"/>
      <c r="AS523" s="277"/>
      <c r="AT523" s="277"/>
      <c r="AU523" s="277"/>
      <c r="AV523" s="277"/>
      <c r="AW523" s="277"/>
      <c r="AX523" s="277"/>
      <c r="AY523" s="277"/>
      <c r="AZ523" s="277"/>
      <c r="BA523" s="277"/>
      <c r="BB523" s="277"/>
    </row>
    <row r="524" spans="1:54" ht="12.75" customHeight="1" x14ac:dyDescent="0.25">
      <c r="A524" s="277"/>
      <c r="B524" s="277"/>
      <c r="C524" s="277"/>
      <c r="D524" s="277"/>
      <c r="E524" s="277"/>
      <c r="F524" s="277"/>
      <c r="G524" s="277"/>
      <c r="H524" s="277"/>
      <c r="I524" s="277"/>
      <c r="J524" s="277"/>
      <c r="K524" s="277"/>
      <c r="L524" s="277"/>
      <c r="M524" s="277"/>
      <c r="N524" s="277"/>
      <c r="O524" s="277"/>
      <c r="P524" s="277"/>
      <c r="Q524" s="277"/>
      <c r="R524" s="277"/>
      <c r="S524" s="277"/>
      <c r="T524" s="294"/>
      <c r="U524" s="294"/>
      <c r="V524" s="294"/>
      <c r="W524" s="294"/>
      <c r="X524" s="294"/>
      <c r="Y524" s="294"/>
      <c r="Z524" s="294"/>
      <c r="AA524" s="294"/>
      <c r="AB524" s="294"/>
      <c r="AC524" s="277"/>
      <c r="AD524" s="277"/>
      <c r="AE524" s="277"/>
      <c r="AF524" s="277"/>
      <c r="AG524" s="277"/>
      <c r="AH524" s="277"/>
      <c r="AI524" s="277"/>
      <c r="AJ524" s="277"/>
      <c r="AK524" s="277"/>
      <c r="AL524" s="277"/>
      <c r="AM524" s="277"/>
      <c r="AN524" s="277"/>
      <c r="AO524" s="277"/>
      <c r="AP524" s="277"/>
      <c r="AQ524" s="277"/>
      <c r="AR524" s="277"/>
      <c r="AS524" s="277"/>
      <c r="AT524" s="277"/>
      <c r="AU524" s="277"/>
      <c r="AV524" s="277"/>
      <c r="AW524" s="277"/>
      <c r="AX524" s="277"/>
      <c r="AY524" s="277"/>
      <c r="AZ524" s="277"/>
      <c r="BA524" s="277"/>
      <c r="BB524" s="277"/>
    </row>
    <row r="525" spans="1:54" ht="12.75" customHeight="1" x14ac:dyDescent="0.25">
      <c r="A525" s="277"/>
      <c r="B525" s="277"/>
      <c r="C525" s="277"/>
      <c r="D525" s="277"/>
      <c r="E525" s="277"/>
      <c r="F525" s="277"/>
      <c r="G525" s="277"/>
      <c r="H525" s="277"/>
      <c r="I525" s="277"/>
      <c r="J525" s="277"/>
      <c r="K525" s="277"/>
      <c r="L525" s="277"/>
      <c r="M525" s="277"/>
      <c r="N525" s="277"/>
      <c r="O525" s="277"/>
      <c r="P525" s="277"/>
      <c r="Q525" s="277"/>
      <c r="R525" s="277"/>
      <c r="S525" s="277"/>
      <c r="T525" s="294"/>
      <c r="U525" s="294"/>
      <c r="V525" s="294"/>
      <c r="W525" s="294"/>
      <c r="X525" s="294"/>
      <c r="Y525" s="294"/>
      <c r="Z525" s="294"/>
      <c r="AA525" s="294"/>
      <c r="AB525" s="294"/>
      <c r="AC525" s="277"/>
      <c r="AD525" s="277"/>
      <c r="AE525" s="277"/>
      <c r="AF525" s="277"/>
      <c r="AG525" s="277"/>
      <c r="AH525" s="277"/>
      <c r="AI525" s="277"/>
      <c r="AJ525" s="277"/>
      <c r="AK525" s="277"/>
      <c r="AL525" s="277"/>
      <c r="AM525" s="277"/>
      <c r="AN525" s="277"/>
      <c r="AO525" s="277"/>
      <c r="AP525" s="277"/>
      <c r="AQ525" s="277"/>
      <c r="AR525" s="277"/>
      <c r="AS525" s="277"/>
      <c r="AT525" s="277"/>
      <c r="AU525" s="277"/>
      <c r="AV525" s="277"/>
      <c r="AW525" s="277"/>
      <c r="AX525" s="277"/>
      <c r="AY525" s="277"/>
      <c r="AZ525" s="277"/>
      <c r="BA525" s="277"/>
      <c r="BB525" s="277"/>
    </row>
    <row r="526" spans="1:54" ht="12.75" customHeight="1" x14ac:dyDescent="0.25">
      <c r="A526" s="277"/>
      <c r="B526" s="277"/>
      <c r="C526" s="277"/>
      <c r="D526" s="277"/>
      <c r="E526" s="277"/>
      <c r="F526" s="277"/>
      <c r="G526" s="277"/>
      <c r="H526" s="277"/>
      <c r="I526" s="277"/>
      <c r="J526" s="277"/>
      <c r="K526" s="277"/>
      <c r="L526" s="277"/>
      <c r="M526" s="277"/>
      <c r="N526" s="277"/>
      <c r="O526" s="277"/>
      <c r="P526" s="277"/>
      <c r="Q526" s="277"/>
      <c r="R526" s="277"/>
      <c r="S526" s="277"/>
      <c r="T526" s="294"/>
      <c r="U526" s="294"/>
      <c r="V526" s="294"/>
      <c r="W526" s="294"/>
      <c r="X526" s="294"/>
      <c r="Y526" s="294"/>
      <c r="Z526" s="294"/>
      <c r="AA526" s="294"/>
      <c r="AB526" s="294"/>
      <c r="AC526" s="277"/>
      <c r="AD526" s="277"/>
      <c r="AE526" s="277"/>
      <c r="AF526" s="277"/>
      <c r="AG526" s="277"/>
      <c r="AH526" s="277"/>
      <c r="AI526" s="277"/>
      <c r="AJ526" s="277"/>
      <c r="AK526" s="277"/>
      <c r="AL526" s="277"/>
      <c r="AM526" s="277"/>
      <c r="AN526" s="277"/>
      <c r="AO526" s="277"/>
      <c r="AP526" s="277"/>
      <c r="AQ526" s="277"/>
      <c r="AR526" s="277"/>
      <c r="AS526" s="277"/>
      <c r="AT526" s="277"/>
      <c r="AU526" s="277"/>
      <c r="AV526" s="277"/>
      <c r="AW526" s="277"/>
      <c r="AX526" s="277"/>
      <c r="AY526" s="277"/>
      <c r="AZ526" s="277"/>
      <c r="BA526" s="277"/>
      <c r="BB526" s="277"/>
    </row>
    <row r="527" spans="1:54" ht="12.75" customHeight="1" x14ac:dyDescent="0.25">
      <c r="A527" s="277"/>
      <c r="B527" s="277"/>
      <c r="C527" s="277"/>
      <c r="D527" s="277"/>
      <c r="E527" s="277"/>
      <c r="F527" s="277"/>
      <c r="G527" s="277"/>
      <c r="H527" s="277"/>
      <c r="I527" s="277"/>
      <c r="J527" s="277"/>
      <c r="K527" s="277"/>
      <c r="L527" s="277"/>
      <c r="M527" s="277"/>
      <c r="N527" s="277"/>
      <c r="O527" s="277"/>
      <c r="P527" s="277"/>
      <c r="Q527" s="277"/>
      <c r="R527" s="277"/>
      <c r="S527" s="277"/>
      <c r="T527" s="294"/>
      <c r="U527" s="294"/>
      <c r="V527" s="294"/>
      <c r="W527" s="294"/>
      <c r="X527" s="294"/>
      <c r="Y527" s="294"/>
      <c r="Z527" s="294"/>
      <c r="AA527" s="294"/>
      <c r="AB527" s="294"/>
      <c r="AC527" s="277"/>
      <c r="AD527" s="277"/>
      <c r="AE527" s="277"/>
      <c r="AF527" s="277"/>
      <c r="AG527" s="277"/>
      <c r="AH527" s="277"/>
      <c r="AI527" s="277"/>
      <c r="AJ527" s="277"/>
      <c r="AK527" s="277"/>
      <c r="AL527" s="277"/>
      <c r="AM527" s="277"/>
      <c r="AN527" s="277"/>
      <c r="AO527" s="277"/>
      <c r="AP527" s="277"/>
      <c r="AQ527" s="277"/>
      <c r="AR527" s="277"/>
      <c r="AS527" s="277"/>
      <c r="AT527" s="277"/>
      <c r="AU527" s="277"/>
      <c r="AV527" s="277"/>
      <c r="AW527" s="277"/>
      <c r="AX527" s="277"/>
      <c r="AY527" s="277"/>
      <c r="AZ527" s="277"/>
      <c r="BA527" s="277"/>
      <c r="BB527" s="277"/>
    </row>
    <row r="528" spans="1:54" ht="12.75" customHeight="1" x14ac:dyDescent="0.25">
      <c r="A528" s="277"/>
      <c r="B528" s="277"/>
      <c r="C528" s="277"/>
      <c r="D528" s="277"/>
      <c r="E528" s="277"/>
      <c r="F528" s="277"/>
      <c r="G528" s="277"/>
      <c r="H528" s="277"/>
      <c r="I528" s="277"/>
      <c r="J528" s="277"/>
      <c r="K528" s="277"/>
      <c r="L528" s="277"/>
      <c r="M528" s="277"/>
      <c r="N528" s="277"/>
      <c r="O528" s="277"/>
      <c r="P528" s="277"/>
      <c r="Q528" s="277"/>
      <c r="R528" s="277"/>
      <c r="S528" s="277"/>
      <c r="T528" s="294"/>
      <c r="U528" s="294"/>
      <c r="V528" s="294"/>
      <c r="W528" s="294"/>
      <c r="X528" s="294"/>
      <c r="Y528" s="294"/>
      <c r="Z528" s="294"/>
      <c r="AA528" s="294"/>
      <c r="AB528" s="294"/>
      <c r="AC528" s="277"/>
      <c r="AD528" s="277"/>
      <c r="AE528" s="277"/>
      <c r="AF528" s="277"/>
      <c r="AG528" s="277"/>
      <c r="AH528" s="277"/>
      <c r="AI528" s="277"/>
      <c r="AJ528" s="277"/>
      <c r="AK528" s="277"/>
      <c r="AL528" s="277"/>
      <c r="AM528" s="277"/>
      <c r="AN528" s="277"/>
      <c r="AO528" s="277"/>
      <c r="AP528" s="277"/>
      <c r="AQ528" s="277"/>
      <c r="AR528" s="277"/>
      <c r="AS528" s="277"/>
      <c r="AT528" s="277"/>
      <c r="AU528" s="277"/>
      <c r="AV528" s="277"/>
      <c r="AW528" s="277"/>
      <c r="AX528" s="277"/>
      <c r="AY528" s="277"/>
      <c r="AZ528" s="277"/>
      <c r="BA528" s="277"/>
      <c r="BB528" s="277"/>
    </row>
    <row r="529" spans="1:54" ht="12.75" customHeight="1" x14ac:dyDescent="0.25">
      <c r="A529" s="277"/>
      <c r="B529" s="277"/>
      <c r="C529" s="277"/>
      <c r="D529" s="277"/>
      <c r="E529" s="277"/>
      <c r="F529" s="277"/>
      <c r="G529" s="277"/>
      <c r="H529" s="277"/>
      <c r="I529" s="277"/>
      <c r="J529" s="277"/>
      <c r="K529" s="277"/>
      <c r="L529" s="277"/>
      <c r="M529" s="277"/>
      <c r="N529" s="277"/>
      <c r="O529" s="277"/>
      <c r="P529" s="277"/>
      <c r="Q529" s="277"/>
      <c r="R529" s="277"/>
      <c r="S529" s="277"/>
      <c r="T529" s="294"/>
      <c r="U529" s="294"/>
      <c r="V529" s="294"/>
      <c r="W529" s="294"/>
      <c r="X529" s="294"/>
      <c r="Y529" s="294"/>
      <c r="Z529" s="294"/>
      <c r="AA529" s="294"/>
      <c r="AB529" s="294"/>
      <c r="AC529" s="277"/>
      <c r="AD529" s="277"/>
      <c r="AE529" s="277"/>
      <c r="AF529" s="277"/>
      <c r="AG529" s="277"/>
      <c r="AH529" s="277"/>
      <c r="AI529" s="277"/>
      <c r="AJ529" s="277"/>
      <c r="AK529" s="277"/>
      <c r="AL529" s="277"/>
      <c r="AM529" s="277"/>
      <c r="AN529" s="277"/>
      <c r="AO529" s="277"/>
      <c r="AP529" s="277"/>
      <c r="AQ529" s="277"/>
      <c r="AR529" s="277"/>
      <c r="AS529" s="277"/>
      <c r="AT529" s="277"/>
      <c r="AU529" s="277"/>
      <c r="AV529" s="277"/>
      <c r="AW529" s="277"/>
      <c r="AX529" s="277"/>
      <c r="AY529" s="277"/>
      <c r="AZ529" s="277"/>
      <c r="BA529" s="277"/>
      <c r="BB529" s="277"/>
    </row>
    <row r="530" spans="1:54" ht="12.75" customHeight="1" x14ac:dyDescent="0.25">
      <c r="A530" s="277"/>
      <c r="B530" s="277"/>
      <c r="C530" s="277"/>
      <c r="D530" s="277"/>
      <c r="E530" s="277"/>
      <c r="F530" s="277"/>
      <c r="G530" s="277"/>
      <c r="H530" s="277"/>
      <c r="I530" s="277"/>
      <c r="J530" s="277"/>
      <c r="K530" s="277"/>
      <c r="L530" s="277"/>
      <c r="M530" s="277"/>
      <c r="N530" s="277"/>
      <c r="O530" s="277"/>
      <c r="P530" s="277"/>
      <c r="Q530" s="277"/>
      <c r="R530" s="277"/>
      <c r="S530" s="277"/>
      <c r="T530" s="294"/>
      <c r="U530" s="294"/>
      <c r="V530" s="294"/>
      <c r="W530" s="294"/>
      <c r="X530" s="294"/>
      <c r="Y530" s="294"/>
      <c r="Z530" s="294"/>
      <c r="AA530" s="294"/>
      <c r="AB530" s="294"/>
      <c r="AC530" s="277"/>
      <c r="AD530" s="277"/>
      <c r="AE530" s="277"/>
      <c r="AF530" s="277"/>
      <c r="AG530" s="277"/>
      <c r="AH530" s="277"/>
      <c r="AI530" s="277"/>
      <c r="AJ530" s="277"/>
      <c r="AK530" s="277"/>
      <c r="AL530" s="277"/>
      <c r="AM530" s="277"/>
      <c r="AN530" s="277"/>
      <c r="AO530" s="277"/>
      <c r="AP530" s="277"/>
      <c r="AQ530" s="277"/>
      <c r="AR530" s="277"/>
      <c r="AS530" s="277"/>
      <c r="AT530" s="277"/>
      <c r="AU530" s="277"/>
      <c r="AV530" s="277"/>
      <c r="AW530" s="277"/>
      <c r="AX530" s="277"/>
      <c r="AY530" s="277"/>
      <c r="AZ530" s="277"/>
      <c r="BA530" s="277"/>
      <c r="BB530" s="277"/>
    </row>
    <row r="531" spans="1:54" ht="12.75" customHeight="1" x14ac:dyDescent="0.25">
      <c r="A531" s="277"/>
      <c r="B531" s="277"/>
      <c r="C531" s="277"/>
      <c r="D531" s="277"/>
      <c r="E531" s="277"/>
      <c r="F531" s="277"/>
      <c r="G531" s="277"/>
      <c r="H531" s="277"/>
      <c r="I531" s="277"/>
      <c r="J531" s="277"/>
      <c r="K531" s="277"/>
      <c r="L531" s="277"/>
      <c r="M531" s="277"/>
      <c r="N531" s="277"/>
      <c r="O531" s="277"/>
      <c r="P531" s="277"/>
      <c r="Q531" s="277"/>
      <c r="R531" s="277"/>
      <c r="S531" s="277"/>
      <c r="T531" s="294"/>
      <c r="U531" s="294"/>
      <c r="V531" s="294"/>
      <c r="W531" s="294"/>
      <c r="X531" s="294"/>
      <c r="Y531" s="294"/>
      <c r="Z531" s="294"/>
      <c r="AA531" s="294"/>
      <c r="AB531" s="294"/>
      <c r="AC531" s="277"/>
      <c r="AD531" s="277"/>
      <c r="AE531" s="277"/>
      <c r="AF531" s="277"/>
      <c r="AG531" s="277"/>
      <c r="AH531" s="277"/>
      <c r="AI531" s="277"/>
      <c r="AJ531" s="277"/>
      <c r="AK531" s="277"/>
      <c r="AL531" s="277"/>
      <c r="AM531" s="277"/>
      <c r="AN531" s="277"/>
      <c r="AO531" s="277"/>
      <c r="AP531" s="277"/>
      <c r="AQ531" s="277"/>
      <c r="AR531" s="277"/>
      <c r="AS531" s="277"/>
      <c r="AT531" s="277"/>
      <c r="AU531" s="277"/>
      <c r="AV531" s="277"/>
      <c r="AW531" s="277"/>
      <c r="AX531" s="277"/>
      <c r="AY531" s="277"/>
      <c r="AZ531" s="277"/>
      <c r="BA531" s="277"/>
      <c r="BB531" s="277"/>
    </row>
    <row r="532" spans="1:54" ht="12.75" customHeight="1" x14ac:dyDescent="0.25">
      <c r="A532" s="277"/>
      <c r="B532" s="277"/>
      <c r="C532" s="277"/>
      <c r="D532" s="277"/>
      <c r="E532" s="277"/>
      <c r="F532" s="277"/>
      <c r="G532" s="277"/>
      <c r="H532" s="277"/>
      <c r="I532" s="277"/>
      <c r="J532" s="277"/>
      <c r="K532" s="277"/>
      <c r="L532" s="277"/>
      <c r="M532" s="277"/>
      <c r="N532" s="277"/>
      <c r="O532" s="277"/>
      <c r="P532" s="277"/>
      <c r="Q532" s="277"/>
      <c r="R532" s="277"/>
      <c r="S532" s="277"/>
      <c r="T532" s="294"/>
      <c r="U532" s="294"/>
      <c r="V532" s="294"/>
      <c r="W532" s="294"/>
      <c r="X532" s="294"/>
      <c r="Y532" s="294"/>
      <c r="Z532" s="294"/>
      <c r="AA532" s="294"/>
      <c r="AB532" s="294"/>
      <c r="AC532" s="277"/>
      <c r="AD532" s="277"/>
      <c r="AE532" s="277"/>
      <c r="AF532" s="277"/>
      <c r="AG532" s="277"/>
      <c r="AH532" s="277"/>
      <c r="AI532" s="277"/>
      <c r="AJ532" s="277"/>
      <c r="AK532" s="277"/>
      <c r="AL532" s="277"/>
      <c r="AM532" s="277"/>
      <c r="AN532" s="277"/>
      <c r="AO532" s="277"/>
      <c r="AP532" s="277"/>
      <c r="AQ532" s="277"/>
      <c r="AR532" s="277"/>
      <c r="AS532" s="277"/>
      <c r="AT532" s="277"/>
      <c r="AU532" s="277"/>
      <c r="AV532" s="277"/>
      <c r="AW532" s="277"/>
      <c r="AX532" s="277"/>
      <c r="AY532" s="277"/>
      <c r="AZ532" s="277"/>
      <c r="BA532" s="277"/>
      <c r="BB532" s="277"/>
    </row>
    <row r="533" spans="1:54" ht="12.75" customHeight="1" x14ac:dyDescent="0.25">
      <c r="A533" s="277"/>
      <c r="B533" s="277"/>
      <c r="C533" s="277"/>
      <c r="D533" s="277"/>
      <c r="E533" s="277"/>
      <c r="F533" s="277"/>
      <c r="G533" s="277"/>
      <c r="H533" s="277"/>
      <c r="I533" s="277"/>
      <c r="J533" s="277"/>
      <c r="K533" s="277"/>
      <c r="L533" s="277"/>
      <c r="M533" s="277"/>
      <c r="N533" s="277"/>
      <c r="O533" s="277"/>
      <c r="P533" s="277"/>
      <c r="Q533" s="277"/>
      <c r="R533" s="277"/>
      <c r="S533" s="277"/>
      <c r="T533" s="294"/>
      <c r="U533" s="294"/>
      <c r="V533" s="294"/>
      <c r="W533" s="294"/>
      <c r="X533" s="294"/>
      <c r="Y533" s="294"/>
      <c r="Z533" s="294"/>
      <c r="AA533" s="294"/>
      <c r="AB533" s="294"/>
      <c r="AC533" s="277"/>
      <c r="AD533" s="277"/>
      <c r="AE533" s="277"/>
      <c r="AF533" s="277"/>
      <c r="AG533" s="277"/>
      <c r="AH533" s="277"/>
      <c r="AI533" s="277"/>
      <c r="AJ533" s="277"/>
      <c r="AK533" s="277"/>
      <c r="AL533" s="277"/>
      <c r="AM533" s="277"/>
      <c r="AN533" s="277"/>
      <c r="AO533" s="277"/>
      <c r="AP533" s="277"/>
      <c r="AQ533" s="277"/>
      <c r="AR533" s="277"/>
      <c r="AS533" s="277"/>
      <c r="AT533" s="277"/>
      <c r="AU533" s="277"/>
      <c r="AV533" s="277"/>
      <c r="AW533" s="277"/>
      <c r="AX533" s="277"/>
      <c r="AY533" s="277"/>
      <c r="AZ533" s="277"/>
      <c r="BA533" s="277"/>
      <c r="BB533" s="277"/>
    </row>
    <row r="534" spans="1:54" ht="12.75" customHeight="1" x14ac:dyDescent="0.25">
      <c r="A534" s="277"/>
      <c r="B534" s="277"/>
      <c r="C534" s="277"/>
      <c r="D534" s="277"/>
      <c r="E534" s="277"/>
      <c r="F534" s="277"/>
      <c r="G534" s="277"/>
      <c r="H534" s="277"/>
      <c r="I534" s="277"/>
      <c r="J534" s="277"/>
      <c r="K534" s="277"/>
      <c r="L534" s="277"/>
      <c r="M534" s="277"/>
      <c r="N534" s="277"/>
      <c r="O534" s="277"/>
      <c r="P534" s="277"/>
      <c r="Q534" s="277"/>
      <c r="R534" s="277"/>
      <c r="S534" s="277"/>
      <c r="T534" s="294"/>
      <c r="U534" s="294"/>
      <c r="V534" s="294"/>
      <c r="W534" s="294"/>
      <c r="X534" s="294"/>
      <c r="Y534" s="294"/>
      <c r="Z534" s="294"/>
      <c r="AA534" s="294"/>
      <c r="AB534" s="294"/>
      <c r="AC534" s="277"/>
      <c r="AD534" s="277"/>
      <c r="AE534" s="277"/>
      <c r="AF534" s="277"/>
      <c r="AG534" s="277"/>
      <c r="AH534" s="277"/>
      <c r="AI534" s="277"/>
      <c r="AJ534" s="277"/>
      <c r="AK534" s="277"/>
      <c r="AL534" s="277"/>
      <c r="AM534" s="277"/>
      <c r="AN534" s="277"/>
      <c r="AO534" s="277"/>
      <c r="AP534" s="277"/>
      <c r="AQ534" s="277"/>
      <c r="AR534" s="277"/>
      <c r="AS534" s="277"/>
      <c r="AT534" s="277"/>
      <c r="AU534" s="277"/>
      <c r="AV534" s="277"/>
      <c r="AW534" s="277"/>
      <c r="AX534" s="277"/>
      <c r="AY534" s="277"/>
      <c r="AZ534" s="277"/>
      <c r="BA534" s="277"/>
      <c r="BB534" s="277"/>
    </row>
    <row r="535" spans="1:54" ht="12.75" customHeight="1" x14ac:dyDescent="0.25">
      <c r="A535" s="277"/>
      <c r="B535" s="277"/>
      <c r="C535" s="277"/>
      <c r="D535" s="277"/>
      <c r="E535" s="277"/>
      <c r="F535" s="277"/>
      <c r="G535" s="277"/>
      <c r="H535" s="277"/>
      <c r="I535" s="277"/>
      <c r="J535" s="277"/>
      <c r="K535" s="277"/>
      <c r="L535" s="277"/>
      <c r="M535" s="277"/>
      <c r="N535" s="277"/>
      <c r="O535" s="277"/>
      <c r="P535" s="277"/>
      <c r="Q535" s="277"/>
      <c r="R535" s="277"/>
      <c r="S535" s="277"/>
      <c r="T535" s="294"/>
      <c r="U535" s="294"/>
      <c r="V535" s="294"/>
      <c r="W535" s="294"/>
      <c r="X535" s="294"/>
      <c r="Y535" s="294"/>
      <c r="Z535" s="294"/>
      <c r="AA535" s="294"/>
      <c r="AB535" s="294"/>
      <c r="AC535" s="277"/>
      <c r="AD535" s="277"/>
      <c r="AE535" s="277"/>
      <c r="AF535" s="277"/>
      <c r="AG535" s="277"/>
      <c r="AH535" s="277"/>
      <c r="AI535" s="277"/>
      <c r="AJ535" s="277"/>
      <c r="AK535" s="277"/>
      <c r="AL535" s="277"/>
      <c r="AM535" s="277"/>
      <c r="AN535" s="277"/>
      <c r="AO535" s="277"/>
      <c r="AP535" s="277"/>
      <c r="AQ535" s="277"/>
      <c r="AR535" s="277"/>
      <c r="AS535" s="277"/>
      <c r="AT535" s="277"/>
      <c r="AU535" s="277"/>
      <c r="AV535" s="277"/>
      <c r="AW535" s="277"/>
      <c r="AX535" s="277"/>
      <c r="AY535" s="277"/>
      <c r="AZ535" s="277"/>
      <c r="BA535" s="277"/>
      <c r="BB535" s="277"/>
    </row>
    <row r="536" spans="1:54" ht="12.75" customHeight="1" x14ac:dyDescent="0.25">
      <c r="A536" s="277"/>
      <c r="B536" s="277"/>
      <c r="C536" s="277"/>
      <c r="D536" s="277"/>
      <c r="E536" s="277"/>
      <c r="F536" s="277"/>
      <c r="G536" s="277"/>
      <c r="H536" s="277"/>
      <c r="I536" s="277"/>
      <c r="J536" s="277"/>
      <c r="K536" s="277"/>
      <c r="L536" s="277"/>
      <c r="M536" s="277"/>
      <c r="N536" s="277"/>
      <c r="O536" s="277"/>
      <c r="P536" s="277"/>
      <c r="Q536" s="277"/>
      <c r="R536" s="277"/>
      <c r="S536" s="277"/>
      <c r="T536" s="294"/>
      <c r="U536" s="294"/>
      <c r="V536" s="294"/>
      <c r="W536" s="294"/>
      <c r="X536" s="294"/>
      <c r="Y536" s="294"/>
      <c r="Z536" s="294"/>
      <c r="AA536" s="294"/>
      <c r="AB536" s="294"/>
      <c r="AC536" s="277"/>
      <c r="AD536" s="277"/>
      <c r="AE536" s="277"/>
      <c r="AF536" s="277"/>
      <c r="AG536" s="277"/>
      <c r="AH536" s="277"/>
      <c r="AI536" s="277"/>
      <c r="AJ536" s="277"/>
      <c r="AK536" s="277"/>
      <c r="AL536" s="277"/>
      <c r="AM536" s="277"/>
      <c r="AN536" s="277"/>
      <c r="AO536" s="277"/>
      <c r="AP536" s="277"/>
      <c r="AQ536" s="277"/>
      <c r="AR536" s="277"/>
      <c r="AS536" s="277"/>
      <c r="AT536" s="277"/>
      <c r="AU536" s="277"/>
      <c r="AV536" s="277"/>
      <c r="AW536" s="277"/>
      <c r="AX536" s="277"/>
      <c r="AY536" s="277"/>
      <c r="AZ536" s="277"/>
      <c r="BA536" s="277"/>
      <c r="BB536" s="277"/>
    </row>
    <row r="537" spans="1:54" ht="12.75" customHeight="1" x14ac:dyDescent="0.25">
      <c r="A537" s="277"/>
      <c r="B537" s="277"/>
      <c r="C537" s="277"/>
      <c r="D537" s="277"/>
      <c r="E537" s="277"/>
      <c r="F537" s="277"/>
      <c r="G537" s="277"/>
      <c r="H537" s="277"/>
      <c r="I537" s="277"/>
      <c r="J537" s="277"/>
      <c r="K537" s="277"/>
      <c r="L537" s="277"/>
      <c r="M537" s="277"/>
      <c r="N537" s="277"/>
      <c r="O537" s="277"/>
      <c r="P537" s="277"/>
      <c r="Q537" s="277"/>
      <c r="R537" s="277"/>
      <c r="S537" s="277"/>
      <c r="T537" s="294"/>
      <c r="U537" s="294"/>
      <c r="V537" s="294"/>
      <c r="W537" s="294"/>
      <c r="X537" s="294"/>
      <c r="Y537" s="294"/>
      <c r="Z537" s="294"/>
      <c r="AA537" s="294"/>
      <c r="AB537" s="294"/>
      <c r="AC537" s="277"/>
      <c r="AD537" s="277"/>
      <c r="AE537" s="277"/>
      <c r="AF537" s="277"/>
      <c r="AG537" s="277"/>
      <c r="AH537" s="277"/>
      <c r="AI537" s="277"/>
      <c r="AJ537" s="277"/>
      <c r="AK537" s="277"/>
      <c r="AL537" s="277"/>
      <c r="AM537" s="277"/>
      <c r="AN537" s="277"/>
      <c r="AO537" s="277"/>
      <c r="AP537" s="277"/>
      <c r="AQ537" s="277"/>
      <c r="AR537" s="277"/>
      <c r="AS537" s="277"/>
      <c r="AT537" s="277"/>
      <c r="AU537" s="277"/>
      <c r="AV537" s="277"/>
      <c r="AW537" s="277"/>
      <c r="AX537" s="277"/>
      <c r="AY537" s="277"/>
      <c r="AZ537" s="277"/>
      <c r="BA537" s="277"/>
      <c r="BB537" s="277"/>
    </row>
    <row r="538" spans="1:54" ht="12.75" customHeight="1" x14ac:dyDescent="0.25">
      <c r="A538" s="277"/>
      <c r="B538" s="277"/>
      <c r="C538" s="277"/>
      <c r="D538" s="277"/>
      <c r="E538" s="277"/>
      <c r="F538" s="277"/>
      <c r="G538" s="277"/>
      <c r="H538" s="277"/>
      <c r="I538" s="277"/>
      <c r="J538" s="277"/>
      <c r="K538" s="277"/>
      <c r="L538" s="277"/>
      <c r="M538" s="277"/>
      <c r="N538" s="277"/>
      <c r="O538" s="277"/>
      <c r="P538" s="277"/>
      <c r="Q538" s="277"/>
      <c r="R538" s="277"/>
      <c r="S538" s="277"/>
      <c r="T538" s="294"/>
      <c r="U538" s="294"/>
      <c r="V538" s="294"/>
      <c r="W538" s="294"/>
      <c r="X538" s="294"/>
      <c r="Y538" s="294"/>
      <c r="Z538" s="294"/>
      <c r="AA538" s="294"/>
      <c r="AB538" s="294"/>
      <c r="AC538" s="277"/>
      <c r="AD538" s="277"/>
      <c r="AE538" s="277"/>
      <c r="AF538" s="277"/>
      <c r="AG538" s="277"/>
      <c r="AH538" s="277"/>
      <c r="AI538" s="277"/>
      <c r="AJ538" s="277"/>
      <c r="AK538" s="277"/>
      <c r="AL538" s="277"/>
      <c r="AM538" s="277"/>
      <c r="AN538" s="277"/>
      <c r="AO538" s="277"/>
      <c r="AP538" s="277"/>
      <c r="AQ538" s="277"/>
      <c r="AR538" s="277"/>
      <c r="AS538" s="277"/>
      <c r="AT538" s="277"/>
      <c r="AU538" s="277"/>
      <c r="AV538" s="277"/>
      <c r="AW538" s="277"/>
      <c r="AX538" s="277"/>
      <c r="AY538" s="277"/>
      <c r="AZ538" s="277"/>
      <c r="BA538" s="277"/>
      <c r="BB538" s="277"/>
    </row>
    <row r="539" spans="1:54" ht="12.75" customHeight="1" x14ac:dyDescent="0.25">
      <c r="A539" s="277"/>
      <c r="B539" s="277"/>
      <c r="C539" s="277"/>
      <c r="D539" s="277"/>
      <c r="E539" s="277"/>
      <c r="F539" s="277"/>
      <c r="G539" s="277"/>
      <c r="H539" s="277"/>
      <c r="I539" s="277"/>
      <c r="J539" s="277"/>
      <c r="K539" s="277"/>
      <c r="L539" s="277"/>
      <c r="M539" s="277"/>
      <c r="N539" s="277"/>
      <c r="O539" s="277"/>
      <c r="P539" s="277"/>
      <c r="Q539" s="277"/>
      <c r="R539" s="277"/>
      <c r="S539" s="277"/>
      <c r="T539" s="294"/>
      <c r="U539" s="294"/>
      <c r="V539" s="294"/>
      <c r="W539" s="294"/>
      <c r="X539" s="294"/>
      <c r="Y539" s="294"/>
      <c r="Z539" s="294"/>
      <c r="AA539" s="294"/>
      <c r="AB539" s="294"/>
      <c r="AC539" s="277"/>
      <c r="AD539" s="277"/>
      <c r="AE539" s="277"/>
      <c r="AF539" s="277"/>
      <c r="AG539" s="277"/>
      <c r="AH539" s="277"/>
      <c r="AI539" s="277"/>
      <c r="AJ539" s="277"/>
      <c r="AK539" s="277"/>
      <c r="AL539" s="277"/>
      <c r="AM539" s="277"/>
      <c r="AN539" s="277"/>
      <c r="AO539" s="277"/>
      <c r="AP539" s="277"/>
      <c r="AQ539" s="277"/>
      <c r="AR539" s="277"/>
      <c r="AS539" s="277"/>
      <c r="AT539" s="277"/>
      <c r="AU539" s="277"/>
      <c r="AV539" s="277"/>
      <c r="AW539" s="277"/>
      <c r="AX539" s="277"/>
      <c r="AY539" s="277"/>
      <c r="AZ539" s="277"/>
      <c r="BA539" s="277"/>
      <c r="BB539" s="277"/>
    </row>
    <row r="540" spans="1:54" ht="12.75" customHeight="1" x14ac:dyDescent="0.25">
      <c r="A540" s="277"/>
      <c r="B540" s="277"/>
      <c r="C540" s="277"/>
      <c r="D540" s="277"/>
      <c r="E540" s="277"/>
      <c r="F540" s="277"/>
      <c r="G540" s="277"/>
      <c r="H540" s="277"/>
      <c r="I540" s="277"/>
      <c r="J540" s="277"/>
      <c r="K540" s="277"/>
      <c r="L540" s="277"/>
      <c r="M540" s="277"/>
      <c r="N540" s="277"/>
      <c r="O540" s="277"/>
      <c r="P540" s="277"/>
      <c r="Q540" s="277"/>
      <c r="R540" s="277"/>
      <c r="S540" s="277"/>
      <c r="T540" s="294"/>
      <c r="U540" s="294"/>
      <c r="V540" s="294"/>
      <c r="W540" s="294"/>
      <c r="X540" s="294"/>
      <c r="Y540" s="294"/>
      <c r="Z540" s="294"/>
      <c r="AA540" s="294"/>
      <c r="AB540" s="294"/>
      <c r="AC540" s="277"/>
      <c r="AD540" s="277"/>
      <c r="AE540" s="277"/>
      <c r="AF540" s="277"/>
      <c r="AG540" s="277"/>
      <c r="AH540" s="277"/>
      <c r="AI540" s="277"/>
      <c r="AJ540" s="277"/>
      <c r="AK540" s="277"/>
      <c r="AL540" s="277"/>
      <c r="AM540" s="277"/>
      <c r="AN540" s="277"/>
      <c r="AO540" s="277"/>
      <c r="AP540" s="277"/>
      <c r="AQ540" s="277"/>
      <c r="AR540" s="277"/>
      <c r="AS540" s="277"/>
      <c r="AT540" s="277"/>
      <c r="AU540" s="277"/>
      <c r="AV540" s="277"/>
      <c r="AW540" s="277"/>
      <c r="AX540" s="277"/>
      <c r="AY540" s="277"/>
      <c r="AZ540" s="277"/>
      <c r="BA540" s="277"/>
      <c r="BB540" s="277"/>
    </row>
    <row r="541" spans="1:54" ht="12.75" customHeight="1" x14ac:dyDescent="0.25">
      <c r="A541" s="277"/>
      <c r="B541" s="277"/>
      <c r="C541" s="277"/>
      <c r="D541" s="277"/>
      <c r="E541" s="277"/>
      <c r="F541" s="277"/>
      <c r="G541" s="277"/>
      <c r="H541" s="277"/>
      <c r="I541" s="277"/>
      <c r="J541" s="277"/>
      <c r="K541" s="277"/>
      <c r="L541" s="277"/>
      <c r="M541" s="277"/>
      <c r="N541" s="277"/>
      <c r="O541" s="277"/>
      <c r="P541" s="277"/>
      <c r="Q541" s="277"/>
      <c r="R541" s="277"/>
      <c r="S541" s="277"/>
      <c r="T541" s="294"/>
      <c r="U541" s="294"/>
      <c r="V541" s="294"/>
      <c r="W541" s="294"/>
      <c r="X541" s="294"/>
      <c r="Y541" s="294"/>
      <c r="Z541" s="294"/>
      <c r="AA541" s="294"/>
      <c r="AB541" s="294"/>
      <c r="AC541" s="277"/>
      <c r="AD541" s="277"/>
      <c r="AE541" s="277"/>
      <c r="AF541" s="277"/>
      <c r="AG541" s="277"/>
      <c r="AH541" s="277"/>
      <c r="AI541" s="277"/>
      <c r="AJ541" s="277"/>
      <c r="AK541" s="277"/>
      <c r="AL541" s="277"/>
      <c r="AM541" s="277"/>
      <c r="AN541" s="277"/>
      <c r="AO541" s="277"/>
      <c r="AP541" s="277"/>
      <c r="AQ541" s="277"/>
      <c r="AR541" s="277"/>
      <c r="AS541" s="277"/>
      <c r="AT541" s="277"/>
      <c r="AU541" s="277"/>
      <c r="AV541" s="277"/>
      <c r="AW541" s="277"/>
      <c r="AX541" s="277"/>
      <c r="AY541" s="277"/>
      <c r="AZ541" s="277"/>
      <c r="BA541" s="277"/>
      <c r="BB541" s="277"/>
    </row>
    <row r="542" spans="1:54" ht="12.75" customHeight="1" x14ac:dyDescent="0.25">
      <c r="A542" s="277"/>
      <c r="B542" s="277"/>
      <c r="C542" s="277"/>
      <c r="D542" s="277"/>
      <c r="E542" s="277"/>
      <c r="F542" s="277"/>
      <c r="G542" s="277"/>
      <c r="H542" s="277"/>
      <c r="I542" s="277"/>
      <c r="J542" s="277"/>
      <c r="K542" s="277"/>
      <c r="L542" s="277"/>
      <c r="M542" s="277"/>
      <c r="N542" s="277"/>
      <c r="O542" s="277"/>
      <c r="P542" s="277"/>
      <c r="Q542" s="277"/>
      <c r="R542" s="277"/>
      <c r="S542" s="277"/>
      <c r="T542" s="294"/>
      <c r="U542" s="294"/>
      <c r="V542" s="294"/>
      <c r="W542" s="294"/>
      <c r="X542" s="294"/>
      <c r="Y542" s="294"/>
      <c r="Z542" s="294"/>
      <c r="AA542" s="294"/>
      <c r="AB542" s="294"/>
      <c r="AC542" s="277"/>
      <c r="AD542" s="277"/>
      <c r="AE542" s="277"/>
      <c r="AF542" s="277"/>
      <c r="AG542" s="277"/>
      <c r="AH542" s="277"/>
      <c r="AI542" s="277"/>
      <c r="AJ542" s="277"/>
      <c r="AK542" s="277"/>
      <c r="AL542" s="277"/>
      <c r="AM542" s="277"/>
      <c r="AN542" s="277"/>
      <c r="AO542" s="277"/>
      <c r="AP542" s="277"/>
      <c r="AQ542" s="277"/>
      <c r="AR542" s="277"/>
      <c r="AS542" s="277"/>
      <c r="AT542" s="277"/>
      <c r="AU542" s="277"/>
      <c r="AV542" s="277"/>
      <c r="AW542" s="277"/>
      <c r="AX542" s="277"/>
      <c r="AY542" s="277"/>
      <c r="AZ542" s="277"/>
      <c r="BA542" s="277"/>
      <c r="BB542" s="277"/>
    </row>
    <row r="543" spans="1:54" ht="12.75" customHeight="1" x14ac:dyDescent="0.25">
      <c r="A543" s="277"/>
      <c r="B543" s="277"/>
      <c r="C543" s="277"/>
      <c r="D543" s="277"/>
      <c r="E543" s="277"/>
      <c r="F543" s="277"/>
      <c r="G543" s="277"/>
      <c r="H543" s="277"/>
      <c r="I543" s="277"/>
      <c r="J543" s="277"/>
      <c r="K543" s="277"/>
      <c r="L543" s="277"/>
      <c r="M543" s="277"/>
      <c r="N543" s="277"/>
      <c r="O543" s="277"/>
      <c r="P543" s="277"/>
      <c r="Q543" s="277"/>
      <c r="R543" s="277"/>
      <c r="S543" s="277"/>
      <c r="T543" s="294"/>
      <c r="U543" s="294"/>
      <c r="V543" s="294"/>
      <c r="W543" s="294"/>
      <c r="X543" s="294"/>
      <c r="Y543" s="294"/>
      <c r="Z543" s="294"/>
      <c r="AA543" s="294"/>
      <c r="AB543" s="294"/>
      <c r="AC543" s="277"/>
      <c r="AD543" s="277"/>
      <c r="AE543" s="277"/>
      <c r="AF543" s="277"/>
      <c r="AG543" s="277"/>
      <c r="AH543" s="277"/>
      <c r="AI543" s="277"/>
      <c r="AJ543" s="277"/>
      <c r="AK543" s="277"/>
      <c r="AL543" s="277"/>
      <c r="AM543" s="277"/>
      <c r="AN543" s="277"/>
      <c r="AO543" s="277"/>
      <c r="AP543" s="277"/>
      <c r="AQ543" s="277"/>
      <c r="AR543" s="277"/>
      <c r="AS543" s="277"/>
      <c r="AT543" s="277"/>
      <c r="AU543" s="277"/>
      <c r="AV543" s="277"/>
      <c r="AW543" s="277"/>
      <c r="AX543" s="277"/>
      <c r="AY543" s="277"/>
      <c r="AZ543" s="277"/>
      <c r="BA543" s="277"/>
      <c r="BB543" s="277"/>
    </row>
    <row r="544" spans="1:54" ht="12.75" customHeight="1" x14ac:dyDescent="0.25">
      <c r="A544" s="277"/>
      <c r="B544" s="277"/>
      <c r="C544" s="277"/>
      <c r="D544" s="277"/>
      <c r="E544" s="277"/>
      <c r="F544" s="277"/>
      <c r="G544" s="277"/>
      <c r="H544" s="277"/>
      <c r="I544" s="277"/>
      <c r="J544" s="277"/>
      <c r="K544" s="277"/>
      <c r="L544" s="277"/>
      <c r="M544" s="277"/>
      <c r="N544" s="277"/>
      <c r="O544" s="277"/>
      <c r="P544" s="277"/>
      <c r="Q544" s="277"/>
      <c r="R544" s="277"/>
      <c r="S544" s="277"/>
      <c r="T544" s="294"/>
      <c r="U544" s="294"/>
      <c r="V544" s="294"/>
      <c r="W544" s="294"/>
      <c r="X544" s="294"/>
      <c r="Y544" s="294"/>
      <c r="Z544" s="294"/>
      <c r="AA544" s="294"/>
      <c r="AB544" s="294"/>
      <c r="AC544" s="277"/>
      <c r="AD544" s="277"/>
      <c r="AE544" s="277"/>
      <c r="AF544" s="277"/>
      <c r="AG544" s="277"/>
      <c r="AH544" s="277"/>
      <c r="AI544" s="277"/>
      <c r="AJ544" s="277"/>
      <c r="AK544" s="277"/>
      <c r="AL544" s="277"/>
      <c r="AM544" s="277"/>
      <c r="AN544" s="277"/>
      <c r="AO544" s="277"/>
      <c r="AP544" s="277"/>
      <c r="AQ544" s="277"/>
      <c r="AR544" s="277"/>
      <c r="AS544" s="277"/>
      <c r="AT544" s="277"/>
      <c r="AU544" s="277"/>
      <c r="AV544" s="277"/>
      <c r="AW544" s="277"/>
      <c r="AX544" s="277"/>
      <c r="AY544" s="277"/>
      <c r="AZ544" s="277"/>
      <c r="BA544" s="277"/>
      <c r="BB544" s="277"/>
    </row>
    <row r="545" spans="1:54" ht="12.75" customHeight="1" x14ac:dyDescent="0.25">
      <c r="A545" s="277"/>
      <c r="B545" s="277"/>
      <c r="C545" s="277"/>
      <c r="D545" s="277"/>
      <c r="E545" s="277"/>
      <c r="F545" s="277"/>
      <c r="G545" s="277"/>
      <c r="H545" s="277"/>
      <c r="I545" s="277"/>
      <c r="J545" s="277"/>
      <c r="K545" s="277"/>
      <c r="L545" s="277"/>
      <c r="M545" s="277"/>
      <c r="N545" s="277"/>
      <c r="O545" s="277"/>
      <c r="P545" s="277"/>
      <c r="Q545" s="277"/>
      <c r="R545" s="277"/>
      <c r="S545" s="277"/>
      <c r="T545" s="294"/>
      <c r="U545" s="294"/>
      <c r="V545" s="294"/>
      <c r="W545" s="294"/>
      <c r="X545" s="294"/>
      <c r="Y545" s="294"/>
      <c r="Z545" s="294"/>
      <c r="AA545" s="294"/>
      <c r="AB545" s="294"/>
      <c r="AC545" s="277"/>
      <c r="AD545" s="277"/>
      <c r="AE545" s="277"/>
      <c r="AF545" s="277"/>
      <c r="AG545" s="277"/>
      <c r="AH545" s="277"/>
      <c r="AI545" s="277"/>
      <c r="AJ545" s="277"/>
      <c r="AK545" s="277"/>
      <c r="AL545" s="277"/>
      <c r="AM545" s="277"/>
      <c r="AN545" s="277"/>
      <c r="AO545" s="277"/>
      <c r="AP545" s="277"/>
      <c r="AQ545" s="277"/>
      <c r="AR545" s="277"/>
      <c r="AS545" s="277"/>
      <c r="AT545" s="277"/>
      <c r="AU545" s="277"/>
      <c r="AV545" s="277"/>
      <c r="AW545" s="277"/>
      <c r="AX545" s="277"/>
      <c r="AY545" s="277"/>
      <c r="AZ545" s="277"/>
      <c r="BA545" s="277"/>
      <c r="BB545" s="277"/>
    </row>
    <row r="546" spans="1:54" ht="12.75" customHeight="1" x14ac:dyDescent="0.25">
      <c r="A546" s="277"/>
      <c r="B546" s="277"/>
      <c r="C546" s="277"/>
      <c r="D546" s="277"/>
      <c r="E546" s="277"/>
      <c r="F546" s="277"/>
      <c r="G546" s="277"/>
      <c r="H546" s="277"/>
      <c r="I546" s="277"/>
      <c r="J546" s="277"/>
      <c r="K546" s="277"/>
      <c r="L546" s="277"/>
      <c r="M546" s="277"/>
      <c r="N546" s="277"/>
      <c r="O546" s="277"/>
      <c r="P546" s="277"/>
      <c r="Q546" s="277"/>
      <c r="R546" s="277"/>
      <c r="S546" s="277"/>
      <c r="T546" s="294"/>
      <c r="U546" s="294"/>
      <c r="V546" s="294"/>
      <c r="W546" s="294"/>
      <c r="X546" s="294"/>
      <c r="Y546" s="294"/>
      <c r="Z546" s="294"/>
      <c r="AA546" s="294"/>
      <c r="AB546" s="294"/>
      <c r="AC546" s="277"/>
      <c r="AD546" s="277"/>
      <c r="AE546" s="277"/>
      <c r="AF546" s="277"/>
      <c r="AG546" s="277"/>
      <c r="AH546" s="277"/>
      <c r="AI546" s="277"/>
      <c r="AJ546" s="277"/>
      <c r="AK546" s="277"/>
      <c r="AL546" s="277"/>
      <c r="AM546" s="277"/>
      <c r="AN546" s="277"/>
      <c r="AO546" s="277"/>
      <c r="AP546" s="277"/>
      <c r="AQ546" s="277"/>
      <c r="AR546" s="277"/>
      <c r="AS546" s="277"/>
      <c r="AT546" s="277"/>
      <c r="AU546" s="277"/>
      <c r="AV546" s="277"/>
      <c r="AW546" s="277"/>
      <c r="AX546" s="277"/>
      <c r="AY546" s="277"/>
      <c r="AZ546" s="277"/>
      <c r="BA546" s="277"/>
      <c r="BB546" s="277"/>
    </row>
    <row r="547" spans="1:54" ht="12.75" customHeight="1" x14ac:dyDescent="0.25">
      <c r="A547" s="277"/>
      <c r="B547" s="277"/>
      <c r="C547" s="277"/>
      <c r="D547" s="277"/>
      <c r="E547" s="277"/>
      <c r="F547" s="277"/>
      <c r="G547" s="277"/>
      <c r="H547" s="277"/>
      <c r="I547" s="277"/>
      <c r="J547" s="277"/>
      <c r="K547" s="277"/>
      <c r="L547" s="277"/>
      <c r="M547" s="277"/>
      <c r="N547" s="277"/>
      <c r="O547" s="277"/>
      <c r="P547" s="277"/>
      <c r="Q547" s="277"/>
      <c r="R547" s="277"/>
      <c r="S547" s="277"/>
      <c r="T547" s="294"/>
      <c r="U547" s="294"/>
      <c r="V547" s="294"/>
      <c r="W547" s="294"/>
      <c r="X547" s="294"/>
      <c r="Y547" s="294"/>
      <c r="Z547" s="294"/>
      <c r="AA547" s="294"/>
      <c r="AB547" s="294"/>
      <c r="AC547" s="277"/>
      <c r="AD547" s="277"/>
      <c r="AE547" s="277"/>
      <c r="AF547" s="277"/>
      <c r="AG547" s="277"/>
      <c r="AH547" s="277"/>
      <c r="AI547" s="277"/>
      <c r="AJ547" s="277"/>
      <c r="AK547" s="277"/>
      <c r="AL547" s="277"/>
      <c r="AM547" s="277"/>
      <c r="AN547" s="277"/>
      <c r="AO547" s="277"/>
      <c r="AP547" s="277"/>
      <c r="AQ547" s="277"/>
      <c r="AR547" s="277"/>
      <c r="AS547" s="277"/>
      <c r="AT547" s="277"/>
      <c r="AU547" s="277"/>
      <c r="AV547" s="277"/>
      <c r="AW547" s="277"/>
      <c r="AX547" s="277"/>
      <c r="AY547" s="277"/>
      <c r="AZ547" s="277"/>
      <c r="BA547" s="277"/>
      <c r="BB547" s="277"/>
    </row>
    <row r="548" spans="1:54" ht="12.75" customHeight="1" x14ac:dyDescent="0.25">
      <c r="A548" s="277"/>
      <c r="B548" s="277"/>
      <c r="C548" s="277"/>
      <c r="D548" s="277"/>
      <c r="E548" s="277"/>
      <c r="F548" s="277"/>
      <c r="G548" s="277"/>
      <c r="H548" s="277"/>
      <c r="I548" s="277"/>
      <c r="J548" s="277"/>
      <c r="K548" s="277"/>
      <c r="L548" s="277"/>
      <c r="M548" s="277"/>
      <c r="N548" s="277"/>
      <c r="O548" s="277"/>
      <c r="P548" s="277"/>
      <c r="Q548" s="277"/>
      <c r="R548" s="277"/>
      <c r="S548" s="277"/>
      <c r="T548" s="294"/>
      <c r="U548" s="294"/>
      <c r="V548" s="294"/>
      <c r="W548" s="294"/>
      <c r="X548" s="294"/>
      <c r="Y548" s="294"/>
      <c r="Z548" s="294"/>
      <c r="AA548" s="294"/>
      <c r="AB548" s="294"/>
      <c r="AC548" s="277"/>
      <c r="AD548" s="277"/>
      <c r="AE548" s="277"/>
      <c r="AF548" s="277"/>
      <c r="AG548" s="277"/>
      <c r="AH548" s="277"/>
      <c r="AI548" s="277"/>
      <c r="AJ548" s="277"/>
      <c r="AK548" s="277"/>
      <c r="AL548" s="277"/>
      <c r="AM548" s="277"/>
      <c r="AN548" s="277"/>
      <c r="AO548" s="277"/>
      <c r="AP548" s="277"/>
      <c r="AQ548" s="277"/>
      <c r="AR548" s="277"/>
      <c r="AS548" s="277"/>
      <c r="AT548" s="277"/>
      <c r="AU548" s="277"/>
      <c r="AV548" s="277"/>
      <c r="AW548" s="277"/>
      <c r="AX548" s="277"/>
      <c r="AY548" s="277"/>
      <c r="AZ548" s="277"/>
      <c r="BA548" s="277"/>
      <c r="BB548" s="277"/>
    </row>
    <row r="549" spans="1:54" ht="12.75" customHeight="1" x14ac:dyDescent="0.25">
      <c r="A549" s="277"/>
      <c r="B549" s="277"/>
      <c r="C549" s="277"/>
      <c r="D549" s="277"/>
      <c r="E549" s="277"/>
      <c r="F549" s="277"/>
      <c r="G549" s="277"/>
      <c r="H549" s="277"/>
      <c r="I549" s="277"/>
      <c r="J549" s="277"/>
      <c r="K549" s="277"/>
      <c r="L549" s="277"/>
      <c r="M549" s="277"/>
      <c r="N549" s="277"/>
      <c r="O549" s="277"/>
      <c r="P549" s="277"/>
      <c r="Q549" s="277"/>
      <c r="R549" s="277"/>
      <c r="S549" s="277"/>
      <c r="T549" s="294"/>
      <c r="U549" s="294"/>
      <c r="V549" s="294"/>
      <c r="W549" s="294"/>
      <c r="X549" s="294"/>
      <c r="Y549" s="294"/>
      <c r="Z549" s="294"/>
      <c r="AA549" s="294"/>
      <c r="AB549" s="294"/>
      <c r="AC549" s="277"/>
      <c r="AD549" s="277"/>
      <c r="AE549" s="277"/>
      <c r="AF549" s="277"/>
      <c r="AG549" s="277"/>
      <c r="AH549" s="277"/>
      <c r="AI549" s="277"/>
      <c r="AJ549" s="277"/>
      <c r="AK549" s="277"/>
      <c r="AL549" s="277"/>
      <c r="AM549" s="277"/>
      <c r="AN549" s="277"/>
      <c r="AO549" s="277"/>
      <c r="AP549" s="277"/>
      <c r="AQ549" s="277"/>
      <c r="AR549" s="277"/>
      <c r="AS549" s="277"/>
      <c r="AT549" s="277"/>
      <c r="AU549" s="277"/>
      <c r="AV549" s="277"/>
      <c r="AW549" s="277"/>
      <c r="AX549" s="277"/>
      <c r="AY549" s="277"/>
      <c r="AZ549" s="277"/>
      <c r="BA549" s="277"/>
      <c r="BB549" s="277"/>
    </row>
    <row r="550" spans="1:54" ht="12.75" customHeight="1" x14ac:dyDescent="0.25">
      <c r="A550" s="277"/>
      <c r="B550" s="277"/>
      <c r="C550" s="277"/>
      <c r="D550" s="277"/>
      <c r="E550" s="277"/>
      <c r="F550" s="277"/>
      <c r="G550" s="277"/>
      <c r="H550" s="277"/>
      <c r="I550" s="277"/>
      <c r="J550" s="277"/>
      <c r="K550" s="277"/>
      <c r="L550" s="277"/>
      <c r="M550" s="277"/>
      <c r="N550" s="277"/>
      <c r="O550" s="277"/>
      <c r="P550" s="277"/>
      <c r="Q550" s="277"/>
      <c r="R550" s="277"/>
      <c r="S550" s="277"/>
      <c r="T550" s="294"/>
      <c r="U550" s="294"/>
      <c r="V550" s="294"/>
      <c r="W550" s="294"/>
      <c r="X550" s="294"/>
      <c r="Y550" s="294"/>
      <c r="Z550" s="294"/>
      <c r="AA550" s="294"/>
      <c r="AB550" s="294"/>
      <c r="AC550" s="277"/>
      <c r="AD550" s="277"/>
      <c r="AE550" s="277"/>
      <c r="AF550" s="277"/>
      <c r="AG550" s="277"/>
      <c r="AH550" s="277"/>
      <c r="AI550" s="277"/>
      <c r="AJ550" s="277"/>
      <c r="AK550" s="277"/>
      <c r="AL550" s="277"/>
      <c r="AM550" s="277"/>
      <c r="AN550" s="277"/>
      <c r="AO550" s="277"/>
      <c r="AP550" s="277"/>
      <c r="AQ550" s="277"/>
      <c r="AR550" s="277"/>
      <c r="AS550" s="277"/>
      <c r="AT550" s="277"/>
      <c r="AU550" s="277"/>
      <c r="AV550" s="277"/>
      <c r="AW550" s="277"/>
      <c r="AX550" s="277"/>
      <c r="AY550" s="277"/>
      <c r="AZ550" s="277"/>
      <c r="BA550" s="277"/>
      <c r="BB550" s="277"/>
    </row>
    <row r="551" spans="1:54" ht="12.75" customHeight="1" x14ac:dyDescent="0.25">
      <c r="A551" s="277"/>
      <c r="B551" s="277"/>
      <c r="C551" s="277"/>
      <c r="D551" s="277"/>
      <c r="E551" s="277"/>
      <c r="F551" s="277"/>
      <c r="G551" s="277"/>
      <c r="H551" s="277"/>
      <c r="I551" s="277"/>
      <c r="J551" s="277"/>
      <c r="K551" s="277"/>
      <c r="L551" s="277"/>
      <c r="M551" s="277"/>
      <c r="N551" s="277"/>
      <c r="O551" s="277"/>
      <c r="P551" s="277"/>
      <c r="Q551" s="277"/>
      <c r="R551" s="277"/>
      <c r="S551" s="277"/>
      <c r="T551" s="294"/>
      <c r="U551" s="294"/>
      <c r="V551" s="294"/>
      <c r="W551" s="294"/>
      <c r="X551" s="294"/>
      <c r="Y551" s="294"/>
      <c r="Z551" s="294"/>
      <c r="AA551" s="294"/>
      <c r="AB551" s="294"/>
      <c r="AC551" s="277"/>
      <c r="AD551" s="277"/>
      <c r="AE551" s="277"/>
      <c r="AF551" s="277"/>
      <c r="AG551" s="277"/>
      <c r="AH551" s="277"/>
      <c r="AI551" s="277"/>
      <c r="AJ551" s="277"/>
      <c r="AK551" s="277"/>
      <c r="AL551" s="277"/>
      <c r="AM551" s="277"/>
      <c r="AN551" s="277"/>
      <c r="AO551" s="277"/>
      <c r="AP551" s="277"/>
      <c r="AQ551" s="277"/>
      <c r="AR551" s="277"/>
      <c r="AS551" s="277"/>
      <c r="AT551" s="277"/>
      <c r="AU551" s="277"/>
      <c r="AV551" s="277"/>
      <c r="AW551" s="277"/>
      <c r="AX551" s="277"/>
      <c r="AY551" s="277"/>
      <c r="AZ551" s="277"/>
      <c r="BA551" s="277"/>
      <c r="BB551" s="277"/>
    </row>
    <row r="552" spans="1:54" ht="12.75" customHeight="1" x14ac:dyDescent="0.25">
      <c r="A552" s="277"/>
      <c r="B552" s="277"/>
      <c r="C552" s="277"/>
      <c r="D552" s="277"/>
      <c r="E552" s="277"/>
      <c r="F552" s="277"/>
      <c r="G552" s="277"/>
      <c r="H552" s="277"/>
      <c r="I552" s="277"/>
      <c r="J552" s="277"/>
      <c r="K552" s="277"/>
      <c r="L552" s="277"/>
      <c r="M552" s="277"/>
      <c r="N552" s="277"/>
      <c r="O552" s="277"/>
      <c r="P552" s="277"/>
      <c r="Q552" s="277"/>
      <c r="R552" s="277"/>
      <c r="S552" s="277"/>
      <c r="T552" s="294"/>
      <c r="U552" s="294"/>
      <c r="V552" s="294"/>
      <c r="W552" s="294"/>
      <c r="X552" s="294"/>
      <c r="Y552" s="294"/>
      <c r="Z552" s="294"/>
      <c r="AA552" s="294"/>
      <c r="AB552" s="294"/>
      <c r="AC552" s="277"/>
      <c r="AD552" s="277"/>
      <c r="AE552" s="277"/>
      <c r="AF552" s="277"/>
      <c r="AG552" s="277"/>
      <c r="AH552" s="277"/>
      <c r="AI552" s="277"/>
      <c r="AJ552" s="277"/>
      <c r="AK552" s="277"/>
      <c r="AL552" s="277"/>
      <c r="AM552" s="277"/>
      <c r="AN552" s="277"/>
      <c r="AO552" s="277"/>
      <c r="AP552" s="277"/>
      <c r="AQ552" s="277"/>
      <c r="AR552" s="277"/>
      <c r="AS552" s="277"/>
      <c r="AT552" s="277"/>
      <c r="AU552" s="277"/>
      <c r="AV552" s="277"/>
      <c r="AW552" s="277"/>
      <c r="AX552" s="277"/>
      <c r="AY552" s="277"/>
      <c r="AZ552" s="277"/>
      <c r="BA552" s="277"/>
      <c r="BB552" s="277"/>
    </row>
    <row r="553" spans="1:54" ht="12.75" customHeight="1" x14ac:dyDescent="0.25">
      <c r="A553" s="277"/>
      <c r="B553" s="277"/>
      <c r="C553" s="277"/>
      <c r="D553" s="277"/>
      <c r="E553" s="277"/>
      <c r="F553" s="277"/>
      <c r="G553" s="277"/>
      <c r="H553" s="277"/>
      <c r="I553" s="277"/>
      <c r="J553" s="277"/>
      <c r="K553" s="277"/>
      <c r="L553" s="277"/>
      <c r="M553" s="277"/>
      <c r="N553" s="277"/>
      <c r="O553" s="277"/>
      <c r="P553" s="277"/>
      <c r="Q553" s="277"/>
      <c r="R553" s="277"/>
      <c r="S553" s="277"/>
      <c r="T553" s="294"/>
      <c r="U553" s="294"/>
      <c r="V553" s="294"/>
      <c r="W553" s="294"/>
      <c r="X553" s="294"/>
      <c r="Y553" s="294"/>
      <c r="Z553" s="294"/>
      <c r="AA553" s="294"/>
      <c r="AB553" s="294"/>
      <c r="AC553" s="277"/>
      <c r="AD553" s="277"/>
      <c r="AE553" s="277"/>
      <c r="AF553" s="277"/>
      <c r="AG553" s="277"/>
      <c r="AH553" s="277"/>
      <c r="AI553" s="277"/>
      <c r="AJ553" s="277"/>
      <c r="AK553" s="277"/>
      <c r="AL553" s="277"/>
      <c r="AM553" s="277"/>
      <c r="AN553" s="277"/>
      <c r="AO553" s="277"/>
      <c r="AP553" s="277"/>
      <c r="AQ553" s="277"/>
      <c r="AR553" s="277"/>
      <c r="AS553" s="277"/>
      <c r="AT553" s="277"/>
      <c r="AU553" s="277"/>
      <c r="AV553" s="277"/>
      <c r="AW553" s="277"/>
      <c r="AX553" s="277"/>
      <c r="AY553" s="277"/>
      <c r="AZ553" s="277"/>
      <c r="BA553" s="277"/>
      <c r="BB553" s="277"/>
    </row>
    <row r="554" spans="1:54" ht="12.75" customHeight="1" x14ac:dyDescent="0.25">
      <c r="A554" s="277"/>
      <c r="B554" s="277"/>
      <c r="C554" s="277"/>
      <c r="D554" s="277"/>
      <c r="E554" s="277"/>
      <c r="F554" s="277"/>
      <c r="G554" s="277"/>
      <c r="H554" s="277"/>
      <c r="I554" s="277"/>
      <c r="J554" s="277"/>
      <c r="K554" s="277"/>
      <c r="L554" s="277"/>
      <c r="M554" s="277"/>
      <c r="N554" s="277"/>
      <c r="O554" s="277"/>
      <c r="P554" s="277"/>
      <c r="Q554" s="277"/>
      <c r="R554" s="277"/>
      <c r="S554" s="277"/>
      <c r="T554" s="294"/>
      <c r="U554" s="294"/>
      <c r="V554" s="294"/>
      <c r="W554" s="294"/>
      <c r="X554" s="294"/>
      <c r="Y554" s="294"/>
      <c r="Z554" s="294"/>
      <c r="AA554" s="294"/>
      <c r="AB554" s="294"/>
      <c r="AC554" s="277"/>
      <c r="AD554" s="277"/>
      <c r="AE554" s="277"/>
      <c r="AF554" s="277"/>
      <c r="AG554" s="277"/>
      <c r="AH554" s="277"/>
      <c r="AI554" s="277"/>
      <c r="AJ554" s="277"/>
      <c r="AK554" s="277"/>
      <c r="AL554" s="277"/>
      <c r="AM554" s="277"/>
      <c r="AN554" s="277"/>
      <c r="AO554" s="277"/>
      <c r="AP554" s="277"/>
      <c r="AQ554" s="277"/>
      <c r="AR554" s="277"/>
      <c r="AS554" s="277"/>
      <c r="AT554" s="277"/>
      <c r="AU554" s="277"/>
      <c r="AV554" s="277"/>
      <c r="AW554" s="277"/>
      <c r="AX554" s="277"/>
      <c r="AY554" s="277"/>
      <c r="AZ554" s="277"/>
      <c r="BA554" s="277"/>
      <c r="BB554" s="277"/>
    </row>
    <row r="555" spans="1:54" ht="12.75" customHeight="1" x14ac:dyDescent="0.25">
      <c r="A555" s="277"/>
      <c r="B555" s="277"/>
      <c r="C555" s="277"/>
      <c r="D555" s="277"/>
      <c r="E555" s="277"/>
      <c r="F555" s="277"/>
      <c r="G555" s="277"/>
      <c r="H555" s="277"/>
      <c r="I555" s="277"/>
      <c r="J555" s="277"/>
      <c r="K555" s="277"/>
      <c r="L555" s="277"/>
      <c r="M555" s="277"/>
      <c r="N555" s="277"/>
      <c r="O555" s="277"/>
      <c r="P555" s="277"/>
      <c r="Q555" s="277"/>
      <c r="R555" s="277"/>
      <c r="S555" s="277"/>
      <c r="T555" s="294"/>
      <c r="U555" s="294"/>
      <c r="V555" s="294"/>
      <c r="W555" s="294"/>
      <c r="X555" s="294"/>
      <c r="Y555" s="294"/>
      <c r="Z555" s="294"/>
      <c r="AA555" s="294"/>
      <c r="AB555" s="294"/>
      <c r="AC555" s="277"/>
      <c r="AD555" s="277"/>
      <c r="AE555" s="277"/>
      <c r="AF555" s="277"/>
      <c r="AG555" s="277"/>
      <c r="AH555" s="277"/>
      <c r="AI555" s="277"/>
      <c r="AJ555" s="277"/>
      <c r="AK555" s="277"/>
      <c r="AL555" s="277"/>
      <c r="AM555" s="277"/>
      <c r="AN555" s="277"/>
      <c r="AO555" s="277"/>
      <c r="AP555" s="277"/>
      <c r="AQ555" s="277"/>
      <c r="AR555" s="277"/>
      <c r="AS555" s="277"/>
      <c r="AT555" s="277"/>
      <c r="AU555" s="277"/>
      <c r="AV555" s="277"/>
      <c r="AW555" s="277"/>
      <c r="AX555" s="277"/>
      <c r="AY555" s="277"/>
      <c r="AZ555" s="277"/>
      <c r="BA555" s="277"/>
      <c r="BB555" s="277"/>
    </row>
    <row r="556" spans="1:54" ht="12.75" customHeight="1" x14ac:dyDescent="0.25">
      <c r="A556" s="277"/>
      <c r="B556" s="277"/>
      <c r="C556" s="277"/>
      <c r="D556" s="277"/>
      <c r="E556" s="277"/>
      <c r="F556" s="277"/>
      <c r="G556" s="277"/>
      <c r="H556" s="277"/>
      <c r="I556" s="277"/>
      <c r="J556" s="277"/>
      <c r="K556" s="277"/>
      <c r="L556" s="277"/>
      <c r="M556" s="277"/>
      <c r="N556" s="277"/>
      <c r="O556" s="277"/>
      <c r="P556" s="277"/>
      <c r="Q556" s="277"/>
      <c r="R556" s="277"/>
      <c r="S556" s="277"/>
      <c r="T556" s="294"/>
      <c r="U556" s="294"/>
      <c r="V556" s="294"/>
      <c r="W556" s="294"/>
      <c r="X556" s="294"/>
      <c r="Y556" s="294"/>
      <c r="Z556" s="294"/>
      <c r="AA556" s="294"/>
      <c r="AB556" s="294"/>
      <c r="AC556" s="277"/>
      <c r="AD556" s="277"/>
      <c r="AE556" s="277"/>
      <c r="AF556" s="277"/>
      <c r="AG556" s="277"/>
      <c r="AH556" s="277"/>
      <c r="AI556" s="277"/>
      <c r="AJ556" s="277"/>
      <c r="AK556" s="277"/>
      <c r="AL556" s="277"/>
      <c r="AM556" s="277"/>
      <c r="AN556" s="277"/>
      <c r="AO556" s="277"/>
      <c r="AP556" s="277"/>
      <c r="AQ556" s="277"/>
      <c r="AR556" s="277"/>
      <c r="AS556" s="277"/>
      <c r="AT556" s="277"/>
      <c r="AU556" s="277"/>
      <c r="AV556" s="277"/>
      <c r="AW556" s="277"/>
      <c r="AX556" s="277"/>
      <c r="AY556" s="277"/>
      <c r="AZ556" s="277"/>
      <c r="BA556" s="277"/>
      <c r="BB556" s="277"/>
    </row>
    <row r="557" spans="1:54" ht="12.75" customHeight="1" x14ac:dyDescent="0.25">
      <c r="A557" s="277"/>
      <c r="B557" s="277"/>
      <c r="C557" s="277"/>
      <c r="D557" s="277"/>
      <c r="E557" s="277"/>
      <c r="F557" s="277"/>
      <c r="G557" s="277"/>
      <c r="H557" s="277"/>
      <c r="I557" s="277"/>
      <c r="J557" s="277"/>
      <c r="K557" s="277"/>
      <c r="L557" s="277"/>
      <c r="M557" s="277"/>
      <c r="N557" s="277"/>
      <c r="O557" s="277"/>
      <c r="P557" s="277"/>
      <c r="Q557" s="277"/>
      <c r="R557" s="277"/>
      <c r="S557" s="277"/>
      <c r="T557" s="294"/>
      <c r="U557" s="294"/>
      <c r="V557" s="294"/>
      <c r="W557" s="294"/>
      <c r="X557" s="294"/>
      <c r="Y557" s="294"/>
      <c r="Z557" s="294"/>
      <c r="AA557" s="294"/>
      <c r="AB557" s="294"/>
      <c r="AC557" s="277"/>
      <c r="AD557" s="277"/>
      <c r="AE557" s="277"/>
      <c r="AF557" s="277"/>
      <c r="AG557" s="277"/>
      <c r="AH557" s="277"/>
      <c r="AI557" s="277"/>
      <c r="AJ557" s="277"/>
      <c r="AK557" s="277"/>
      <c r="AL557" s="277"/>
      <c r="AM557" s="277"/>
      <c r="AN557" s="277"/>
      <c r="AO557" s="277"/>
      <c r="AP557" s="277"/>
      <c r="AQ557" s="277"/>
      <c r="AR557" s="277"/>
      <c r="AS557" s="277"/>
      <c r="AT557" s="277"/>
      <c r="AU557" s="277"/>
      <c r="AV557" s="277"/>
      <c r="AW557" s="277"/>
      <c r="AX557" s="277"/>
      <c r="AY557" s="277"/>
      <c r="AZ557" s="277"/>
      <c r="BA557" s="277"/>
      <c r="BB557" s="277"/>
    </row>
    <row r="558" spans="1:54" ht="12.75" customHeight="1" x14ac:dyDescent="0.25">
      <c r="A558" s="277"/>
      <c r="B558" s="277"/>
      <c r="C558" s="277"/>
      <c r="D558" s="277"/>
      <c r="E558" s="277"/>
      <c r="F558" s="277"/>
      <c r="G558" s="277"/>
      <c r="H558" s="277"/>
      <c r="I558" s="277"/>
      <c r="J558" s="277"/>
      <c r="K558" s="277"/>
      <c r="L558" s="277"/>
      <c r="M558" s="277"/>
      <c r="N558" s="277"/>
      <c r="O558" s="277"/>
      <c r="P558" s="277"/>
      <c r="Q558" s="277"/>
      <c r="R558" s="277"/>
      <c r="S558" s="277"/>
      <c r="T558" s="294"/>
      <c r="U558" s="294"/>
      <c r="V558" s="294"/>
      <c r="W558" s="294"/>
      <c r="X558" s="294"/>
      <c r="Y558" s="294"/>
      <c r="Z558" s="294"/>
      <c r="AA558" s="294"/>
      <c r="AB558" s="294"/>
      <c r="AC558" s="277"/>
      <c r="AD558" s="277"/>
      <c r="AE558" s="277"/>
      <c r="AF558" s="277"/>
      <c r="AG558" s="277"/>
      <c r="AH558" s="277"/>
      <c r="AI558" s="277"/>
      <c r="AJ558" s="277"/>
      <c r="AK558" s="277"/>
      <c r="AL558" s="277"/>
      <c r="AM558" s="277"/>
      <c r="AN558" s="277"/>
      <c r="AO558" s="277"/>
      <c r="AP558" s="277"/>
      <c r="AQ558" s="277"/>
      <c r="AR558" s="277"/>
      <c r="AS558" s="277"/>
      <c r="AT558" s="277"/>
      <c r="AU558" s="277"/>
      <c r="AV558" s="277"/>
      <c r="AW558" s="277"/>
      <c r="AX558" s="277"/>
      <c r="AY558" s="277"/>
      <c r="AZ558" s="277"/>
      <c r="BA558" s="277"/>
      <c r="BB558" s="277"/>
    </row>
    <row r="559" spans="1:54" ht="12.75" customHeight="1" x14ac:dyDescent="0.25">
      <c r="A559" s="277"/>
      <c r="B559" s="277"/>
      <c r="C559" s="277"/>
      <c r="D559" s="277"/>
      <c r="E559" s="277"/>
      <c r="F559" s="277"/>
      <c r="G559" s="277"/>
      <c r="H559" s="277"/>
      <c r="I559" s="277"/>
      <c r="J559" s="277"/>
      <c r="K559" s="277"/>
      <c r="L559" s="277"/>
      <c r="M559" s="277"/>
      <c r="N559" s="277"/>
      <c r="O559" s="277"/>
      <c r="P559" s="277"/>
      <c r="Q559" s="277"/>
      <c r="R559" s="277"/>
      <c r="S559" s="277"/>
      <c r="T559" s="294"/>
      <c r="U559" s="294"/>
      <c r="V559" s="294"/>
      <c r="W559" s="294"/>
      <c r="X559" s="294"/>
      <c r="Y559" s="294"/>
      <c r="Z559" s="294"/>
      <c r="AA559" s="294"/>
      <c r="AB559" s="294"/>
      <c r="AC559" s="277"/>
      <c r="AD559" s="277"/>
      <c r="AE559" s="277"/>
      <c r="AF559" s="277"/>
      <c r="AG559" s="277"/>
      <c r="AH559" s="277"/>
      <c r="AI559" s="277"/>
      <c r="AJ559" s="277"/>
      <c r="AK559" s="277"/>
      <c r="AL559" s="277"/>
      <c r="AM559" s="277"/>
      <c r="AN559" s="277"/>
      <c r="AO559" s="277"/>
      <c r="AP559" s="277"/>
      <c r="AQ559" s="277"/>
      <c r="AR559" s="277"/>
      <c r="AS559" s="277"/>
      <c r="AT559" s="277"/>
      <c r="AU559" s="277"/>
      <c r="AV559" s="277"/>
      <c r="AW559" s="277"/>
      <c r="AX559" s="277"/>
      <c r="AY559" s="277"/>
      <c r="AZ559" s="277"/>
      <c r="BA559" s="277"/>
      <c r="BB559" s="277"/>
    </row>
    <row r="560" spans="1:54" ht="12.75" customHeight="1" x14ac:dyDescent="0.25">
      <c r="A560" s="277"/>
      <c r="B560" s="277"/>
      <c r="C560" s="277"/>
      <c r="D560" s="277"/>
      <c r="E560" s="277"/>
      <c r="F560" s="277"/>
      <c r="G560" s="277"/>
      <c r="H560" s="277"/>
      <c r="I560" s="277"/>
      <c r="J560" s="277"/>
      <c r="K560" s="277"/>
      <c r="L560" s="277"/>
      <c r="M560" s="277"/>
      <c r="N560" s="277"/>
      <c r="O560" s="277"/>
      <c r="P560" s="277"/>
      <c r="Q560" s="277"/>
      <c r="R560" s="277"/>
      <c r="S560" s="277"/>
      <c r="T560" s="294"/>
      <c r="U560" s="294"/>
      <c r="V560" s="294"/>
      <c r="W560" s="294"/>
      <c r="X560" s="294"/>
      <c r="Y560" s="294"/>
      <c r="Z560" s="294"/>
      <c r="AA560" s="294"/>
      <c r="AB560" s="294"/>
      <c r="AC560" s="277"/>
      <c r="AD560" s="277"/>
      <c r="AE560" s="277"/>
      <c r="AF560" s="277"/>
      <c r="AG560" s="277"/>
      <c r="AH560" s="277"/>
      <c r="AI560" s="277"/>
      <c r="AJ560" s="277"/>
      <c r="AK560" s="277"/>
      <c r="AL560" s="277"/>
      <c r="AM560" s="277"/>
      <c r="AN560" s="277"/>
      <c r="AO560" s="277"/>
      <c r="AP560" s="277"/>
      <c r="AQ560" s="277"/>
      <c r="AR560" s="277"/>
      <c r="AS560" s="277"/>
      <c r="AT560" s="277"/>
      <c r="AU560" s="277"/>
      <c r="AV560" s="277"/>
      <c r="AW560" s="277"/>
      <c r="AX560" s="277"/>
      <c r="AY560" s="277"/>
      <c r="AZ560" s="277"/>
      <c r="BA560" s="277"/>
      <c r="BB560" s="277"/>
    </row>
    <row r="561" spans="1:54" ht="12.75" customHeight="1" x14ac:dyDescent="0.25">
      <c r="A561" s="277"/>
      <c r="B561" s="277"/>
      <c r="C561" s="277"/>
      <c r="D561" s="277"/>
      <c r="E561" s="277"/>
      <c r="F561" s="277"/>
      <c r="G561" s="277"/>
      <c r="H561" s="277"/>
      <c r="I561" s="277"/>
      <c r="J561" s="277"/>
      <c r="K561" s="277"/>
      <c r="L561" s="277"/>
      <c r="M561" s="277"/>
      <c r="N561" s="277"/>
      <c r="O561" s="277"/>
      <c r="P561" s="277"/>
      <c r="Q561" s="277"/>
      <c r="R561" s="277"/>
      <c r="S561" s="277"/>
      <c r="T561" s="294"/>
      <c r="U561" s="294"/>
      <c r="V561" s="294"/>
      <c r="W561" s="294"/>
      <c r="X561" s="294"/>
      <c r="Y561" s="294"/>
      <c r="Z561" s="294"/>
      <c r="AA561" s="294"/>
      <c r="AB561" s="294"/>
      <c r="AC561" s="277"/>
      <c r="AD561" s="277"/>
      <c r="AE561" s="277"/>
      <c r="AF561" s="277"/>
      <c r="AG561" s="277"/>
      <c r="AH561" s="277"/>
      <c r="AI561" s="277"/>
      <c r="AJ561" s="277"/>
      <c r="AK561" s="277"/>
      <c r="AL561" s="277"/>
      <c r="AM561" s="277"/>
      <c r="AN561" s="277"/>
      <c r="AO561" s="277"/>
      <c r="AP561" s="277"/>
      <c r="AQ561" s="277"/>
      <c r="AR561" s="277"/>
      <c r="AS561" s="277"/>
      <c r="AT561" s="277"/>
      <c r="AU561" s="277"/>
      <c r="AV561" s="277"/>
      <c r="AW561" s="277"/>
      <c r="AX561" s="277"/>
      <c r="AY561" s="277"/>
      <c r="AZ561" s="277"/>
      <c r="BA561" s="277"/>
      <c r="BB561" s="277"/>
    </row>
    <row r="562" spans="1:54" ht="12.75" customHeight="1" x14ac:dyDescent="0.25">
      <c r="A562" s="277"/>
      <c r="B562" s="277"/>
      <c r="C562" s="277"/>
      <c r="D562" s="277"/>
      <c r="E562" s="277"/>
      <c r="F562" s="277"/>
      <c r="G562" s="277"/>
      <c r="H562" s="277"/>
      <c r="I562" s="277"/>
      <c r="J562" s="277"/>
      <c r="K562" s="277"/>
      <c r="L562" s="277"/>
      <c r="M562" s="277"/>
      <c r="N562" s="277"/>
      <c r="O562" s="277"/>
      <c r="P562" s="277"/>
      <c r="Q562" s="277"/>
      <c r="R562" s="277"/>
      <c r="S562" s="277"/>
      <c r="T562" s="294"/>
      <c r="U562" s="294"/>
      <c r="V562" s="294"/>
      <c r="W562" s="294"/>
      <c r="X562" s="294"/>
      <c r="Y562" s="294"/>
      <c r="Z562" s="294"/>
      <c r="AA562" s="294"/>
      <c r="AB562" s="294"/>
      <c r="AC562" s="277"/>
      <c r="AD562" s="277"/>
      <c r="AE562" s="277"/>
      <c r="AF562" s="277"/>
      <c r="AG562" s="277"/>
      <c r="AH562" s="277"/>
      <c r="AI562" s="277"/>
      <c r="AJ562" s="277"/>
      <c r="AK562" s="277"/>
      <c r="AL562" s="277"/>
      <c r="AM562" s="277"/>
      <c r="AN562" s="277"/>
      <c r="AO562" s="277"/>
      <c r="AP562" s="277"/>
      <c r="AQ562" s="277"/>
      <c r="AR562" s="277"/>
      <c r="AS562" s="277"/>
      <c r="AT562" s="277"/>
      <c r="AU562" s="277"/>
      <c r="AV562" s="277"/>
      <c r="AW562" s="277"/>
      <c r="AX562" s="277"/>
      <c r="AY562" s="277"/>
      <c r="AZ562" s="277"/>
      <c r="BA562" s="277"/>
      <c r="BB562" s="277"/>
    </row>
    <row r="563" spans="1:54" ht="12.75" customHeight="1" x14ac:dyDescent="0.25">
      <c r="A563" s="277"/>
      <c r="B563" s="277"/>
      <c r="C563" s="277"/>
      <c r="D563" s="277"/>
      <c r="E563" s="277"/>
      <c r="F563" s="277"/>
      <c r="G563" s="277"/>
      <c r="H563" s="277"/>
      <c r="I563" s="277"/>
      <c r="J563" s="277"/>
      <c r="K563" s="277"/>
      <c r="L563" s="277"/>
      <c r="M563" s="277"/>
      <c r="N563" s="277"/>
      <c r="O563" s="277"/>
      <c r="P563" s="277"/>
      <c r="Q563" s="277"/>
      <c r="R563" s="277"/>
      <c r="S563" s="277"/>
      <c r="T563" s="294"/>
      <c r="U563" s="294"/>
      <c r="V563" s="294"/>
      <c r="W563" s="294"/>
      <c r="X563" s="294"/>
      <c r="Y563" s="294"/>
      <c r="Z563" s="294"/>
      <c r="AA563" s="294"/>
      <c r="AB563" s="294"/>
      <c r="AC563" s="277"/>
      <c r="AD563" s="277"/>
      <c r="AE563" s="277"/>
      <c r="AF563" s="277"/>
      <c r="AG563" s="277"/>
      <c r="AH563" s="277"/>
      <c r="AI563" s="277"/>
      <c r="AJ563" s="277"/>
      <c r="AK563" s="277"/>
      <c r="AL563" s="277"/>
      <c r="AM563" s="277"/>
      <c r="AN563" s="277"/>
      <c r="AO563" s="277"/>
      <c r="AP563" s="277"/>
      <c r="AQ563" s="277"/>
      <c r="AR563" s="277"/>
      <c r="AS563" s="277"/>
      <c r="AT563" s="277"/>
      <c r="AU563" s="277"/>
      <c r="AV563" s="277"/>
      <c r="AW563" s="277"/>
      <c r="AX563" s="277"/>
      <c r="AY563" s="277"/>
      <c r="AZ563" s="277"/>
      <c r="BA563" s="277"/>
      <c r="BB563" s="277"/>
    </row>
    <row r="564" spans="1:54" ht="12.75" customHeight="1" x14ac:dyDescent="0.25">
      <c r="A564" s="277"/>
      <c r="B564" s="277"/>
      <c r="C564" s="277"/>
      <c r="D564" s="277"/>
      <c r="E564" s="277"/>
      <c r="F564" s="277"/>
      <c r="G564" s="277"/>
      <c r="H564" s="277"/>
      <c r="I564" s="277"/>
      <c r="J564" s="277"/>
      <c r="K564" s="277"/>
      <c r="L564" s="277"/>
      <c r="M564" s="277"/>
      <c r="N564" s="277"/>
      <c r="O564" s="277"/>
      <c r="P564" s="277"/>
      <c r="Q564" s="277"/>
      <c r="R564" s="277"/>
      <c r="S564" s="277"/>
      <c r="T564" s="294"/>
      <c r="U564" s="294"/>
      <c r="V564" s="294"/>
      <c r="W564" s="294"/>
      <c r="X564" s="294"/>
      <c r="Y564" s="294"/>
      <c r="Z564" s="294"/>
      <c r="AA564" s="294"/>
      <c r="AB564" s="294"/>
      <c r="AC564" s="277"/>
      <c r="AD564" s="277"/>
      <c r="AE564" s="277"/>
      <c r="AF564" s="277"/>
      <c r="AG564" s="277"/>
      <c r="AH564" s="277"/>
      <c r="AI564" s="277"/>
      <c r="AJ564" s="277"/>
      <c r="AK564" s="277"/>
      <c r="AL564" s="277"/>
      <c r="AM564" s="277"/>
      <c r="AN564" s="277"/>
      <c r="AO564" s="277"/>
      <c r="AP564" s="277"/>
      <c r="AQ564" s="277"/>
      <c r="AR564" s="277"/>
      <c r="AS564" s="277"/>
      <c r="AT564" s="277"/>
      <c r="AU564" s="277"/>
      <c r="AV564" s="277"/>
      <c r="AW564" s="277"/>
      <c r="AX564" s="277"/>
      <c r="AY564" s="277"/>
      <c r="AZ564" s="277"/>
      <c r="BA564" s="277"/>
      <c r="BB564" s="277"/>
    </row>
    <row r="565" spans="1:54" ht="12.75" customHeight="1" x14ac:dyDescent="0.25">
      <c r="A565" s="277"/>
      <c r="B565" s="277"/>
      <c r="C565" s="277"/>
      <c r="D565" s="277"/>
      <c r="E565" s="277"/>
      <c r="F565" s="277"/>
      <c r="G565" s="277"/>
      <c r="H565" s="277"/>
      <c r="I565" s="277"/>
      <c r="J565" s="277"/>
      <c r="K565" s="277"/>
      <c r="L565" s="277"/>
      <c r="M565" s="277"/>
      <c r="N565" s="277"/>
      <c r="O565" s="277"/>
      <c r="P565" s="277"/>
      <c r="Q565" s="277"/>
      <c r="R565" s="277"/>
      <c r="S565" s="277"/>
      <c r="T565" s="294"/>
      <c r="U565" s="294"/>
      <c r="V565" s="294"/>
      <c r="W565" s="294"/>
      <c r="X565" s="294"/>
      <c r="Y565" s="294"/>
      <c r="Z565" s="294"/>
      <c r="AA565" s="294"/>
      <c r="AB565" s="294"/>
      <c r="AC565" s="277"/>
      <c r="AD565" s="277"/>
      <c r="AE565" s="277"/>
      <c r="AF565" s="277"/>
      <c r="AG565" s="277"/>
      <c r="AH565" s="277"/>
      <c r="AI565" s="277"/>
      <c r="AJ565" s="277"/>
      <c r="AK565" s="277"/>
      <c r="AL565" s="277"/>
      <c r="AM565" s="277"/>
      <c r="AN565" s="277"/>
      <c r="AO565" s="277"/>
      <c r="AP565" s="277"/>
      <c r="AQ565" s="277"/>
      <c r="AR565" s="277"/>
      <c r="AS565" s="277"/>
      <c r="AT565" s="277"/>
      <c r="AU565" s="277"/>
      <c r="AV565" s="277"/>
      <c r="AW565" s="277"/>
      <c r="AX565" s="277"/>
      <c r="AY565" s="277"/>
      <c r="AZ565" s="277"/>
      <c r="BA565" s="277"/>
      <c r="BB565" s="277"/>
    </row>
    <row r="566" spans="1:54" ht="12.75" customHeight="1" x14ac:dyDescent="0.25">
      <c r="A566" s="277"/>
      <c r="B566" s="277"/>
      <c r="C566" s="277"/>
      <c r="D566" s="277"/>
      <c r="E566" s="277"/>
      <c r="F566" s="277"/>
      <c r="G566" s="277"/>
      <c r="H566" s="277"/>
      <c r="I566" s="277"/>
      <c r="J566" s="277"/>
      <c r="K566" s="277"/>
      <c r="L566" s="277"/>
      <c r="M566" s="277"/>
      <c r="N566" s="277"/>
      <c r="O566" s="277"/>
      <c r="P566" s="277"/>
      <c r="Q566" s="277"/>
      <c r="R566" s="277"/>
      <c r="S566" s="277"/>
      <c r="T566" s="294"/>
      <c r="U566" s="294"/>
      <c r="V566" s="294"/>
      <c r="W566" s="294"/>
      <c r="X566" s="294"/>
      <c r="Y566" s="294"/>
      <c r="Z566" s="294"/>
      <c r="AA566" s="294"/>
      <c r="AB566" s="294"/>
      <c r="AC566" s="277"/>
      <c r="AD566" s="277"/>
      <c r="AE566" s="277"/>
      <c r="AF566" s="277"/>
      <c r="AG566" s="277"/>
      <c r="AH566" s="277"/>
      <c r="AI566" s="277"/>
      <c r="AJ566" s="277"/>
      <c r="AK566" s="277"/>
      <c r="AL566" s="277"/>
      <c r="AM566" s="277"/>
      <c r="AN566" s="277"/>
      <c r="AO566" s="277"/>
      <c r="AP566" s="277"/>
      <c r="AQ566" s="277"/>
      <c r="AR566" s="277"/>
      <c r="AS566" s="277"/>
      <c r="AT566" s="277"/>
      <c r="AU566" s="277"/>
      <c r="AV566" s="277"/>
      <c r="AW566" s="277"/>
      <c r="AX566" s="277"/>
      <c r="AY566" s="277"/>
      <c r="AZ566" s="277"/>
      <c r="BA566" s="277"/>
      <c r="BB566" s="277"/>
    </row>
    <row r="567" spans="1:54" ht="12.75" customHeight="1" x14ac:dyDescent="0.25">
      <c r="A567" s="277"/>
      <c r="B567" s="277"/>
      <c r="C567" s="277"/>
      <c r="D567" s="277"/>
      <c r="E567" s="277"/>
      <c r="F567" s="277"/>
      <c r="G567" s="277"/>
      <c r="H567" s="277"/>
      <c r="I567" s="277"/>
      <c r="J567" s="277"/>
      <c r="K567" s="277"/>
      <c r="L567" s="277"/>
      <c r="M567" s="277"/>
      <c r="N567" s="277"/>
      <c r="O567" s="277"/>
      <c r="P567" s="277"/>
      <c r="Q567" s="277"/>
      <c r="R567" s="277"/>
      <c r="S567" s="277"/>
      <c r="T567" s="294"/>
      <c r="U567" s="294"/>
      <c r="V567" s="294"/>
      <c r="W567" s="294"/>
      <c r="X567" s="294"/>
      <c r="Y567" s="294"/>
      <c r="Z567" s="294"/>
      <c r="AA567" s="294"/>
      <c r="AB567" s="294"/>
      <c r="AC567" s="277"/>
      <c r="AD567" s="277"/>
      <c r="AE567" s="277"/>
      <c r="AF567" s="277"/>
      <c r="AG567" s="277"/>
      <c r="AH567" s="277"/>
      <c r="AI567" s="277"/>
      <c r="AJ567" s="277"/>
      <c r="AK567" s="277"/>
      <c r="AL567" s="277"/>
      <c r="AM567" s="277"/>
      <c r="AN567" s="277"/>
      <c r="AO567" s="277"/>
      <c r="AP567" s="277"/>
      <c r="AQ567" s="277"/>
      <c r="AR567" s="277"/>
      <c r="AS567" s="277"/>
      <c r="AT567" s="277"/>
      <c r="AU567" s="277"/>
      <c r="AV567" s="277"/>
      <c r="AW567" s="277"/>
      <c r="AX567" s="277"/>
      <c r="AY567" s="277"/>
      <c r="AZ567" s="277"/>
      <c r="BA567" s="277"/>
      <c r="BB567" s="277"/>
    </row>
    <row r="568" spans="1:54" ht="12.75" customHeight="1" x14ac:dyDescent="0.25">
      <c r="A568" s="277"/>
      <c r="B568" s="277"/>
      <c r="C568" s="277"/>
      <c r="D568" s="277"/>
      <c r="E568" s="277"/>
      <c r="F568" s="277"/>
      <c r="G568" s="277"/>
      <c r="H568" s="277"/>
      <c r="I568" s="277"/>
      <c r="J568" s="277"/>
      <c r="K568" s="277"/>
      <c r="L568" s="277"/>
      <c r="M568" s="277"/>
      <c r="N568" s="277"/>
      <c r="O568" s="277"/>
      <c r="P568" s="277"/>
      <c r="Q568" s="277"/>
      <c r="R568" s="277"/>
      <c r="S568" s="277"/>
      <c r="T568" s="294"/>
      <c r="U568" s="294"/>
      <c r="V568" s="294"/>
      <c r="W568" s="294"/>
      <c r="X568" s="294"/>
      <c r="Y568" s="294"/>
      <c r="Z568" s="294"/>
      <c r="AA568" s="294"/>
      <c r="AB568" s="294"/>
      <c r="AC568" s="277"/>
      <c r="AD568" s="277"/>
      <c r="AE568" s="277"/>
      <c r="AF568" s="277"/>
      <c r="AG568" s="277"/>
      <c r="AH568" s="277"/>
      <c r="AI568" s="277"/>
      <c r="AJ568" s="277"/>
      <c r="AK568" s="277"/>
      <c r="AL568" s="277"/>
      <c r="AM568" s="277"/>
      <c r="AN568" s="277"/>
      <c r="AO568" s="277"/>
      <c r="AP568" s="277"/>
      <c r="AQ568" s="277"/>
      <c r="AR568" s="277"/>
      <c r="AS568" s="277"/>
      <c r="AT568" s="277"/>
      <c r="AU568" s="277"/>
      <c r="AV568" s="277"/>
      <c r="AW568" s="277"/>
      <c r="AX568" s="277"/>
      <c r="AY568" s="277"/>
      <c r="AZ568" s="277"/>
      <c r="BA568" s="277"/>
      <c r="BB568" s="277"/>
    </row>
    <row r="569" spans="1:54" ht="12.75" customHeight="1" x14ac:dyDescent="0.25">
      <c r="A569" s="277"/>
      <c r="B569" s="277"/>
      <c r="C569" s="277"/>
      <c r="D569" s="277"/>
      <c r="E569" s="277"/>
      <c r="F569" s="277"/>
      <c r="G569" s="277"/>
      <c r="H569" s="277"/>
      <c r="I569" s="277"/>
      <c r="J569" s="277"/>
      <c r="K569" s="277"/>
      <c r="L569" s="277"/>
      <c r="M569" s="277"/>
      <c r="N569" s="277"/>
      <c r="O569" s="277"/>
      <c r="P569" s="277"/>
      <c r="Q569" s="277"/>
      <c r="R569" s="277"/>
      <c r="S569" s="277"/>
      <c r="T569" s="294"/>
      <c r="U569" s="294"/>
      <c r="V569" s="294"/>
      <c r="W569" s="294"/>
      <c r="X569" s="294"/>
      <c r="Y569" s="294"/>
      <c r="Z569" s="294"/>
      <c r="AA569" s="294"/>
      <c r="AB569" s="294"/>
      <c r="AC569" s="277"/>
      <c r="AD569" s="277"/>
      <c r="AE569" s="277"/>
      <c r="AF569" s="277"/>
      <c r="AG569" s="277"/>
      <c r="AH569" s="277"/>
      <c r="AI569" s="277"/>
      <c r="AJ569" s="277"/>
      <c r="AK569" s="277"/>
      <c r="AL569" s="277"/>
      <c r="AM569" s="277"/>
      <c r="AN569" s="277"/>
      <c r="AO569" s="277"/>
      <c r="AP569" s="277"/>
      <c r="AQ569" s="277"/>
      <c r="AR569" s="277"/>
      <c r="AS569" s="277"/>
      <c r="AT569" s="277"/>
      <c r="AU569" s="277"/>
      <c r="AV569" s="277"/>
      <c r="AW569" s="277"/>
      <c r="AX569" s="277"/>
      <c r="AY569" s="277"/>
      <c r="AZ569" s="277"/>
      <c r="BA569" s="277"/>
      <c r="BB569" s="277"/>
    </row>
    <row r="570" spans="1:54" ht="12.75" customHeight="1" x14ac:dyDescent="0.25">
      <c r="A570" s="277"/>
      <c r="B570" s="277"/>
      <c r="C570" s="277"/>
      <c r="D570" s="277"/>
      <c r="E570" s="277"/>
      <c r="F570" s="277"/>
      <c r="G570" s="277"/>
      <c r="H570" s="277"/>
      <c r="I570" s="277"/>
      <c r="J570" s="277"/>
      <c r="K570" s="277"/>
      <c r="L570" s="277"/>
      <c r="M570" s="277"/>
      <c r="N570" s="277"/>
      <c r="O570" s="277"/>
      <c r="P570" s="277"/>
      <c r="Q570" s="277"/>
      <c r="R570" s="277"/>
      <c r="S570" s="277"/>
      <c r="T570" s="294"/>
      <c r="U570" s="294"/>
      <c r="V570" s="294"/>
      <c r="W570" s="294"/>
      <c r="X570" s="294"/>
      <c r="Y570" s="294"/>
      <c r="Z570" s="294"/>
      <c r="AA570" s="294"/>
      <c r="AB570" s="294"/>
      <c r="AC570" s="277"/>
      <c r="AD570" s="277"/>
      <c r="AE570" s="277"/>
      <c r="AF570" s="277"/>
      <c r="AG570" s="277"/>
      <c r="AH570" s="277"/>
      <c r="AI570" s="277"/>
      <c r="AJ570" s="277"/>
      <c r="AK570" s="277"/>
      <c r="AL570" s="277"/>
      <c r="AM570" s="277"/>
      <c r="AN570" s="277"/>
      <c r="AO570" s="277"/>
      <c r="AP570" s="277"/>
      <c r="AQ570" s="277"/>
      <c r="AR570" s="277"/>
      <c r="AS570" s="277"/>
      <c r="AT570" s="277"/>
      <c r="AU570" s="277"/>
      <c r="AV570" s="277"/>
      <c r="AW570" s="277"/>
      <c r="AX570" s="277"/>
      <c r="AY570" s="277"/>
      <c r="AZ570" s="277"/>
      <c r="BA570" s="277"/>
      <c r="BB570" s="277"/>
    </row>
    <row r="571" spans="1:54" ht="12.75" customHeight="1" x14ac:dyDescent="0.25">
      <c r="A571" s="277"/>
      <c r="B571" s="277"/>
      <c r="C571" s="277"/>
      <c r="D571" s="277"/>
      <c r="E571" s="277"/>
      <c r="F571" s="277"/>
      <c r="G571" s="277"/>
      <c r="H571" s="277"/>
      <c r="I571" s="277"/>
      <c r="J571" s="277"/>
      <c r="K571" s="277"/>
      <c r="L571" s="277"/>
      <c r="M571" s="277"/>
      <c r="N571" s="277"/>
      <c r="O571" s="277"/>
      <c r="P571" s="277"/>
      <c r="Q571" s="277"/>
      <c r="R571" s="277"/>
      <c r="S571" s="277"/>
      <c r="T571" s="294"/>
      <c r="U571" s="294"/>
      <c r="V571" s="294"/>
      <c r="W571" s="294"/>
      <c r="X571" s="294"/>
      <c r="Y571" s="294"/>
      <c r="Z571" s="294"/>
      <c r="AA571" s="294"/>
      <c r="AB571" s="294"/>
      <c r="AC571" s="277"/>
      <c r="AD571" s="277"/>
      <c r="AE571" s="277"/>
      <c r="AF571" s="277"/>
      <c r="AG571" s="277"/>
      <c r="AH571" s="277"/>
      <c r="AI571" s="277"/>
      <c r="AJ571" s="277"/>
      <c r="AK571" s="277"/>
      <c r="AL571" s="277"/>
      <c r="AM571" s="277"/>
      <c r="AN571" s="277"/>
      <c r="AO571" s="277"/>
      <c r="AP571" s="277"/>
      <c r="AQ571" s="277"/>
      <c r="AR571" s="277"/>
      <c r="AS571" s="277"/>
      <c r="AT571" s="277"/>
      <c r="AU571" s="277"/>
      <c r="AV571" s="277"/>
      <c r="AW571" s="277"/>
      <c r="AX571" s="277"/>
      <c r="AY571" s="277"/>
      <c r="AZ571" s="277"/>
      <c r="BA571" s="277"/>
      <c r="BB571" s="277"/>
    </row>
    <row r="572" spans="1:54" ht="12.75" customHeight="1" x14ac:dyDescent="0.25">
      <c r="A572" s="277"/>
      <c r="B572" s="277"/>
      <c r="C572" s="277"/>
      <c r="D572" s="277"/>
      <c r="E572" s="277"/>
      <c r="F572" s="277"/>
      <c r="G572" s="277"/>
      <c r="H572" s="277"/>
      <c r="I572" s="277"/>
      <c r="J572" s="277"/>
      <c r="K572" s="277"/>
      <c r="L572" s="277"/>
      <c r="M572" s="277"/>
      <c r="N572" s="277"/>
      <c r="O572" s="277"/>
      <c r="P572" s="277"/>
      <c r="Q572" s="277"/>
      <c r="R572" s="277"/>
      <c r="S572" s="277"/>
      <c r="T572" s="294"/>
      <c r="U572" s="294"/>
      <c r="V572" s="294"/>
      <c r="W572" s="294"/>
      <c r="X572" s="294"/>
      <c r="Y572" s="294"/>
      <c r="Z572" s="294"/>
      <c r="AA572" s="294"/>
      <c r="AB572" s="294"/>
      <c r="AC572" s="277"/>
      <c r="AD572" s="277"/>
      <c r="AE572" s="277"/>
      <c r="AF572" s="277"/>
      <c r="AG572" s="277"/>
      <c r="AH572" s="277"/>
      <c r="AI572" s="277"/>
      <c r="AJ572" s="277"/>
      <c r="AK572" s="277"/>
      <c r="AL572" s="277"/>
      <c r="AM572" s="277"/>
      <c r="AN572" s="277"/>
      <c r="AO572" s="277"/>
      <c r="AP572" s="277"/>
      <c r="AQ572" s="277"/>
      <c r="AR572" s="277"/>
      <c r="AS572" s="277"/>
      <c r="AT572" s="277"/>
      <c r="AU572" s="277"/>
      <c r="AV572" s="277"/>
      <c r="AW572" s="277"/>
      <c r="AX572" s="277"/>
      <c r="AY572" s="277"/>
      <c r="AZ572" s="277"/>
      <c r="BA572" s="277"/>
      <c r="BB572" s="277"/>
    </row>
    <row r="573" spans="1:54" ht="12.75" customHeight="1" x14ac:dyDescent="0.25">
      <c r="A573" s="277"/>
      <c r="B573" s="277"/>
      <c r="C573" s="277"/>
      <c r="D573" s="277"/>
      <c r="E573" s="277"/>
      <c r="F573" s="277"/>
      <c r="G573" s="277"/>
      <c r="H573" s="277"/>
      <c r="I573" s="277"/>
      <c r="J573" s="277"/>
      <c r="K573" s="277"/>
      <c r="L573" s="277"/>
      <c r="M573" s="277"/>
      <c r="N573" s="277"/>
      <c r="O573" s="277"/>
      <c r="P573" s="277"/>
      <c r="Q573" s="277"/>
      <c r="R573" s="277"/>
      <c r="S573" s="277"/>
      <c r="T573" s="294"/>
      <c r="U573" s="294"/>
      <c r="V573" s="294"/>
      <c r="W573" s="294"/>
      <c r="X573" s="294"/>
      <c r="Y573" s="294"/>
      <c r="Z573" s="294"/>
      <c r="AA573" s="294"/>
      <c r="AB573" s="294"/>
      <c r="AC573" s="277"/>
      <c r="AD573" s="277"/>
      <c r="AE573" s="277"/>
      <c r="AF573" s="277"/>
      <c r="AG573" s="277"/>
      <c r="AH573" s="277"/>
      <c r="AI573" s="277"/>
      <c r="AJ573" s="277"/>
      <c r="AK573" s="277"/>
      <c r="AL573" s="277"/>
      <c r="AM573" s="277"/>
      <c r="AN573" s="277"/>
      <c r="AO573" s="277"/>
      <c r="AP573" s="277"/>
      <c r="AQ573" s="277"/>
      <c r="AR573" s="277"/>
      <c r="AS573" s="277"/>
      <c r="AT573" s="277"/>
      <c r="AU573" s="277"/>
      <c r="AV573" s="277"/>
      <c r="AW573" s="277"/>
      <c r="AX573" s="277"/>
      <c r="AY573" s="277"/>
      <c r="AZ573" s="277"/>
      <c r="BA573" s="277"/>
      <c r="BB573" s="277"/>
    </row>
    <row r="574" spans="1:54" ht="12.75" customHeight="1" x14ac:dyDescent="0.25">
      <c r="A574" s="277"/>
      <c r="B574" s="277"/>
      <c r="C574" s="277"/>
      <c r="D574" s="277"/>
      <c r="E574" s="277"/>
      <c r="F574" s="277"/>
      <c r="G574" s="277"/>
      <c r="H574" s="277"/>
      <c r="I574" s="277"/>
      <c r="J574" s="277"/>
      <c r="K574" s="277"/>
      <c r="L574" s="277"/>
      <c r="M574" s="277"/>
      <c r="N574" s="277"/>
      <c r="O574" s="277"/>
      <c r="P574" s="277"/>
      <c r="Q574" s="277"/>
      <c r="R574" s="277"/>
      <c r="S574" s="277"/>
      <c r="T574" s="294"/>
      <c r="U574" s="294"/>
      <c r="V574" s="294"/>
      <c r="W574" s="294"/>
      <c r="X574" s="294"/>
      <c r="Y574" s="294"/>
      <c r="Z574" s="294"/>
      <c r="AA574" s="294"/>
      <c r="AB574" s="294"/>
      <c r="AC574" s="277"/>
      <c r="AD574" s="277"/>
      <c r="AE574" s="277"/>
      <c r="AF574" s="277"/>
      <c r="AG574" s="277"/>
      <c r="AH574" s="277"/>
      <c r="AI574" s="277"/>
      <c r="AJ574" s="277"/>
      <c r="AK574" s="277"/>
      <c r="AL574" s="277"/>
      <c r="AM574" s="277"/>
      <c r="AN574" s="277"/>
      <c r="AO574" s="277"/>
      <c r="AP574" s="277"/>
      <c r="AQ574" s="277"/>
      <c r="AR574" s="277"/>
      <c r="AS574" s="277"/>
      <c r="AT574" s="277"/>
      <c r="AU574" s="277"/>
      <c r="AV574" s="277"/>
      <c r="AW574" s="277"/>
      <c r="AX574" s="277"/>
      <c r="AY574" s="277"/>
      <c r="AZ574" s="277"/>
      <c r="BA574" s="277"/>
      <c r="BB574" s="277"/>
    </row>
    <row r="575" spans="1:54" ht="12.75" customHeight="1" x14ac:dyDescent="0.25">
      <c r="A575" s="277"/>
      <c r="B575" s="277"/>
      <c r="C575" s="277"/>
      <c r="D575" s="277"/>
      <c r="E575" s="277"/>
      <c r="F575" s="277"/>
      <c r="G575" s="277"/>
      <c r="H575" s="277"/>
      <c r="I575" s="277"/>
      <c r="J575" s="277"/>
      <c r="K575" s="277"/>
      <c r="L575" s="277"/>
      <c r="M575" s="277"/>
      <c r="N575" s="277"/>
      <c r="O575" s="277"/>
      <c r="P575" s="277"/>
      <c r="Q575" s="277"/>
      <c r="R575" s="277"/>
      <c r="S575" s="277"/>
      <c r="T575" s="294"/>
      <c r="U575" s="294"/>
      <c r="V575" s="294"/>
      <c r="W575" s="294"/>
      <c r="X575" s="294"/>
      <c r="Y575" s="294"/>
      <c r="Z575" s="294"/>
      <c r="AA575" s="294"/>
      <c r="AB575" s="294"/>
      <c r="AC575" s="277"/>
      <c r="AD575" s="277"/>
      <c r="AE575" s="277"/>
      <c r="AF575" s="277"/>
      <c r="AG575" s="277"/>
      <c r="AH575" s="277"/>
      <c r="AI575" s="277"/>
      <c r="AJ575" s="277"/>
      <c r="AK575" s="277"/>
      <c r="AL575" s="277"/>
      <c r="AM575" s="277"/>
      <c r="AN575" s="277"/>
      <c r="AO575" s="277"/>
      <c r="AP575" s="277"/>
      <c r="AQ575" s="277"/>
      <c r="AR575" s="277"/>
      <c r="AS575" s="277"/>
      <c r="AT575" s="277"/>
      <c r="AU575" s="277"/>
      <c r="AV575" s="277"/>
      <c r="AW575" s="277"/>
      <c r="AX575" s="277"/>
      <c r="AY575" s="277"/>
      <c r="AZ575" s="277"/>
      <c r="BA575" s="277"/>
      <c r="BB575" s="277"/>
    </row>
    <row r="576" spans="1:54" ht="12.75" customHeight="1" x14ac:dyDescent="0.25">
      <c r="A576" s="277"/>
      <c r="B576" s="277"/>
      <c r="C576" s="277"/>
      <c r="D576" s="277"/>
      <c r="E576" s="277"/>
      <c r="F576" s="277"/>
      <c r="G576" s="277"/>
      <c r="H576" s="277"/>
      <c r="I576" s="277"/>
      <c r="J576" s="277"/>
      <c r="K576" s="277"/>
      <c r="L576" s="277"/>
      <c r="M576" s="277"/>
      <c r="N576" s="277"/>
      <c r="O576" s="277"/>
      <c r="P576" s="277"/>
      <c r="Q576" s="277"/>
      <c r="R576" s="277"/>
      <c r="S576" s="277"/>
      <c r="T576" s="294"/>
      <c r="U576" s="294"/>
      <c r="V576" s="294"/>
      <c r="W576" s="294"/>
      <c r="X576" s="294"/>
      <c r="Y576" s="294"/>
      <c r="Z576" s="294"/>
      <c r="AA576" s="294"/>
      <c r="AB576" s="294"/>
      <c r="AC576" s="277"/>
      <c r="AD576" s="277"/>
      <c r="AE576" s="277"/>
      <c r="AF576" s="277"/>
      <c r="AG576" s="277"/>
      <c r="AH576" s="277"/>
      <c r="AI576" s="277"/>
      <c r="AJ576" s="277"/>
      <c r="AK576" s="277"/>
      <c r="AL576" s="277"/>
      <c r="AM576" s="277"/>
      <c r="AN576" s="277"/>
      <c r="AO576" s="277"/>
      <c r="AP576" s="277"/>
      <c r="AQ576" s="277"/>
      <c r="AR576" s="277"/>
      <c r="AS576" s="277"/>
      <c r="AT576" s="277"/>
      <c r="AU576" s="277"/>
      <c r="AV576" s="277"/>
      <c r="AW576" s="277"/>
      <c r="AX576" s="277"/>
      <c r="AY576" s="277"/>
      <c r="AZ576" s="277"/>
      <c r="BA576" s="277"/>
      <c r="BB576" s="277"/>
    </row>
    <row r="577" spans="1:54" ht="12.75" customHeight="1" x14ac:dyDescent="0.25">
      <c r="A577" s="277"/>
      <c r="B577" s="277"/>
      <c r="C577" s="277"/>
      <c r="D577" s="277"/>
      <c r="E577" s="277"/>
      <c r="F577" s="277"/>
      <c r="G577" s="277"/>
      <c r="H577" s="277"/>
      <c r="I577" s="277"/>
      <c r="J577" s="277"/>
      <c r="K577" s="277"/>
      <c r="L577" s="277"/>
      <c r="M577" s="277"/>
      <c r="N577" s="277"/>
      <c r="O577" s="277"/>
      <c r="P577" s="277"/>
      <c r="Q577" s="277"/>
      <c r="R577" s="277"/>
      <c r="S577" s="277"/>
      <c r="T577" s="294"/>
      <c r="U577" s="294"/>
      <c r="V577" s="294"/>
      <c r="W577" s="294"/>
      <c r="X577" s="294"/>
      <c r="Y577" s="294"/>
      <c r="Z577" s="294"/>
      <c r="AA577" s="294"/>
      <c r="AB577" s="294"/>
      <c r="AC577" s="277"/>
      <c r="AD577" s="277"/>
      <c r="AE577" s="277"/>
      <c r="AF577" s="277"/>
      <c r="AG577" s="277"/>
      <c r="AH577" s="277"/>
      <c r="AI577" s="277"/>
      <c r="AJ577" s="277"/>
      <c r="AK577" s="277"/>
      <c r="AL577" s="277"/>
      <c r="AM577" s="277"/>
      <c r="AN577" s="277"/>
      <c r="AO577" s="277"/>
      <c r="AP577" s="277"/>
      <c r="AQ577" s="277"/>
      <c r="AR577" s="277"/>
      <c r="AS577" s="277"/>
      <c r="AT577" s="277"/>
      <c r="AU577" s="277"/>
      <c r="AV577" s="277"/>
      <c r="AW577" s="277"/>
      <c r="AX577" s="277"/>
      <c r="AY577" s="277"/>
      <c r="AZ577" s="277"/>
      <c r="BA577" s="277"/>
      <c r="BB577" s="277"/>
    </row>
    <row r="578" spans="1:54" ht="12.75" customHeight="1" x14ac:dyDescent="0.25">
      <c r="A578" s="277"/>
      <c r="B578" s="277"/>
      <c r="C578" s="277"/>
      <c r="D578" s="277"/>
      <c r="E578" s="277"/>
      <c r="F578" s="277"/>
      <c r="G578" s="277"/>
      <c r="H578" s="277"/>
      <c r="I578" s="277"/>
      <c r="J578" s="277"/>
      <c r="K578" s="277"/>
      <c r="L578" s="277"/>
      <c r="M578" s="277"/>
      <c r="N578" s="277"/>
      <c r="O578" s="277"/>
      <c r="P578" s="277"/>
      <c r="Q578" s="277"/>
      <c r="R578" s="277"/>
      <c r="S578" s="277"/>
      <c r="T578" s="294"/>
      <c r="U578" s="294"/>
      <c r="V578" s="294"/>
      <c r="W578" s="294"/>
      <c r="X578" s="294"/>
      <c r="Y578" s="294"/>
      <c r="Z578" s="294"/>
      <c r="AA578" s="294"/>
      <c r="AB578" s="294"/>
      <c r="AC578" s="277"/>
      <c r="AD578" s="277"/>
      <c r="AE578" s="277"/>
      <c r="AF578" s="277"/>
      <c r="AG578" s="277"/>
      <c r="AH578" s="277"/>
      <c r="AI578" s="277"/>
      <c r="AJ578" s="277"/>
      <c r="AK578" s="277"/>
      <c r="AL578" s="277"/>
      <c r="AM578" s="277"/>
      <c r="AN578" s="277"/>
      <c r="AO578" s="277"/>
      <c r="AP578" s="277"/>
      <c r="AQ578" s="277"/>
      <c r="AR578" s="277"/>
      <c r="AS578" s="277"/>
      <c r="AT578" s="277"/>
      <c r="AU578" s="277"/>
      <c r="AV578" s="277"/>
      <c r="AW578" s="277"/>
      <c r="AX578" s="277"/>
      <c r="AY578" s="277"/>
      <c r="AZ578" s="277"/>
      <c r="BA578" s="277"/>
      <c r="BB578" s="277"/>
    </row>
    <row r="579" spans="1:54" ht="12.75" customHeight="1" x14ac:dyDescent="0.25">
      <c r="A579" s="277"/>
      <c r="B579" s="277"/>
      <c r="C579" s="277"/>
      <c r="D579" s="277"/>
      <c r="E579" s="277"/>
      <c r="F579" s="277"/>
      <c r="G579" s="277"/>
      <c r="H579" s="277"/>
      <c r="I579" s="277"/>
      <c r="J579" s="277"/>
      <c r="K579" s="277"/>
      <c r="L579" s="277"/>
      <c r="M579" s="277"/>
      <c r="N579" s="277"/>
      <c r="O579" s="277"/>
      <c r="P579" s="277"/>
      <c r="Q579" s="277"/>
      <c r="R579" s="277"/>
      <c r="S579" s="277"/>
      <c r="T579" s="294"/>
      <c r="U579" s="294"/>
      <c r="V579" s="294"/>
      <c r="W579" s="294"/>
      <c r="X579" s="294"/>
      <c r="Y579" s="294"/>
      <c r="Z579" s="294"/>
      <c r="AA579" s="294"/>
      <c r="AB579" s="294"/>
      <c r="AC579" s="277"/>
      <c r="AD579" s="277"/>
      <c r="AE579" s="277"/>
      <c r="AF579" s="277"/>
      <c r="AG579" s="277"/>
      <c r="AH579" s="277"/>
      <c r="AI579" s="277"/>
      <c r="AJ579" s="277"/>
      <c r="AK579" s="277"/>
      <c r="AL579" s="277"/>
      <c r="AM579" s="277"/>
      <c r="AN579" s="277"/>
      <c r="AO579" s="277"/>
      <c r="AP579" s="277"/>
      <c r="AQ579" s="277"/>
      <c r="AR579" s="277"/>
      <c r="AS579" s="277"/>
      <c r="AT579" s="277"/>
      <c r="AU579" s="277"/>
      <c r="AV579" s="277"/>
      <c r="AW579" s="277"/>
      <c r="AX579" s="277"/>
      <c r="AY579" s="277"/>
      <c r="AZ579" s="277"/>
      <c r="BA579" s="277"/>
      <c r="BB579" s="277"/>
    </row>
    <row r="580" spans="1:54" ht="12.75" customHeight="1" x14ac:dyDescent="0.25">
      <c r="A580" s="277"/>
      <c r="B580" s="277"/>
      <c r="C580" s="277"/>
      <c r="D580" s="277"/>
      <c r="E580" s="277"/>
      <c r="F580" s="277"/>
      <c r="G580" s="277"/>
      <c r="H580" s="277"/>
      <c r="I580" s="277"/>
      <c r="J580" s="277"/>
      <c r="K580" s="277"/>
      <c r="L580" s="277"/>
      <c r="M580" s="277"/>
      <c r="N580" s="277"/>
      <c r="O580" s="277"/>
      <c r="P580" s="277"/>
      <c r="Q580" s="277"/>
      <c r="R580" s="277"/>
      <c r="S580" s="277"/>
      <c r="T580" s="294"/>
      <c r="U580" s="294"/>
      <c r="V580" s="294"/>
      <c r="W580" s="294"/>
      <c r="X580" s="294"/>
      <c r="Y580" s="294"/>
      <c r="Z580" s="294"/>
      <c r="AA580" s="294"/>
      <c r="AB580" s="294"/>
      <c r="AC580" s="277"/>
      <c r="AD580" s="277"/>
      <c r="AE580" s="277"/>
      <c r="AF580" s="277"/>
      <c r="AG580" s="277"/>
      <c r="AH580" s="277"/>
      <c r="AI580" s="277"/>
      <c r="AJ580" s="277"/>
      <c r="AK580" s="277"/>
      <c r="AL580" s="277"/>
      <c r="AM580" s="277"/>
      <c r="AN580" s="277"/>
      <c r="AO580" s="277"/>
      <c r="AP580" s="277"/>
      <c r="AQ580" s="277"/>
      <c r="AR580" s="277"/>
      <c r="AS580" s="277"/>
      <c r="AT580" s="277"/>
      <c r="AU580" s="277"/>
      <c r="AV580" s="277"/>
      <c r="AW580" s="277"/>
      <c r="AX580" s="277"/>
      <c r="AY580" s="277"/>
      <c r="AZ580" s="277"/>
      <c r="BA580" s="277"/>
      <c r="BB580" s="277"/>
    </row>
    <row r="581" spans="1:54" ht="12.75" customHeight="1" x14ac:dyDescent="0.25">
      <c r="A581" s="277"/>
      <c r="B581" s="277"/>
      <c r="C581" s="277"/>
      <c r="D581" s="277"/>
      <c r="E581" s="277"/>
      <c r="F581" s="277"/>
      <c r="G581" s="277"/>
      <c r="H581" s="277"/>
      <c r="I581" s="277"/>
      <c r="J581" s="277"/>
      <c r="K581" s="277"/>
      <c r="L581" s="277"/>
      <c r="M581" s="277"/>
      <c r="N581" s="277"/>
      <c r="O581" s="277"/>
      <c r="P581" s="277"/>
      <c r="Q581" s="277"/>
      <c r="R581" s="277"/>
      <c r="S581" s="277"/>
      <c r="T581" s="294"/>
      <c r="U581" s="294"/>
      <c r="V581" s="294"/>
      <c r="W581" s="294"/>
      <c r="X581" s="294"/>
      <c r="Y581" s="294"/>
      <c r="Z581" s="294"/>
      <c r="AA581" s="294"/>
      <c r="AB581" s="294"/>
      <c r="AC581" s="277"/>
      <c r="AD581" s="277"/>
      <c r="AE581" s="277"/>
      <c r="AF581" s="277"/>
      <c r="AG581" s="277"/>
      <c r="AH581" s="277"/>
      <c r="AI581" s="277"/>
      <c r="AJ581" s="277"/>
      <c r="AK581" s="277"/>
      <c r="AL581" s="277"/>
      <c r="AM581" s="277"/>
      <c r="AN581" s="277"/>
      <c r="AO581" s="277"/>
      <c r="AP581" s="277"/>
      <c r="AQ581" s="277"/>
      <c r="AR581" s="277"/>
      <c r="AS581" s="277"/>
      <c r="AT581" s="277"/>
      <c r="AU581" s="277"/>
      <c r="AV581" s="277"/>
      <c r="AW581" s="277"/>
      <c r="AX581" s="277"/>
      <c r="AY581" s="277"/>
      <c r="AZ581" s="277"/>
      <c r="BA581" s="277"/>
      <c r="BB581" s="277"/>
    </row>
    <row r="582" spans="1:54" ht="12.75" customHeight="1" x14ac:dyDescent="0.25">
      <c r="A582" s="277"/>
      <c r="B582" s="277"/>
      <c r="C582" s="277"/>
      <c r="D582" s="277"/>
      <c r="E582" s="277"/>
      <c r="F582" s="277"/>
      <c r="G582" s="277"/>
      <c r="H582" s="277"/>
      <c r="I582" s="277"/>
      <c r="J582" s="277"/>
      <c r="K582" s="277"/>
      <c r="L582" s="277"/>
      <c r="M582" s="277"/>
      <c r="N582" s="277"/>
      <c r="O582" s="277"/>
      <c r="P582" s="277"/>
      <c r="Q582" s="277"/>
      <c r="R582" s="277"/>
      <c r="S582" s="277"/>
      <c r="T582" s="294"/>
      <c r="U582" s="294"/>
      <c r="V582" s="294"/>
      <c r="W582" s="294"/>
      <c r="X582" s="294"/>
      <c r="Y582" s="294"/>
      <c r="Z582" s="294"/>
      <c r="AA582" s="294"/>
      <c r="AB582" s="294"/>
      <c r="AC582" s="277"/>
      <c r="AD582" s="277"/>
      <c r="AE582" s="277"/>
      <c r="AF582" s="277"/>
      <c r="AG582" s="277"/>
      <c r="AH582" s="277"/>
      <c r="AI582" s="277"/>
      <c r="AJ582" s="277"/>
      <c r="AK582" s="277"/>
      <c r="AL582" s="277"/>
      <c r="AM582" s="277"/>
      <c r="AN582" s="277"/>
      <c r="AO582" s="277"/>
      <c r="AP582" s="277"/>
      <c r="AQ582" s="277"/>
      <c r="AR582" s="277"/>
      <c r="AS582" s="277"/>
      <c r="AT582" s="277"/>
      <c r="AU582" s="277"/>
      <c r="AV582" s="277"/>
      <c r="AW582" s="277"/>
      <c r="AX582" s="277"/>
      <c r="AY582" s="277"/>
      <c r="AZ582" s="277"/>
      <c r="BA582" s="277"/>
      <c r="BB582" s="277"/>
    </row>
    <row r="583" spans="1:54" ht="12.75" customHeight="1" x14ac:dyDescent="0.25">
      <c r="A583" s="277"/>
      <c r="B583" s="277"/>
      <c r="C583" s="277"/>
      <c r="D583" s="277"/>
      <c r="E583" s="277"/>
      <c r="F583" s="277"/>
      <c r="G583" s="277"/>
      <c r="H583" s="277"/>
      <c r="I583" s="277"/>
      <c r="J583" s="277"/>
      <c r="K583" s="277"/>
      <c r="L583" s="277"/>
      <c r="M583" s="277"/>
      <c r="N583" s="277"/>
      <c r="O583" s="277"/>
      <c r="P583" s="277"/>
      <c r="Q583" s="277"/>
      <c r="R583" s="277"/>
      <c r="S583" s="277"/>
      <c r="T583" s="294"/>
      <c r="U583" s="294"/>
      <c r="V583" s="294"/>
      <c r="W583" s="294"/>
      <c r="X583" s="294"/>
      <c r="Y583" s="294"/>
      <c r="Z583" s="294"/>
      <c r="AA583" s="294"/>
      <c r="AB583" s="294"/>
      <c r="AC583" s="277"/>
      <c r="AD583" s="277"/>
      <c r="AE583" s="277"/>
      <c r="AF583" s="277"/>
      <c r="AG583" s="277"/>
      <c r="AH583" s="277"/>
      <c r="AI583" s="277"/>
      <c r="AJ583" s="277"/>
      <c r="AK583" s="277"/>
      <c r="AL583" s="277"/>
      <c r="AM583" s="277"/>
      <c r="AN583" s="277"/>
      <c r="AO583" s="277"/>
      <c r="AP583" s="277"/>
      <c r="AQ583" s="277"/>
      <c r="AR583" s="277"/>
      <c r="AS583" s="277"/>
      <c r="AT583" s="277"/>
      <c r="AU583" s="277"/>
      <c r="AV583" s="277"/>
      <c r="AW583" s="277"/>
      <c r="AX583" s="277"/>
      <c r="AY583" s="277"/>
      <c r="AZ583" s="277"/>
      <c r="BA583" s="277"/>
      <c r="BB583" s="277"/>
    </row>
    <row r="584" spans="1:54" ht="12.75" customHeight="1" x14ac:dyDescent="0.25">
      <c r="A584" s="277"/>
      <c r="B584" s="277"/>
      <c r="C584" s="277"/>
      <c r="D584" s="277"/>
      <c r="E584" s="277"/>
      <c r="F584" s="277"/>
      <c r="G584" s="277"/>
      <c r="H584" s="277"/>
      <c r="I584" s="277"/>
      <c r="J584" s="277"/>
      <c r="K584" s="277"/>
      <c r="L584" s="277"/>
      <c r="M584" s="277"/>
      <c r="N584" s="277"/>
      <c r="O584" s="277"/>
      <c r="P584" s="277"/>
      <c r="Q584" s="277"/>
      <c r="R584" s="277"/>
      <c r="S584" s="277"/>
      <c r="T584" s="294"/>
      <c r="U584" s="294"/>
      <c r="V584" s="294"/>
      <c r="W584" s="294"/>
      <c r="X584" s="294"/>
      <c r="Y584" s="294"/>
      <c r="Z584" s="294"/>
      <c r="AA584" s="294"/>
      <c r="AB584" s="294"/>
      <c r="AC584" s="277"/>
      <c r="AD584" s="277"/>
      <c r="AE584" s="277"/>
      <c r="AF584" s="277"/>
      <c r="AG584" s="277"/>
      <c r="AH584" s="277"/>
      <c r="AI584" s="277"/>
      <c r="AJ584" s="277"/>
      <c r="AK584" s="277"/>
      <c r="AL584" s="277"/>
      <c r="AM584" s="277"/>
      <c r="AN584" s="277"/>
      <c r="AO584" s="277"/>
      <c r="AP584" s="277"/>
      <c r="AQ584" s="277"/>
      <c r="AR584" s="277"/>
      <c r="AS584" s="277"/>
      <c r="AT584" s="277"/>
      <c r="AU584" s="277"/>
      <c r="AV584" s="277"/>
      <c r="AW584" s="277"/>
      <c r="AX584" s="277"/>
      <c r="AY584" s="277"/>
      <c r="AZ584" s="277"/>
      <c r="BA584" s="277"/>
      <c r="BB584" s="277"/>
    </row>
    <row r="585" spans="1:54" ht="12.75" customHeight="1" x14ac:dyDescent="0.25">
      <c r="A585" s="277"/>
      <c r="B585" s="277"/>
      <c r="C585" s="277"/>
      <c r="D585" s="277"/>
      <c r="E585" s="277"/>
      <c r="F585" s="277"/>
      <c r="G585" s="277"/>
      <c r="H585" s="277"/>
      <c r="I585" s="277"/>
      <c r="J585" s="277"/>
      <c r="K585" s="277"/>
      <c r="L585" s="277"/>
      <c r="M585" s="277"/>
      <c r="N585" s="277"/>
      <c r="O585" s="277"/>
      <c r="P585" s="277"/>
      <c r="Q585" s="277"/>
      <c r="R585" s="277"/>
      <c r="S585" s="277"/>
      <c r="T585" s="294"/>
      <c r="U585" s="294"/>
      <c r="V585" s="294"/>
      <c r="W585" s="294"/>
      <c r="X585" s="294"/>
      <c r="Y585" s="294"/>
      <c r="Z585" s="294"/>
      <c r="AA585" s="294"/>
      <c r="AB585" s="294"/>
      <c r="AC585" s="277"/>
      <c r="AD585" s="277"/>
      <c r="AE585" s="277"/>
      <c r="AF585" s="277"/>
      <c r="AG585" s="277"/>
      <c r="AH585" s="277"/>
      <c r="AI585" s="277"/>
      <c r="AJ585" s="277"/>
      <c r="AK585" s="277"/>
      <c r="AL585" s="277"/>
      <c r="AM585" s="277"/>
      <c r="AN585" s="277"/>
      <c r="AO585" s="277"/>
      <c r="AP585" s="277"/>
      <c r="AQ585" s="277"/>
      <c r="AR585" s="277"/>
      <c r="AS585" s="277"/>
      <c r="AT585" s="277"/>
      <c r="AU585" s="277"/>
      <c r="AV585" s="277"/>
      <c r="AW585" s="277"/>
      <c r="AX585" s="277"/>
      <c r="AY585" s="277"/>
      <c r="AZ585" s="277"/>
      <c r="BA585" s="277"/>
      <c r="BB585" s="277"/>
    </row>
    <row r="586" spans="1:54" ht="12.75" customHeight="1" x14ac:dyDescent="0.25">
      <c r="A586" s="277"/>
      <c r="B586" s="277"/>
      <c r="C586" s="277"/>
      <c r="D586" s="277"/>
      <c r="E586" s="277"/>
      <c r="F586" s="277"/>
      <c r="G586" s="277"/>
      <c r="H586" s="277"/>
      <c r="I586" s="277"/>
      <c r="J586" s="277"/>
      <c r="K586" s="277"/>
      <c r="L586" s="277"/>
      <c r="M586" s="277"/>
      <c r="N586" s="277"/>
      <c r="O586" s="277"/>
      <c r="P586" s="277"/>
      <c r="Q586" s="277"/>
      <c r="R586" s="277"/>
      <c r="S586" s="277"/>
      <c r="T586" s="294"/>
      <c r="U586" s="294"/>
      <c r="V586" s="294"/>
      <c r="W586" s="294"/>
      <c r="X586" s="294"/>
      <c r="Y586" s="294"/>
      <c r="Z586" s="294"/>
      <c r="AA586" s="294"/>
      <c r="AB586" s="294"/>
      <c r="AC586" s="277"/>
      <c r="AD586" s="277"/>
      <c r="AE586" s="277"/>
      <c r="AF586" s="277"/>
      <c r="AG586" s="277"/>
      <c r="AH586" s="277"/>
      <c r="AI586" s="277"/>
      <c r="AJ586" s="277"/>
      <c r="AK586" s="277"/>
      <c r="AL586" s="277"/>
      <c r="AM586" s="277"/>
      <c r="AN586" s="277"/>
      <c r="AO586" s="277"/>
      <c r="AP586" s="277"/>
      <c r="AQ586" s="277"/>
      <c r="AR586" s="277"/>
      <c r="AS586" s="277"/>
      <c r="AT586" s="277"/>
      <c r="AU586" s="277"/>
      <c r="AV586" s="277"/>
      <c r="AW586" s="277"/>
      <c r="AX586" s="277"/>
      <c r="AY586" s="277"/>
      <c r="AZ586" s="277"/>
      <c r="BA586" s="277"/>
      <c r="BB586" s="277"/>
    </row>
    <row r="587" spans="1:54" ht="12.75" customHeight="1" x14ac:dyDescent="0.25">
      <c r="A587" s="277"/>
      <c r="B587" s="277"/>
      <c r="C587" s="277"/>
      <c r="D587" s="277"/>
      <c r="E587" s="277"/>
      <c r="F587" s="277"/>
      <c r="G587" s="277"/>
      <c r="H587" s="277"/>
      <c r="I587" s="277"/>
      <c r="J587" s="277"/>
      <c r="K587" s="277"/>
      <c r="L587" s="277"/>
      <c r="M587" s="277"/>
      <c r="N587" s="277"/>
      <c r="O587" s="277"/>
      <c r="P587" s="277"/>
      <c r="Q587" s="277"/>
      <c r="R587" s="277"/>
      <c r="S587" s="277"/>
      <c r="T587" s="294"/>
      <c r="U587" s="294"/>
      <c r="V587" s="294"/>
      <c r="W587" s="294"/>
      <c r="X587" s="294"/>
      <c r="Y587" s="294"/>
      <c r="Z587" s="294"/>
      <c r="AA587" s="294"/>
      <c r="AB587" s="294"/>
      <c r="AC587" s="277"/>
      <c r="AD587" s="277"/>
      <c r="AE587" s="277"/>
      <c r="AF587" s="277"/>
      <c r="AG587" s="277"/>
      <c r="AH587" s="277"/>
      <c r="AI587" s="277"/>
      <c r="AJ587" s="277"/>
      <c r="AK587" s="277"/>
      <c r="AL587" s="277"/>
      <c r="AM587" s="277"/>
      <c r="AN587" s="277"/>
      <c r="AO587" s="277"/>
      <c r="AP587" s="277"/>
      <c r="AQ587" s="277"/>
      <c r="AR587" s="277"/>
      <c r="AS587" s="277"/>
      <c r="AT587" s="277"/>
      <c r="AU587" s="277"/>
      <c r="AV587" s="277"/>
      <c r="AW587" s="277"/>
      <c r="AX587" s="277"/>
      <c r="AY587" s="277"/>
      <c r="AZ587" s="277"/>
      <c r="BA587" s="277"/>
      <c r="BB587" s="277"/>
    </row>
    <row r="588" spans="1:54" ht="12.75" customHeight="1" x14ac:dyDescent="0.25">
      <c r="A588" s="277"/>
      <c r="B588" s="277"/>
      <c r="C588" s="277"/>
      <c r="D588" s="277"/>
      <c r="E588" s="277"/>
      <c r="F588" s="277"/>
      <c r="G588" s="277"/>
      <c r="H588" s="277"/>
      <c r="I588" s="277"/>
      <c r="J588" s="277"/>
      <c r="K588" s="277"/>
      <c r="L588" s="277"/>
      <c r="M588" s="277"/>
      <c r="N588" s="277"/>
      <c r="O588" s="277"/>
      <c r="P588" s="277"/>
      <c r="Q588" s="277"/>
      <c r="R588" s="277"/>
      <c r="S588" s="277"/>
      <c r="T588" s="294"/>
      <c r="U588" s="294"/>
      <c r="V588" s="294"/>
      <c r="W588" s="294"/>
      <c r="X588" s="294"/>
      <c r="Y588" s="294"/>
      <c r="Z588" s="294"/>
      <c r="AA588" s="294"/>
      <c r="AB588" s="294"/>
      <c r="AC588" s="277"/>
      <c r="AD588" s="277"/>
      <c r="AE588" s="277"/>
      <c r="AF588" s="277"/>
      <c r="AG588" s="277"/>
      <c r="AH588" s="277"/>
      <c r="AI588" s="277"/>
      <c r="AJ588" s="277"/>
      <c r="AK588" s="277"/>
      <c r="AL588" s="277"/>
      <c r="AM588" s="277"/>
      <c r="AN588" s="277"/>
      <c r="AO588" s="277"/>
      <c r="AP588" s="277"/>
      <c r="AQ588" s="277"/>
      <c r="AR588" s="277"/>
      <c r="AS588" s="277"/>
      <c r="AT588" s="277"/>
      <c r="AU588" s="277"/>
      <c r="AV588" s="277"/>
      <c r="AW588" s="277"/>
      <c r="AX588" s="277"/>
      <c r="AY588" s="277"/>
      <c r="AZ588" s="277"/>
      <c r="BA588" s="277"/>
      <c r="BB588" s="277"/>
    </row>
    <row r="589" spans="1:54" ht="12.75" customHeight="1" x14ac:dyDescent="0.25">
      <c r="A589" s="277"/>
      <c r="B589" s="277"/>
      <c r="C589" s="277"/>
      <c r="D589" s="277"/>
      <c r="E589" s="277"/>
      <c r="F589" s="277"/>
      <c r="G589" s="277"/>
      <c r="H589" s="277"/>
      <c r="I589" s="277"/>
      <c r="J589" s="277"/>
      <c r="K589" s="277"/>
      <c r="L589" s="277"/>
      <c r="M589" s="277"/>
      <c r="N589" s="277"/>
      <c r="O589" s="277"/>
      <c r="P589" s="277"/>
      <c r="Q589" s="277"/>
      <c r="R589" s="277"/>
      <c r="S589" s="277"/>
      <c r="T589" s="294"/>
      <c r="U589" s="294"/>
      <c r="V589" s="294"/>
      <c r="W589" s="294"/>
      <c r="X589" s="294"/>
      <c r="Y589" s="294"/>
      <c r="Z589" s="294"/>
      <c r="AA589" s="294"/>
      <c r="AB589" s="294"/>
      <c r="AC589" s="277"/>
      <c r="AD589" s="277"/>
      <c r="AE589" s="277"/>
      <c r="AF589" s="277"/>
      <c r="AG589" s="277"/>
      <c r="AH589" s="277"/>
      <c r="AI589" s="277"/>
      <c r="AJ589" s="277"/>
      <c r="AK589" s="277"/>
      <c r="AL589" s="277"/>
      <c r="AM589" s="277"/>
      <c r="AN589" s="277"/>
      <c r="AO589" s="277"/>
      <c r="AP589" s="277"/>
      <c r="AQ589" s="277"/>
      <c r="AR589" s="277"/>
      <c r="AS589" s="277"/>
      <c r="AT589" s="277"/>
      <c r="AU589" s="277"/>
      <c r="AV589" s="277"/>
      <c r="AW589" s="277"/>
      <c r="AX589" s="277"/>
      <c r="AY589" s="277"/>
      <c r="AZ589" s="277"/>
      <c r="BA589" s="277"/>
      <c r="BB589" s="277"/>
    </row>
    <row r="590" spans="1:54" ht="12.75" customHeight="1" x14ac:dyDescent="0.25">
      <c r="A590" s="277"/>
      <c r="B590" s="277"/>
      <c r="C590" s="277"/>
      <c r="D590" s="277"/>
      <c r="E590" s="277"/>
      <c r="F590" s="277"/>
      <c r="G590" s="277"/>
      <c r="H590" s="277"/>
      <c r="I590" s="277"/>
      <c r="J590" s="277"/>
      <c r="K590" s="277"/>
      <c r="L590" s="277"/>
      <c r="M590" s="277"/>
      <c r="N590" s="277"/>
      <c r="O590" s="277"/>
      <c r="P590" s="277"/>
      <c r="Q590" s="277"/>
      <c r="R590" s="277"/>
      <c r="S590" s="277"/>
      <c r="T590" s="294"/>
      <c r="U590" s="294"/>
      <c r="V590" s="294"/>
      <c r="W590" s="294"/>
      <c r="X590" s="294"/>
      <c r="Y590" s="294"/>
      <c r="Z590" s="294"/>
      <c r="AA590" s="294"/>
      <c r="AB590" s="294"/>
      <c r="AC590" s="277"/>
      <c r="AD590" s="277"/>
      <c r="AE590" s="277"/>
      <c r="AF590" s="277"/>
      <c r="AG590" s="277"/>
      <c r="AH590" s="277"/>
      <c r="AI590" s="277"/>
      <c r="AJ590" s="277"/>
      <c r="AK590" s="277"/>
      <c r="AL590" s="277"/>
      <c r="AM590" s="277"/>
      <c r="AN590" s="277"/>
      <c r="AO590" s="277"/>
      <c r="AP590" s="277"/>
      <c r="AQ590" s="277"/>
      <c r="AR590" s="277"/>
      <c r="AS590" s="277"/>
      <c r="AT590" s="277"/>
      <c r="AU590" s="277"/>
      <c r="AV590" s="277"/>
      <c r="AW590" s="277"/>
      <c r="AX590" s="277"/>
      <c r="AY590" s="277"/>
      <c r="AZ590" s="277"/>
      <c r="BA590" s="277"/>
      <c r="BB590" s="277"/>
    </row>
    <row r="591" spans="1:54" ht="12.75" customHeight="1" x14ac:dyDescent="0.25">
      <c r="A591" s="277"/>
      <c r="B591" s="277"/>
      <c r="C591" s="277"/>
      <c r="D591" s="277"/>
      <c r="E591" s="277"/>
      <c r="F591" s="277"/>
      <c r="G591" s="277"/>
      <c r="H591" s="277"/>
      <c r="I591" s="277"/>
      <c r="J591" s="277"/>
      <c r="K591" s="277"/>
      <c r="L591" s="277"/>
      <c r="M591" s="277"/>
      <c r="N591" s="277"/>
      <c r="O591" s="277"/>
      <c r="P591" s="277"/>
      <c r="Q591" s="277"/>
      <c r="R591" s="277"/>
      <c r="S591" s="277"/>
      <c r="T591" s="294"/>
      <c r="U591" s="294"/>
      <c r="V591" s="294"/>
      <c r="W591" s="294"/>
      <c r="X591" s="294"/>
      <c r="Y591" s="294"/>
      <c r="Z591" s="294"/>
      <c r="AA591" s="294"/>
      <c r="AB591" s="294"/>
      <c r="AC591" s="277"/>
      <c r="AD591" s="277"/>
      <c r="AE591" s="277"/>
      <c r="AF591" s="277"/>
      <c r="AG591" s="277"/>
      <c r="AH591" s="277"/>
      <c r="AI591" s="277"/>
      <c r="AJ591" s="277"/>
      <c r="AK591" s="277"/>
      <c r="AL591" s="277"/>
      <c r="AM591" s="277"/>
      <c r="AN591" s="277"/>
      <c r="AO591" s="277"/>
      <c r="AP591" s="277"/>
      <c r="AQ591" s="277"/>
      <c r="AR591" s="277"/>
      <c r="AS591" s="277"/>
      <c r="AT591" s="277"/>
      <c r="AU591" s="277"/>
      <c r="AV591" s="277"/>
      <c r="AW591" s="277"/>
      <c r="AX591" s="277"/>
      <c r="AY591" s="277"/>
      <c r="AZ591" s="277"/>
      <c r="BA591" s="277"/>
      <c r="BB591" s="277"/>
    </row>
    <row r="592" spans="1:54" ht="12.75" customHeight="1" x14ac:dyDescent="0.25">
      <c r="A592" s="277"/>
      <c r="B592" s="277"/>
      <c r="C592" s="277"/>
      <c r="D592" s="277"/>
      <c r="E592" s="277"/>
      <c r="F592" s="277"/>
      <c r="G592" s="277"/>
      <c r="H592" s="277"/>
      <c r="I592" s="277"/>
      <c r="J592" s="277"/>
      <c r="K592" s="277"/>
      <c r="L592" s="277"/>
      <c r="M592" s="277"/>
      <c r="N592" s="277"/>
      <c r="O592" s="277"/>
      <c r="P592" s="277"/>
      <c r="Q592" s="277"/>
      <c r="R592" s="277"/>
      <c r="S592" s="277"/>
      <c r="T592" s="294"/>
      <c r="U592" s="294"/>
      <c r="V592" s="294"/>
      <c r="W592" s="294"/>
      <c r="X592" s="294"/>
      <c r="Y592" s="294"/>
      <c r="Z592" s="294"/>
      <c r="AA592" s="294"/>
      <c r="AB592" s="294"/>
      <c r="AC592" s="277"/>
      <c r="AD592" s="277"/>
      <c r="AE592" s="277"/>
      <c r="AF592" s="277"/>
      <c r="AG592" s="277"/>
      <c r="AH592" s="277"/>
      <c r="AI592" s="277"/>
      <c r="AJ592" s="277"/>
      <c r="AK592" s="277"/>
      <c r="AL592" s="277"/>
      <c r="AM592" s="277"/>
      <c r="AN592" s="277"/>
      <c r="AO592" s="277"/>
      <c r="AP592" s="277"/>
      <c r="AQ592" s="277"/>
      <c r="AR592" s="277"/>
      <c r="AS592" s="277"/>
      <c r="AT592" s="277"/>
      <c r="AU592" s="277"/>
      <c r="AV592" s="277"/>
      <c r="AW592" s="277"/>
      <c r="AX592" s="277"/>
      <c r="AY592" s="277"/>
      <c r="AZ592" s="277"/>
      <c r="BA592" s="277"/>
      <c r="BB592" s="277"/>
    </row>
    <row r="593" spans="1:54" ht="12.75" customHeight="1" x14ac:dyDescent="0.25">
      <c r="A593" s="277"/>
      <c r="B593" s="277"/>
      <c r="C593" s="277"/>
      <c r="D593" s="277"/>
      <c r="E593" s="277"/>
      <c r="F593" s="277"/>
      <c r="G593" s="277"/>
      <c r="H593" s="277"/>
      <c r="I593" s="277"/>
      <c r="J593" s="277"/>
      <c r="K593" s="277"/>
      <c r="L593" s="277"/>
      <c r="M593" s="277"/>
      <c r="N593" s="277"/>
      <c r="O593" s="277"/>
      <c r="P593" s="277"/>
      <c r="Q593" s="277"/>
      <c r="R593" s="277"/>
      <c r="S593" s="277"/>
      <c r="T593" s="294"/>
      <c r="U593" s="294"/>
      <c r="V593" s="294"/>
      <c r="W593" s="294"/>
      <c r="X593" s="294"/>
      <c r="Y593" s="294"/>
      <c r="Z593" s="294"/>
      <c r="AA593" s="294"/>
      <c r="AB593" s="294"/>
      <c r="AC593" s="277"/>
      <c r="AD593" s="277"/>
      <c r="AE593" s="277"/>
      <c r="AF593" s="277"/>
      <c r="AG593" s="277"/>
      <c r="AH593" s="277"/>
      <c r="AI593" s="277"/>
      <c r="AJ593" s="277"/>
      <c r="AK593" s="277"/>
      <c r="AL593" s="277"/>
      <c r="AM593" s="277"/>
      <c r="AN593" s="277"/>
      <c r="AO593" s="277"/>
      <c r="AP593" s="277"/>
      <c r="AQ593" s="277"/>
      <c r="AR593" s="277"/>
      <c r="AS593" s="277"/>
      <c r="AT593" s="277"/>
      <c r="AU593" s="277"/>
      <c r="AV593" s="277"/>
      <c r="AW593" s="277"/>
      <c r="AX593" s="277"/>
      <c r="AY593" s="277"/>
      <c r="AZ593" s="277"/>
      <c r="BA593" s="277"/>
      <c r="BB593" s="277"/>
    </row>
    <row r="594" spans="1:54" ht="12.75" customHeight="1" x14ac:dyDescent="0.25">
      <c r="A594" s="277"/>
      <c r="B594" s="277"/>
      <c r="C594" s="277"/>
      <c r="D594" s="277"/>
      <c r="E594" s="277"/>
      <c r="F594" s="277"/>
      <c r="G594" s="277"/>
      <c r="H594" s="277"/>
      <c r="I594" s="277"/>
      <c r="J594" s="277"/>
      <c r="K594" s="277"/>
      <c r="L594" s="277"/>
      <c r="M594" s="277"/>
      <c r="N594" s="277"/>
      <c r="O594" s="277"/>
      <c r="P594" s="277"/>
      <c r="Q594" s="277"/>
      <c r="R594" s="277"/>
      <c r="S594" s="277"/>
      <c r="T594" s="294"/>
      <c r="U594" s="294"/>
      <c r="V594" s="294"/>
      <c r="W594" s="294"/>
      <c r="X594" s="294"/>
      <c r="Y594" s="294"/>
      <c r="Z594" s="294"/>
      <c r="AA594" s="294"/>
      <c r="AB594" s="294"/>
      <c r="AC594" s="277"/>
      <c r="AD594" s="277"/>
      <c r="AE594" s="277"/>
      <c r="AF594" s="277"/>
      <c r="AG594" s="277"/>
      <c r="AH594" s="277"/>
      <c r="AI594" s="277"/>
      <c r="AJ594" s="277"/>
      <c r="AK594" s="277"/>
      <c r="AL594" s="277"/>
      <c r="AM594" s="277"/>
      <c r="AN594" s="277"/>
      <c r="AO594" s="277"/>
      <c r="AP594" s="277"/>
      <c r="AQ594" s="277"/>
      <c r="AR594" s="277"/>
      <c r="AS594" s="277"/>
      <c r="AT594" s="277"/>
      <c r="AU594" s="277"/>
      <c r="AV594" s="277"/>
      <c r="AW594" s="277"/>
      <c r="AX594" s="277"/>
      <c r="AY594" s="277"/>
      <c r="AZ594" s="277"/>
      <c r="BA594" s="277"/>
      <c r="BB594" s="277"/>
    </row>
    <row r="595" spans="1:54" ht="12.75" customHeight="1" x14ac:dyDescent="0.25">
      <c r="A595" s="277"/>
      <c r="B595" s="277"/>
      <c r="C595" s="277"/>
      <c r="D595" s="277"/>
      <c r="E595" s="277"/>
      <c r="F595" s="277"/>
      <c r="G595" s="277"/>
      <c r="H595" s="277"/>
      <c r="I595" s="277"/>
      <c r="J595" s="277"/>
      <c r="K595" s="277"/>
      <c r="L595" s="277"/>
      <c r="M595" s="277"/>
      <c r="N595" s="277"/>
      <c r="O595" s="277"/>
      <c r="P595" s="277"/>
      <c r="Q595" s="277"/>
      <c r="R595" s="277"/>
      <c r="S595" s="277"/>
      <c r="T595" s="294"/>
      <c r="U595" s="294"/>
      <c r="V595" s="294"/>
      <c r="W595" s="294"/>
      <c r="X595" s="294"/>
      <c r="Y595" s="294"/>
      <c r="Z595" s="294"/>
      <c r="AA595" s="294"/>
      <c r="AB595" s="294"/>
      <c r="AC595" s="277"/>
      <c r="AD595" s="277"/>
      <c r="AE595" s="277"/>
      <c r="AF595" s="277"/>
      <c r="AG595" s="277"/>
      <c r="AH595" s="277"/>
      <c r="AI595" s="277"/>
      <c r="AJ595" s="277"/>
      <c r="AK595" s="277"/>
      <c r="AL595" s="277"/>
      <c r="AM595" s="277"/>
      <c r="AN595" s="277"/>
      <c r="AO595" s="277"/>
      <c r="AP595" s="277"/>
      <c r="AQ595" s="277"/>
      <c r="AR595" s="277"/>
      <c r="AS595" s="277"/>
      <c r="AT595" s="277"/>
      <c r="AU595" s="277"/>
      <c r="AV595" s="277"/>
      <c r="AW595" s="277"/>
      <c r="AX595" s="277"/>
      <c r="AY595" s="277"/>
      <c r="AZ595" s="277"/>
      <c r="BA595" s="277"/>
      <c r="BB595" s="277"/>
    </row>
    <row r="596" spans="1:54" ht="12.75" customHeight="1" x14ac:dyDescent="0.25">
      <c r="A596" s="277"/>
      <c r="B596" s="277"/>
      <c r="C596" s="277"/>
      <c r="D596" s="277"/>
      <c r="E596" s="277"/>
      <c r="F596" s="277"/>
      <c r="G596" s="277"/>
      <c r="H596" s="277"/>
      <c r="I596" s="277"/>
      <c r="J596" s="277"/>
      <c r="K596" s="277"/>
      <c r="L596" s="277"/>
      <c r="M596" s="277"/>
      <c r="N596" s="277"/>
      <c r="O596" s="277"/>
      <c r="P596" s="277"/>
      <c r="Q596" s="277"/>
      <c r="R596" s="277"/>
      <c r="S596" s="277"/>
      <c r="T596" s="294"/>
      <c r="U596" s="294"/>
      <c r="V596" s="294"/>
      <c r="W596" s="294"/>
      <c r="X596" s="294"/>
      <c r="Y596" s="294"/>
      <c r="Z596" s="294"/>
      <c r="AA596" s="294"/>
      <c r="AB596" s="294"/>
      <c r="AC596" s="277"/>
      <c r="AD596" s="277"/>
      <c r="AE596" s="277"/>
      <c r="AF596" s="277"/>
      <c r="AG596" s="277"/>
      <c r="AH596" s="277"/>
      <c r="AI596" s="277"/>
      <c r="AJ596" s="277"/>
      <c r="AK596" s="277"/>
      <c r="AL596" s="277"/>
      <c r="AM596" s="277"/>
      <c r="AN596" s="277"/>
      <c r="AO596" s="277"/>
      <c r="AP596" s="277"/>
      <c r="AQ596" s="277"/>
      <c r="AR596" s="277"/>
      <c r="AS596" s="277"/>
      <c r="AT596" s="277"/>
      <c r="AU596" s="277"/>
      <c r="AV596" s="277"/>
      <c r="AW596" s="277"/>
      <c r="AX596" s="277"/>
      <c r="AY596" s="277"/>
      <c r="AZ596" s="277"/>
      <c r="BA596" s="277"/>
      <c r="BB596" s="277"/>
    </row>
    <row r="597" spans="1:54" ht="12.75" customHeight="1" x14ac:dyDescent="0.25">
      <c r="A597" s="277"/>
      <c r="B597" s="277"/>
      <c r="C597" s="277"/>
      <c r="D597" s="277"/>
      <c r="E597" s="277"/>
      <c r="F597" s="277"/>
      <c r="G597" s="277"/>
      <c r="H597" s="277"/>
      <c r="I597" s="277"/>
      <c r="J597" s="277"/>
      <c r="K597" s="277"/>
      <c r="L597" s="277"/>
      <c r="M597" s="277"/>
      <c r="N597" s="277"/>
      <c r="O597" s="277"/>
      <c r="P597" s="277"/>
      <c r="Q597" s="277"/>
      <c r="R597" s="277"/>
      <c r="S597" s="277"/>
      <c r="T597" s="294"/>
      <c r="U597" s="294"/>
      <c r="V597" s="294"/>
      <c r="W597" s="294"/>
      <c r="X597" s="294"/>
      <c r="Y597" s="294"/>
      <c r="Z597" s="294"/>
      <c r="AA597" s="294"/>
      <c r="AB597" s="294"/>
      <c r="AC597" s="277"/>
      <c r="AD597" s="277"/>
      <c r="AE597" s="277"/>
      <c r="AF597" s="277"/>
      <c r="AG597" s="277"/>
      <c r="AH597" s="277"/>
      <c r="AI597" s="277"/>
      <c r="AJ597" s="277"/>
      <c r="AK597" s="277"/>
      <c r="AL597" s="277"/>
      <c r="AM597" s="277"/>
      <c r="AN597" s="277"/>
      <c r="AO597" s="277"/>
      <c r="AP597" s="277"/>
      <c r="AQ597" s="277"/>
      <c r="AR597" s="277"/>
      <c r="AS597" s="277"/>
      <c r="AT597" s="277"/>
      <c r="AU597" s="277"/>
      <c r="AV597" s="277"/>
      <c r="AW597" s="277"/>
      <c r="AX597" s="277"/>
      <c r="AY597" s="277"/>
      <c r="AZ597" s="277"/>
      <c r="BA597" s="277"/>
      <c r="BB597" s="277"/>
    </row>
    <row r="598" spans="1:54" ht="12.75" customHeight="1" x14ac:dyDescent="0.25">
      <c r="A598" s="277"/>
      <c r="B598" s="277"/>
      <c r="C598" s="277"/>
      <c r="D598" s="277"/>
      <c r="E598" s="277"/>
      <c r="F598" s="277"/>
      <c r="G598" s="277"/>
      <c r="H598" s="277"/>
      <c r="I598" s="277"/>
      <c r="J598" s="277"/>
      <c r="K598" s="277"/>
      <c r="L598" s="277"/>
      <c r="M598" s="277"/>
      <c r="N598" s="277"/>
      <c r="O598" s="277"/>
      <c r="P598" s="277"/>
      <c r="Q598" s="277"/>
      <c r="R598" s="277"/>
      <c r="S598" s="277"/>
      <c r="T598" s="294"/>
      <c r="U598" s="294"/>
      <c r="V598" s="294"/>
      <c r="W598" s="294"/>
      <c r="X598" s="294"/>
      <c r="Y598" s="294"/>
      <c r="Z598" s="294"/>
      <c r="AA598" s="294"/>
      <c r="AB598" s="294"/>
      <c r="AC598" s="277"/>
      <c r="AD598" s="277"/>
      <c r="AE598" s="277"/>
      <c r="AF598" s="277"/>
      <c r="AG598" s="277"/>
      <c r="AH598" s="277"/>
      <c r="AI598" s="277"/>
      <c r="AJ598" s="277"/>
      <c r="AK598" s="277"/>
      <c r="AL598" s="277"/>
      <c r="AM598" s="277"/>
      <c r="AN598" s="277"/>
      <c r="AO598" s="277"/>
      <c r="AP598" s="277"/>
      <c r="AQ598" s="277"/>
      <c r="AR598" s="277"/>
      <c r="AS598" s="277"/>
      <c r="AT598" s="277"/>
      <c r="AU598" s="277"/>
      <c r="AV598" s="277"/>
      <c r="AW598" s="277"/>
      <c r="AX598" s="277"/>
      <c r="AY598" s="277"/>
      <c r="AZ598" s="277"/>
      <c r="BA598" s="277"/>
      <c r="BB598" s="277"/>
    </row>
    <row r="599" spans="1:54" ht="12.75" customHeight="1" x14ac:dyDescent="0.25">
      <c r="A599" s="277"/>
      <c r="B599" s="277"/>
      <c r="C599" s="277"/>
      <c r="D599" s="277"/>
      <c r="E599" s="277"/>
      <c r="F599" s="277"/>
      <c r="G599" s="277"/>
      <c r="H599" s="277"/>
      <c r="I599" s="277"/>
      <c r="J599" s="277"/>
      <c r="K599" s="277"/>
      <c r="L599" s="277"/>
      <c r="M599" s="277"/>
      <c r="N599" s="277"/>
      <c r="O599" s="277"/>
      <c r="P599" s="277"/>
      <c r="Q599" s="277"/>
      <c r="R599" s="277"/>
      <c r="S599" s="277"/>
      <c r="T599" s="294"/>
      <c r="U599" s="294"/>
      <c r="V599" s="294"/>
      <c r="W599" s="294"/>
      <c r="X599" s="294"/>
      <c r="Y599" s="294"/>
      <c r="Z599" s="294"/>
      <c r="AA599" s="294"/>
      <c r="AB599" s="294"/>
      <c r="AC599" s="277"/>
      <c r="AD599" s="277"/>
      <c r="AE599" s="277"/>
      <c r="AF599" s="277"/>
      <c r="AG599" s="277"/>
      <c r="AH599" s="277"/>
      <c r="AI599" s="277"/>
      <c r="AJ599" s="277"/>
      <c r="AK599" s="277"/>
      <c r="AL599" s="277"/>
      <c r="AM599" s="277"/>
      <c r="AN599" s="277"/>
      <c r="AO599" s="277"/>
      <c r="AP599" s="277"/>
      <c r="AQ599" s="277"/>
      <c r="AR599" s="277"/>
      <c r="AS599" s="277"/>
      <c r="AT599" s="277"/>
      <c r="AU599" s="277"/>
      <c r="AV599" s="277"/>
      <c r="AW599" s="277"/>
      <c r="AX599" s="277"/>
      <c r="AY599" s="277"/>
      <c r="AZ599" s="277"/>
      <c r="BA599" s="277"/>
      <c r="BB599" s="277"/>
    </row>
    <row r="600" spans="1:54" ht="12.75" customHeight="1" x14ac:dyDescent="0.25">
      <c r="A600" s="277"/>
      <c r="B600" s="277"/>
      <c r="C600" s="277"/>
      <c r="D600" s="277"/>
      <c r="E600" s="277"/>
      <c r="F600" s="277"/>
      <c r="G600" s="277"/>
      <c r="H600" s="277"/>
      <c r="I600" s="277"/>
      <c r="J600" s="277"/>
      <c r="K600" s="277"/>
      <c r="L600" s="277"/>
      <c r="M600" s="277"/>
      <c r="N600" s="277"/>
      <c r="O600" s="277"/>
      <c r="P600" s="277"/>
      <c r="Q600" s="277"/>
      <c r="R600" s="277"/>
      <c r="S600" s="277"/>
      <c r="T600" s="294"/>
      <c r="U600" s="294"/>
      <c r="V600" s="294"/>
      <c r="W600" s="294"/>
      <c r="X600" s="294"/>
      <c r="Y600" s="294"/>
      <c r="Z600" s="294"/>
      <c r="AA600" s="294"/>
      <c r="AB600" s="294"/>
      <c r="AC600" s="277"/>
      <c r="AD600" s="277"/>
      <c r="AE600" s="277"/>
      <c r="AF600" s="277"/>
      <c r="AG600" s="277"/>
      <c r="AH600" s="277"/>
      <c r="AI600" s="277"/>
      <c r="AJ600" s="277"/>
      <c r="AK600" s="277"/>
      <c r="AL600" s="277"/>
      <c r="AM600" s="277"/>
      <c r="AN600" s="277"/>
      <c r="AO600" s="277"/>
      <c r="AP600" s="277"/>
      <c r="AQ600" s="277"/>
      <c r="AR600" s="277"/>
      <c r="AS600" s="277"/>
      <c r="AT600" s="277"/>
      <c r="AU600" s="277"/>
      <c r="AV600" s="277"/>
      <c r="AW600" s="277"/>
      <c r="AX600" s="277"/>
      <c r="AY600" s="277"/>
      <c r="AZ600" s="277"/>
      <c r="BA600" s="277"/>
      <c r="BB600" s="277"/>
    </row>
    <row r="601" spans="1:54" ht="12.75" customHeight="1" x14ac:dyDescent="0.25">
      <c r="A601" s="277"/>
      <c r="B601" s="277"/>
      <c r="C601" s="277"/>
      <c r="D601" s="277"/>
      <c r="E601" s="277"/>
      <c r="F601" s="277"/>
      <c r="G601" s="277"/>
      <c r="H601" s="277"/>
      <c r="I601" s="277"/>
      <c r="J601" s="277"/>
      <c r="K601" s="277"/>
      <c r="L601" s="277"/>
      <c r="M601" s="277"/>
      <c r="N601" s="277"/>
      <c r="O601" s="277"/>
      <c r="P601" s="277"/>
      <c r="Q601" s="277"/>
      <c r="R601" s="277"/>
      <c r="S601" s="277"/>
      <c r="T601" s="294"/>
      <c r="U601" s="294"/>
      <c r="V601" s="294"/>
      <c r="W601" s="294"/>
      <c r="X601" s="294"/>
      <c r="Y601" s="294"/>
      <c r="Z601" s="294"/>
      <c r="AA601" s="294"/>
      <c r="AB601" s="294"/>
      <c r="AC601" s="277"/>
      <c r="AD601" s="277"/>
      <c r="AE601" s="277"/>
      <c r="AF601" s="277"/>
      <c r="AG601" s="277"/>
      <c r="AH601" s="277"/>
      <c r="AI601" s="277"/>
      <c r="AJ601" s="277"/>
      <c r="AK601" s="277"/>
      <c r="AL601" s="277"/>
      <c r="AM601" s="277"/>
      <c r="AN601" s="277"/>
      <c r="AO601" s="277"/>
      <c r="AP601" s="277"/>
      <c r="AQ601" s="277"/>
      <c r="AR601" s="277"/>
      <c r="AS601" s="277"/>
      <c r="AT601" s="277"/>
      <c r="AU601" s="277"/>
      <c r="AV601" s="277"/>
      <c r="AW601" s="277"/>
      <c r="AX601" s="277"/>
      <c r="AY601" s="277"/>
      <c r="AZ601" s="277"/>
      <c r="BA601" s="277"/>
      <c r="BB601" s="277"/>
    </row>
    <row r="602" spans="1:54" ht="12.75" customHeight="1" x14ac:dyDescent="0.25">
      <c r="A602" s="277"/>
      <c r="B602" s="277"/>
      <c r="C602" s="277"/>
      <c r="D602" s="277"/>
      <c r="E602" s="277"/>
      <c r="F602" s="277"/>
      <c r="G602" s="277"/>
      <c r="H602" s="277"/>
      <c r="I602" s="277"/>
      <c r="J602" s="277"/>
      <c r="K602" s="277"/>
      <c r="L602" s="277"/>
      <c r="M602" s="277"/>
      <c r="N602" s="277"/>
      <c r="O602" s="277"/>
      <c r="P602" s="277"/>
      <c r="Q602" s="277"/>
      <c r="R602" s="277"/>
      <c r="S602" s="277"/>
      <c r="T602" s="294"/>
      <c r="U602" s="294"/>
      <c r="V602" s="294"/>
      <c r="W602" s="294"/>
      <c r="X602" s="294"/>
      <c r="Y602" s="294"/>
      <c r="Z602" s="294"/>
      <c r="AA602" s="294"/>
      <c r="AB602" s="294"/>
      <c r="AC602" s="277"/>
      <c r="AD602" s="277"/>
      <c r="AE602" s="277"/>
      <c r="AF602" s="277"/>
      <c r="AG602" s="277"/>
      <c r="AH602" s="277"/>
      <c r="AI602" s="277"/>
      <c r="AJ602" s="277"/>
      <c r="AK602" s="277"/>
      <c r="AL602" s="277"/>
      <c r="AM602" s="277"/>
      <c r="AN602" s="277"/>
      <c r="AO602" s="277"/>
      <c r="AP602" s="277"/>
      <c r="AQ602" s="277"/>
      <c r="AR602" s="277"/>
      <c r="AS602" s="277"/>
      <c r="AT602" s="277"/>
      <c r="AU602" s="277"/>
      <c r="AV602" s="277"/>
      <c r="AW602" s="277"/>
      <c r="AX602" s="277"/>
      <c r="AY602" s="277"/>
      <c r="AZ602" s="277"/>
      <c r="BA602" s="277"/>
      <c r="BB602" s="277"/>
    </row>
    <row r="603" spans="1:54" ht="12.75" customHeight="1" x14ac:dyDescent="0.25">
      <c r="A603" s="277"/>
      <c r="B603" s="277"/>
      <c r="C603" s="277"/>
      <c r="D603" s="277"/>
      <c r="E603" s="277"/>
      <c r="F603" s="277"/>
      <c r="G603" s="277"/>
      <c r="H603" s="277"/>
      <c r="I603" s="277"/>
      <c r="J603" s="277"/>
      <c r="K603" s="277"/>
      <c r="L603" s="277"/>
      <c r="M603" s="277"/>
      <c r="N603" s="277"/>
      <c r="O603" s="277"/>
      <c r="P603" s="277"/>
      <c r="Q603" s="277"/>
      <c r="R603" s="277"/>
      <c r="S603" s="277"/>
      <c r="T603" s="294"/>
      <c r="U603" s="294"/>
      <c r="V603" s="294"/>
      <c r="W603" s="294"/>
      <c r="X603" s="294"/>
      <c r="Y603" s="294"/>
      <c r="Z603" s="294"/>
      <c r="AA603" s="294"/>
      <c r="AB603" s="294"/>
      <c r="AC603" s="277"/>
      <c r="AD603" s="277"/>
      <c r="AE603" s="277"/>
      <c r="AF603" s="277"/>
      <c r="AG603" s="277"/>
      <c r="AH603" s="277"/>
      <c r="AI603" s="277"/>
      <c r="AJ603" s="277"/>
      <c r="AK603" s="277"/>
      <c r="AL603" s="277"/>
      <c r="AM603" s="277"/>
      <c r="AN603" s="277"/>
      <c r="AO603" s="277"/>
      <c r="AP603" s="277"/>
      <c r="AQ603" s="277"/>
      <c r="AR603" s="277"/>
      <c r="AS603" s="277"/>
      <c r="AT603" s="277"/>
      <c r="AU603" s="277"/>
      <c r="AV603" s="277"/>
      <c r="AW603" s="277"/>
      <c r="AX603" s="277"/>
      <c r="AY603" s="277"/>
      <c r="AZ603" s="277"/>
      <c r="BA603" s="277"/>
      <c r="BB603" s="277"/>
    </row>
    <row r="604" spans="1:54" ht="12.75" customHeight="1" x14ac:dyDescent="0.25">
      <c r="A604" s="277"/>
      <c r="B604" s="277"/>
      <c r="C604" s="277"/>
      <c r="D604" s="277"/>
      <c r="E604" s="277"/>
      <c r="F604" s="277"/>
      <c r="G604" s="277"/>
      <c r="H604" s="277"/>
      <c r="I604" s="277"/>
      <c r="J604" s="277"/>
      <c r="K604" s="277"/>
      <c r="L604" s="277"/>
      <c r="M604" s="277"/>
      <c r="N604" s="277"/>
      <c r="O604" s="277"/>
      <c r="P604" s="277"/>
      <c r="Q604" s="277"/>
      <c r="R604" s="277"/>
      <c r="S604" s="277"/>
      <c r="T604" s="294"/>
      <c r="U604" s="294"/>
      <c r="V604" s="294"/>
      <c r="W604" s="294"/>
      <c r="X604" s="294"/>
      <c r="Y604" s="294"/>
      <c r="Z604" s="294"/>
      <c r="AA604" s="294"/>
      <c r="AB604" s="294"/>
      <c r="AC604" s="277"/>
      <c r="AD604" s="277"/>
      <c r="AE604" s="277"/>
      <c r="AF604" s="277"/>
      <c r="AG604" s="277"/>
      <c r="AH604" s="277"/>
      <c r="AI604" s="277"/>
      <c r="AJ604" s="277"/>
      <c r="AK604" s="277"/>
      <c r="AL604" s="277"/>
      <c r="AM604" s="277"/>
      <c r="AN604" s="277"/>
      <c r="AO604" s="277"/>
      <c r="AP604" s="277"/>
      <c r="AQ604" s="277"/>
      <c r="AR604" s="277"/>
      <c r="AS604" s="277"/>
      <c r="AT604" s="277"/>
      <c r="AU604" s="277"/>
      <c r="AV604" s="277"/>
      <c r="AW604" s="277"/>
      <c r="AX604" s="277"/>
      <c r="AY604" s="277"/>
      <c r="AZ604" s="277"/>
      <c r="BA604" s="277"/>
      <c r="BB604" s="277"/>
    </row>
    <row r="605" spans="1:54" ht="12.75" customHeight="1" x14ac:dyDescent="0.25">
      <c r="A605" s="277"/>
      <c r="B605" s="277"/>
      <c r="C605" s="277"/>
      <c r="D605" s="277"/>
      <c r="E605" s="277"/>
      <c r="F605" s="277"/>
      <c r="G605" s="277"/>
      <c r="H605" s="277"/>
      <c r="I605" s="277"/>
      <c r="J605" s="277"/>
      <c r="K605" s="277"/>
      <c r="L605" s="277"/>
      <c r="M605" s="277"/>
      <c r="N605" s="277"/>
      <c r="O605" s="277"/>
      <c r="P605" s="277"/>
      <c r="Q605" s="277"/>
      <c r="R605" s="277"/>
      <c r="S605" s="277"/>
      <c r="T605" s="294"/>
      <c r="U605" s="294"/>
      <c r="V605" s="294"/>
      <c r="W605" s="294"/>
      <c r="X605" s="294"/>
      <c r="Y605" s="294"/>
      <c r="Z605" s="294"/>
      <c r="AA605" s="294"/>
      <c r="AB605" s="294"/>
      <c r="AC605" s="277"/>
      <c r="AD605" s="277"/>
      <c r="AE605" s="277"/>
      <c r="AF605" s="277"/>
      <c r="AG605" s="277"/>
      <c r="AH605" s="277"/>
      <c r="AI605" s="277"/>
      <c r="AJ605" s="277"/>
      <c r="AK605" s="277"/>
      <c r="AL605" s="277"/>
      <c r="AM605" s="277"/>
      <c r="AN605" s="277"/>
      <c r="AO605" s="277"/>
      <c r="AP605" s="277"/>
      <c r="AQ605" s="277"/>
      <c r="AR605" s="277"/>
      <c r="AS605" s="277"/>
      <c r="AT605" s="277"/>
      <c r="AU605" s="277"/>
      <c r="AV605" s="277"/>
      <c r="AW605" s="277"/>
      <c r="AX605" s="277"/>
      <c r="AY605" s="277"/>
      <c r="AZ605" s="277"/>
      <c r="BA605" s="277"/>
      <c r="BB605" s="277"/>
    </row>
    <row r="606" spans="1:54" ht="12.75" customHeight="1" x14ac:dyDescent="0.25">
      <c r="A606" s="277"/>
      <c r="B606" s="277"/>
      <c r="C606" s="277"/>
      <c r="D606" s="277"/>
      <c r="E606" s="277"/>
      <c r="F606" s="277"/>
      <c r="G606" s="277"/>
      <c r="H606" s="277"/>
      <c r="I606" s="277"/>
      <c r="J606" s="277"/>
      <c r="K606" s="277"/>
      <c r="L606" s="277"/>
      <c r="M606" s="277"/>
      <c r="N606" s="277"/>
      <c r="O606" s="277"/>
      <c r="P606" s="277"/>
      <c r="Q606" s="277"/>
      <c r="R606" s="277"/>
      <c r="S606" s="277"/>
      <c r="T606" s="294"/>
      <c r="U606" s="294"/>
      <c r="V606" s="294"/>
      <c r="W606" s="294"/>
      <c r="X606" s="294"/>
      <c r="Y606" s="294"/>
      <c r="Z606" s="294"/>
      <c r="AA606" s="294"/>
      <c r="AB606" s="294"/>
      <c r="AC606" s="277"/>
      <c r="AD606" s="277"/>
      <c r="AE606" s="277"/>
      <c r="AF606" s="277"/>
      <c r="AG606" s="277"/>
      <c r="AH606" s="277"/>
      <c r="AI606" s="277"/>
      <c r="AJ606" s="277"/>
      <c r="AK606" s="277"/>
      <c r="AL606" s="277"/>
      <c r="AM606" s="277"/>
      <c r="AN606" s="277"/>
      <c r="AO606" s="277"/>
      <c r="AP606" s="277"/>
      <c r="AQ606" s="277"/>
      <c r="AR606" s="277"/>
      <c r="AS606" s="277"/>
      <c r="AT606" s="277"/>
      <c r="AU606" s="277"/>
      <c r="AV606" s="277"/>
      <c r="AW606" s="277"/>
      <c r="AX606" s="277"/>
      <c r="AY606" s="277"/>
      <c r="AZ606" s="277"/>
      <c r="BA606" s="277"/>
      <c r="BB606" s="277"/>
    </row>
    <row r="607" spans="1:54" ht="12.75" customHeight="1" x14ac:dyDescent="0.25">
      <c r="A607" s="277"/>
      <c r="B607" s="277"/>
      <c r="C607" s="277"/>
      <c r="D607" s="277"/>
      <c r="E607" s="277"/>
      <c r="F607" s="277"/>
      <c r="G607" s="277"/>
      <c r="H607" s="277"/>
      <c r="I607" s="277"/>
      <c r="J607" s="277"/>
      <c r="K607" s="277"/>
      <c r="L607" s="277"/>
      <c r="M607" s="277"/>
      <c r="N607" s="277"/>
      <c r="O607" s="277"/>
      <c r="P607" s="277"/>
      <c r="Q607" s="277"/>
      <c r="R607" s="277"/>
      <c r="S607" s="277"/>
      <c r="T607" s="294"/>
      <c r="U607" s="294"/>
      <c r="V607" s="294"/>
      <c r="W607" s="294"/>
      <c r="X607" s="294"/>
      <c r="Y607" s="294"/>
      <c r="Z607" s="294"/>
      <c r="AA607" s="294"/>
      <c r="AB607" s="294"/>
      <c r="AC607" s="277"/>
      <c r="AD607" s="277"/>
      <c r="AE607" s="277"/>
      <c r="AF607" s="277"/>
      <c r="AG607" s="277"/>
      <c r="AH607" s="277"/>
      <c r="AI607" s="277"/>
      <c r="AJ607" s="277"/>
      <c r="AK607" s="277"/>
      <c r="AL607" s="277"/>
      <c r="AM607" s="277"/>
      <c r="AN607" s="277"/>
      <c r="AO607" s="277"/>
      <c r="AP607" s="277"/>
      <c r="AQ607" s="277"/>
      <c r="AR607" s="277"/>
      <c r="AS607" s="277"/>
      <c r="AT607" s="277"/>
      <c r="AU607" s="277"/>
      <c r="AV607" s="277"/>
      <c r="AW607" s="277"/>
      <c r="AX607" s="277"/>
      <c r="AY607" s="277"/>
      <c r="AZ607" s="277"/>
      <c r="BA607" s="277"/>
      <c r="BB607" s="277"/>
    </row>
    <row r="608" spans="1:54" ht="12.75" customHeight="1" x14ac:dyDescent="0.25">
      <c r="A608" s="277"/>
      <c r="B608" s="277"/>
      <c r="C608" s="277"/>
      <c r="D608" s="277"/>
      <c r="E608" s="277"/>
      <c r="F608" s="277"/>
      <c r="G608" s="277"/>
      <c r="H608" s="277"/>
      <c r="I608" s="277"/>
      <c r="J608" s="277"/>
      <c r="K608" s="277"/>
      <c r="L608" s="277"/>
      <c r="M608" s="277"/>
      <c r="N608" s="277"/>
      <c r="O608" s="277"/>
      <c r="P608" s="277"/>
      <c r="Q608" s="277"/>
      <c r="R608" s="277"/>
      <c r="S608" s="277"/>
      <c r="T608" s="294"/>
      <c r="U608" s="294"/>
      <c r="V608" s="294"/>
      <c r="W608" s="294"/>
      <c r="X608" s="294"/>
      <c r="Y608" s="294"/>
      <c r="Z608" s="294"/>
      <c r="AA608" s="294"/>
      <c r="AB608" s="294"/>
      <c r="AC608" s="277"/>
      <c r="AD608" s="277"/>
      <c r="AE608" s="277"/>
      <c r="AF608" s="277"/>
      <c r="AG608" s="277"/>
      <c r="AH608" s="277"/>
      <c r="AI608" s="277"/>
      <c r="AJ608" s="277"/>
      <c r="AK608" s="277"/>
      <c r="AL608" s="277"/>
      <c r="AM608" s="277"/>
      <c r="AN608" s="277"/>
      <c r="AO608" s="277"/>
      <c r="AP608" s="277"/>
      <c r="AQ608" s="277"/>
      <c r="AR608" s="277"/>
      <c r="AS608" s="277"/>
      <c r="AT608" s="277"/>
      <c r="AU608" s="277"/>
      <c r="AV608" s="277"/>
      <c r="AW608" s="277"/>
      <c r="AX608" s="277"/>
      <c r="AY608" s="277"/>
      <c r="AZ608" s="277"/>
      <c r="BA608" s="277"/>
      <c r="BB608" s="277"/>
    </row>
    <row r="609" spans="1:54" ht="12.75" customHeight="1" x14ac:dyDescent="0.25">
      <c r="A609" s="277"/>
      <c r="B609" s="277"/>
      <c r="C609" s="277"/>
      <c r="D609" s="277"/>
      <c r="E609" s="277"/>
      <c r="F609" s="277"/>
      <c r="G609" s="277"/>
      <c r="H609" s="277"/>
      <c r="I609" s="277"/>
      <c r="J609" s="277"/>
      <c r="K609" s="277"/>
      <c r="L609" s="277"/>
      <c r="M609" s="277"/>
      <c r="N609" s="277"/>
      <c r="O609" s="277"/>
      <c r="P609" s="277"/>
      <c r="Q609" s="277"/>
      <c r="R609" s="277"/>
      <c r="S609" s="277"/>
      <c r="T609" s="294"/>
      <c r="U609" s="294"/>
      <c r="V609" s="294"/>
      <c r="W609" s="294"/>
      <c r="X609" s="294"/>
      <c r="Y609" s="294"/>
      <c r="Z609" s="294"/>
      <c r="AA609" s="294"/>
      <c r="AB609" s="294"/>
      <c r="AC609" s="277"/>
      <c r="AD609" s="277"/>
      <c r="AE609" s="277"/>
      <c r="AF609" s="277"/>
      <c r="AG609" s="277"/>
      <c r="AH609" s="277"/>
      <c r="AI609" s="277"/>
      <c r="AJ609" s="277"/>
      <c r="AK609" s="277"/>
      <c r="AL609" s="277"/>
      <c r="AM609" s="277"/>
      <c r="AN609" s="277"/>
      <c r="AO609" s="277"/>
      <c r="AP609" s="277"/>
      <c r="AQ609" s="277"/>
      <c r="AR609" s="277"/>
      <c r="AS609" s="277"/>
      <c r="AT609" s="277"/>
      <c r="AU609" s="277"/>
      <c r="AV609" s="277"/>
      <c r="AW609" s="277"/>
      <c r="AX609" s="277"/>
      <c r="AY609" s="277"/>
      <c r="AZ609" s="277"/>
      <c r="BA609" s="277"/>
      <c r="BB609" s="277"/>
    </row>
    <row r="610" spans="1:54" ht="12.75" customHeight="1" x14ac:dyDescent="0.25">
      <c r="A610" s="277"/>
      <c r="B610" s="277"/>
      <c r="C610" s="277"/>
      <c r="D610" s="277"/>
      <c r="E610" s="277"/>
      <c r="F610" s="277"/>
      <c r="G610" s="277"/>
      <c r="H610" s="277"/>
      <c r="I610" s="277"/>
      <c r="J610" s="277"/>
      <c r="K610" s="277"/>
      <c r="L610" s="277"/>
      <c r="M610" s="277"/>
      <c r="N610" s="277"/>
      <c r="O610" s="277"/>
      <c r="P610" s="277"/>
      <c r="Q610" s="277"/>
      <c r="R610" s="277"/>
      <c r="S610" s="277"/>
      <c r="T610" s="294"/>
      <c r="U610" s="294"/>
      <c r="V610" s="294"/>
      <c r="W610" s="294"/>
      <c r="X610" s="294"/>
      <c r="Y610" s="294"/>
      <c r="Z610" s="294"/>
      <c r="AA610" s="294"/>
      <c r="AB610" s="294"/>
      <c r="AC610" s="277"/>
      <c r="AD610" s="277"/>
      <c r="AE610" s="277"/>
      <c r="AF610" s="277"/>
      <c r="AG610" s="277"/>
      <c r="AH610" s="277"/>
      <c r="AI610" s="277"/>
      <c r="AJ610" s="277"/>
      <c r="AK610" s="277"/>
      <c r="AL610" s="277"/>
      <c r="AM610" s="277"/>
      <c r="AN610" s="277"/>
      <c r="AO610" s="277"/>
      <c r="AP610" s="277"/>
      <c r="AQ610" s="277"/>
      <c r="AR610" s="277"/>
      <c r="AS610" s="277"/>
      <c r="AT610" s="277"/>
      <c r="AU610" s="277"/>
      <c r="AV610" s="277"/>
      <c r="AW610" s="277"/>
      <c r="AX610" s="277"/>
      <c r="AY610" s="277"/>
      <c r="AZ610" s="277"/>
      <c r="BA610" s="277"/>
      <c r="BB610" s="277"/>
    </row>
    <row r="611" spans="1:54" ht="12.75" customHeight="1" x14ac:dyDescent="0.25">
      <c r="A611" s="277"/>
      <c r="B611" s="277"/>
      <c r="C611" s="277"/>
      <c r="D611" s="277"/>
      <c r="E611" s="277"/>
      <c r="F611" s="277"/>
      <c r="G611" s="277"/>
      <c r="H611" s="277"/>
      <c r="I611" s="277"/>
      <c r="J611" s="277"/>
      <c r="K611" s="277"/>
      <c r="L611" s="277"/>
      <c r="M611" s="277"/>
      <c r="N611" s="277"/>
      <c r="O611" s="277"/>
      <c r="P611" s="277"/>
      <c r="Q611" s="277"/>
      <c r="R611" s="277"/>
      <c r="S611" s="277"/>
      <c r="T611" s="294"/>
      <c r="U611" s="294"/>
      <c r="V611" s="294"/>
      <c r="W611" s="294"/>
      <c r="X611" s="294"/>
      <c r="Y611" s="294"/>
      <c r="Z611" s="294"/>
      <c r="AA611" s="294"/>
      <c r="AB611" s="294"/>
      <c r="AC611" s="277"/>
      <c r="AD611" s="277"/>
      <c r="AE611" s="277"/>
      <c r="AF611" s="277"/>
      <c r="AG611" s="277"/>
      <c r="AH611" s="277"/>
      <c r="AI611" s="277"/>
      <c r="AJ611" s="277"/>
      <c r="AK611" s="277"/>
      <c r="AL611" s="277"/>
      <c r="AM611" s="277"/>
      <c r="AN611" s="277"/>
      <c r="AO611" s="277"/>
      <c r="AP611" s="277"/>
      <c r="AQ611" s="277"/>
      <c r="AR611" s="277"/>
      <c r="AS611" s="277"/>
      <c r="AT611" s="277"/>
      <c r="AU611" s="277"/>
      <c r="AV611" s="277"/>
      <c r="AW611" s="277"/>
      <c r="AX611" s="277"/>
      <c r="AY611" s="277"/>
      <c r="AZ611" s="277"/>
      <c r="BA611" s="277"/>
      <c r="BB611" s="277"/>
    </row>
    <row r="612" spans="1:54" ht="12.75" customHeight="1" x14ac:dyDescent="0.25">
      <c r="A612" s="277"/>
      <c r="B612" s="277"/>
      <c r="C612" s="277"/>
      <c r="D612" s="277"/>
      <c r="E612" s="277"/>
      <c r="F612" s="277"/>
      <c r="G612" s="277"/>
      <c r="H612" s="277"/>
      <c r="I612" s="277"/>
      <c r="J612" s="277"/>
      <c r="K612" s="277"/>
      <c r="L612" s="277"/>
      <c r="M612" s="277"/>
      <c r="N612" s="277"/>
      <c r="O612" s="277"/>
      <c r="P612" s="277"/>
      <c r="Q612" s="277"/>
      <c r="R612" s="277"/>
      <c r="S612" s="277"/>
      <c r="T612" s="294"/>
      <c r="U612" s="294"/>
      <c r="V612" s="294"/>
      <c r="W612" s="294"/>
      <c r="X612" s="294"/>
      <c r="Y612" s="294"/>
      <c r="Z612" s="294"/>
      <c r="AA612" s="294"/>
      <c r="AB612" s="294"/>
      <c r="AC612" s="277"/>
      <c r="AD612" s="277"/>
      <c r="AE612" s="277"/>
      <c r="AF612" s="277"/>
      <c r="AG612" s="277"/>
      <c r="AH612" s="277"/>
      <c r="AI612" s="277"/>
      <c r="AJ612" s="277"/>
      <c r="AK612" s="277"/>
      <c r="AL612" s="277"/>
      <c r="AM612" s="277"/>
      <c r="AN612" s="277"/>
      <c r="AO612" s="277"/>
      <c r="AP612" s="277"/>
      <c r="AQ612" s="277"/>
      <c r="AR612" s="277"/>
      <c r="AS612" s="277"/>
      <c r="AT612" s="277"/>
      <c r="AU612" s="277"/>
      <c r="AV612" s="277"/>
      <c r="AW612" s="277"/>
      <c r="AX612" s="277"/>
      <c r="AY612" s="277"/>
      <c r="AZ612" s="277"/>
      <c r="BA612" s="277"/>
      <c r="BB612" s="277"/>
    </row>
    <row r="613" spans="1:54" ht="12.75" customHeight="1" x14ac:dyDescent="0.25">
      <c r="A613" s="277"/>
      <c r="B613" s="277"/>
      <c r="C613" s="277"/>
      <c r="D613" s="277"/>
      <c r="E613" s="277"/>
      <c r="F613" s="277"/>
      <c r="G613" s="277"/>
      <c r="H613" s="277"/>
      <c r="I613" s="277"/>
      <c r="J613" s="277"/>
      <c r="K613" s="277"/>
      <c r="L613" s="277"/>
      <c r="M613" s="277"/>
      <c r="N613" s="277"/>
      <c r="O613" s="277"/>
      <c r="P613" s="277"/>
      <c r="Q613" s="277"/>
      <c r="R613" s="277"/>
      <c r="S613" s="277"/>
      <c r="T613" s="294"/>
      <c r="U613" s="294"/>
      <c r="V613" s="294"/>
      <c r="W613" s="294"/>
      <c r="X613" s="294"/>
      <c r="Y613" s="294"/>
      <c r="Z613" s="294"/>
      <c r="AA613" s="294"/>
      <c r="AB613" s="294"/>
      <c r="AC613" s="277"/>
      <c r="AD613" s="277"/>
      <c r="AE613" s="277"/>
      <c r="AF613" s="277"/>
      <c r="AG613" s="277"/>
      <c r="AH613" s="277"/>
      <c r="AI613" s="277"/>
      <c r="AJ613" s="277"/>
      <c r="AK613" s="277"/>
      <c r="AL613" s="277"/>
      <c r="AM613" s="277"/>
      <c r="AN613" s="277"/>
      <c r="AO613" s="277"/>
      <c r="AP613" s="277"/>
      <c r="AQ613" s="277"/>
      <c r="AR613" s="277"/>
      <c r="AS613" s="277"/>
      <c r="AT613" s="277"/>
      <c r="AU613" s="277"/>
      <c r="AV613" s="277"/>
      <c r="AW613" s="277"/>
      <c r="AX613" s="277"/>
      <c r="AY613" s="277"/>
      <c r="AZ613" s="277"/>
      <c r="BA613" s="277"/>
      <c r="BB613" s="277"/>
    </row>
    <row r="614" spans="1:54" ht="12.75" customHeight="1" x14ac:dyDescent="0.25">
      <c r="A614" s="277"/>
      <c r="B614" s="277"/>
      <c r="C614" s="277"/>
      <c r="D614" s="277"/>
      <c r="E614" s="277"/>
      <c r="F614" s="277"/>
      <c r="G614" s="277"/>
      <c r="H614" s="277"/>
      <c r="I614" s="277"/>
      <c r="J614" s="277"/>
      <c r="K614" s="277"/>
      <c r="L614" s="277"/>
      <c r="M614" s="277"/>
      <c r="N614" s="277"/>
      <c r="O614" s="277"/>
      <c r="P614" s="277"/>
      <c r="Q614" s="277"/>
      <c r="R614" s="277"/>
      <c r="S614" s="277"/>
      <c r="T614" s="294"/>
      <c r="U614" s="294"/>
      <c r="V614" s="294"/>
      <c r="W614" s="294"/>
      <c r="X614" s="294"/>
      <c r="Y614" s="294"/>
      <c r="Z614" s="294"/>
      <c r="AA614" s="294"/>
      <c r="AB614" s="294"/>
      <c r="AC614" s="277"/>
      <c r="AD614" s="277"/>
      <c r="AE614" s="277"/>
      <c r="AF614" s="277"/>
      <c r="AG614" s="277"/>
      <c r="AH614" s="277"/>
      <c r="AI614" s="277"/>
      <c r="AJ614" s="277"/>
      <c r="AK614" s="277"/>
      <c r="AL614" s="277"/>
      <c r="AM614" s="277"/>
      <c r="AN614" s="277"/>
      <c r="AO614" s="277"/>
      <c r="AP614" s="277"/>
      <c r="AQ614" s="277"/>
      <c r="AR614" s="277"/>
      <c r="AS614" s="277"/>
      <c r="AT614" s="277"/>
      <c r="AU614" s="277"/>
      <c r="AV614" s="277"/>
      <c r="AW614" s="277"/>
      <c r="AX614" s="277"/>
      <c r="AY614" s="277"/>
      <c r="AZ614" s="277"/>
      <c r="BA614" s="277"/>
      <c r="BB614" s="277"/>
    </row>
    <row r="615" spans="1:54" ht="12.75" customHeight="1" x14ac:dyDescent="0.25">
      <c r="A615" s="277"/>
      <c r="B615" s="277"/>
      <c r="C615" s="277"/>
      <c r="D615" s="277"/>
      <c r="E615" s="277"/>
      <c r="F615" s="277"/>
      <c r="G615" s="277"/>
      <c r="H615" s="277"/>
      <c r="I615" s="277"/>
      <c r="J615" s="277"/>
      <c r="K615" s="277"/>
      <c r="L615" s="277"/>
      <c r="M615" s="277"/>
      <c r="N615" s="277"/>
      <c r="O615" s="277"/>
      <c r="P615" s="277"/>
      <c r="Q615" s="277"/>
      <c r="R615" s="277"/>
      <c r="S615" s="277"/>
      <c r="T615" s="294"/>
      <c r="U615" s="294"/>
      <c r="V615" s="294"/>
      <c r="W615" s="294"/>
      <c r="X615" s="294"/>
      <c r="Y615" s="294"/>
      <c r="Z615" s="294"/>
      <c r="AA615" s="294"/>
      <c r="AB615" s="294"/>
      <c r="AC615" s="277"/>
      <c r="AD615" s="277"/>
      <c r="AE615" s="277"/>
      <c r="AF615" s="277"/>
      <c r="AG615" s="277"/>
      <c r="AH615" s="277"/>
      <c r="AI615" s="277"/>
      <c r="AJ615" s="277"/>
      <c r="AK615" s="277"/>
      <c r="AL615" s="277"/>
      <c r="AM615" s="277"/>
      <c r="AN615" s="277"/>
      <c r="AO615" s="277"/>
      <c r="AP615" s="277"/>
      <c r="AQ615" s="277"/>
      <c r="AR615" s="277"/>
      <c r="AS615" s="277"/>
      <c r="AT615" s="277"/>
      <c r="AU615" s="277"/>
      <c r="AV615" s="277"/>
      <c r="AW615" s="277"/>
      <c r="AX615" s="277"/>
      <c r="AY615" s="277"/>
      <c r="AZ615" s="277"/>
      <c r="BA615" s="277"/>
      <c r="BB615" s="277"/>
    </row>
    <row r="616" spans="1:54" ht="12.75" customHeight="1" x14ac:dyDescent="0.25">
      <c r="A616" s="277"/>
      <c r="B616" s="277"/>
      <c r="C616" s="277"/>
      <c r="D616" s="277"/>
      <c r="E616" s="277"/>
      <c r="F616" s="277"/>
      <c r="G616" s="277"/>
      <c r="H616" s="277"/>
      <c r="I616" s="277"/>
      <c r="J616" s="277"/>
      <c r="K616" s="277"/>
      <c r="L616" s="277"/>
      <c r="M616" s="277"/>
      <c r="N616" s="277"/>
      <c r="O616" s="277"/>
      <c r="P616" s="277"/>
      <c r="Q616" s="277"/>
      <c r="R616" s="277"/>
      <c r="S616" s="277"/>
      <c r="T616" s="294"/>
      <c r="U616" s="294"/>
      <c r="V616" s="294"/>
      <c r="W616" s="294"/>
      <c r="X616" s="294"/>
      <c r="Y616" s="294"/>
      <c r="Z616" s="294"/>
      <c r="AA616" s="294"/>
      <c r="AB616" s="294"/>
      <c r="AC616" s="277"/>
      <c r="AD616" s="277"/>
      <c r="AE616" s="277"/>
      <c r="AF616" s="277"/>
      <c r="AG616" s="277"/>
      <c r="AH616" s="277"/>
      <c r="AI616" s="277"/>
      <c r="AJ616" s="277"/>
      <c r="AK616" s="277"/>
      <c r="AL616" s="277"/>
      <c r="AM616" s="277"/>
      <c r="AN616" s="277"/>
      <c r="AO616" s="277"/>
      <c r="AP616" s="277"/>
      <c r="AQ616" s="277"/>
      <c r="AR616" s="277"/>
      <c r="AS616" s="277"/>
      <c r="AT616" s="277"/>
      <c r="AU616" s="277"/>
      <c r="AV616" s="277"/>
      <c r="AW616" s="277"/>
      <c r="AX616" s="277"/>
      <c r="AY616" s="277"/>
      <c r="AZ616" s="277"/>
      <c r="BA616" s="277"/>
      <c r="BB616" s="277"/>
    </row>
    <row r="617" spans="1:54" ht="12.75" customHeight="1" x14ac:dyDescent="0.25">
      <c r="A617" s="277"/>
      <c r="B617" s="277"/>
      <c r="C617" s="277"/>
      <c r="D617" s="277"/>
      <c r="E617" s="277"/>
      <c r="F617" s="277"/>
      <c r="G617" s="277"/>
      <c r="H617" s="277"/>
      <c r="I617" s="277"/>
      <c r="J617" s="277"/>
      <c r="K617" s="277"/>
      <c r="L617" s="277"/>
      <c r="M617" s="277"/>
      <c r="N617" s="277"/>
      <c r="O617" s="277"/>
      <c r="P617" s="277"/>
      <c r="Q617" s="277"/>
      <c r="R617" s="277"/>
      <c r="S617" s="277"/>
      <c r="T617" s="294"/>
      <c r="U617" s="294"/>
      <c r="V617" s="294"/>
      <c r="W617" s="294"/>
      <c r="X617" s="294"/>
      <c r="Y617" s="294"/>
      <c r="Z617" s="294"/>
      <c r="AA617" s="294"/>
      <c r="AB617" s="294"/>
      <c r="AC617" s="277"/>
      <c r="AD617" s="277"/>
      <c r="AE617" s="277"/>
      <c r="AF617" s="277"/>
      <c r="AG617" s="277"/>
      <c r="AH617" s="277"/>
      <c r="AI617" s="277"/>
      <c r="AJ617" s="277"/>
      <c r="AK617" s="277"/>
      <c r="AL617" s="277"/>
      <c r="AM617" s="277"/>
      <c r="AN617" s="277"/>
      <c r="AO617" s="277"/>
      <c r="AP617" s="277"/>
      <c r="AQ617" s="277"/>
      <c r="AR617" s="277"/>
      <c r="AS617" s="277"/>
      <c r="AT617" s="277"/>
      <c r="AU617" s="277"/>
      <c r="AV617" s="277"/>
      <c r="AW617" s="277"/>
      <c r="AX617" s="277"/>
      <c r="AY617" s="277"/>
      <c r="AZ617" s="277"/>
      <c r="BA617" s="277"/>
      <c r="BB617" s="277"/>
    </row>
    <row r="618" spans="1:54" ht="12.75" customHeight="1" x14ac:dyDescent="0.25">
      <c r="A618" s="277"/>
      <c r="B618" s="277"/>
      <c r="C618" s="277"/>
      <c r="D618" s="277"/>
      <c r="E618" s="277"/>
      <c r="F618" s="277"/>
      <c r="G618" s="277"/>
      <c r="H618" s="277"/>
      <c r="I618" s="277"/>
      <c r="J618" s="277"/>
      <c r="K618" s="277"/>
      <c r="L618" s="277"/>
      <c r="M618" s="277"/>
      <c r="N618" s="277"/>
      <c r="O618" s="277"/>
      <c r="P618" s="277"/>
      <c r="Q618" s="277"/>
      <c r="R618" s="277"/>
      <c r="S618" s="277"/>
      <c r="T618" s="294"/>
      <c r="U618" s="294"/>
      <c r="V618" s="294"/>
      <c r="W618" s="294"/>
      <c r="X618" s="294"/>
      <c r="Y618" s="294"/>
      <c r="Z618" s="294"/>
      <c r="AA618" s="294"/>
      <c r="AB618" s="294"/>
      <c r="AC618" s="277"/>
      <c r="AD618" s="277"/>
      <c r="AE618" s="277"/>
      <c r="AF618" s="277"/>
      <c r="AG618" s="277"/>
      <c r="AH618" s="277"/>
      <c r="AI618" s="277"/>
      <c r="AJ618" s="277"/>
      <c r="AK618" s="277"/>
      <c r="AL618" s="277"/>
      <c r="AM618" s="277"/>
      <c r="AN618" s="277"/>
      <c r="AO618" s="277"/>
      <c r="AP618" s="277"/>
      <c r="AQ618" s="277"/>
      <c r="AR618" s="277"/>
      <c r="AS618" s="277"/>
      <c r="AT618" s="277"/>
      <c r="AU618" s="277"/>
      <c r="AV618" s="277"/>
      <c r="AW618" s="277"/>
      <c r="AX618" s="277"/>
      <c r="AY618" s="277"/>
      <c r="AZ618" s="277"/>
      <c r="BA618" s="277"/>
      <c r="BB618" s="277"/>
    </row>
    <row r="619" spans="1:54" ht="12.75" customHeight="1" x14ac:dyDescent="0.25">
      <c r="A619" s="277"/>
      <c r="B619" s="277"/>
      <c r="C619" s="277"/>
      <c r="D619" s="277"/>
      <c r="E619" s="277"/>
      <c r="F619" s="277"/>
      <c r="G619" s="277"/>
      <c r="H619" s="277"/>
      <c r="I619" s="277"/>
      <c r="J619" s="277"/>
      <c r="K619" s="277"/>
      <c r="L619" s="277"/>
      <c r="M619" s="277"/>
      <c r="N619" s="277"/>
      <c r="O619" s="277"/>
      <c r="P619" s="277"/>
      <c r="Q619" s="277"/>
      <c r="R619" s="277"/>
      <c r="S619" s="277"/>
      <c r="T619" s="294"/>
      <c r="U619" s="294"/>
      <c r="V619" s="294"/>
      <c r="W619" s="294"/>
      <c r="X619" s="294"/>
      <c r="Y619" s="294"/>
      <c r="Z619" s="294"/>
      <c r="AA619" s="294"/>
      <c r="AB619" s="294"/>
      <c r="AC619" s="277"/>
      <c r="AD619" s="277"/>
      <c r="AE619" s="277"/>
      <c r="AF619" s="277"/>
      <c r="AG619" s="277"/>
      <c r="AH619" s="277"/>
      <c r="AI619" s="277"/>
      <c r="AJ619" s="277"/>
      <c r="AK619" s="277"/>
      <c r="AL619" s="277"/>
      <c r="AM619" s="277"/>
      <c r="AN619" s="277"/>
      <c r="AO619" s="277"/>
      <c r="AP619" s="277"/>
      <c r="AQ619" s="277"/>
      <c r="AR619" s="277"/>
      <c r="AS619" s="277"/>
      <c r="AT619" s="277"/>
      <c r="AU619" s="277"/>
      <c r="AV619" s="277"/>
      <c r="AW619" s="277"/>
      <c r="AX619" s="277"/>
      <c r="AY619" s="277"/>
      <c r="AZ619" s="277"/>
      <c r="BA619" s="277"/>
      <c r="BB619" s="277"/>
    </row>
    <row r="620" spans="1:54" ht="12.75" customHeight="1" x14ac:dyDescent="0.25">
      <c r="A620" s="277"/>
      <c r="B620" s="277"/>
      <c r="C620" s="277"/>
      <c r="D620" s="277"/>
      <c r="E620" s="277"/>
      <c r="F620" s="277"/>
      <c r="G620" s="277"/>
      <c r="H620" s="277"/>
      <c r="I620" s="277"/>
      <c r="J620" s="277"/>
      <c r="K620" s="277"/>
      <c r="L620" s="277"/>
      <c r="M620" s="277"/>
      <c r="N620" s="277"/>
      <c r="O620" s="277"/>
      <c r="P620" s="277"/>
      <c r="Q620" s="277"/>
      <c r="R620" s="277"/>
      <c r="S620" s="277"/>
      <c r="T620" s="294"/>
      <c r="U620" s="294"/>
      <c r="V620" s="294"/>
      <c r="W620" s="294"/>
      <c r="X620" s="294"/>
      <c r="Y620" s="294"/>
      <c r="Z620" s="294"/>
      <c r="AA620" s="294"/>
      <c r="AB620" s="294"/>
      <c r="AC620" s="277"/>
      <c r="AD620" s="277"/>
      <c r="AE620" s="277"/>
      <c r="AF620" s="277"/>
      <c r="AG620" s="277"/>
      <c r="AH620" s="277"/>
      <c r="AI620" s="277"/>
      <c r="AJ620" s="277"/>
      <c r="AK620" s="277"/>
      <c r="AL620" s="277"/>
      <c r="AM620" s="277"/>
      <c r="AN620" s="277"/>
      <c r="AO620" s="277"/>
      <c r="AP620" s="277"/>
      <c r="AQ620" s="277"/>
      <c r="AR620" s="277"/>
      <c r="AS620" s="277"/>
      <c r="AT620" s="277"/>
      <c r="AU620" s="277"/>
      <c r="AV620" s="277"/>
      <c r="AW620" s="277"/>
      <c r="AX620" s="277"/>
      <c r="AY620" s="277"/>
      <c r="AZ620" s="277"/>
      <c r="BA620" s="277"/>
      <c r="BB620" s="277"/>
    </row>
    <row r="621" spans="1:54" ht="12.75" customHeight="1" x14ac:dyDescent="0.25">
      <c r="A621" s="277"/>
      <c r="B621" s="277"/>
      <c r="C621" s="277"/>
      <c r="D621" s="277"/>
      <c r="E621" s="277"/>
      <c r="F621" s="277"/>
      <c r="G621" s="277"/>
      <c r="H621" s="277"/>
      <c r="I621" s="277"/>
      <c r="J621" s="277"/>
      <c r="K621" s="277"/>
      <c r="L621" s="277"/>
      <c r="M621" s="277"/>
      <c r="N621" s="277"/>
      <c r="O621" s="277"/>
      <c r="P621" s="277"/>
      <c r="Q621" s="277"/>
      <c r="R621" s="277"/>
      <c r="S621" s="277"/>
      <c r="T621" s="294"/>
      <c r="U621" s="294"/>
      <c r="V621" s="294"/>
      <c r="W621" s="294"/>
      <c r="X621" s="294"/>
      <c r="Y621" s="294"/>
      <c r="Z621" s="294"/>
      <c r="AA621" s="294"/>
      <c r="AB621" s="294"/>
      <c r="AC621" s="277"/>
      <c r="AD621" s="277"/>
      <c r="AE621" s="277"/>
      <c r="AF621" s="277"/>
      <c r="AG621" s="277"/>
      <c r="AH621" s="277"/>
      <c r="AI621" s="277"/>
      <c r="AJ621" s="277"/>
      <c r="AK621" s="277"/>
      <c r="AL621" s="277"/>
      <c r="AM621" s="277"/>
      <c r="AN621" s="277"/>
      <c r="AO621" s="277"/>
      <c r="AP621" s="277"/>
      <c r="AQ621" s="277"/>
      <c r="AR621" s="277"/>
      <c r="AS621" s="277"/>
      <c r="AT621" s="277"/>
      <c r="AU621" s="277"/>
      <c r="AV621" s="277"/>
      <c r="AW621" s="277"/>
      <c r="AX621" s="277"/>
      <c r="AY621" s="277"/>
      <c r="AZ621" s="277"/>
      <c r="BA621" s="277"/>
      <c r="BB621" s="277"/>
    </row>
    <row r="622" spans="1:54" ht="12.75" customHeight="1" x14ac:dyDescent="0.25">
      <c r="A622" s="277"/>
      <c r="B622" s="277"/>
      <c r="C622" s="277"/>
      <c r="D622" s="277"/>
      <c r="E622" s="277"/>
      <c r="F622" s="277"/>
      <c r="G622" s="277"/>
      <c r="H622" s="277"/>
      <c r="I622" s="277"/>
      <c r="J622" s="277"/>
      <c r="K622" s="277"/>
      <c r="L622" s="277"/>
      <c r="M622" s="277"/>
      <c r="N622" s="277"/>
      <c r="O622" s="277"/>
      <c r="P622" s="277"/>
      <c r="Q622" s="277"/>
      <c r="R622" s="277"/>
      <c r="S622" s="277"/>
      <c r="T622" s="294"/>
      <c r="U622" s="294"/>
      <c r="V622" s="294"/>
      <c r="W622" s="294"/>
      <c r="X622" s="294"/>
      <c r="Y622" s="294"/>
      <c r="Z622" s="294"/>
      <c r="AA622" s="294"/>
      <c r="AB622" s="294"/>
      <c r="AC622" s="277"/>
      <c r="AD622" s="277"/>
      <c r="AE622" s="277"/>
      <c r="AF622" s="277"/>
      <c r="AG622" s="277"/>
      <c r="AH622" s="277"/>
      <c r="AI622" s="277"/>
      <c r="AJ622" s="277"/>
      <c r="AK622" s="277"/>
      <c r="AL622" s="277"/>
      <c r="AM622" s="277"/>
      <c r="AN622" s="277"/>
      <c r="AO622" s="277"/>
      <c r="AP622" s="277"/>
      <c r="AQ622" s="277"/>
      <c r="AR622" s="277"/>
      <c r="AS622" s="277"/>
      <c r="AT622" s="277"/>
      <c r="AU622" s="277"/>
      <c r="AV622" s="277"/>
      <c r="AW622" s="277"/>
      <c r="AX622" s="277"/>
      <c r="AY622" s="277"/>
      <c r="AZ622" s="277"/>
      <c r="BA622" s="277"/>
      <c r="BB622" s="277"/>
    </row>
    <row r="623" spans="1:54" ht="12.75" customHeight="1" x14ac:dyDescent="0.25">
      <c r="A623" s="277"/>
      <c r="B623" s="277"/>
      <c r="C623" s="277"/>
      <c r="D623" s="277"/>
      <c r="E623" s="277"/>
      <c r="F623" s="277"/>
      <c r="G623" s="277"/>
      <c r="H623" s="277"/>
      <c r="I623" s="277"/>
      <c r="J623" s="277"/>
      <c r="K623" s="277"/>
      <c r="L623" s="277"/>
      <c r="M623" s="277"/>
      <c r="N623" s="277"/>
      <c r="O623" s="277"/>
      <c r="P623" s="277"/>
      <c r="Q623" s="277"/>
      <c r="R623" s="277"/>
      <c r="S623" s="277"/>
      <c r="T623" s="294"/>
      <c r="U623" s="294"/>
      <c r="V623" s="294"/>
      <c r="W623" s="294"/>
      <c r="X623" s="294"/>
      <c r="Y623" s="294"/>
      <c r="Z623" s="294"/>
      <c r="AA623" s="294"/>
      <c r="AB623" s="294"/>
      <c r="AC623" s="277"/>
      <c r="AD623" s="277"/>
      <c r="AE623" s="277"/>
      <c r="AF623" s="277"/>
      <c r="AG623" s="277"/>
      <c r="AH623" s="277"/>
      <c r="AI623" s="277"/>
      <c r="AJ623" s="277"/>
      <c r="AK623" s="277"/>
      <c r="AL623" s="277"/>
      <c r="AM623" s="277"/>
      <c r="AN623" s="277"/>
      <c r="AO623" s="277"/>
      <c r="AP623" s="277"/>
      <c r="AQ623" s="277"/>
      <c r="AR623" s="277"/>
      <c r="AS623" s="277"/>
      <c r="AT623" s="277"/>
      <c r="AU623" s="277"/>
      <c r="AV623" s="277"/>
      <c r="AW623" s="277"/>
      <c r="AX623" s="277"/>
      <c r="AY623" s="277"/>
      <c r="AZ623" s="277"/>
      <c r="BA623" s="277"/>
      <c r="BB623" s="277"/>
    </row>
    <row r="624" spans="1:54" ht="12.75" customHeight="1" x14ac:dyDescent="0.25">
      <c r="A624" s="277"/>
      <c r="B624" s="277"/>
      <c r="C624" s="277"/>
      <c r="D624" s="277"/>
      <c r="E624" s="277"/>
      <c r="F624" s="277"/>
      <c r="G624" s="277"/>
      <c r="H624" s="277"/>
      <c r="I624" s="277"/>
      <c r="J624" s="277"/>
      <c r="K624" s="277"/>
      <c r="L624" s="277"/>
      <c r="M624" s="277"/>
      <c r="N624" s="277"/>
      <c r="O624" s="277"/>
      <c r="P624" s="277"/>
      <c r="Q624" s="277"/>
      <c r="R624" s="277"/>
      <c r="S624" s="277"/>
      <c r="T624" s="294"/>
      <c r="U624" s="294"/>
      <c r="V624" s="294"/>
      <c r="W624" s="294"/>
      <c r="X624" s="294"/>
      <c r="Y624" s="294"/>
      <c r="Z624" s="294"/>
      <c r="AA624" s="294"/>
      <c r="AB624" s="294"/>
      <c r="AC624" s="277"/>
      <c r="AD624" s="277"/>
      <c r="AE624" s="277"/>
      <c r="AF624" s="277"/>
      <c r="AG624" s="277"/>
      <c r="AH624" s="277"/>
      <c r="AI624" s="277"/>
      <c r="AJ624" s="277"/>
      <c r="AK624" s="277"/>
      <c r="AL624" s="277"/>
      <c r="AM624" s="277"/>
      <c r="AN624" s="277"/>
      <c r="AO624" s="277"/>
      <c r="AP624" s="277"/>
      <c r="AQ624" s="277"/>
      <c r="AR624" s="277"/>
      <c r="AS624" s="277"/>
      <c r="AT624" s="277"/>
      <c r="AU624" s="277"/>
      <c r="AV624" s="277"/>
      <c r="AW624" s="277"/>
      <c r="AX624" s="277"/>
      <c r="AY624" s="277"/>
      <c r="AZ624" s="277"/>
      <c r="BA624" s="277"/>
      <c r="BB624" s="277"/>
    </row>
    <row r="625" spans="1:54" ht="12.75" customHeight="1" x14ac:dyDescent="0.25">
      <c r="A625" s="277"/>
      <c r="B625" s="277"/>
      <c r="C625" s="277"/>
      <c r="D625" s="277"/>
      <c r="E625" s="277"/>
      <c r="F625" s="277"/>
      <c r="G625" s="277"/>
      <c r="H625" s="277"/>
      <c r="I625" s="277"/>
      <c r="J625" s="277"/>
      <c r="K625" s="277"/>
      <c r="L625" s="277"/>
      <c r="M625" s="277"/>
      <c r="N625" s="277"/>
      <c r="O625" s="277"/>
      <c r="P625" s="277"/>
      <c r="Q625" s="277"/>
      <c r="R625" s="277"/>
      <c r="S625" s="277"/>
      <c r="T625" s="294"/>
      <c r="U625" s="294"/>
      <c r="V625" s="294"/>
      <c r="W625" s="294"/>
      <c r="X625" s="294"/>
      <c r="Y625" s="294"/>
      <c r="Z625" s="294"/>
      <c r="AA625" s="294"/>
      <c r="AB625" s="294"/>
      <c r="AC625" s="277"/>
      <c r="AD625" s="277"/>
      <c r="AE625" s="277"/>
      <c r="AF625" s="277"/>
      <c r="AG625" s="277"/>
      <c r="AH625" s="277"/>
      <c r="AI625" s="277"/>
      <c r="AJ625" s="277"/>
      <c r="AK625" s="277"/>
      <c r="AL625" s="277"/>
      <c r="AM625" s="277"/>
      <c r="AN625" s="277"/>
      <c r="AO625" s="277"/>
      <c r="AP625" s="277"/>
      <c r="AQ625" s="277"/>
      <c r="AR625" s="277"/>
      <c r="AS625" s="277"/>
      <c r="AT625" s="277"/>
      <c r="AU625" s="277"/>
      <c r="AV625" s="277"/>
      <c r="AW625" s="277"/>
      <c r="AX625" s="277"/>
      <c r="AY625" s="277"/>
      <c r="AZ625" s="277"/>
      <c r="BA625" s="277"/>
      <c r="BB625" s="277"/>
    </row>
    <row r="626" spans="1:54" ht="12.75" customHeight="1" x14ac:dyDescent="0.25">
      <c r="A626" s="277"/>
      <c r="B626" s="277"/>
      <c r="C626" s="277"/>
      <c r="D626" s="277"/>
      <c r="E626" s="277"/>
      <c r="F626" s="277"/>
      <c r="G626" s="277"/>
      <c r="H626" s="277"/>
      <c r="I626" s="277"/>
      <c r="J626" s="277"/>
      <c r="K626" s="277"/>
      <c r="L626" s="277"/>
      <c r="M626" s="277"/>
      <c r="N626" s="277"/>
      <c r="O626" s="277"/>
      <c r="P626" s="277"/>
      <c r="Q626" s="277"/>
      <c r="R626" s="277"/>
      <c r="S626" s="277"/>
      <c r="T626" s="294"/>
      <c r="U626" s="294"/>
      <c r="V626" s="294"/>
      <c r="W626" s="294"/>
      <c r="X626" s="294"/>
      <c r="Y626" s="294"/>
      <c r="Z626" s="294"/>
      <c r="AA626" s="294"/>
      <c r="AB626" s="294"/>
      <c r="AC626" s="277"/>
      <c r="AD626" s="277"/>
      <c r="AE626" s="277"/>
      <c r="AF626" s="277"/>
      <c r="AG626" s="277"/>
      <c r="AH626" s="277"/>
      <c r="AI626" s="277"/>
      <c r="AJ626" s="277"/>
      <c r="AK626" s="277"/>
      <c r="AL626" s="277"/>
      <c r="AM626" s="277"/>
      <c r="AN626" s="277"/>
      <c r="AO626" s="277"/>
      <c r="AP626" s="277"/>
      <c r="AQ626" s="277"/>
      <c r="AR626" s="277"/>
      <c r="AS626" s="277"/>
      <c r="AT626" s="277"/>
      <c r="AU626" s="277"/>
      <c r="AV626" s="277"/>
      <c r="AW626" s="277"/>
      <c r="AX626" s="277"/>
      <c r="AY626" s="277"/>
      <c r="AZ626" s="277"/>
      <c r="BA626" s="277"/>
      <c r="BB626" s="277"/>
    </row>
    <row r="627" spans="1:54" ht="12.75" customHeight="1" x14ac:dyDescent="0.25">
      <c r="A627" s="277"/>
      <c r="B627" s="277"/>
      <c r="C627" s="277"/>
      <c r="D627" s="277"/>
      <c r="E627" s="277"/>
      <c r="F627" s="277"/>
      <c r="G627" s="277"/>
      <c r="H627" s="277"/>
      <c r="I627" s="277"/>
      <c r="J627" s="277"/>
      <c r="K627" s="277"/>
      <c r="L627" s="277"/>
      <c r="M627" s="277"/>
      <c r="N627" s="277"/>
      <c r="O627" s="277"/>
      <c r="P627" s="277"/>
      <c r="Q627" s="277"/>
      <c r="R627" s="277"/>
      <c r="S627" s="277"/>
      <c r="T627" s="294"/>
      <c r="U627" s="294"/>
      <c r="V627" s="294"/>
      <c r="W627" s="294"/>
      <c r="X627" s="294"/>
      <c r="Y627" s="294"/>
      <c r="Z627" s="294"/>
      <c r="AA627" s="294"/>
      <c r="AB627" s="294"/>
      <c r="AC627" s="277"/>
      <c r="AD627" s="277"/>
      <c r="AE627" s="277"/>
      <c r="AF627" s="277"/>
      <c r="AG627" s="277"/>
      <c r="AH627" s="277"/>
      <c r="AI627" s="277"/>
      <c r="AJ627" s="277"/>
      <c r="AK627" s="277"/>
      <c r="AL627" s="277"/>
      <c r="AM627" s="277"/>
      <c r="AN627" s="277"/>
      <c r="AO627" s="277"/>
      <c r="AP627" s="277"/>
      <c r="AQ627" s="277"/>
      <c r="AR627" s="277"/>
      <c r="AS627" s="277"/>
      <c r="AT627" s="277"/>
      <c r="AU627" s="277"/>
      <c r="AV627" s="277"/>
      <c r="AW627" s="277"/>
      <c r="AX627" s="277"/>
      <c r="AY627" s="277"/>
      <c r="AZ627" s="277"/>
      <c r="BA627" s="277"/>
      <c r="BB627" s="277"/>
    </row>
    <row r="628" spans="1:54" ht="12.75" customHeight="1" x14ac:dyDescent="0.25">
      <c r="A628" s="277"/>
      <c r="B628" s="277"/>
      <c r="C628" s="277"/>
      <c r="D628" s="277"/>
      <c r="E628" s="277"/>
      <c r="F628" s="277"/>
      <c r="G628" s="277"/>
      <c r="H628" s="277"/>
      <c r="I628" s="277"/>
      <c r="J628" s="277"/>
      <c r="K628" s="277"/>
      <c r="L628" s="277"/>
      <c r="M628" s="277"/>
      <c r="N628" s="277"/>
      <c r="O628" s="277"/>
      <c r="P628" s="277"/>
      <c r="Q628" s="277"/>
      <c r="R628" s="277"/>
      <c r="S628" s="277"/>
      <c r="T628" s="294"/>
      <c r="U628" s="294"/>
      <c r="V628" s="294"/>
      <c r="W628" s="294"/>
      <c r="X628" s="294"/>
      <c r="Y628" s="294"/>
      <c r="Z628" s="294"/>
      <c r="AA628" s="294"/>
      <c r="AB628" s="294"/>
      <c r="AC628" s="277"/>
      <c r="AD628" s="277"/>
      <c r="AE628" s="277"/>
      <c r="AF628" s="277"/>
      <c r="AG628" s="277"/>
      <c r="AH628" s="277"/>
      <c r="AI628" s="277"/>
      <c r="AJ628" s="277"/>
      <c r="AK628" s="277"/>
      <c r="AL628" s="277"/>
      <c r="AM628" s="277"/>
      <c r="AN628" s="277"/>
      <c r="AO628" s="277"/>
      <c r="AP628" s="277"/>
      <c r="AQ628" s="277"/>
      <c r="AR628" s="277"/>
      <c r="AS628" s="277"/>
      <c r="AT628" s="277"/>
      <c r="AU628" s="277"/>
      <c r="AV628" s="277"/>
      <c r="AW628" s="277"/>
      <c r="AX628" s="277"/>
      <c r="AY628" s="277"/>
      <c r="AZ628" s="277"/>
      <c r="BA628" s="277"/>
      <c r="BB628" s="277"/>
    </row>
    <row r="629" spans="1:54" ht="12.75" customHeight="1" x14ac:dyDescent="0.25">
      <c r="A629" s="277"/>
      <c r="B629" s="277"/>
      <c r="C629" s="277"/>
      <c r="D629" s="277"/>
      <c r="E629" s="277"/>
      <c r="F629" s="277"/>
      <c r="G629" s="277"/>
      <c r="H629" s="277"/>
      <c r="I629" s="277"/>
      <c r="J629" s="277"/>
      <c r="K629" s="277"/>
      <c r="L629" s="277"/>
      <c r="M629" s="277"/>
      <c r="N629" s="277"/>
      <c r="O629" s="277"/>
      <c r="P629" s="277"/>
      <c r="Q629" s="277"/>
      <c r="R629" s="277"/>
      <c r="S629" s="277"/>
      <c r="T629" s="294"/>
      <c r="U629" s="294"/>
      <c r="V629" s="294"/>
      <c r="W629" s="294"/>
      <c r="X629" s="294"/>
      <c r="Y629" s="294"/>
      <c r="Z629" s="294"/>
      <c r="AA629" s="294"/>
      <c r="AB629" s="294"/>
      <c r="AC629" s="277"/>
      <c r="AD629" s="277"/>
      <c r="AE629" s="277"/>
      <c r="AF629" s="277"/>
      <c r="AG629" s="277"/>
      <c r="AH629" s="277"/>
      <c r="AI629" s="277"/>
      <c r="AJ629" s="277"/>
      <c r="AK629" s="277"/>
      <c r="AL629" s="277"/>
      <c r="AM629" s="277"/>
      <c r="AN629" s="277"/>
      <c r="AO629" s="277"/>
      <c r="AP629" s="277"/>
      <c r="AQ629" s="277"/>
      <c r="AR629" s="277"/>
      <c r="AS629" s="277"/>
      <c r="AT629" s="277"/>
      <c r="AU629" s="277"/>
      <c r="AV629" s="277"/>
      <c r="AW629" s="277"/>
      <c r="AX629" s="277"/>
      <c r="AY629" s="277"/>
      <c r="AZ629" s="277"/>
      <c r="BA629" s="277"/>
      <c r="BB629" s="277"/>
    </row>
    <row r="630" spans="1:54" ht="12.75" customHeight="1" x14ac:dyDescent="0.25">
      <c r="A630" s="277"/>
      <c r="B630" s="277"/>
      <c r="C630" s="277"/>
      <c r="D630" s="277"/>
      <c r="E630" s="277"/>
      <c r="F630" s="277"/>
      <c r="G630" s="277"/>
      <c r="H630" s="277"/>
      <c r="I630" s="277"/>
      <c r="J630" s="277"/>
      <c r="K630" s="277"/>
      <c r="L630" s="277"/>
      <c r="M630" s="277"/>
      <c r="N630" s="277"/>
      <c r="O630" s="277"/>
      <c r="P630" s="277"/>
      <c r="Q630" s="277"/>
      <c r="R630" s="277"/>
      <c r="S630" s="277"/>
      <c r="T630" s="294"/>
      <c r="U630" s="294"/>
      <c r="V630" s="294"/>
      <c r="W630" s="294"/>
      <c r="X630" s="294"/>
      <c r="Y630" s="294"/>
      <c r="Z630" s="294"/>
      <c r="AA630" s="294"/>
      <c r="AB630" s="294"/>
      <c r="AC630" s="277"/>
      <c r="AD630" s="277"/>
      <c r="AE630" s="277"/>
      <c r="AF630" s="277"/>
      <c r="AG630" s="277"/>
      <c r="AH630" s="277"/>
      <c r="AI630" s="277"/>
      <c r="AJ630" s="277"/>
      <c r="AK630" s="277"/>
      <c r="AL630" s="277"/>
      <c r="AM630" s="277"/>
      <c r="AN630" s="277"/>
      <c r="AO630" s="277"/>
      <c r="AP630" s="277"/>
      <c r="AQ630" s="277"/>
      <c r="AR630" s="277"/>
      <c r="AS630" s="277"/>
      <c r="AT630" s="277"/>
      <c r="AU630" s="277"/>
      <c r="AV630" s="277"/>
      <c r="AW630" s="277"/>
      <c r="AX630" s="277"/>
      <c r="AY630" s="277"/>
      <c r="AZ630" s="277"/>
      <c r="BA630" s="277"/>
      <c r="BB630" s="277"/>
    </row>
    <row r="631" spans="1:54" ht="12.75" customHeight="1" x14ac:dyDescent="0.25">
      <c r="A631" s="277"/>
      <c r="B631" s="277"/>
      <c r="C631" s="277"/>
      <c r="D631" s="277"/>
      <c r="E631" s="277"/>
      <c r="F631" s="277"/>
      <c r="G631" s="277"/>
      <c r="H631" s="277"/>
      <c r="I631" s="277"/>
      <c r="J631" s="277"/>
      <c r="K631" s="277"/>
      <c r="L631" s="277"/>
      <c r="M631" s="277"/>
      <c r="N631" s="277"/>
      <c r="O631" s="277"/>
      <c r="P631" s="277"/>
      <c r="Q631" s="277"/>
      <c r="R631" s="277"/>
      <c r="S631" s="277"/>
      <c r="T631" s="294"/>
      <c r="U631" s="294"/>
      <c r="V631" s="294"/>
      <c r="W631" s="294"/>
      <c r="X631" s="294"/>
      <c r="Y631" s="294"/>
      <c r="Z631" s="294"/>
      <c r="AA631" s="294"/>
      <c r="AB631" s="294"/>
      <c r="AC631" s="277"/>
      <c r="AD631" s="277"/>
      <c r="AE631" s="277"/>
      <c r="AF631" s="277"/>
      <c r="AG631" s="277"/>
      <c r="AH631" s="277"/>
      <c r="AI631" s="277"/>
      <c r="AJ631" s="277"/>
      <c r="AK631" s="277"/>
      <c r="AL631" s="277"/>
      <c r="AM631" s="277"/>
      <c r="AN631" s="277"/>
      <c r="AO631" s="277"/>
      <c r="AP631" s="277"/>
      <c r="AQ631" s="277"/>
      <c r="AR631" s="277"/>
      <c r="AS631" s="277"/>
      <c r="AT631" s="277"/>
      <c r="AU631" s="277"/>
      <c r="AV631" s="277"/>
      <c r="AW631" s="277"/>
      <c r="AX631" s="277"/>
      <c r="AY631" s="277"/>
      <c r="AZ631" s="277"/>
      <c r="BA631" s="277"/>
      <c r="BB631" s="277"/>
    </row>
    <row r="632" spans="1:54" ht="12.75" customHeight="1" x14ac:dyDescent="0.25">
      <c r="A632" s="277"/>
      <c r="B632" s="277"/>
      <c r="C632" s="277"/>
      <c r="D632" s="277"/>
      <c r="E632" s="277"/>
      <c r="F632" s="277"/>
      <c r="G632" s="277"/>
      <c r="H632" s="277"/>
      <c r="I632" s="277"/>
      <c r="J632" s="277"/>
      <c r="K632" s="277"/>
      <c r="L632" s="277"/>
      <c r="M632" s="277"/>
      <c r="N632" s="277"/>
      <c r="O632" s="277"/>
      <c r="P632" s="277"/>
      <c r="Q632" s="277"/>
      <c r="R632" s="277"/>
      <c r="S632" s="277"/>
      <c r="T632" s="294"/>
      <c r="U632" s="294"/>
      <c r="V632" s="294"/>
      <c r="W632" s="294"/>
      <c r="X632" s="294"/>
      <c r="Y632" s="294"/>
      <c r="Z632" s="294"/>
      <c r="AA632" s="294"/>
      <c r="AB632" s="294"/>
      <c r="AC632" s="277"/>
      <c r="AD632" s="277"/>
      <c r="AE632" s="277"/>
      <c r="AF632" s="277"/>
      <c r="AG632" s="277"/>
      <c r="AH632" s="277"/>
      <c r="AI632" s="277"/>
      <c r="AJ632" s="277"/>
      <c r="AK632" s="277"/>
      <c r="AL632" s="277"/>
      <c r="AM632" s="277"/>
      <c r="AN632" s="277"/>
      <c r="AO632" s="277"/>
      <c r="AP632" s="277"/>
      <c r="AQ632" s="277"/>
      <c r="AR632" s="277"/>
      <c r="AS632" s="277"/>
      <c r="AT632" s="277"/>
      <c r="AU632" s="277"/>
      <c r="AV632" s="277"/>
      <c r="AW632" s="277"/>
      <c r="AX632" s="277"/>
      <c r="AY632" s="277"/>
      <c r="AZ632" s="277"/>
      <c r="BA632" s="277"/>
      <c r="BB632" s="277"/>
    </row>
    <row r="633" spans="1:54" ht="12.75" customHeight="1" x14ac:dyDescent="0.25">
      <c r="A633" s="277"/>
      <c r="B633" s="277"/>
      <c r="C633" s="277"/>
      <c r="D633" s="277"/>
      <c r="E633" s="277"/>
      <c r="F633" s="277"/>
      <c r="G633" s="277"/>
      <c r="H633" s="277"/>
      <c r="I633" s="277"/>
      <c r="J633" s="277"/>
      <c r="K633" s="277"/>
      <c r="L633" s="277"/>
      <c r="M633" s="277"/>
      <c r="N633" s="277"/>
      <c r="O633" s="277"/>
      <c r="P633" s="277"/>
      <c r="Q633" s="277"/>
      <c r="R633" s="277"/>
      <c r="S633" s="277"/>
      <c r="T633" s="294"/>
      <c r="U633" s="294"/>
      <c r="V633" s="294"/>
      <c r="W633" s="294"/>
      <c r="X633" s="294"/>
      <c r="Y633" s="294"/>
      <c r="Z633" s="294"/>
      <c r="AA633" s="294"/>
      <c r="AB633" s="294"/>
      <c r="AC633" s="277"/>
      <c r="AD633" s="277"/>
      <c r="AE633" s="277"/>
      <c r="AF633" s="277"/>
      <c r="AG633" s="277"/>
      <c r="AH633" s="277"/>
      <c r="AI633" s="277"/>
      <c r="AJ633" s="277"/>
      <c r="AK633" s="277"/>
      <c r="AL633" s="277"/>
      <c r="AM633" s="277"/>
      <c r="AN633" s="277"/>
      <c r="AO633" s="277"/>
      <c r="AP633" s="277"/>
      <c r="AQ633" s="277"/>
      <c r="AR633" s="277"/>
      <c r="AS633" s="277"/>
      <c r="AT633" s="277"/>
      <c r="AU633" s="277"/>
      <c r="AV633" s="277"/>
      <c r="AW633" s="277"/>
      <c r="AX633" s="277"/>
      <c r="AY633" s="277"/>
      <c r="AZ633" s="277"/>
      <c r="BA633" s="277"/>
      <c r="BB633" s="277"/>
    </row>
    <row r="634" spans="1:54" ht="12.75" customHeight="1" x14ac:dyDescent="0.25">
      <c r="A634" s="277"/>
      <c r="B634" s="277"/>
      <c r="C634" s="277"/>
      <c r="D634" s="277"/>
      <c r="E634" s="277"/>
      <c r="F634" s="277"/>
      <c r="G634" s="277"/>
      <c r="H634" s="277"/>
      <c r="I634" s="277"/>
      <c r="J634" s="277"/>
      <c r="K634" s="277"/>
      <c r="L634" s="277"/>
      <c r="M634" s="277"/>
      <c r="N634" s="277"/>
      <c r="O634" s="277"/>
      <c r="P634" s="277"/>
      <c r="Q634" s="277"/>
      <c r="R634" s="277"/>
      <c r="S634" s="277"/>
      <c r="T634" s="294"/>
      <c r="U634" s="294"/>
      <c r="V634" s="294"/>
      <c r="W634" s="294"/>
      <c r="X634" s="294"/>
      <c r="Y634" s="294"/>
      <c r="Z634" s="294"/>
      <c r="AA634" s="294"/>
      <c r="AB634" s="294"/>
      <c r="AC634" s="277"/>
      <c r="AD634" s="277"/>
      <c r="AE634" s="277"/>
      <c r="AF634" s="277"/>
      <c r="AG634" s="277"/>
      <c r="AH634" s="277"/>
      <c r="AI634" s="277"/>
      <c r="AJ634" s="277"/>
      <c r="AK634" s="277"/>
      <c r="AL634" s="277"/>
      <c r="AM634" s="277"/>
      <c r="AN634" s="277"/>
      <c r="AO634" s="277"/>
      <c r="AP634" s="277"/>
      <c r="AQ634" s="277"/>
      <c r="AR634" s="277"/>
      <c r="AS634" s="277"/>
      <c r="AT634" s="277"/>
      <c r="AU634" s="277"/>
      <c r="AV634" s="277"/>
      <c r="AW634" s="277"/>
      <c r="AX634" s="277"/>
      <c r="AY634" s="277"/>
      <c r="AZ634" s="277"/>
      <c r="BA634" s="277"/>
      <c r="BB634" s="277"/>
    </row>
    <row r="635" spans="1:54" ht="12.75" customHeight="1" x14ac:dyDescent="0.25">
      <c r="A635" s="277"/>
      <c r="B635" s="277"/>
      <c r="C635" s="277"/>
      <c r="D635" s="277"/>
      <c r="E635" s="277"/>
      <c r="F635" s="277"/>
      <c r="G635" s="277"/>
      <c r="H635" s="277"/>
      <c r="I635" s="277"/>
      <c r="J635" s="277"/>
      <c r="K635" s="277"/>
      <c r="L635" s="277"/>
      <c r="M635" s="277"/>
      <c r="N635" s="277"/>
      <c r="O635" s="277"/>
      <c r="P635" s="277"/>
      <c r="Q635" s="277"/>
      <c r="R635" s="277"/>
      <c r="S635" s="277"/>
      <c r="T635" s="294"/>
      <c r="U635" s="294"/>
      <c r="V635" s="294"/>
      <c r="W635" s="294"/>
      <c r="X635" s="294"/>
      <c r="Y635" s="294"/>
      <c r="Z635" s="294"/>
      <c r="AA635" s="294"/>
      <c r="AB635" s="294"/>
      <c r="AC635" s="277"/>
      <c r="AD635" s="277"/>
      <c r="AE635" s="277"/>
      <c r="AF635" s="277"/>
      <c r="AG635" s="277"/>
      <c r="AH635" s="277"/>
      <c r="AI635" s="277"/>
      <c r="AJ635" s="277"/>
      <c r="AK635" s="277"/>
      <c r="AL635" s="277"/>
      <c r="AM635" s="277"/>
      <c r="AN635" s="277"/>
      <c r="AO635" s="277"/>
      <c r="AP635" s="277"/>
      <c r="AQ635" s="277"/>
      <c r="AR635" s="277"/>
      <c r="AS635" s="277"/>
      <c r="AT635" s="277"/>
      <c r="AU635" s="277"/>
      <c r="AV635" s="277"/>
      <c r="AW635" s="277"/>
      <c r="AX635" s="277"/>
      <c r="AY635" s="277"/>
      <c r="AZ635" s="277"/>
      <c r="BA635" s="277"/>
      <c r="BB635" s="277"/>
    </row>
    <row r="636" spans="1:54" ht="12.75" customHeight="1" x14ac:dyDescent="0.25">
      <c r="A636" s="277"/>
      <c r="B636" s="277"/>
      <c r="C636" s="277"/>
      <c r="D636" s="277"/>
      <c r="E636" s="277"/>
      <c r="F636" s="277"/>
      <c r="G636" s="277"/>
      <c r="H636" s="277"/>
      <c r="I636" s="277"/>
      <c r="J636" s="277"/>
      <c r="K636" s="277"/>
      <c r="L636" s="277"/>
      <c r="M636" s="277"/>
      <c r="N636" s="277"/>
      <c r="O636" s="277"/>
      <c r="P636" s="277"/>
      <c r="Q636" s="277"/>
      <c r="R636" s="277"/>
      <c r="S636" s="277"/>
      <c r="T636" s="294"/>
      <c r="U636" s="294"/>
      <c r="V636" s="294"/>
      <c r="W636" s="294"/>
      <c r="X636" s="294"/>
      <c r="Y636" s="294"/>
      <c r="Z636" s="294"/>
      <c r="AA636" s="294"/>
      <c r="AB636" s="294"/>
      <c r="AC636" s="277"/>
      <c r="AD636" s="277"/>
      <c r="AE636" s="277"/>
      <c r="AF636" s="277"/>
      <c r="AG636" s="277"/>
      <c r="AH636" s="277"/>
      <c r="AI636" s="277"/>
      <c r="AJ636" s="277"/>
      <c r="AK636" s="277"/>
      <c r="AL636" s="277"/>
      <c r="AM636" s="277"/>
      <c r="AN636" s="277"/>
      <c r="AO636" s="277"/>
      <c r="AP636" s="277"/>
      <c r="AQ636" s="277"/>
      <c r="AR636" s="277"/>
      <c r="AS636" s="277"/>
      <c r="AT636" s="277"/>
      <c r="AU636" s="277"/>
      <c r="AV636" s="277"/>
      <c r="AW636" s="277"/>
      <c r="AX636" s="277"/>
      <c r="AY636" s="277"/>
      <c r="AZ636" s="277"/>
      <c r="BA636" s="277"/>
      <c r="BB636" s="277"/>
    </row>
    <row r="637" spans="1:54" ht="12.75" customHeight="1" x14ac:dyDescent="0.25">
      <c r="A637" s="277"/>
      <c r="B637" s="277"/>
      <c r="C637" s="277"/>
      <c r="D637" s="277"/>
      <c r="E637" s="277"/>
      <c r="F637" s="277"/>
      <c r="G637" s="277"/>
      <c r="H637" s="277"/>
      <c r="I637" s="277"/>
      <c r="J637" s="277"/>
      <c r="K637" s="277"/>
      <c r="L637" s="277"/>
      <c r="M637" s="277"/>
      <c r="N637" s="277"/>
      <c r="O637" s="277"/>
      <c r="P637" s="277"/>
      <c r="Q637" s="277"/>
      <c r="R637" s="277"/>
      <c r="S637" s="277"/>
      <c r="T637" s="294"/>
      <c r="U637" s="294"/>
      <c r="V637" s="294"/>
      <c r="W637" s="294"/>
      <c r="X637" s="294"/>
      <c r="Y637" s="294"/>
      <c r="Z637" s="294"/>
      <c r="AA637" s="294"/>
      <c r="AB637" s="294"/>
      <c r="AC637" s="277"/>
      <c r="AD637" s="277"/>
      <c r="AE637" s="277"/>
      <c r="AF637" s="277"/>
      <c r="AG637" s="277"/>
      <c r="AH637" s="277"/>
      <c r="AI637" s="277"/>
      <c r="AJ637" s="277"/>
      <c r="AK637" s="277"/>
      <c r="AL637" s="277"/>
      <c r="AM637" s="277"/>
      <c r="AN637" s="277"/>
      <c r="AO637" s="277"/>
      <c r="AP637" s="277"/>
      <c r="AQ637" s="277"/>
      <c r="AR637" s="277"/>
      <c r="AS637" s="277"/>
      <c r="AT637" s="277"/>
      <c r="AU637" s="277"/>
      <c r="AV637" s="277"/>
      <c r="AW637" s="277"/>
      <c r="AX637" s="277"/>
      <c r="AY637" s="277"/>
      <c r="AZ637" s="277"/>
      <c r="BA637" s="277"/>
      <c r="BB637" s="277"/>
    </row>
    <row r="638" spans="1:54" ht="12.75" customHeight="1" x14ac:dyDescent="0.25">
      <c r="A638" s="277"/>
      <c r="B638" s="277"/>
      <c r="C638" s="277"/>
      <c r="D638" s="277"/>
      <c r="E638" s="277"/>
      <c r="F638" s="277"/>
      <c r="G638" s="277"/>
      <c r="H638" s="277"/>
      <c r="I638" s="277"/>
      <c r="J638" s="277"/>
      <c r="K638" s="277"/>
      <c r="L638" s="277"/>
      <c r="M638" s="277"/>
      <c r="N638" s="277"/>
      <c r="O638" s="277"/>
      <c r="P638" s="277"/>
      <c r="Q638" s="277"/>
      <c r="R638" s="277"/>
      <c r="S638" s="277"/>
      <c r="T638" s="294"/>
      <c r="U638" s="294"/>
      <c r="V638" s="294"/>
      <c r="W638" s="294"/>
      <c r="X638" s="294"/>
      <c r="Y638" s="294"/>
      <c r="Z638" s="294"/>
      <c r="AA638" s="294"/>
      <c r="AB638" s="294"/>
      <c r="AC638" s="277"/>
      <c r="AD638" s="277"/>
      <c r="AE638" s="277"/>
      <c r="AF638" s="277"/>
      <c r="AG638" s="277"/>
      <c r="AH638" s="277"/>
      <c r="AI638" s="277"/>
      <c r="AJ638" s="277"/>
      <c r="AK638" s="277"/>
      <c r="AL638" s="277"/>
      <c r="AM638" s="277"/>
      <c r="AN638" s="277"/>
      <c r="AO638" s="277"/>
      <c r="AP638" s="277"/>
      <c r="AQ638" s="277"/>
      <c r="AR638" s="277"/>
      <c r="AS638" s="277"/>
      <c r="AT638" s="277"/>
      <c r="AU638" s="277"/>
      <c r="AV638" s="277"/>
      <c r="AW638" s="277"/>
      <c r="AX638" s="277"/>
      <c r="AY638" s="277"/>
      <c r="AZ638" s="277"/>
      <c r="BA638" s="277"/>
      <c r="BB638" s="277"/>
    </row>
    <row r="639" spans="1:54" x14ac:dyDescent="0.25">
      <c r="A639" s="277"/>
      <c r="B639" s="277"/>
      <c r="C639" s="277"/>
      <c r="D639" s="277"/>
      <c r="E639" s="277"/>
      <c r="F639" s="277"/>
      <c r="G639" s="277"/>
      <c r="H639" s="277"/>
      <c r="I639" s="277"/>
      <c r="J639" s="277"/>
      <c r="K639" s="277"/>
      <c r="L639" s="277"/>
      <c r="M639" s="277"/>
      <c r="N639" s="277"/>
      <c r="O639" s="277"/>
      <c r="P639" s="277"/>
      <c r="Q639" s="277"/>
      <c r="R639" s="277"/>
      <c r="S639" s="277"/>
      <c r="T639" s="294"/>
      <c r="U639" s="294"/>
      <c r="V639" s="294"/>
      <c r="W639" s="294"/>
      <c r="X639" s="294"/>
      <c r="Y639" s="294"/>
      <c r="Z639" s="294"/>
      <c r="AA639" s="294"/>
      <c r="AB639" s="294"/>
      <c r="AC639" s="277"/>
      <c r="AD639" s="277"/>
      <c r="AE639" s="277"/>
      <c r="AF639" s="277"/>
      <c r="AG639" s="277"/>
      <c r="AH639" s="277"/>
      <c r="AI639" s="277"/>
      <c r="AJ639" s="277"/>
      <c r="AK639" s="277"/>
      <c r="AL639" s="277"/>
      <c r="AM639" s="277"/>
      <c r="AN639" s="277"/>
      <c r="AO639" s="277"/>
      <c r="AP639" s="277"/>
      <c r="AQ639" s="277"/>
      <c r="AR639" s="277"/>
      <c r="AS639" s="277"/>
      <c r="AT639" s="277"/>
      <c r="AU639" s="277"/>
      <c r="AV639" s="277"/>
      <c r="AW639" s="277"/>
      <c r="AX639" s="277"/>
      <c r="AY639" s="277"/>
      <c r="AZ639" s="277"/>
      <c r="BA639" s="277"/>
      <c r="BB639" s="277"/>
    </row>
    <row r="640" spans="1:54" x14ac:dyDescent="0.25">
      <c r="A640" s="277"/>
      <c r="B640" s="277"/>
      <c r="C640" s="277"/>
      <c r="D640" s="277"/>
      <c r="E640" s="277"/>
      <c r="F640" s="277"/>
      <c r="G640" s="277"/>
      <c r="H640" s="277"/>
      <c r="I640" s="277"/>
      <c r="J640" s="277"/>
      <c r="K640" s="277"/>
      <c r="L640" s="277"/>
      <c r="M640" s="277"/>
      <c r="N640" s="277"/>
      <c r="O640" s="277"/>
      <c r="P640" s="277"/>
      <c r="Q640" s="277"/>
      <c r="R640" s="277"/>
      <c r="S640" s="277"/>
      <c r="T640" s="294"/>
      <c r="U640" s="294"/>
      <c r="V640" s="294"/>
      <c r="W640" s="294"/>
      <c r="X640" s="294"/>
      <c r="Y640" s="294"/>
      <c r="Z640" s="294"/>
      <c r="AA640" s="294"/>
      <c r="AB640" s="294"/>
      <c r="AC640" s="277"/>
      <c r="AD640" s="277"/>
      <c r="AE640" s="277"/>
      <c r="AF640" s="277"/>
      <c r="AG640" s="277"/>
      <c r="AH640" s="277"/>
      <c r="AI640" s="277"/>
      <c r="AJ640" s="277"/>
      <c r="AK640" s="277"/>
      <c r="AL640" s="277"/>
      <c r="AM640" s="277"/>
      <c r="AN640" s="277"/>
      <c r="AO640" s="277"/>
      <c r="AP640" s="277"/>
      <c r="AQ640" s="277"/>
      <c r="AR640" s="277"/>
      <c r="AS640" s="277"/>
      <c r="AT640" s="277"/>
      <c r="AU640" s="277"/>
      <c r="AV640" s="277"/>
      <c r="AW640" s="277"/>
      <c r="AX640" s="277"/>
      <c r="AY640" s="277"/>
      <c r="AZ640" s="277"/>
      <c r="BA640" s="277"/>
      <c r="BB640" s="277"/>
    </row>
    <row r="641" spans="1:54" x14ac:dyDescent="0.25">
      <c r="A641" s="277"/>
      <c r="B641" s="277"/>
      <c r="C641" s="277"/>
      <c r="D641" s="277"/>
      <c r="E641" s="277"/>
      <c r="F641" s="277"/>
      <c r="G641" s="277"/>
      <c r="H641" s="277"/>
      <c r="I641" s="277"/>
      <c r="J641" s="277"/>
      <c r="K641" s="277"/>
      <c r="L641" s="277"/>
      <c r="M641" s="277"/>
      <c r="N641" s="277"/>
      <c r="O641" s="277"/>
      <c r="P641" s="277"/>
      <c r="Q641" s="277"/>
      <c r="R641" s="277"/>
      <c r="S641" s="277"/>
      <c r="T641" s="294"/>
      <c r="U641" s="294"/>
      <c r="V641" s="294"/>
      <c r="W641" s="294"/>
      <c r="X641" s="294"/>
      <c r="Y641" s="294"/>
      <c r="Z641" s="294"/>
      <c r="AA641" s="294"/>
      <c r="AB641" s="294"/>
      <c r="AC641" s="277"/>
      <c r="AD641" s="277"/>
      <c r="AE641" s="277"/>
      <c r="AF641" s="277"/>
      <c r="AG641" s="277"/>
      <c r="AH641" s="277"/>
      <c r="AI641" s="277"/>
      <c r="AJ641" s="277"/>
      <c r="AK641" s="277"/>
      <c r="AL641" s="277"/>
      <c r="AM641" s="277"/>
      <c r="AN641" s="277"/>
      <c r="AO641" s="277"/>
      <c r="AP641" s="277"/>
      <c r="AQ641" s="277"/>
      <c r="AR641" s="277"/>
      <c r="AS641" s="277"/>
      <c r="AT641" s="277"/>
      <c r="AU641" s="277"/>
      <c r="AV641" s="277"/>
      <c r="AW641" s="277"/>
      <c r="AX641" s="277"/>
      <c r="AY641" s="277"/>
      <c r="AZ641" s="277"/>
      <c r="BA641" s="277"/>
      <c r="BB641" s="277"/>
    </row>
    <row r="642" spans="1:54" x14ac:dyDescent="0.25">
      <c r="A642" s="277"/>
      <c r="B642" s="277"/>
      <c r="C642" s="277"/>
      <c r="D642" s="277"/>
      <c r="E642" s="277"/>
      <c r="F642" s="277"/>
      <c r="G642" s="277"/>
      <c r="H642" s="277"/>
      <c r="I642" s="277"/>
      <c r="J642" s="277"/>
      <c r="K642" s="277"/>
      <c r="L642" s="277"/>
      <c r="M642" s="277"/>
      <c r="N642" s="277"/>
      <c r="O642" s="277"/>
      <c r="P642" s="277"/>
      <c r="Q642" s="277"/>
      <c r="R642" s="277"/>
      <c r="S642" s="277"/>
      <c r="T642" s="294"/>
      <c r="U642" s="294"/>
      <c r="V642" s="294"/>
      <c r="W642" s="294"/>
      <c r="X642" s="294"/>
      <c r="Y642" s="294"/>
      <c r="Z642" s="294"/>
      <c r="AA642" s="294"/>
      <c r="AB642" s="294"/>
      <c r="AC642" s="277"/>
      <c r="AD642" s="277"/>
      <c r="AE642" s="277"/>
      <c r="AF642" s="277"/>
      <c r="AG642" s="277"/>
      <c r="AH642" s="277"/>
      <c r="AI642" s="277"/>
      <c r="AJ642" s="277"/>
      <c r="AK642" s="277"/>
      <c r="AL642" s="277"/>
      <c r="AM642" s="277"/>
      <c r="AN642" s="277"/>
      <c r="AO642" s="277"/>
      <c r="AP642" s="277"/>
      <c r="AQ642" s="277"/>
      <c r="AR642" s="277"/>
      <c r="AS642" s="277"/>
      <c r="AT642" s="277"/>
      <c r="AU642" s="277"/>
      <c r="AV642" s="277"/>
      <c r="AW642" s="277"/>
      <c r="AX642" s="277"/>
      <c r="AY642" s="277"/>
      <c r="AZ642" s="277"/>
      <c r="BA642" s="277"/>
      <c r="BB642" s="277"/>
    </row>
    <row r="643" spans="1:54" x14ac:dyDescent="0.25">
      <c r="A643" s="277"/>
      <c r="B643" s="277"/>
      <c r="C643" s="277"/>
      <c r="D643" s="277"/>
      <c r="E643" s="277"/>
      <c r="F643" s="277"/>
      <c r="G643" s="277"/>
      <c r="H643" s="277"/>
      <c r="I643" s="277"/>
      <c r="J643" s="277"/>
      <c r="K643" s="277"/>
      <c r="L643" s="277"/>
      <c r="M643" s="277"/>
      <c r="N643" s="277"/>
      <c r="O643" s="277"/>
      <c r="P643" s="277"/>
      <c r="Q643" s="277"/>
      <c r="R643" s="277"/>
      <c r="S643" s="277"/>
      <c r="T643" s="294"/>
      <c r="U643" s="294"/>
      <c r="V643" s="294"/>
      <c r="W643" s="294"/>
      <c r="X643" s="294"/>
      <c r="Y643" s="294"/>
      <c r="Z643" s="294"/>
      <c r="AA643" s="294"/>
      <c r="AB643" s="294"/>
      <c r="AC643" s="277"/>
      <c r="AD643" s="277"/>
      <c r="AE643" s="277"/>
      <c r="AF643" s="277"/>
      <c r="AG643" s="277"/>
      <c r="AH643" s="277"/>
      <c r="AI643" s="277"/>
      <c r="AJ643" s="277"/>
      <c r="AK643" s="277"/>
      <c r="AL643" s="277"/>
      <c r="AM643" s="277"/>
      <c r="AN643" s="277"/>
      <c r="AO643" s="277"/>
      <c r="AP643" s="277"/>
      <c r="AQ643" s="277"/>
      <c r="AR643" s="277"/>
      <c r="AS643" s="277"/>
      <c r="AT643" s="277"/>
      <c r="AU643" s="277"/>
      <c r="AV643" s="277"/>
      <c r="AW643" s="277"/>
      <c r="AX643" s="277"/>
      <c r="AY643" s="277"/>
      <c r="AZ643" s="277"/>
      <c r="BA643" s="277"/>
      <c r="BB643" s="277"/>
    </row>
    <row r="644" spans="1:54" x14ac:dyDescent="0.25">
      <c r="A644" s="277"/>
      <c r="B644" s="277"/>
      <c r="C644" s="277"/>
      <c r="D644" s="277"/>
      <c r="E644" s="277"/>
      <c r="F644" s="277"/>
      <c r="G644" s="277"/>
      <c r="H644" s="277"/>
      <c r="I644" s="277"/>
      <c r="J644" s="277"/>
      <c r="K644" s="277"/>
      <c r="L644" s="277"/>
      <c r="M644" s="277"/>
      <c r="N644" s="277"/>
      <c r="O644" s="277"/>
      <c r="P644" s="277"/>
      <c r="Q644" s="277"/>
      <c r="R644" s="277"/>
      <c r="S644" s="277"/>
      <c r="T644" s="294"/>
      <c r="U644" s="294"/>
      <c r="V644" s="294"/>
      <c r="W644" s="294"/>
      <c r="X644" s="294"/>
      <c r="Y644" s="294"/>
      <c r="Z644" s="294"/>
      <c r="AA644" s="294"/>
      <c r="AB644" s="294"/>
      <c r="AC644" s="277"/>
      <c r="AD644" s="277"/>
      <c r="AE644" s="277"/>
      <c r="AF644" s="277"/>
      <c r="AG644" s="277"/>
      <c r="AH644" s="277"/>
      <c r="AI644" s="277"/>
      <c r="AJ644" s="277"/>
      <c r="AK644" s="277"/>
      <c r="AL644" s="277"/>
      <c r="AM644" s="277"/>
      <c r="AN644" s="277"/>
      <c r="AO644" s="277"/>
      <c r="AP644" s="277"/>
      <c r="AQ644" s="277"/>
      <c r="AR644" s="277"/>
      <c r="AS644" s="277"/>
      <c r="AT644" s="277"/>
      <c r="AU644" s="277"/>
      <c r="AV644" s="277"/>
      <c r="AW644" s="277"/>
      <c r="AX644" s="277"/>
      <c r="AY644" s="277"/>
      <c r="AZ644" s="277"/>
      <c r="BA644" s="277"/>
      <c r="BB644" s="277"/>
    </row>
    <row r="645" spans="1:54" x14ac:dyDescent="0.25">
      <c r="A645" s="277"/>
      <c r="B645" s="277"/>
      <c r="C645" s="277"/>
      <c r="D645" s="277"/>
      <c r="E645" s="277"/>
      <c r="F645" s="277"/>
      <c r="G645" s="277"/>
      <c r="H645" s="277"/>
      <c r="I645" s="277"/>
      <c r="J645" s="277"/>
      <c r="K645" s="277"/>
      <c r="L645" s="277"/>
      <c r="M645" s="277"/>
      <c r="N645" s="277"/>
      <c r="O645" s="277"/>
      <c r="P645" s="277"/>
      <c r="Q645" s="277"/>
      <c r="R645" s="277"/>
      <c r="S645" s="277"/>
      <c r="T645" s="294"/>
      <c r="U645" s="294"/>
      <c r="V645" s="294"/>
      <c r="W645" s="294"/>
      <c r="X645" s="294"/>
      <c r="Y645" s="294"/>
      <c r="Z645" s="294"/>
      <c r="AA645" s="294"/>
      <c r="AB645" s="294"/>
      <c r="AC645" s="277"/>
      <c r="AD645" s="277"/>
      <c r="AE645" s="277"/>
      <c r="AF645" s="277"/>
      <c r="AG645" s="277"/>
      <c r="AH645" s="277"/>
      <c r="AI645" s="277"/>
      <c r="AJ645" s="277"/>
      <c r="AK645" s="277"/>
      <c r="AL645" s="277"/>
      <c r="AM645" s="277"/>
      <c r="AN645" s="277"/>
      <c r="AO645" s="277"/>
      <c r="AP645" s="277"/>
      <c r="AQ645" s="277"/>
      <c r="AR645" s="277"/>
      <c r="AS645" s="277"/>
      <c r="AT645" s="277"/>
      <c r="AU645" s="277"/>
      <c r="AV645" s="277"/>
      <c r="AW645" s="277"/>
      <c r="AX645" s="277"/>
      <c r="AY645" s="277"/>
      <c r="AZ645" s="277"/>
      <c r="BA645" s="277"/>
      <c r="BB645" s="277"/>
    </row>
    <row r="646" spans="1:54" x14ac:dyDescent="0.25">
      <c r="A646" s="277"/>
      <c r="B646" s="277"/>
      <c r="C646" s="277"/>
      <c r="D646" s="277"/>
      <c r="E646" s="277"/>
      <c r="F646" s="277"/>
      <c r="G646" s="277"/>
      <c r="H646" s="277"/>
      <c r="I646" s="277"/>
      <c r="J646" s="277"/>
      <c r="K646" s="277"/>
      <c r="L646" s="277"/>
      <c r="M646" s="277"/>
      <c r="N646" s="277"/>
      <c r="O646" s="277"/>
      <c r="P646" s="277"/>
      <c r="Q646" s="277"/>
      <c r="R646" s="277"/>
      <c r="S646" s="277"/>
      <c r="T646" s="294"/>
      <c r="U646" s="294"/>
      <c r="V646" s="294"/>
      <c r="W646" s="294"/>
      <c r="X646" s="294"/>
      <c r="Y646" s="294"/>
      <c r="Z646" s="294"/>
      <c r="AA646" s="294"/>
      <c r="AB646" s="294"/>
      <c r="AC646" s="277"/>
      <c r="AD646" s="277"/>
      <c r="AE646" s="277"/>
      <c r="AF646" s="277"/>
      <c r="AG646" s="277"/>
      <c r="AH646" s="277"/>
      <c r="AI646" s="277"/>
      <c r="AJ646" s="277"/>
      <c r="AK646" s="277"/>
      <c r="AL646" s="277"/>
      <c r="AM646" s="277"/>
      <c r="AN646" s="277"/>
      <c r="AO646" s="277"/>
      <c r="AP646" s="277"/>
      <c r="AQ646" s="277"/>
      <c r="AR646" s="277"/>
      <c r="AS646" s="277"/>
      <c r="AT646" s="277"/>
      <c r="AU646" s="277"/>
      <c r="AV646" s="277"/>
      <c r="AW646" s="277"/>
      <c r="AX646" s="277"/>
      <c r="AY646" s="277"/>
      <c r="AZ646" s="277"/>
      <c r="BA646" s="277"/>
      <c r="BB646" s="277"/>
    </row>
    <row r="647" spans="1:54" x14ac:dyDescent="0.25">
      <c r="A647" s="277"/>
      <c r="B647" s="277"/>
      <c r="C647" s="277"/>
      <c r="D647" s="277"/>
      <c r="E647" s="277"/>
      <c r="F647" s="277"/>
      <c r="G647" s="277"/>
      <c r="H647" s="277"/>
      <c r="I647" s="277"/>
      <c r="J647" s="277"/>
      <c r="K647" s="277"/>
      <c r="L647" s="277"/>
      <c r="M647" s="277"/>
      <c r="N647" s="277"/>
      <c r="O647" s="277"/>
      <c r="P647" s="277"/>
      <c r="Q647" s="277"/>
      <c r="R647" s="277"/>
      <c r="S647" s="277"/>
      <c r="T647" s="294"/>
      <c r="U647" s="294"/>
      <c r="V647" s="294"/>
      <c r="W647" s="294"/>
      <c r="X647" s="294"/>
      <c r="Y647" s="294"/>
      <c r="Z647" s="294"/>
      <c r="AA647" s="294"/>
      <c r="AB647" s="294"/>
      <c r="AC647" s="277"/>
      <c r="AD647" s="277"/>
      <c r="AE647" s="277"/>
      <c r="AF647" s="277"/>
      <c r="AG647" s="277"/>
      <c r="AH647" s="277"/>
      <c r="AI647" s="277"/>
      <c r="AJ647" s="277"/>
      <c r="AK647" s="277"/>
      <c r="AL647" s="277"/>
      <c r="AM647" s="277"/>
      <c r="AN647" s="277"/>
      <c r="AO647" s="277"/>
      <c r="AP647" s="277"/>
      <c r="AQ647" s="277"/>
      <c r="AR647" s="277"/>
      <c r="AS647" s="277"/>
      <c r="AT647" s="277"/>
      <c r="AU647" s="277"/>
      <c r="AV647" s="277"/>
      <c r="AW647" s="277"/>
      <c r="AX647" s="277"/>
      <c r="AY647" s="277"/>
      <c r="AZ647" s="277"/>
      <c r="BA647" s="277"/>
      <c r="BB647" s="277"/>
    </row>
    <row r="648" spans="1:54" x14ac:dyDescent="0.25">
      <c r="A648" s="277"/>
      <c r="B648" s="277"/>
      <c r="C648" s="277"/>
      <c r="D648" s="277"/>
      <c r="E648" s="277"/>
      <c r="F648" s="277"/>
      <c r="G648" s="277"/>
      <c r="H648" s="277"/>
      <c r="I648" s="277"/>
      <c r="J648" s="277"/>
      <c r="K648" s="277"/>
      <c r="L648" s="277"/>
      <c r="M648" s="277"/>
      <c r="N648" s="277"/>
      <c r="O648" s="277"/>
      <c r="P648" s="277"/>
      <c r="Q648" s="277"/>
      <c r="R648" s="277"/>
      <c r="S648" s="277"/>
      <c r="T648" s="294"/>
      <c r="U648" s="294"/>
      <c r="V648" s="294"/>
      <c r="W648" s="294"/>
      <c r="X648" s="294"/>
      <c r="Y648" s="294"/>
      <c r="Z648" s="294"/>
      <c r="AA648" s="294"/>
      <c r="AB648" s="294"/>
      <c r="AC648" s="277"/>
      <c r="AD648" s="277"/>
      <c r="AE648" s="277"/>
      <c r="AF648" s="277"/>
      <c r="AG648" s="277"/>
      <c r="AH648" s="277"/>
      <c r="AI648" s="277"/>
      <c r="AJ648" s="277"/>
      <c r="AK648" s="277"/>
      <c r="AL648" s="277"/>
      <c r="AM648" s="277"/>
      <c r="AN648" s="277"/>
      <c r="AO648" s="277"/>
      <c r="AP648" s="277"/>
      <c r="AQ648" s="277"/>
      <c r="AR648" s="277"/>
      <c r="AS648" s="277"/>
      <c r="AT648" s="277"/>
      <c r="AU648" s="277"/>
      <c r="AV648" s="277"/>
      <c r="AW648" s="277"/>
      <c r="AX648" s="277"/>
      <c r="AY648" s="277"/>
      <c r="AZ648" s="277"/>
      <c r="BA648" s="277"/>
      <c r="BB648" s="277"/>
    </row>
    <row r="649" spans="1:54" x14ac:dyDescent="0.25">
      <c r="A649" s="277"/>
      <c r="B649" s="277"/>
      <c r="C649" s="277"/>
      <c r="D649" s="277"/>
      <c r="E649" s="277"/>
      <c r="F649" s="277"/>
      <c r="G649" s="277"/>
      <c r="H649" s="277"/>
      <c r="I649" s="277"/>
      <c r="J649" s="277"/>
      <c r="K649" s="277"/>
      <c r="L649" s="277"/>
      <c r="M649" s="277"/>
      <c r="N649" s="277"/>
      <c r="O649" s="277"/>
      <c r="P649" s="277"/>
      <c r="Q649" s="277"/>
      <c r="R649" s="277"/>
      <c r="S649" s="277"/>
      <c r="T649" s="294"/>
      <c r="U649" s="294"/>
      <c r="V649" s="294"/>
      <c r="W649" s="294"/>
      <c r="X649" s="294"/>
      <c r="Y649" s="294"/>
      <c r="Z649" s="294"/>
      <c r="AA649" s="294"/>
      <c r="AB649" s="294"/>
      <c r="AC649" s="277"/>
      <c r="AD649" s="277"/>
      <c r="AE649" s="277"/>
      <c r="AF649" s="277"/>
      <c r="AG649" s="277"/>
      <c r="AH649" s="277"/>
      <c r="AI649" s="277"/>
      <c r="AJ649" s="277"/>
      <c r="AK649" s="277"/>
      <c r="AL649" s="277"/>
      <c r="AM649" s="277"/>
      <c r="AN649" s="277"/>
      <c r="AO649" s="277"/>
      <c r="AP649" s="277"/>
      <c r="AQ649" s="277"/>
      <c r="AR649" s="277"/>
      <c r="AS649" s="277"/>
      <c r="AT649" s="277"/>
      <c r="AU649" s="277"/>
      <c r="AV649" s="277"/>
      <c r="AW649" s="277"/>
      <c r="AX649" s="277"/>
      <c r="AY649" s="277"/>
      <c r="AZ649" s="277"/>
      <c r="BA649" s="277"/>
      <c r="BB649" s="277"/>
    </row>
    <row r="650" spans="1:54" x14ac:dyDescent="0.25">
      <c r="A650" s="277"/>
      <c r="B650" s="277"/>
      <c r="C650" s="277"/>
      <c r="D650" s="277"/>
      <c r="E650" s="277"/>
      <c r="F650" s="277"/>
      <c r="G650" s="277"/>
      <c r="H650" s="277"/>
      <c r="I650" s="277"/>
      <c r="J650" s="277"/>
      <c r="K650" s="277"/>
      <c r="L650" s="277"/>
      <c r="M650" s="277"/>
      <c r="N650" s="277"/>
      <c r="O650" s="277"/>
      <c r="P650" s="277"/>
      <c r="Q650" s="277"/>
      <c r="R650" s="277"/>
      <c r="S650" s="277"/>
      <c r="T650" s="294"/>
      <c r="U650" s="294"/>
      <c r="V650" s="294"/>
      <c r="W650" s="294"/>
      <c r="X650" s="294"/>
      <c r="Y650" s="294"/>
      <c r="Z650" s="294"/>
      <c r="AA650" s="294"/>
      <c r="AB650" s="294"/>
      <c r="AC650" s="277"/>
      <c r="AD650" s="277"/>
      <c r="AE650" s="277"/>
      <c r="AF650" s="277"/>
      <c r="AG650" s="277"/>
      <c r="AH650" s="277"/>
      <c r="AI650" s="277"/>
      <c r="AJ650" s="277"/>
      <c r="AK650" s="277"/>
      <c r="AL650" s="277"/>
      <c r="AM650" s="277"/>
      <c r="AN650" s="277"/>
      <c r="AO650" s="277"/>
      <c r="AP650" s="277"/>
      <c r="AQ650" s="277"/>
      <c r="AR650" s="277"/>
      <c r="AS650" s="277"/>
      <c r="AT650" s="277"/>
      <c r="AU650" s="277"/>
      <c r="AV650" s="277"/>
      <c r="AW650" s="277"/>
      <c r="AX650" s="277"/>
      <c r="AY650" s="277"/>
      <c r="AZ650" s="277"/>
      <c r="BA650" s="277"/>
      <c r="BB650" s="277"/>
    </row>
    <row r="651" spans="1:54" x14ac:dyDescent="0.25">
      <c r="A651" s="277"/>
      <c r="B651" s="277"/>
      <c r="C651" s="277"/>
      <c r="D651" s="277"/>
      <c r="E651" s="277"/>
      <c r="F651" s="277"/>
      <c r="G651" s="277"/>
      <c r="H651" s="277"/>
      <c r="I651" s="277"/>
      <c r="J651" s="277"/>
      <c r="K651" s="277"/>
      <c r="L651" s="277"/>
      <c r="M651" s="277"/>
      <c r="N651" s="277"/>
      <c r="O651" s="277"/>
      <c r="P651" s="277"/>
      <c r="Q651" s="277"/>
      <c r="R651" s="277"/>
      <c r="S651" s="277"/>
      <c r="T651" s="294"/>
      <c r="U651" s="294"/>
      <c r="V651" s="294"/>
      <c r="W651" s="294"/>
      <c r="X651" s="294"/>
      <c r="Y651" s="294"/>
      <c r="Z651" s="294"/>
      <c r="AA651" s="294"/>
      <c r="AB651" s="294"/>
      <c r="AC651" s="277"/>
      <c r="AD651" s="277"/>
      <c r="AE651" s="277"/>
      <c r="AF651" s="277"/>
      <c r="AG651" s="277"/>
      <c r="AH651" s="277"/>
      <c r="AI651" s="277"/>
      <c r="AJ651" s="277"/>
      <c r="AK651" s="277"/>
      <c r="AL651" s="277"/>
      <c r="AM651" s="277"/>
      <c r="AN651" s="277"/>
      <c r="AO651" s="277"/>
      <c r="AP651" s="277"/>
      <c r="AQ651" s="277"/>
      <c r="AR651" s="277"/>
      <c r="AS651" s="277"/>
      <c r="AT651" s="277"/>
      <c r="AU651" s="277"/>
      <c r="AV651" s="277"/>
      <c r="AW651" s="277"/>
      <c r="AX651" s="277"/>
      <c r="AY651" s="277"/>
      <c r="AZ651" s="277"/>
      <c r="BA651" s="277"/>
      <c r="BB651" s="277"/>
    </row>
    <row r="652" spans="1:54" x14ac:dyDescent="0.25">
      <c r="A652" s="277"/>
      <c r="B652" s="277"/>
      <c r="C652" s="277"/>
      <c r="D652" s="277"/>
      <c r="E652" s="277"/>
      <c r="F652" s="277"/>
      <c r="G652" s="277"/>
      <c r="H652" s="277"/>
      <c r="I652" s="277"/>
      <c r="J652" s="277"/>
      <c r="K652" s="277"/>
      <c r="L652" s="277"/>
      <c r="M652" s="277"/>
      <c r="N652" s="277"/>
      <c r="O652" s="277"/>
      <c r="P652" s="277"/>
      <c r="Q652" s="277"/>
      <c r="R652" s="277"/>
      <c r="S652" s="277"/>
      <c r="T652" s="294"/>
      <c r="U652" s="294"/>
      <c r="V652" s="294"/>
      <c r="W652" s="294"/>
      <c r="X652" s="294"/>
      <c r="Y652" s="294"/>
      <c r="Z652" s="294"/>
      <c r="AA652" s="294"/>
      <c r="AB652" s="294"/>
      <c r="AC652" s="277"/>
      <c r="AD652" s="277"/>
      <c r="AE652" s="277"/>
      <c r="AF652" s="277"/>
      <c r="AG652" s="277"/>
      <c r="AH652" s="277"/>
      <c r="AI652" s="277"/>
      <c r="AJ652" s="277"/>
      <c r="AK652" s="277"/>
      <c r="AL652" s="277"/>
      <c r="AM652" s="277"/>
      <c r="AN652" s="277"/>
      <c r="AO652" s="277"/>
      <c r="AP652" s="277"/>
      <c r="AQ652" s="277"/>
      <c r="AR652" s="277"/>
      <c r="AS652" s="277"/>
      <c r="AT652" s="277"/>
      <c r="AU652" s="277"/>
      <c r="AV652" s="277"/>
      <c r="AW652" s="277"/>
      <c r="AX652" s="277"/>
      <c r="AY652" s="277"/>
      <c r="AZ652" s="277"/>
      <c r="BA652" s="277"/>
      <c r="BB652" s="277"/>
    </row>
    <row r="653" spans="1:54" x14ac:dyDescent="0.25">
      <c r="A653" s="277"/>
      <c r="B653" s="277"/>
      <c r="C653" s="277"/>
      <c r="D653" s="277"/>
      <c r="E653" s="277"/>
      <c r="F653" s="277"/>
      <c r="G653" s="277"/>
      <c r="H653" s="277"/>
      <c r="I653" s="277"/>
      <c r="J653" s="277"/>
      <c r="K653" s="277"/>
      <c r="L653" s="277"/>
      <c r="M653" s="277"/>
      <c r="N653" s="277"/>
      <c r="O653" s="277"/>
      <c r="P653" s="277"/>
      <c r="Q653" s="277"/>
      <c r="R653" s="277"/>
      <c r="S653" s="277"/>
      <c r="T653" s="294"/>
      <c r="U653" s="294"/>
      <c r="V653" s="294"/>
      <c r="W653" s="294"/>
      <c r="X653" s="294"/>
      <c r="Y653" s="294"/>
      <c r="Z653" s="294"/>
      <c r="AA653" s="294"/>
      <c r="AB653" s="294"/>
      <c r="AC653" s="277"/>
      <c r="AD653" s="277"/>
      <c r="AE653" s="277"/>
      <c r="AF653" s="277"/>
      <c r="AG653" s="277"/>
      <c r="AH653" s="277"/>
      <c r="AI653" s="277"/>
      <c r="AJ653" s="277"/>
      <c r="AK653" s="277"/>
      <c r="AL653" s="277"/>
      <c r="AM653" s="277"/>
      <c r="AN653" s="277"/>
      <c r="AO653" s="277"/>
      <c r="AP653" s="277"/>
      <c r="AQ653" s="277"/>
      <c r="AR653" s="277"/>
      <c r="AS653" s="277"/>
      <c r="AT653" s="277"/>
      <c r="AU653" s="277"/>
      <c r="AV653" s="277"/>
      <c r="AW653" s="277"/>
      <c r="AX653" s="277"/>
      <c r="AY653" s="277"/>
      <c r="AZ653" s="277"/>
      <c r="BA653" s="277"/>
      <c r="BB653" s="277"/>
    </row>
    <row r="654" spans="1:54" x14ac:dyDescent="0.25">
      <c r="A654" s="277"/>
      <c r="B654" s="277"/>
      <c r="C654" s="277"/>
      <c r="D654" s="277"/>
      <c r="E654" s="277"/>
      <c r="F654" s="277"/>
      <c r="G654" s="277"/>
      <c r="H654" s="277"/>
      <c r="I654" s="277"/>
      <c r="J654" s="277"/>
      <c r="K654" s="277"/>
      <c r="L654" s="277"/>
      <c r="M654" s="277"/>
      <c r="N654" s="277"/>
      <c r="O654" s="277"/>
      <c r="P654" s="277"/>
      <c r="Q654" s="277"/>
      <c r="R654" s="277"/>
      <c r="S654" s="277"/>
      <c r="T654" s="294"/>
      <c r="U654" s="294"/>
      <c r="V654" s="294"/>
      <c r="W654" s="294"/>
      <c r="X654" s="294"/>
      <c r="Y654" s="294"/>
      <c r="Z654" s="294"/>
      <c r="AA654" s="294"/>
      <c r="AB654" s="294"/>
      <c r="AC654" s="277"/>
      <c r="AD654" s="277"/>
      <c r="AE654" s="277"/>
      <c r="AF654" s="277"/>
      <c r="AG654" s="277"/>
      <c r="AH654" s="277"/>
      <c r="AI654" s="277"/>
      <c r="AJ654" s="277"/>
      <c r="AK654" s="277"/>
      <c r="AL654" s="277"/>
      <c r="AM654" s="277"/>
      <c r="AN654" s="277"/>
      <c r="AO654" s="277"/>
      <c r="AP654" s="277"/>
      <c r="AQ654" s="277"/>
      <c r="AR654" s="277"/>
      <c r="AS654" s="277"/>
      <c r="AT654" s="277"/>
      <c r="AU654" s="277"/>
      <c r="AV654" s="277"/>
      <c r="AW654" s="277"/>
      <c r="AX654" s="277"/>
      <c r="AY654" s="277"/>
      <c r="AZ654" s="277"/>
      <c r="BA654" s="277"/>
      <c r="BB654" s="277"/>
    </row>
    <row r="655" spans="1:54" x14ac:dyDescent="0.25">
      <c r="A655" s="277"/>
      <c r="B655" s="277"/>
      <c r="C655" s="277"/>
      <c r="D655" s="277"/>
      <c r="E655" s="277"/>
      <c r="F655" s="277"/>
      <c r="G655" s="277"/>
      <c r="H655" s="277"/>
      <c r="I655" s="277"/>
      <c r="J655" s="277"/>
      <c r="K655" s="277"/>
      <c r="L655" s="277"/>
      <c r="M655" s="277"/>
      <c r="N655" s="277"/>
      <c r="O655" s="277"/>
      <c r="P655" s="277"/>
      <c r="Q655" s="277"/>
      <c r="R655" s="277"/>
      <c r="S655" s="277"/>
      <c r="T655" s="294"/>
      <c r="U655" s="294"/>
      <c r="V655" s="294"/>
      <c r="W655" s="294"/>
      <c r="X655" s="294"/>
      <c r="Y655" s="294"/>
      <c r="Z655" s="294"/>
      <c r="AA655" s="294"/>
      <c r="AB655" s="294"/>
      <c r="AC655" s="277"/>
      <c r="AD655" s="277"/>
      <c r="AE655" s="277"/>
      <c r="AF655" s="277"/>
      <c r="AG655" s="277"/>
      <c r="AH655" s="277"/>
      <c r="AI655" s="277"/>
      <c r="AJ655" s="277"/>
      <c r="AK655" s="277"/>
      <c r="AL655" s="277"/>
      <c r="AM655" s="277"/>
      <c r="AN655" s="277"/>
      <c r="AO655" s="277"/>
      <c r="AP655" s="277"/>
      <c r="AQ655" s="277"/>
      <c r="AR655" s="277"/>
      <c r="AS655" s="277"/>
      <c r="AT655" s="277"/>
      <c r="AU655" s="277"/>
      <c r="AV655" s="277"/>
      <c r="AW655" s="277"/>
      <c r="AX655" s="277"/>
      <c r="AY655" s="277"/>
      <c r="AZ655" s="277"/>
      <c r="BA655" s="277"/>
      <c r="BB655" s="277"/>
    </row>
    <row r="656" spans="1:54" x14ac:dyDescent="0.25">
      <c r="A656" s="277"/>
      <c r="B656" s="277"/>
      <c r="C656" s="277"/>
      <c r="D656" s="277"/>
      <c r="E656" s="277"/>
      <c r="F656" s="277"/>
      <c r="G656" s="277"/>
      <c r="H656" s="277"/>
      <c r="I656" s="277"/>
      <c r="J656" s="277"/>
      <c r="K656" s="277"/>
      <c r="L656" s="277"/>
      <c r="M656" s="277"/>
      <c r="N656" s="277"/>
      <c r="O656" s="277"/>
      <c r="P656" s="277"/>
      <c r="Q656" s="277"/>
      <c r="R656" s="277"/>
      <c r="S656" s="277"/>
      <c r="T656" s="294"/>
      <c r="U656" s="294"/>
      <c r="V656" s="294"/>
      <c r="W656" s="294"/>
      <c r="X656" s="294"/>
      <c r="Y656" s="294"/>
      <c r="Z656" s="294"/>
      <c r="AA656" s="294"/>
      <c r="AB656" s="294"/>
      <c r="AC656" s="277"/>
      <c r="AD656" s="277"/>
      <c r="AE656" s="277"/>
      <c r="AF656" s="277"/>
      <c r="AG656" s="277"/>
      <c r="AH656" s="277"/>
      <c r="AI656" s="277"/>
      <c r="AJ656" s="277"/>
      <c r="AK656" s="277"/>
      <c r="AL656" s="277"/>
      <c r="AM656" s="277"/>
      <c r="AN656" s="277"/>
      <c r="AO656" s="277"/>
      <c r="AP656" s="277"/>
      <c r="AQ656" s="277"/>
      <c r="AR656" s="277"/>
      <c r="AS656" s="277"/>
      <c r="AT656" s="277"/>
      <c r="AU656" s="277"/>
      <c r="AV656" s="277"/>
      <c r="AW656" s="277"/>
      <c r="AX656" s="277"/>
      <c r="AY656" s="277"/>
      <c r="AZ656" s="277"/>
      <c r="BA656" s="277"/>
      <c r="BB656" s="277"/>
    </row>
    <row r="657" spans="1:54" x14ac:dyDescent="0.25">
      <c r="A657" s="277"/>
      <c r="B657" s="277"/>
      <c r="C657" s="277"/>
      <c r="D657" s="277"/>
      <c r="E657" s="277"/>
      <c r="F657" s="277"/>
      <c r="G657" s="277"/>
      <c r="H657" s="277"/>
      <c r="I657" s="277"/>
      <c r="J657" s="277"/>
      <c r="K657" s="277"/>
      <c r="L657" s="277"/>
      <c r="M657" s="277"/>
      <c r="N657" s="277"/>
      <c r="O657" s="277"/>
      <c r="P657" s="277"/>
      <c r="Q657" s="277"/>
      <c r="R657" s="277"/>
      <c r="S657" s="277"/>
      <c r="T657" s="294"/>
      <c r="U657" s="294"/>
      <c r="V657" s="294"/>
      <c r="W657" s="294"/>
      <c r="X657" s="294"/>
      <c r="Y657" s="294"/>
      <c r="Z657" s="294"/>
      <c r="AA657" s="294"/>
      <c r="AB657" s="294"/>
      <c r="AC657" s="277"/>
      <c r="AD657" s="277"/>
      <c r="AE657" s="277"/>
      <c r="AF657" s="277"/>
      <c r="AG657" s="277"/>
      <c r="AH657" s="277"/>
      <c r="AI657" s="277"/>
      <c r="AJ657" s="277"/>
      <c r="AK657" s="277"/>
      <c r="AL657" s="277"/>
      <c r="AM657" s="277"/>
      <c r="AN657" s="277"/>
      <c r="AO657" s="277"/>
      <c r="AP657" s="277"/>
      <c r="AQ657" s="277"/>
      <c r="AR657" s="277"/>
      <c r="AS657" s="277"/>
      <c r="AT657" s="277"/>
      <c r="AU657" s="277"/>
      <c r="AV657" s="277"/>
      <c r="AW657" s="277"/>
      <c r="AX657" s="277"/>
      <c r="AY657" s="277"/>
      <c r="AZ657" s="277"/>
      <c r="BA657" s="277"/>
      <c r="BB657" s="277"/>
    </row>
    <row r="658" spans="1:54" x14ac:dyDescent="0.25">
      <c r="A658" s="277"/>
      <c r="B658" s="277"/>
      <c r="C658" s="277"/>
      <c r="D658" s="277"/>
      <c r="E658" s="277"/>
      <c r="F658" s="277"/>
      <c r="G658" s="277"/>
      <c r="H658" s="277"/>
      <c r="I658" s="277"/>
      <c r="J658" s="277"/>
      <c r="K658" s="277"/>
      <c r="L658" s="277"/>
      <c r="M658" s="277"/>
      <c r="N658" s="277"/>
      <c r="O658" s="277"/>
      <c r="P658" s="277"/>
      <c r="Q658" s="277"/>
      <c r="R658" s="277"/>
      <c r="S658" s="277"/>
      <c r="T658" s="294"/>
      <c r="U658" s="294"/>
      <c r="V658" s="294"/>
      <c r="W658" s="294"/>
      <c r="X658" s="294"/>
      <c r="Y658" s="294"/>
      <c r="Z658" s="294"/>
      <c r="AA658" s="294"/>
      <c r="AB658" s="294"/>
      <c r="AC658" s="277"/>
      <c r="AD658" s="277"/>
      <c r="AE658" s="277"/>
      <c r="AF658" s="277"/>
      <c r="AG658" s="277"/>
      <c r="AH658" s="277"/>
      <c r="AI658" s="277"/>
      <c r="AJ658" s="277"/>
      <c r="AK658" s="277"/>
      <c r="AL658" s="277"/>
      <c r="AM658" s="277"/>
      <c r="AN658" s="277"/>
      <c r="AO658" s="277"/>
      <c r="AP658" s="277"/>
      <c r="AQ658" s="277"/>
      <c r="AR658" s="277"/>
      <c r="AS658" s="277"/>
      <c r="AT658" s="277"/>
      <c r="AU658" s="277"/>
      <c r="AV658" s="277"/>
      <c r="AW658" s="277"/>
      <c r="AX658" s="277"/>
      <c r="AY658" s="277"/>
      <c r="AZ658" s="277"/>
      <c r="BA658" s="277"/>
      <c r="BB658" s="277"/>
    </row>
    <row r="659" spans="1:54" x14ac:dyDescent="0.25">
      <c r="A659" s="277"/>
      <c r="B659" s="277"/>
      <c r="C659" s="277"/>
      <c r="D659" s="277"/>
      <c r="E659" s="277"/>
      <c r="F659" s="277"/>
      <c r="G659" s="277"/>
      <c r="H659" s="277"/>
      <c r="I659" s="277"/>
      <c r="J659" s="277"/>
      <c r="K659" s="277"/>
      <c r="L659" s="277"/>
      <c r="M659" s="277"/>
      <c r="N659" s="277"/>
      <c r="O659" s="277"/>
      <c r="P659" s="277"/>
      <c r="Q659" s="277"/>
      <c r="R659" s="277"/>
      <c r="S659" s="277"/>
      <c r="T659" s="294"/>
      <c r="U659" s="294"/>
      <c r="V659" s="294"/>
      <c r="W659" s="294"/>
      <c r="X659" s="294"/>
      <c r="Y659" s="294"/>
      <c r="Z659" s="294"/>
      <c r="AA659" s="294"/>
      <c r="AB659" s="294"/>
      <c r="AC659" s="277"/>
      <c r="AD659" s="277"/>
      <c r="AE659" s="277"/>
      <c r="AF659" s="277"/>
      <c r="AG659" s="277"/>
      <c r="AH659" s="277"/>
      <c r="AI659" s="277"/>
      <c r="AJ659" s="277"/>
      <c r="AK659" s="277"/>
      <c r="AL659" s="277"/>
      <c r="AM659" s="277"/>
      <c r="AN659" s="277"/>
      <c r="AO659" s="277"/>
      <c r="AP659" s="277"/>
      <c r="AQ659" s="277"/>
      <c r="AR659" s="277"/>
      <c r="AS659" s="277"/>
      <c r="AT659" s="277"/>
      <c r="AU659" s="277"/>
      <c r="AV659" s="277"/>
      <c r="AW659" s="277"/>
      <c r="AX659" s="277"/>
      <c r="AY659" s="277"/>
      <c r="AZ659" s="277"/>
      <c r="BA659" s="277"/>
      <c r="BB659" s="277"/>
    </row>
    <row r="660" spans="1:54" x14ac:dyDescent="0.25">
      <c r="A660" s="277"/>
      <c r="B660" s="277"/>
      <c r="C660" s="277"/>
      <c r="D660" s="277"/>
      <c r="E660" s="277"/>
      <c r="F660" s="277"/>
      <c r="G660" s="277"/>
      <c r="H660" s="277"/>
      <c r="I660" s="277"/>
      <c r="J660" s="277"/>
      <c r="K660" s="277"/>
      <c r="L660" s="277"/>
      <c r="M660" s="277"/>
      <c r="N660" s="277"/>
      <c r="O660" s="277"/>
      <c r="P660" s="277"/>
      <c r="Q660" s="277"/>
      <c r="R660" s="277"/>
      <c r="S660" s="277"/>
      <c r="T660" s="294"/>
      <c r="U660" s="294"/>
      <c r="V660" s="294"/>
      <c r="W660" s="294"/>
      <c r="X660" s="294"/>
      <c r="Y660" s="294"/>
      <c r="Z660" s="294"/>
      <c r="AA660" s="294"/>
      <c r="AB660" s="294"/>
      <c r="AC660" s="277"/>
      <c r="AD660" s="277"/>
      <c r="AE660" s="277"/>
      <c r="AF660" s="277"/>
      <c r="AG660" s="277"/>
      <c r="AH660" s="277"/>
      <c r="AI660" s="277"/>
      <c r="AJ660" s="277"/>
      <c r="AK660" s="277"/>
      <c r="AL660" s="277"/>
      <c r="AM660" s="277"/>
      <c r="AN660" s="277"/>
      <c r="AO660" s="277"/>
      <c r="AP660" s="277"/>
      <c r="AQ660" s="277"/>
      <c r="AR660" s="277"/>
      <c r="AS660" s="277"/>
      <c r="AT660" s="277"/>
      <c r="AU660" s="277"/>
      <c r="AV660" s="277"/>
      <c r="AW660" s="277"/>
      <c r="AX660" s="277"/>
      <c r="AY660" s="277"/>
      <c r="AZ660" s="277"/>
      <c r="BA660" s="277"/>
      <c r="BB660" s="277"/>
    </row>
    <row r="661" spans="1:54" x14ac:dyDescent="0.25">
      <c r="A661" s="277"/>
      <c r="B661" s="277"/>
      <c r="C661" s="277"/>
      <c r="D661" s="277"/>
      <c r="E661" s="277"/>
      <c r="F661" s="277"/>
      <c r="G661" s="277"/>
      <c r="H661" s="277"/>
      <c r="I661" s="277"/>
      <c r="J661" s="277"/>
      <c r="K661" s="277"/>
      <c r="L661" s="277"/>
      <c r="M661" s="277"/>
      <c r="N661" s="277"/>
      <c r="O661" s="277"/>
      <c r="P661" s="277"/>
      <c r="Q661" s="277"/>
      <c r="R661" s="277"/>
      <c r="S661" s="277"/>
      <c r="T661" s="294"/>
      <c r="U661" s="294"/>
      <c r="V661" s="294"/>
      <c r="W661" s="294"/>
      <c r="X661" s="294"/>
      <c r="Y661" s="294"/>
      <c r="Z661" s="294"/>
      <c r="AA661" s="294"/>
      <c r="AB661" s="294"/>
      <c r="AC661" s="277"/>
      <c r="AD661" s="277"/>
      <c r="AE661" s="277"/>
      <c r="AF661" s="277"/>
      <c r="AG661" s="277"/>
      <c r="AH661" s="277"/>
      <c r="AI661" s="277"/>
      <c r="AJ661" s="277"/>
      <c r="AK661" s="277"/>
      <c r="AL661" s="277"/>
      <c r="AM661" s="277"/>
      <c r="AN661" s="277"/>
      <c r="AO661" s="277"/>
      <c r="AP661" s="277"/>
      <c r="AQ661" s="277"/>
      <c r="AR661" s="277"/>
      <c r="AS661" s="277"/>
      <c r="AT661" s="277"/>
      <c r="AU661" s="277"/>
      <c r="AV661" s="277"/>
      <c r="AW661" s="277"/>
      <c r="AX661" s="277"/>
      <c r="AY661" s="277"/>
      <c r="AZ661" s="277"/>
      <c r="BA661" s="277"/>
      <c r="BB661" s="277"/>
    </row>
    <row r="662" spans="1:54" x14ac:dyDescent="0.25">
      <c r="A662" s="277"/>
      <c r="B662" s="277"/>
      <c r="C662" s="277"/>
      <c r="D662" s="277"/>
      <c r="E662" s="277"/>
      <c r="F662" s="277"/>
      <c r="G662" s="277"/>
      <c r="H662" s="277"/>
      <c r="I662" s="277"/>
      <c r="J662" s="277"/>
      <c r="K662" s="277"/>
      <c r="L662" s="277"/>
      <c r="M662" s="277"/>
      <c r="N662" s="277"/>
      <c r="O662" s="277"/>
      <c r="P662" s="277"/>
      <c r="Q662" s="277"/>
      <c r="R662" s="277"/>
      <c r="S662" s="277"/>
      <c r="T662" s="294"/>
      <c r="U662" s="294"/>
      <c r="V662" s="294"/>
      <c r="W662" s="294"/>
      <c r="X662" s="294"/>
      <c r="Y662" s="294"/>
      <c r="Z662" s="294"/>
      <c r="AA662" s="294"/>
      <c r="AB662" s="294"/>
      <c r="AC662" s="277"/>
      <c r="AD662" s="277"/>
      <c r="AE662" s="277"/>
      <c r="AF662" s="277"/>
      <c r="AG662" s="277"/>
      <c r="AH662" s="277"/>
      <c r="AI662" s="277"/>
      <c r="AJ662" s="277"/>
      <c r="AK662" s="277"/>
      <c r="AL662" s="277"/>
      <c r="AM662" s="277"/>
      <c r="AN662" s="277"/>
      <c r="AO662" s="277"/>
      <c r="AP662" s="277"/>
      <c r="AQ662" s="277"/>
      <c r="AR662" s="277"/>
      <c r="AS662" s="277"/>
      <c r="AT662" s="277"/>
      <c r="AU662" s="277"/>
      <c r="AV662" s="277"/>
      <c r="AW662" s="277"/>
      <c r="AX662" s="277"/>
      <c r="AY662" s="277"/>
      <c r="AZ662" s="277"/>
      <c r="BA662" s="277"/>
      <c r="BB662" s="277"/>
    </row>
    <row r="663" spans="1:54" x14ac:dyDescent="0.25">
      <c r="A663" s="277"/>
      <c r="B663" s="277"/>
      <c r="C663" s="277"/>
      <c r="D663" s="277"/>
      <c r="E663" s="277"/>
      <c r="F663" s="277"/>
      <c r="G663" s="277"/>
      <c r="H663" s="277"/>
      <c r="I663" s="277"/>
      <c r="J663" s="277"/>
      <c r="K663" s="277"/>
      <c r="L663" s="277"/>
      <c r="M663" s="277"/>
      <c r="N663" s="277"/>
      <c r="O663" s="277"/>
      <c r="P663" s="277"/>
      <c r="Q663" s="277"/>
      <c r="R663" s="277"/>
      <c r="S663" s="277"/>
      <c r="T663" s="294"/>
      <c r="U663" s="294"/>
      <c r="V663" s="294"/>
      <c r="W663" s="294"/>
      <c r="X663" s="294"/>
      <c r="Y663" s="294"/>
      <c r="Z663" s="294"/>
      <c r="AA663" s="294"/>
      <c r="AB663" s="294"/>
      <c r="AC663" s="277"/>
      <c r="AD663" s="277"/>
      <c r="AE663" s="277"/>
      <c r="AF663" s="277"/>
      <c r="AG663" s="277"/>
      <c r="AH663" s="277"/>
      <c r="AI663" s="277"/>
      <c r="AJ663" s="277"/>
      <c r="AK663" s="277"/>
      <c r="AL663" s="277"/>
      <c r="AM663" s="277"/>
      <c r="AN663" s="277"/>
      <c r="AO663" s="277"/>
      <c r="AP663" s="277"/>
      <c r="AQ663" s="277"/>
      <c r="AR663" s="277"/>
      <c r="AS663" s="277"/>
      <c r="AT663" s="277"/>
      <c r="AU663" s="277"/>
      <c r="AV663" s="277"/>
      <c r="AW663" s="277"/>
      <c r="AX663" s="277"/>
      <c r="AY663" s="277"/>
      <c r="AZ663" s="277"/>
      <c r="BA663" s="277"/>
      <c r="BB663" s="277"/>
    </row>
    <row r="664" spans="1:54" x14ac:dyDescent="0.25">
      <c r="A664" s="277"/>
      <c r="B664" s="277"/>
      <c r="C664" s="277"/>
      <c r="D664" s="277"/>
      <c r="E664" s="277"/>
      <c r="F664" s="277"/>
      <c r="G664" s="277"/>
      <c r="H664" s="277"/>
      <c r="I664" s="277"/>
      <c r="J664" s="277"/>
      <c r="K664" s="277"/>
      <c r="L664" s="277"/>
      <c r="M664" s="277"/>
      <c r="N664" s="277"/>
      <c r="O664" s="277"/>
      <c r="P664" s="277"/>
      <c r="Q664" s="277"/>
      <c r="R664" s="277"/>
      <c r="S664" s="277"/>
      <c r="T664" s="294"/>
      <c r="U664" s="294"/>
      <c r="V664" s="294"/>
      <c r="W664" s="294"/>
      <c r="X664" s="294"/>
      <c r="Y664" s="294"/>
      <c r="Z664" s="294"/>
      <c r="AA664" s="294"/>
      <c r="AB664" s="294"/>
      <c r="AC664" s="277"/>
      <c r="AD664" s="277"/>
      <c r="AE664" s="277"/>
      <c r="AF664" s="277"/>
      <c r="AG664" s="277"/>
      <c r="AH664" s="277"/>
      <c r="AI664" s="277"/>
      <c r="AJ664" s="277"/>
      <c r="AK664" s="277"/>
      <c r="AL664" s="277"/>
      <c r="AM664" s="277"/>
      <c r="AN664" s="277"/>
      <c r="AO664" s="277"/>
      <c r="AP664" s="277"/>
      <c r="AQ664" s="277"/>
      <c r="AR664" s="277"/>
      <c r="AS664" s="277"/>
      <c r="AT664" s="277"/>
      <c r="AU664" s="277"/>
      <c r="AV664" s="277"/>
      <c r="AW664" s="277"/>
      <c r="AX664" s="277"/>
      <c r="AY664" s="277"/>
      <c r="AZ664" s="277"/>
      <c r="BA664" s="277"/>
      <c r="BB664" s="277"/>
    </row>
    <row r="665" spans="1:54" x14ac:dyDescent="0.25">
      <c r="A665" s="277"/>
      <c r="B665" s="277"/>
      <c r="C665" s="277"/>
      <c r="D665" s="277"/>
      <c r="E665" s="277"/>
      <c r="F665" s="277"/>
      <c r="G665" s="277"/>
      <c r="H665" s="277"/>
      <c r="I665" s="277"/>
      <c r="J665" s="277"/>
      <c r="K665" s="277"/>
      <c r="L665" s="277"/>
      <c r="M665" s="277"/>
      <c r="N665" s="277"/>
      <c r="O665" s="277"/>
      <c r="P665" s="277"/>
      <c r="Q665" s="277"/>
      <c r="R665" s="277"/>
      <c r="S665" s="277"/>
      <c r="T665" s="294"/>
      <c r="U665" s="294"/>
      <c r="V665" s="294"/>
      <c r="W665" s="294"/>
      <c r="X665" s="294"/>
      <c r="Y665" s="294"/>
      <c r="Z665" s="294"/>
      <c r="AA665" s="294"/>
      <c r="AB665" s="294"/>
      <c r="AC665" s="277"/>
      <c r="AD665" s="277"/>
      <c r="AE665" s="277"/>
      <c r="AF665" s="277"/>
      <c r="AG665" s="277"/>
      <c r="AH665" s="277"/>
      <c r="AI665" s="277"/>
      <c r="AJ665" s="277"/>
      <c r="AK665" s="277"/>
      <c r="AL665" s="277"/>
      <c r="AM665" s="277"/>
      <c r="AN665" s="277"/>
      <c r="AO665" s="277"/>
      <c r="AP665" s="277"/>
      <c r="AQ665" s="277"/>
      <c r="AR665" s="277"/>
      <c r="AS665" s="277"/>
      <c r="AT665" s="277"/>
      <c r="AU665" s="277"/>
      <c r="AV665" s="277"/>
      <c r="AW665" s="277"/>
      <c r="AX665" s="277"/>
      <c r="AY665" s="277"/>
      <c r="AZ665" s="277"/>
      <c r="BA665" s="277"/>
      <c r="BB665" s="277"/>
    </row>
    <row r="666" spans="1:54" x14ac:dyDescent="0.25">
      <c r="A666" s="277"/>
      <c r="B666" s="277"/>
      <c r="C666" s="277"/>
      <c r="D666" s="277"/>
      <c r="E666" s="277"/>
      <c r="F666" s="277"/>
      <c r="G666" s="277"/>
      <c r="H666" s="277"/>
      <c r="I666" s="277"/>
      <c r="J666" s="277"/>
      <c r="K666" s="277"/>
      <c r="L666" s="277"/>
      <c r="M666" s="277"/>
      <c r="N666" s="277"/>
      <c r="O666" s="277"/>
      <c r="P666" s="277"/>
      <c r="Q666" s="277"/>
      <c r="R666" s="277"/>
      <c r="S666" s="277"/>
      <c r="T666" s="294"/>
      <c r="U666" s="294"/>
      <c r="V666" s="294"/>
      <c r="W666" s="294"/>
      <c r="X666" s="294"/>
      <c r="Y666" s="294"/>
      <c r="Z666" s="294"/>
      <c r="AA666" s="294"/>
      <c r="AB666" s="294"/>
      <c r="AC666" s="277"/>
      <c r="AD666" s="277"/>
      <c r="AE666" s="277"/>
      <c r="AF666" s="277"/>
      <c r="AG666" s="277"/>
      <c r="AH666" s="277"/>
      <c r="AI666" s="277"/>
      <c r="AJ666" s="277"/>
      <c r="AK666" s="277"/>
      <c r="AL666" s="277"/>
      <c r="AM666" s="277"/>
      <c r="AN666" s="277"/>
      <c r="AO666" s="277"/>
      <c r="AP666" s="277"/>
      <c r="AQ666" s="277"/>
      <c r="AR666" s="277"/>
      <c r="AS666" s="277"/>
      <c r="AT666" s="277"/>
      <c r="AU666" s="277"/>
      <c r="AV666" s="277"/>
      <c r="AW666" s="277"/>
      <c r="AX666" s="277"/>
      <c r="AY666" s="277"/>
      <c r="AZ666" s="277"/>
      <c r="BA666" s="277"/>
      <c r="BB666" s="277"/>
    </row>
    <row r="667" spans="1:54" x14ac:dyDescent="0.25">
      <c r="A667" s="277"/>
      <c r="B667" s="277"/>
      <c r="C667" s="277"/>
      <c r="D667" s="277"/>
      <c r="E667" s="277"/>
      <c r="F667" s="277"/>
      <c r="G667" s="277"/>
      <c r="H667" s="277"/>
      <c r="I667" s="277"/>
      <c r="J667" s="277"/>
      <c r="K667" s="277"/>
      <c r="L667" s="277"/>
      <c r="M667" s="277"/>
      <c r="N667" s="277"/>
      <c r="O667" s="277"/>
      <c r="P667" s="277"/>
      <c r="Q667" s="277"/>
      <c r="R667" s="277"/>
      <c r="S667" s="277"/>
      <c r="T667" s="294"/>
      <c r="U667" s="294"/>
      <c r="V667" s="294"/>
      <c r="W667" s="294"/>
      <c r="X667" s="294"/>
      <c r="Y667" s="294"/>
      <c r="Z667" s="294"/>
      <c r="AA667" s="294"/>
      <c r="AB667" s="294"/>
      <c r="AC667" s="277"/>
      <c r="AD667" s="277"/>
      <c r="AE667" s="277"/>
      <c r="AF667" s="277"/>
      <c r="AG667" s="277"/>
      <c r="AH667" s="277"/>
      <c r="AI667" s="277"/>
      <c r="AJ667" s="277"/>
      <c r="AK667" s="277"/>
      <c r="AL667" s="277"/>
      <c r="AM667" s="277"/>
      <c r="AN667" s="277"/>
      <c r="AO667" s="277"/>
      <c r="AP667" s="277"/>
      <c r="AQ667" s="277"/>
      <c r="AR667" s="277"/>
      <c r="AS667" s="277"/>
      <c r="AT667" s="277"/>
      <c r="AU667" s="277"/>
      <c r="AV667" s="277"/>
      <c r="AW667" s="277"/>
      <c r="AX667" s="277"/>
      <c r="AY667" s="277"/>
      <c r="AZ667" s="277"/>
      <c r="BA667" s="277"/>
      <c r="BB667" s="277"/>
    </row>
    <row r="668" spans="1:54" x14ac:dyDescent="0.25">
      <c r="A668" s="277"/>
      <c r="B668" s="277"/>
      <c r="C668" s="277"/>
      <c r="D668" s="277"/>
      <c r="E668" s="277"/>
      <c r="F668" s="277"/>
      <c r="G668" s="277"/>
      <c r="H668" s="277"/>
      <c r="I668" s="277"/>
      <c r="J668" s="277"/>
      <c r="K668" s="277"/>
      <c r="L668" s="277"/>
      <c r="M668" s="277"/>
      <c r="N668" s="277"/>
      <c r="O668" s="277"/>
      <c r="P668" s="277"/>
      <c r="Q668" s="277"/>
      <c r="R668" s="277"/>
      <c r="S668" s="277"/>
      <c r="T668" s="294"/>
      <c r="U668" s="294"/>
      <c r="V668" s="294"/>
      <c r="W668" s="294"/>
      <c r="X668" s="294"/>
      <c r="Y668" s="294"/>
      <c r="Z668" s="294"/>
      <c r="AA668" s="294"/>
      <c r="AB668" s="294"/>
      <c r="AC668" s="277"/>
      <c r="AD668" s="277"/>
      <c r="AE668" s="277"/>
      <c r="AF668" s="277"/>
      <c r="AG668" s="277"/>
      <c r="AH668" s="277"/>
      <c r="AI668" s="277"/>
      <c r="AJ668" s="277"/>
      <c r="AK668" s="277"/>
      <c r="AL668" s="277"/>
      <c r="AM668" s="277"/>
      <c r="AN668" s="277"/>
      <c r="AO668" s="277"/>
      <c r="AP668" s="277"/>
      <c r="AQ668" s="277"/>
      <c r="AR668" s="277"/>
      <c r="AS668" s="277"/>
      <c r="AT668" s="277"/>
      <c r="AU668" s="277"/>
      <c r="AV668" s="277"/>
      <c r="AW668" s="277"/>
      <c r="AX668" s="277"/>
      <c r="AY668" s="277"/>
      <c r="AZ668" s="277"/>
      <c r="BA668" s="277"/>
      <c r="BB668" s="277"/>
    </row>
    <row r="669" spans="1:54" x14ac:dyDescent="0.25">
      <c r="A669" s="277"/>
      <c r="B669" s="277"/>
      <c r="C669" s="277"/>
      <c r="D669" s="277"/>
      <c r="E669" s="277"/>
      <c r="F669" s="277"/>
      <c r="G669" s="277"/>
      <c r="H669" s="277"/>
      <c r="I669" s="277"/>
      <c r="J669" s="277"/>
      <c r="K669" s="277"/>
      <c r="L669" s="277"/>
      <c r="M669" s="277"/>
      <c r="N669" s="277"/>
      <c r="O669" s="277"/>
      <c r="P669" s="277"/>
      <c r="Q669" s="277"/>
      <c r="R669" s="277"/>
      <c r="S669" s="277"/>
      <c r="T669" s="294"/>
      <c r="U669" s="294"/>
      <c r="V669" s="294"/>
      <c r="W669" s="294"/>
      <c r="X669" s="294"/>
      <c r="Y669" s="294"/>
      <c r="Z669" s="294"/>
      <c r="AA669" s="294"/>
      <c r="AB669" s="294"/>
      <c r="AC669" s="277"/>
      <c r="AD669" s="277"/>
      <c r="AE669" s="277"/>
      <c r="AF669" s="277"/>
      <c r="AG669" s="277"/>
      <c r="AH669" s="277"/>
      <c r="AI669" s="277"/>
      <c r="AJ669" s="277"/>
      <c r="AK669" s="277"/>
      <c r="AL669" s="277"/>
      <c r="AM669" s="277"/>
      <c r="AN669" s="277"/>
      <c r="AO669" s="277"/>
      <c r="AP669" s="277"/>
      <c r="AQ669" s="277"/>
      <c r="AR669" s="277"/>
      <c r="AS669" s="277"/>
      <c r="AT669" s="277"/>
      <c r="AU669" s="277"/>
      <c r="AV669" s="277"/>
      <c r="AW669" s="277"/>
      <c r="AX669" s="277"/>
      <c r="AY669" s="277"/>
      <c r="AZ669" s="277"/>
      <c r="BA669" s="277"/>
      <c r="BB669" s="277"/>
    </row>
    <row r="670" spans="1:54" x14ac:dyDescent="0.25">
      <c r="A670" s="277"/>
      <c r="B670" s="277"/>
      <c r="C670" s="277"/>
      <c r="D670" s="277"/>
      <c r="E670" s="277"/>
      <c r="F670" s="277"/>
      <c r="G670" s="277"/>
      <c r="H670" s="277"/>
      <c r="I670" s="277"/>
      <c r="J670" s="277"/>
      <c r="K670" s="277"/>
      <c r="L670" s="277"/>
      <c r="M670" s="277"/>
      <c r="N670" s="277"/>
      <c r="O670" s="277"/>
      <c r="P670" s="277"/>
      <c r="Q670" s="277"/>
      <c r="R670" s="277"/>
      <c r="S670" s="277"/>
      <c r="T670" s="294"/>
      <c r="U670" s="294"/>
      <c r="V670" s="294"/>
      <c r="W670" s="294"/>
      <c r="X670" s="294"/>
      <c r="Y670" s="294"/>
      <c r="Z670" s="294"/>
      <c r="AA670" s="294"/>
      <c r="AB670" s="294"/>
      <c r="AC670" s="277"/>
      <c r="AD670" s="277"/>
      <c r="AE670" s="277"/>
      <c r="AF670" s="277"/>
      <c r="AG670" s="277"/>
      <c r="AH670" s="277"/>
      <c r="AI670" s="277"/>
      <c r="AJ670" s="277"/>
      <c r="AK670" s="277"/>
      <c r="AL670" s="277"/>
      <c r="AM670" s="277"/>
      <c r="AN670" s="277"/>
      <c r="AO670" s="277"/>
      <c r="AP670" s="277"/>
      <c r="AQ670" s="277"/>
      <c r="AR670" s="277"/>
      <c r="AS670" s="277"/>
      <c r="AT670" s="277"/>
      <c r="AU670" s="277"/>
      <c r="AV670" s="277"/>
      <c r="AW670" s="277"/>
      <c r="AX670" s="277"/>
      <c r="AY670" s="277"/>
      <c r="AZ670" s="277"/>
      <c r="BA670" s="277"/>
      <c r="BB670" s="277"/>
    </row>
    <row r="671" spans="1:54" x14ac:dyDescent="0.25">
      <c r="A671" s="277"/>
      <c r="B671" s="277"/>
      <c r="C671" s="277"/>
      <c r="D671" s="277"/>
      <c r="E671" s="277"/>
      <c r="F671" s="277"/>
      <c r="G671" s="277"/>
      <c r="H671" s="277"/>
      <c r="I671" s="277"/>
      <c r="J671" s="277"/>
      <c r="K671" s="277"/>
      <c r="L671" s="277"/>
      <c r="M671" s="277"/>
      <c r="N671" s="277"/>
      <c r="O671" s="277"/>
      <c r="P671" s="277"/>
      <c r="Q671" s="277"/>
      <c r="R671" s="277"/>
      <c r="S671" s="277"/>
      <c r="T671" s="294"/>
      <c r="U671" s="294"/>
      <c r="V671" s="294"/>
      <c r="W671" s="294"/>
      <c r="X671" s="294"/>
      <c r="Y671" s="294"/>
      <c r="Z671" s="294"/>
      <c r="AA671" s="294"/>
      <c r="AB671" s="294"/>
      <c r="AC671" s="277"/>
      <c r="AD671" s="277"/>
      <c r="AE671" s="277"/>
      <c r="AF671" s="277"/>
      <c r="AG671" s="277"/>
      <c r="AH671" s="277"/>
      <c r="AI671" s="277"/>
      <c r="AJ671" s="277"/>
      <c r="AK671" s="277"/>
      <c r="AL671" s="277"/>
      <c r="AM671" s="277"/>
      <c r="AN671" s="277"/>
      <c r="AO671" s="277"/>
      <c r="AP671" s="277"/>
      <c r="AQ671" s="277"/>
      <c r="AR671" s="277"/>
      <c r="AS671" s="277"/>
      <c r="AT671" s="277"/>
      <c r="AU671" s="277"/>
      <c r="AV671" s="277"/>
      <c r="AW671" s="277"/>
      <c r="AX671" s="277"/>
      <c r="AY671" s="277"/>
      <c r="AZ671" s="277"/>
      <c r="BA671" s="277"/>
      <c r="BB671" s="277"/>
    </row>
    <row r="672" spans="1:54" x14ac:dyDescent="0.25">
      <c r="A672" s="277"/>
      <c r="B672" s="277"/>
      <c r="C672" s="277"/>
      <c r="D672" s="277"/>
      <c r="E672" s="277"/>
      <c r="F672" s="277"/>
      <c r="G672" s="277"/>
      <c r="H672" s="277"/>
      <c r="I672" s="277"/>
      <c r="J672" s="277"/>
      <c r="K672" s="277"/>
      <c r="L672" s="277"/>
      <c r="M672" s="277"/>
      <c r="N672" s="277"/>
      <c r="O672" s="277"/>
      <c r="P672" s="277"/>
      <c r="Q672" s="277"/>
      <c r="R672" s="277"/>
      <c r="S672" s="277"/>
      <c r="T672" s="294"/>
      <c r="U672" s="294"/>
      <c r="V672" s="294"/>
      <c r="W672" s="294"/>
      <c r="X672" s="294"/>
      <c r="Y672" s="294"/>
      <c r="Z672" s="294"/>
      <c r="AA672" s="294"/>
      <c r="AB672" s="294"/>
      <c r="AC672" s="277"/>
      <c r="AD672" s="277"/>
      <c r="AE672" s="277"/>
      <c r="AF672" s="277"/>
      <c r="AG672" s="277"/>
      <c r="AH672" s="277"/>
      <c r="AI672" s="277"/>
      <c r="AJ672" s="277"/>
      <c r="AK672" s="277"/>
      <c r="AL672" s="277"/>
      <c r="AM672" s="277"/>
      <c r="AN672" s="277"/>
      <c r="AO672" s="277"/>
      <c r="AP672" s="277"/>
      <c r="AQ672" s="277"/>
      <c r="AR672" s="277"/>
      <c r="AS672" s="277"/>
      <c r="AT672" s="277"/>
      <c r="AU672" s="277"/>
      <c r="AV672" s="277"/>
      <c r="AW672" s="277"/>
      <c r="AX672" s="277"/>
      <c r="AY672" s="277"/>
      <c r="AZ672" s="277"/>
      <c r="BA672" s="277"/>
      <c r="BB672" s="277"/>
    </row>
    <row r="673" spans="1:54" x14ac:dyDescent="0.25">
      <c r="A673" s="277"/>
      <c r="B673" s="277"/>
      <c r="C673" s="277"/>
      <c r="D673" s="277"/>
      <c r="E673" s="277"/>
      <c r="F673" s="277"/>
      <c r="G673" s="277"/>
      <c r="H673" s="277"/>
      <c r="I673" s="277"/>
      <c r="J673" s="277"/>
      <c r="K673" s="277"/>
      <c r="L673" s="277"/>
      <c r="M673" s="277"/>
      <c r="N673" s="277"/>
      <c r="O673" s="277"/>
      <c r="P673" s="277"/>
      <c r="Q673" s="277"/>
      <c r="R673" s="277"/>
      <c r="S673" s="277"/>
      <c r="T673" s="294"/>
      <c r="U673" s="294"/>
      <c r="V673" s="294"/>
      <c r="W673" s="294"/>
      <c r="X673" s="294"/>
      <c r="Y673" s="294"/>
      <c r="Z673" s="294"/>
      <c r="AA673" s="294"/>
      <c r="AB673" s="294"/>
      <c r="AC673" s="277"/>
      <c r="AD673" s="277"/>
      <c r="AE673" s="277"/>
      <c r="AF673" s="277"/>
      <c r="AG673" s="277"/>
      <c r="AH673" s="277"/>
      <c r="AI673" s="277"/>
      <c r="AJ673" s="277"/>
      <c r="AK673" s="277"/>
      <c r="AL673" s="277"/>
      <c r="AM673" s="277"/>
      <c r="AN673" s="277"/>
      <c r="AO673" s="277"/>
      <c r="AP673" s="277"/>
      <c r="AQ673" s="277"/>
      <c r="AR673" s="277"/>
      <c r="AS673" s="277"/>
      <c r="AT673" s="277"/>
      <c r="AU673" s="277"/>
      <c r="AV673" s="277"/>
      <c r="AW673" s="277"/>
      <c r="AX673" s="277"/>
      <c r="AY673" s="277"/>
      <c r="AZ673" s="277"/>
      <c r="BA673" s="277"/>
      <c r="BB673" s="277"/>
    </row>
    <row r="674" spans="1:54" x14ac:dyDescent="0.25">
      <c r="A674" s="277"/>
      <c r="B674" s="277"/>
      <c r="C674" s="277"/>
      <c r="D674" s="277"/>
      <c r="E674" s="277"/>
      <c r="F674" s="277"/>
      <c r="G674" s="277"/>
      <c r="H674" s="277"/>
      <c r="I674" s="277"/>
      <c r="J674" s="277"/>
      <c r="K674" s="277"/>
      <c r="L674" s="277"/>
      <c r="M674" s="277"/>
      <c r="N674" s="277"/>
      <c r="O674" s="277"/>
      <c r="P674" s="277"/>
      <c r="Q674" s="277"/>
      <c r="R674" s="277"/>
      <c r="S674" s="277"/>
      <c r="T674" s="294"/>
      <c r="U674" s="294"/>
      <c r="V674" s="294"/>
      <c r="W674" s="294"/>
      <c r="X674" s="294"/>
      <c r="Y674" s="294"/>
      <c r="Z674" s="294"/>
      <c r="AA674" s="294"/>
      <c r="AB674" s="294"/>
      <c r="AC674" s="277"/>
      <c r="AD674" s="277"/>
      <c r="AE674" s="277"/>
      <c r="AF674" s="277"/>
      <c r="AG674" s="277"/>
      <c r="AH674" s="277"/>
      <c r="AI674" s="277"/>
      <c r="AJ674" s="277"/>
      <c r="AK674" s="277"/>
      <c r="AL674" s="277"/>
      <c r="AM674" s="277"/>
      <c r="AN674" s="277"/>
      <c r="AO674" s="277"/>
      <c r="AP674" s="277"/>
      <c r="AQ674" s="277"/>
      <c r="AR674" s="277"/>
      <c r="AS674" s="277"/>
      <c r="AT674" s="277"/>
      <c r="AU674" s="277"/>
      <c r="AV674" s="277"/>
      <c r="AW674" s="277"/>
      <c r="AX674" s="277"/>
      <c r="AY674" s="277"/>
      <c r="AZ674" s="277"/>
      <c r="BA674" s="277"/>
      <c r="BB674" s="277"/>
    </row>
    <row r="675" spans="1:54" x14ac:dyDescent="0.25">
      <c r="A675" s="277"/>
      <c r="B675" s="277"/>
      <c r="C675" s="277"/>
      <c r="D675" s="277"/>
      <c r="E675" s="277"/>
      <c r="F675" s="277"/>
      <c r="G675" s="277"/>
      <c r="H675" s="277"/>
      <c r="I675" s="277"/>
      <c r="J675" s="277"/>
      <c r="K675" s="277"/>
      <c r="L675" s="277"/>
      <c r="M675" s="277"/>
      <c r="N675" s="277"/>
      <c r="O675" s="277"/>
      <c r="P675" s="277"/>
      <c r="Q675" s="277"/>
      <c r="R675" s="277"/>
      <c r="S675" s="277"/>
      <c r="T675" s="294"/>
      <c r="U675" s="294"/>
      <c r="V675" s="294"/>
      <c r="W675" s="294"/>
      <c r="X675" s="294"/>
      <c r="Y675" s="294"/>
      <c r="Z675" s="294"/>
      <c r="AA675" s="294"/>
      <c r="AB675" s="294"/>
      <c r="AC675" s="277"/>
      <c r="AD675" s="277"/>
      <c r="AE675" s="277"/>
      <c r="AF675" s="277"/>
      <c r="AG675" s="277"/>
      <c r="AH675" s="277"/>
      <c r="AI675" s="277"/>
      <c r="AJ675" s="277"/>
      <c r="AK675" s="277"/>
      <c r="AL675" s="277"/>
      <c r="AM675" s="277"/>
      <c r="AN675" s="277"/>
      <c r="AO675" s="277"/>
      <c r="AP675" s="277"/>
      <c r="AQ675" s="277"/>
      <c r="AR675" s="277"/>
      <c r="AS675" s="277"/>
      <c r="AT675" s="277"/>
      <c r="AU675" s="277"/>
      <c r="AV675" s="277"/>
      <c r="AW675" s="277"/>
      <c r="AX675" s="277"/>
      <c r="AY675" s="277"/>
      <c r="AZ675" s="277"/>
      <c r="BA675" s="277"/>
      <c r="BB675" s="277"/>
    </row>
    <row r="676" spans="1:54" x14ac:dyDescent="0.25">
      <c r="A676" s="277"/>
      <c r="B676" s="277"/>
      <c r="C676" s="277"/>
      <c r="D676" s="277"/>
      <c r="E676" s="277"/>
      <c r="F676" s="277"/>
      <c r="G676" s="277"/>
      <c r="H676" s="277"/>
      <c r="I676" s="277"/>
      <c r="J676" s="277"/>
      <c r="K676" s="277"/>
      <c r="L676" s="277"/>
      <c r="M676" s="277"/>
      <c r="N676" s="277"/>
      <c r="O676" s="277"/>
      <c r="P676" s="277"/>
      <c r="Q676" s="277"/>
      <c r="R676" s="277"/>
      <c r="S676" s="277"/>
      <c r="T676" s="294"/>
      <c r="U676" s="294"/>
      <c r="V676" s="294"/>
      <c r="W676" s="294"/>
      <c r="X676" s="294"/>
      <c r="Y676" s="294"/>
      <c r="Z676" s="294"/>
      <c r="AA676" s="294"/>
      <c r="AB676" s="294"/>
      <c r="AC676" s="277"/>
      <c r="AD676" s="277"/>
      <c r="AE676" s="277"/>
      <c r="AF676" s="277"/>
      <c r="AG676" s="277"/>
      <c r="AH676" s="277"/>
      <c r="AI676" s="277"/>
      <c r="AJ676" s="277"/>
      <c r="AK676" s="277"/>
      <c r="AL676" s="277"/>
      <c r="AM676" s="277"/>
      <c r="AN676" s="277"/>
      <c r="AO676" s="277"/>
      <c r="AP676" s="277"/>
      <c r="AQ676" s="277"/>
      <c r="AR676" s="277"/>
      <c r="AS676" s="277"/>
      <c r="AT676" s="277"/>
      <c r="AU676" s="277"/>
      <c r="AV676" s="277"/>
      <c r="AW676" s="277"/>
      <c r="AX676" s="277"/>
      <c r="AY676" s="277"/>
      <c r="AZ676" s="277"/>
      <c r="BA676" s="277"/>
      <c r="BB676" s="277"/>
    </row>
    <row r="677" spans="1:54" x14ac:dyDescent="0.25">
      <c r="A677" s="277"/>
      <c r="B677" s="277"/>
      <c r="C677" s="277"/>
      <c r="D677" s="277"/>
      <c r="E677" s="277"/>
      <c r="F677" s="277"/>
      <c r="G677" s="277"/>
      <c r="H677" s="277"/>
      <c r="I677" s="277"/>
      <c r="J677" s="277"/>
      <c r="K677" s="277"/>
      <c r="L677" s="277"/>
      <c r="M677" s="277"/>
      <c r="N677" s="277"/>
      <c r="O677" s="277"/>
      <c r="P677" s="277"/>
      <c r="Q677" s="277"/>
      <c r="R677" s="277"/>
      <c r="S677" s="277"/>
      <c r="T677" s="294"/>
      <c r="U677" s="294"/>
      <c r="V677" s="294"/>
      <c r="W677" s="294"/>
      <c r="X677" s="294"/>
      <c r="Y677" s="294"/>
      <c r="Z677" s="294"/>
      <c r="AA677" s="294"/>
      <c r="AB677" s="294"/>
      <c r="AC677" s="277"/>
      <c r="AD677" s="277"/>
      <c r="AE677" s="277"/>
      <c r="AF677" s="277"/>
      <c r="AG677" s="277"/>
      <c r="AH677" s="277"/>
      <c r="AI677" s="277"/>
      <c r="AJ677" s="277"/>
      <c r="AK677" s="277"/>
      <c r="AL677" s="277"/>
      <c r="AM677" s="277"/>
      <c r="AN677" s="277"/>
      <c r="AO677" s="277"/>
      <c r="AP677" s="277"/>
      <c r="AQ677" s="277"/>
      <c r="AR677" s="277"/>
      <c r="AS677" s="277"/>
      <c r="AT677" s="277"/>
      <c r="AU677" s="277"/>
      <c r="AV677" s="277"/>
      <c r="AW677" s="277"/>
      <c r="AX677" s="277"/>
      <c r="AY677" s="277"/>
      <c r="AZ677" s="277"/>
      <c r="BA677" s="277"/>
      <c r="BB677" s="277"/>
    </row>
    <row r="678" spans="1:54" x14ac:dyDescent="0.25">
      <c r="A678" s="277"/>
      <c r="B678" s="277"/>
      <c r="C678" s="277"/>
      <c r="D678" s="277"/>
      <c r="E678" s="277"/>
      <c r="F678" s="277"/>
      <c r="G678" s="277"/>
      <c r="H678" s="277"/>
      <c r="I678" s="277"/>
      <c r="J678" s="277"/>
      <c r="K678" s="277"/>
      <c r="L678" s="277"/>
      <c r="M678" s="277"/>
      <c r="N678" s="277"/>
      <c r="O678" s="277"/>
      <c r="P678" s="277"/>
      <c r="Q678" s="277"/>
      <c r="R678" s="277"/>
      <c r="S678" s="277"/>
      <c r="T678" s="294"/>
      <c r="U678" s="294"/>
      <c r="V678" s="294"/>
      <c r="W678" s="294"/>
      <c r="X678" s="294"/>
      <c r="Y678" s="294"/>
      <c r="Z678" s="294"/>
      <c r="AA678" s="294"/>
      <c r="AB678" s="294"/>
      <c r="AC678" s="277"/>
      <c r="AD678" s="277"/>
      <c r="AE678" s="277"/>
      <c r="AF678" s="277"/>
      <c r="AG678" s="277"/>
      <c r="AH678" s="277"/>
      <c r="AI678" s="277"/>
      <c r="AJ678" s="277"/>
      <c r="AK678" s="277"/>
      <c r="AL678" s="277"/>
      <c r="AM678" s="277"/>
      <c r="AN678" s="277"/>
      <c r="AO678" s="277"/>
      <c r="AP678" s="277"/>
      <c r="AQ678" s="277"/>
      <c r="AR678" s="277"/>
      <c r="AS678" s="277"/>
      <c r="AT678" s="277"/>
      <c r="AU678" s="277"/>
      <c r="AV678" s="277"/>
      <c r="AW678" s="277"/>
      <c r="AX678" s="277"/>
      <c r="AY678" s="277"/>
      <c r="AZ678" s="277"/>
      <c r="BA678" s="277"/>
      <c r="BB678" s="277"/>
    </row>
    <row r="679" spans="1:54" x14ac:dyDescent="0.25">
      <c r="A679" s="277"/>
      <c r="B679" s="277"/>
      <c r="C679" s="277"/>
      <c r="D679" s="277"/>
      <c r="E679" s="277"/>
      <c r="F679" s="277"/>
      <c r="G679" s="277"/>
      <c r="H679" s="277"/>
      <c r="I679" s="277"/>
      <c r="J679" s="277"/>
      <c r="K679" s="277"/>
      <c r="L679" s="277"/>
      <c r="M679" s="277"/>
      <c r="N679" s="277"/>
      <c r="O679" s="277"/>
      <c r="P679" s="277"/>
      <c r="Q679" s="277"/>
      <c r="R679" s="277"/>
      <c r="S679" s="277"/>
      <c r="T679" s="294"/>
      <c r="U679" s="294"/>
      <c r="V679" s="294"/>
      <c r="W679" s="294"/>
      <c r="X679" s="294"/>
      <c r="Y679" s="294"/>
      <c r="Z679" s="294"/>
      <c r="AA679" s="294"/>
      <c r="AB679" s="294"/>
      <c r="AC679" s="277"/>
      <c r="AD679" s="277"/>
      <c r="AE679" s="277"/>
      <c r="AF679" s="277"/>
      <c r="AG679" s="277"/>
      <c r="AH679" s="277"/>
      <c r="AI679" s="277"/>
      <c r="AJ679" s="277"/>
      <c r="AK679" s="277"/>
      <c r="AL679" s="277"/>
      <c r="AM679" s="277"/>
      <c r="AN679" s="277"/>
      <c r="AO679" s="277"/>
      <c r="AP679" s="277"/>
      <c r="AQ679" s="277"/>
      <c r="AR679" s="277"/>
      <c r="AS679" s="277"/>
      <c r="AT679" s="277"/>
      <c r="AU679" s="277"/>
      <c r="AV679" s="277"/>
      <c r="AW679" s="277"/>
      <c r="AX679" s="277"/>
      <c r="AY679" s="277"/>
      <c r="AZ679" s="277"/>
      <c r="BA679" s="277"/>
      <c r="BB679" s="277"/>
    </row>
    <row r="680" spans="1:54" x14ac:dyDescent="0.25">
      <c r="A680" s="277"/>
      <c r="B680" s="277"/>
      <c r="C680" s="277"/>
      <c r="D680" s="277"/>
      <c r="E680" s="277"/>
      <c r="F680" s="277"/>
      <c r="G680" s="277"/>
      <c r="H680" s="277"/>
      <c r="I680" s="277"/>
      <c r="J680" s="277"/>
      <c r="K680" s="277"/>
      <c r="L680" s="277"/>
      <c r="M680" s="277"/>
      <c r="N680" s="277"/>
      <c r="O680" s="277"/>
      <c r="P680" s="277"/>
      <c r="Q680" s="277"/>
      <c r="R680" s="277"/>
      <c r="S680" s="277"/>
      <c r="T680" s="294"/>
      <c r="U680" s="294"/>
      <c r="V680" s="294"/>
      <c r="W680" s="294"/>
      <c r="X680" s="294"/>
      <c r="Y680" s="294"/>
      <c r="Z680" s="294"/>
      <c r="AA680" s="294"/>
      <c r="AB680" s="294"/>
      <c r="AC680" s="277"/>
      <c r="AD680" s="277"/>
      <c r="AE680" s="277"/>
      <c r="AF680" s="277"/>
      <c r="AG680" s="277"/>
      <c r="AH680" s="277"/>
      <c r="AI680" s="277"/>
      <c r="AJ680" s="277"/>
      <c r="AK680" s="277"/>
      <c r="AL680" s="277"/>
      <c r="AM680" s="277"/>
      <c r="AN680" s="277"/>
      <c r="AO680" s="277"/>
      <c r="AP680" s="277"/>
      <c r="AQ680" s="277"/>
      <c r="AR680" s="277"/>
      <c r="AS680" s="277"/>
      <c r="AT680" s="277"/>
      <c r="AU680" s="277"/>
      <c r="AV680" s="277"/>
      <c r="AW680" s="277"/>
      <c r="AX680" s="277"/>
      <c r="AY680" s="277"/>
      <c r="AZ680" s="277"/>
      <c r="BA680" s="277"/>
      <c r="BB680" s="277"/>
    </row>
    <row r="681" spans="1:54" x14ac:dyDescent="0.25">
      <c r="A681" s="277"/>
      <c r="B681" s="277"/>
      <c r="C681" s="277"/>
      <c r="D681" s="277"/>
      <c r="E681" s="277"/>
      <c r="F681" s="277"/>
      <c r="G681" s="277"/>
      <c r="H681" s="277"/>
      <c r="I681" s="277"/>
      <c r="J681" s="277"/>
      <c r="K681" s="277"/>
      <c r="L681" s="277"/>
      <c r="M681" s="277"/>
      <c r="N681" s="277"/>
      <c r="O681" s="277"/>
      <c r="P681" s="277"/>
      <c r="Q681" s="277"/>
      <c r="R681" s="277"/>
      <c r="S681" s="277"/>
      <c r="T681" s="294"/>
      <c r="U681" s="294"/>
      <c r="V681" s="294"/>
      <c r="W681" s="294"/>
      <c r="X681" s="294"/>
      <c r="Y681" s="294"/>
      <c r="Z681" s="294"/>
      <c r="AA681" s="294"/>
      <c r="AB681" s="294"/>
      <c r="AC681" s="277"/>
      <c r="AD681" s="277"/>
      <c r="AE681" s="277"/>
      <c r="AF681" s="277"/>
      <c r="AG681" s="277"/>
      <c r="AH681" s="277"/>
      <c r="AI681" s="277"/>
      <c r="AJ681" s="277"/>
      <c r="AK681" s="277"/>
      <c r="AL681" s="277"/>
      <c r="AM681" s="277"/>
      <c r="AN681" s="277"/>
      <c r="AO681" s="277"/>
      <c r="AP681" s="277"/>
      <c r="AQ681" s="277"/>
      <c r="AR681" s="277"/>
      <c r="AS681" s="277"/>
      <c r="AT681" s="277"/>
      <c r="AU681" s="277"/>
      <c r="AV681" s="277"/>
      <c r="AW681" s="277"/>
      <c r="AX681" s="277"/>
      <c r="AY681" s="277"/>
      <c r="AZ681" s="277"/>
      <c r="BA681" s="277"/>
      <c r="BB681" s="277"/>
    </row>
    <row r="682" spans="1:54" x14ac:dyDescent="0.25">
      <c r="A682" s="277"/>
      <c r="B682" s="277"/>
      <c r="C682" s="277"/>
      <c r="D682" s="277"/>
      <c r="E682" s="277"/>
      <c r="F682" s="277"/>
      <c r="G682" s="277"/>
      <c r="H682" s="277"/>
      <c r="I682" s="277"/>
      <c r="J682" s="277"/>
      <c r="K682" s="277"/>
      <c r="L682" s="277"/>
      <c r="M682" s="277"/>
      <c r="N682" s="277"/>
      <c r="O682" s="277"/>
      <c r="P682" s="277"/>
      <c r="Q682" s="277"/>
      <c r="R682" s="277"/>
      <c r="S682" s="277"/>
      <c r="T682" s="294"/>
      <c r="U682" s="294"/>
      <c r="V682" s="294"/>
      <c r="W682" s="294"/>
      <c r="X682" s="294"/>
      <c r="Y682" s="294"/>
      <c r="Z682" s="294"/>
      <c r="AA682" s="294"/>
      <c r="AB682" s="294"/>
      <c r="AC682" s="277"/>
      <c r="AD682" s="277"/>
      <c r="AE682" s="277"/>
      <c r="AF682" s="277"/>
      <c r="AG682" s="277"/>
      <c r="AH682" s="277"/>
      <c r="AI682" s="277"/>
      <c r="AJ682" s="277"/>
      <c r="AK682" s="277"/>
      <c r="AL682" s="277"/>
      <c r="AM682" s="277"/>
      <c r="AN682" s="277"/>
      <c r="AO682" s="277"/>
      <c r="AP682" s="277"/>
      <c r="AQ682" s="277"/>
      <c r="AR682" s="277"/>
      <c r="AS682" s="277"/>
      <c r="AT682" s="277"/>
      <c r="AU682" s="277"/>
      <c r="AV682" s="277"/>
      <c r="AW682" s="277"/>
      <c r="AX682" s="277"/>
      <c r="AY682" s="277"/>
      <c r="AZ682" s="277"/>
      <c r="BA682" s="277"/>
      <c r="BB682" s="277"/>
    </row>
    <row r="683" spans="1:54" x14ac:dyDescent="0.25">
      <c r="A683" s="277"/>
      <c r="B683" s="277"/>
      <c r="C683" s="277"/>
      <c r="D683" s="277"/>
      <c r="E683" s="277"/>
      <c r="F683" s="277"/>
      <c r="G683" s="277"/>
      <c r="H683" s="277"/>
      <c r="I683" s="277"/>
      <c r="J683" s="277"/>
      <c r="K683" s="277"/>
      <c r="L683" s="277"/>
      <c r="M683" s="277"/>
      <c r="N683" s="277"/>
      <c r="O683" s="277"/>
      <c r="P683" s="277"/>
      <c r="Q683" s="277"/>
      <c r="R683" s="277"/>
      <c r="S683" s="277"/>
      <c r="T683" s="294"/>
      <c r="U683" s="294"/>
      <c r="V683" s="294"/>
      <c r="W683" s="294"/>
      <c r="X683" s="294"/>
      <c r="Y683" s="294"/>
      <c r="Z683" s="294"/>
      <c r="AA683" s="294"/>
      <c r="AB683" s="294"/>
      <c r="AC683" s="277"/>
      <c r="AD683" s="277"/>
      <c r="AE683" s="277"/>
      <c r="AF683" s="277"/>
      <c r="AG683" s="277"/>
      <c r="AH683" s="277"/>
      <c r="AI683" s="277"/>
      <c r="AJ683" s="277"/>
      <c r="AK683" s="277"/>
      <c r="AL683" s="277"/>
      <c r="AM683" s="277"/>
      <c r="AN683" s="277"/>
      <c r="AO683" s="277"/>
      <c r="AP683" s="277"/>
      <c r="AQ683" s="277"/>
      <c r="AR683" s="277"/>
      <c r="AS683" s="277"/>
      <c r="AT683" s="277"/>
      <c r="AU683" s="277"/>
      <c r="AV683" s="277"/>
      <c r="AW683" s="277"/>
      <c r="AX683" s="277"/>
      <c r="AY683" s="277"/>
      <c r="AZ683" s="277"/>
      <c r="BA683" s="277"/>
      <c r="BB683" s="277"/>
    </row>
    <row r="684" spans="1:54" x14ac:dyDescent="0.25">
      <c r="A684" s="277"/>
      <c r="B684" s="277"/>
      <c r="C684" s="277"/>
      <c r="D684" s="277"/>
      <c r="E684" s="277"/>
      <c r="F684" s="277"/>
      <c r="G684" s="277"/>
      <c r="H684" s="277"/>
      <c r="I684" s="277"/>
      <c r="J684" s="277"/>
      <c r="K684" s="277"/>
      <c r="L684" s="277"/>
      <c r="M684" s="277"/>
      <c r="N684" s="277"/>
      <c r="O684" s="277"/>
      <c r="P684" s="277"/>
      <c r="Q684" s="277"/>
      <c r="R684" s="277"/>
      <c r="S684" s="277"/>
      <c r="T684" s="294"/>
      <c r="U684" s="294"/>
      <c r="V684" s="294"/>
      <c r="W684" s="294"/>
      <c r="X684" s="294"/>
      <c r="Y684" s="294"/>
      <c r="Z684" s="294"/>
      <c r="AA684" s="294"/>
      <c r="AB684" s="294"/>
      <c r="AC684" s="277"/>
      <c r="AD684" s="277"/>
      <c r="AE684" s="277"/>
      <c r="AF684" s="277"/>
      <c r="AG684" s="277"/>
      <c r="AH684" s="277"/>
      <c r="AI684" s="277"/>
      <c r="AJ684" s="277"/>
      <c r="AK684" s="277"/>
      <c r="AL684" s="277"/>
      <c r="AM684" s="277"/>
      <c r="AN684" s="277"/>
      <c r="AO684" s="277"/>
      <c r="AP684" s="277"/>
      <c r="AQ684" s="277"/>
      <c r="AR684" s="277"/>
      <c r="AS684" s="277"/>
      <c r="AT684" s="277"/>
      <c r="AU684" s="277"/>
      <c r="AV684" s="277"/>
      <c r="AW684" s="277"/>
      <c r="AX684" s="277"/>
      <c r="AY684" s="277"/>
      <c r="AZ684" s="277"/>
      <c r="BA684" s="277"/>
      <c r="BB684" s="277"/>
    </row>
    <row r="685" spans="1:54" x14ac:dyDescent="0.25">
      <c r="A685" s="277"/>
      <c r="B685" s="277"/>
      <c r="C685" s="277"/>
      <c r="D685" s="277"/>
      <c r="E685" s="277"/>
      <c r="F685" s="277"/>
      <c r="G685" s="277"/>
      <c r="H685" s="277"/>
      <c r="I685" s="277"/>
      <c r="J685" s="277"/>
      <c r="K685" s="277"/>
      <c r="L685" s="277"/>
      <c r="M685" s="277"/>
      <c r="N685" s="277"/>
      <c r="O685" s="277"/>
      <c r="P685" s="277"/>
      <c r="Q685" s="277"/>
      <c r="R685" s="277"/>
      <c r="S685" s="277"/>
      <c r="T685" s="294"/>
      <c r="U685" s="294"/>
      <c r="V685" s="294"/>
      <c r="W685" s="294"/>
      <c r="X685" s="294"/>
      <c r="Y685" s="294"/>
      <c r="Z685" s="294"/>
      <c r="AA685" s="294"/>
      <c r="AB685" s="294"/>
      <c r="AC685" s="277"/>
      <c r="AD685" s="277"/>
      <c r="AE685" s="277"/>
      <c r="AF685" s="277"/>
      <c r="AG685" s="277"/>
      <c r="AH685" s="277"/>
      <c r="AI685" s="277"/>
      <c r="AJ685" s="277"/>
      <c r="AK685" s="277"/>
      <c r="AL685" s="277"/>
      <c r="AM685" s="277"/>
      <c r="AN685" s="277"/>
      <c r="AO685" s="277"/>
      <c r="AP685" s="277"/>
      <c r="AQ685" s="277"/>
      <c r="AR685" s="277"/>
      <c r="AS685" s="277"/>
      <c r="AT685" s="277"/>
      <c r="AU685" s="277"/>
      <c r="AV685" s="277"/>
      <c r="AW685" s="277"/>
      <c r="AX685" s="277"/>
      <c r="AY685" s="277"/>
      <c r="AZ685" s="277"/>
      <c r="BA685" s="277"/>
      <c r="BB685" s="277"/>
    </row>
    <row r="686" spans="1:54" x14ac:dyDescent="0.25">
      <c r="A686" s="277"/>
      <c r="B686" s="277"/>
      <c r="C686" s="277"/>
      <c r="D686" s="277"/>
      <c r="E686" s="277"/>
      <c r="F686" s="277"/>
      <c r="G686" s="277"/>
      <c r="H686" s="277"/>
      <c r="I686" s="277"/>
      <c r="J686" s="277"/>
      <c r="K686" s="277"/>
      <c r="L686" s="277"/>
      <c r="M686" s="277"/>
      <c r="N686" s="277"/>
      <c r="O686" s="277"/>
      <c r="P686" s="277"/>
      <c r="Q686" s="277"/>
      <c r="R686" s="277"/>
      <c r="S686" s="277"/>
      <c r="T686" s="294"/>
      <c r="U686" s="294"/>
      <c r="V686" s="294"/>
      <c r="W686" s="294"/>
      <c r="X686" s="294"/>
      <c r="Y686" s="294"/>
      <c r="Z686" s="294"/>
      <c r="AA686" s="294"/>
      <c r="AB686" s="294"/>
      <c r="AC686" s="277"/>
      <c r="AD686" s="277"/>
      <c r="AE686" s="277"/>
      <c r="AF686" s="277"/>
      <c r="AG686" s="277"/>
      <c r="AH686" s="277"/>
      <c r="AI686" s="277"/>
      <c r="AJ686" s="277"/>
      <c r="AK686" s="277"/>
      <c r="AL686" s="277"/>
      <c r="AM686" s="277"/>
      <c r="AN686" s="277"/>
      <c r="AO686" s="277"/>
      <c r="AP686" s="277"/>
      <c r="AQ686" s="277"/>
      <c r="AR686" s="277"/>
      <c r="AS686" s="277"/>
      <c r="AT686" s="277"/>
      <c r="AU686" s="277"/>
      <c r="AV686" s="277"/>
      <c r="AW686" s="277"/>
      <c r="AX686" s="277"/>
      <c r="AY686" s="277"/>
      <c r="AZ686" s="277"/>
      <c r="BA686" s="277"/>
      <c r="BB686" s="277"/>
    </row>
    <row r="687" spans="1:54" x14ac:dyDescent="0.25">
      <c r="A687" s="277"/>
      <c r="B687" s="277"/>
      <c r="C687" s="277"/>
      <c r="D687" s="277"/>
      <c r="E687" s="277"/>
      <c r="F687" s="277"/>
      <c r="G687" s="277"/>
      <c r="H687" s="277"/>
      <c r="I687" s="277"/>
      <c r="J687" s="277"/>
      <c r="K687" s="277"/>
      <c r="L687" s="277"/>
      <c r="M687" s="277"/>
      <c r="N687" s="277"/>
      <c r="O687" s="277"/>
      <c r="P687" s="277"/>
      <c r="Q687" s="277"/>
      <c r="R687" s="277"/>
      <c r="S687" s="277"/>
      <c r="T687" s="294"/>
      <c r="U687" s="294"/>
      <c r="V687" s="294"/>
      <c r="W687" s="294"/>
      <c r="X687" s="294"/>
      <c r="Y687" s="294"/>
      <c r="Z687" s="294"/>
      <c r="AA687" s="294"/>
      <c r="AB687" s="294"/>
      <c r="AC687" s="277"/>
      <c r="AD687" s="277"/>
      <c r="AE687" s="277"/>
      <c r="AF687" s="277"/>
      <c r="AG687" s="277"/>
      <c r="AH687" s="277"/>
      <c r="AI687" s="277"/>
      <c r="AJ687" s="277"/>
      <c r="AK687" s="277"/>
      <c r="AL687" s="277"/>
      <c r="AM687" s="277"/>
      <c r="AN687" s="277"/>
      <c r="AO687" s="277"/>
      <c r="AP687" s="277"/>
      <c r="AQ687" s="277"/>
      <c r="AR687" s="277"/>
      <c r="AS687" s="277"/>
      <c r="AT687" s="277"/>
      <c r="AU687" s="277"/>
      <c r="AV687" s="277"/>
      <c r="AW687" s="277"/>
      <c r="AX687" s="277"/>
      <c r="AY687" s="277"/>
      <c r="AZ687" s="277"/>
      <c r="BA687" s="277"/>
      <c r="BB687" s="277"/>
    </row>
    <row r="688" spans="1:54" x14ac:dyDescent="0.25">
      <c r="A688" s="277"/>
      <c r="B688" s="277"/>
      <c r="C688" s="277"/>
      <c r="D688" s="277"/>
      <c r="E688" s="277"/>
      <c r="F688" s="277"/>
      <c r="G688" s="277"/>
      <c r="H688" s="277"/>
      <c r="I688" s="277"/>
      <c r="J688" s="277"/>
      <c r="K688" s="277"/>
      <c r="L688" s="277"/>
      <c r="M688" s="277"/>
      <c r="N688" s="277"/>
      <c r="O688" s="277"/>
      <c r="P688" s="277"/>
      <c r="Q688" s="277"/>
      <c r="R688" s="277"/>
      <c r="S688" s="277"/>
      <c r="T688" s="294"/>
      <c r="U688" s="294"/>
      <c r="V688" s="294"/>
      <c r="W688" s="294"/>
      <c r="X688" s="294"/>
      <c r="Y688" s="294"/>
      <c r="Z688" s="294"/>
      <c r="AA688" s="294"/>
      <c r="AB688" s="294"/>
      <c r="AC688" s="277"/>
      <c r="AD688" s="277"/>
      <c r="AE688" s="277"/>
      <c r="AF688" s="277"/>
      <c r="AG688" s="277"/>
      <c r="AH688" s="277"/>
      <c r="AI688" s="277"/>
      <c r="AJ688" s="277"/>
      <c r="AK688" s="277"/>
      <c r="AL688" s="277"/>
      <c r="AM688" s="277"/>
      <c r="AN688" s="277"/>
      <c r="AO688" s="277"/>
      <c r="AP688" s="277"/>
      <c r="AQ688" s="277"/>
      <c r="AR688" s="277"/>
      <c r="AS688" s="277"/>
      <c r="AT688" s="277"/>
      <c r="AU688" s="277"/>
      <c r="AV688" s="277"/>
      <c r="AW688" s="277"/>
      <c r="AX688" s="277"/>
      <c r="AY688" s="277"/>
      <c r="AZ688" s="277"/>
      <c r="BA688" s="277"/>
      <c r="BB688" s="277"/>
    </row>
    <row r="689" spans="1:54" x14ac:dyDescent="0.25">
      <c r="A689" s="277"/>
      <c r="B689" s="277"/>
      <c r="C689" s="277"/>
      <c r="D689" s="277"/>
      <c r="E689" s="277"/>
      <c r="F689" s="277"/>
      <c r="G689" s="277"/>
      <c r="H689" s="277"/>
      <c r="I689" s="277"/>
      <c r="J689" s="277"/>
      <c r="K689" s="277"/>
      <c r="L689" s="277"/>
      <c r="M689" s="277"/>
      <c r="N689" s="277"/>
      <c r="O689" s="277"/>
      <c r="P689" s="277"/>
      <c r="Q689" s="277"/>
      <c r="R689" s="277"/>
      <c r="S689" s="277"/>
      <c r="T689" s="294"/>
      <c r="U689" s="294"/>
      <c r="V689" s="294"/>
      <c r="W689" s="294"/>
      <c r="X689" s="294"/>
      <c r="Y689" s="294"/>
      <c r="Z689" s="294"/>
      <c r="AA689" s="294"/>
      <c r="AB689" s="294"/>
      <c r="AC689" s="277"/>
      <c r="AD689" s="277"/>
      <c r="AE689" s="277"/>
      <c r="AF689" s="277"/>
      <c r="AG689" s="277"/>
      <c r="AH689" s="277"/>
      <c r="AI689" s="277"/>
      <c r="AJ689" s="277"/>
      <c r="AK689" s="277"/>
      <c r="AL689" s="277"/>
      <c r="AM689" s="277"/>
      <c r="AN689" s="277"/>
      <c r="AO689" s="277"/>
      <c r="AP689" s="277"/>
      <c r="AQ689" s="277"/>
      <c r="AR689" s="277"/>
      <c r="AS689" s="277"/>
      <c r="AT689" s="277"/>
      <c r="AU689" s="277"/>
      <c r="AV689" s="277"/>
      <c r="AW689" s="277"/>
      <c r="AX689" s="277"/>
      <c r="AY689" s="277"/>
      <c r="AZ689" s="277"/>
      <c r="BA689" s="277"/>
      <c r="BB689" s="277"/>
    </row>
    <row r="690" spans="1:54" x14ac:dyDescent="0.25">
      <c r="A690" s="277"/>
      <c r="B690" s="277"/>
      <c r="C690" s="277"/>
      <c r="D690" s="277"/>
      <c r="E690" s="277"/>
      <c r="F690" s="277"/>
      <c r="G690" s="277"/>
      <c r="H690" s="277"/>
      <c r="I690" s="277"/>
      <c r="J690" s="277"/>
      <c r="K690" s="277"/>
      <c r="L690" s="277"/>
      <c r="M690" s="277"/>
      <c r="N690" s="277"/>
      <c r="O690" s="277"/>
      <c r="P690" s="277"/>
      <c r="Q690" s="277"/>
      <c r="R690" s="277"/>
      <c r="S690" s="277"/>
      <c r="T690" s="294"/>
      <c r="U690" s="294"/>
      <c r="V690" s="294"/>
      <c r="W690" s="294"/>
      <c r="X690" s="294"/>
      <c r="Y690" s="294"/>
      <c r="Z690" s="294"/>
      <c r="AA690" s="294"/>
      <c r="AB690" s="294"/>
      <c r="AC690" s="277"/>
      <c r="AD690" s="277"/>
      <c r="AE690" s="277"/>
      <c r="AF690" s="277"/>
      <c r="AG690" s="277"/>
      <c r="AH690" s="277"/>
      <c r="AI690" s="277"/>
      <c r="AJ690" s="277"/>
      <c r="AK690" s="277"/>
      <c r="AL690" s="277"/>
      <c r="AM690" s="277"/>
      <c r="AN690" s="277"/>
      <c r="AO690" s="277"/>
      <c r="AP690" s="277"/>
      <c r="AQ690" s="277"/>
      <c r="AR690" s="277"/>
      <c r="AS690" s="277"/>
      <c r="AT690" s="277"/>
      <c r="AU690" s="277"/>
      <c r="AV690" s="277"/>
      <c r="AW690" s="277"/>
      <c r="AX690" s="277"/>
      <c r="AY690" s="277"/>
      <c r="AZ690" s="277"/>
      <c r="BA690" s="277"/>
      <c r="BB690" s="277"/>
    </row>
    <row r="691" spans="1:54" x14ac:dyDescent="0.25">
      <c r="A691" s="277"/>
      <c r="B691" s="277"/>
      <c r="C691" s="277"/>
      <c r="D691" s="277"/>
      <c r="E691" s="277"/>
      <c r="F691" s="277"/>
      <c r="G691" s="277"/>
      <c r="H691" s="277"/>
      <c r="I691" s="277"/>
      <c r="J691" s="277"/>
      <c r="K691" s="277"/>
      <c r="L691" s="277"/>
      <c r="M691" s="277"/>
      <c r="N691" s="277"/>
      <c r="O691" s="277"/>
      <c r="P691" s="277"/>
      <c r="Q691" s="277"/>
      <c r="R691" s="277"/>
      <c r="S691" s="277"/>
      <c r="T691" s="294"/>
      <c r="U691" s="294"/>
      <c r="V691" s="294"/>
      <c r="W691" s="294"/>
      <c r="X691" s="294"/>
      <c r="Y691" s="294"/>
      <c r="Z691" s="294"/>
      <c r="AA691" s="294"/>
      <c r="AB691" s="294"/>
      <c r="AC691" s="277"/>
      <c r="AD691" s="277"/>
      <c r="AE691" s="277"/>
      <c r="AF691" s="277"/>
      <c r="AG691" s="277"/>
      <c r="AH691" s="277"/>
      <c r="AI691" s="277"/>
      <c r="AJ691" s="277"/>
      <c r="AK691" s="277"/>
      <c r="AL691" s="277"/>
      <c r="AM691" s="277"/>
      <c r="AN691" s="277"/>
      <c r="AO691" s="277"/>
      <c r="AP691" s="277"/>
      <c r="AQ691" s="277"/>
      <c r="AR691" s="277"/>
      <c r="AS691" s="277"/>
      <c r="AT691" s="277"/>
      <c r="AU691" s="277"/>
      <c r="AV691" s="277"/>
      <c r="AW691" s="277"/>
      <c r="AX691" s="277"/>
      <c r="AY691" s="277"/>
      <c r="AZ691" s="277"/>
      <c r="BA691" s="277"/>
      <c r="BB691" s="277"/>
    </row>
    <row r="692" spans="1:54" x14ac:dyDescent="0.25">
      <c r="A692" s="277"/>
      <c r="B692" s="277"/>
      <c r="C692" s="277"/>
      <c r="D692" s="277"/>
      <c r="E692" s="277"/>
      <c r="F692" s="277"/>
      <c r="G692" s="277"/>
      <c r="H692" s="277"/>
      <c r="I692" s="277"/>
      <c r="J692" s="277"/>
      <c r="K692" s="277"/>
      <c r="L692" s="277"/>
      <c r="M692" s="277"/>
      <c r="N692" s="277"/>
      <c r="O692" s="277"/>
      <c r="P692" s="277"/>
      <c r="Q692" s="277"/>
      <c r="R692" s="277"/>
      <c r="S692" s="277"/>
      <c r="T692" s="294"/>
      <c r="U692" s="294"/>
      <c r="V692" s="294"/>
      <c r="W692" s="294"/>
      <c r="X692" s="294"/>
      <c r="Y692" s="294"/>
      <c r="Z692" s="294"/>
      <c r="AA692" s="294"/>
      <c r="AB692" s="294"/>
      <c r="AC692" s="277"/>
      <c r="AD692" s="277"/>
      <c r="AE692" s="277"/>
      <c r="AF692" s="277"/>
      <c r="AG692" s="277"/>
      <c r="AH692" s="277"/>
      <c r="AI692" s="277"/>
      <c r="AJ692" s="277"/>
      <c r="AK692" s="277"/>
      <c r="AL692" s="277"/>
      <c r="AM692" s="277"/>
      <c r="AN692" s="277"/>
      <c r="AO692" s="277"/>
      <c r="AP692" s="277"/>
      <c r="AQ692" s="277"/>
      <c r="AR692" s="277"/>
      <c r="AS692" s="277"/>
      <c r="AT692" s="277"/>
      <c r="AU692" s="277"/>
      <c r="AV692" s="277"/>
      <c r="AW692" s="277"/>
      <c r="AX692" s="277"/>
      <c r="AY692" s="277"/>
      <c r="AZ692" s="277"/>
      <c r="BA692" s="277"/>
      <c r="BB692" s="277"/>
    </row>
    <row r="693" spans="1:54" x14ac:dyDescent="0.25">
      <c r="A693" s="277"/>
      <c r="B693" s="277"/>
      <c r="C693" s="277"/>
      <c r="D693" s="277"/>
      <c r="E693" s="277"/>
      <c r="F693" s="277"/>
      <c r="G693" s="277"/>
      <c r="H693" s="277"/>
      <c r="I693" s="277"/>
      <c r="J693" s="277"/>
      <c r="K693" s="277"/>
      <c r="L693" s="277"/>
      <c r="M693" s="277"/>
      <c r="N693" s="277"/>
      <c r="O693" s="277"/>
      <c r="P693" s="277"/>
      <c r="Q693" s="277"/>
      <c r="R693" s="277"/>
      <c r="S693" s="277"/>
      <c r="T693" s="294"/>
      <c r="U693" s="294"/>
      <c r="V693" s="294"/>
      <c r="W693" s="294"/>
      <c r="X693" s="294"/>
      <c r="Y693" s="294"/>
      <c r="Z693" s="294"/>
      <c r="AA693" s="294"/>
      <c r="AB693" s="294"/>
      <c r="AC693" s="277"/>
      <c r="AD693" s="277"/>
      <c r="AE693" s="277"/>
      <c r="AF693" s="277"/>
      <c r="AG693" s="277"/>
      <c r="AH693" s="277"/>
      <c r="AI693" s="277"/>
      <c r="AJ693" s="277"/>
      <c r="AK693" s="277"/>
      <c r="AL693" s="277"/>
      <c r="AM693" s="277"/>
      <c r="AN693" s="277"/>
      <c r="AO693" s="277"/>
      <c r="AP693" s="277"/>
      <c r="AQ693" s="277"/>
      <c r="AR693" s="277"/>
      <c r="AS693" s="277"/>
      <c r="AT693" s="277"/>
      <c r="AU693" s="277"/>
      <c r="AV693" s="277"/>
      <c r="AW693" s="277"/>
      <c r="AX693" s="277"/>
      <c r="AY693" s="277"/>
      <c r="AZ693" s="277"/>
      <c r="BA693" s="277"/>
      <c r="BB693" s="277"/>
    </row>
    <row r="694" spans="1:54" x14ac:dyDescent="0.25">
      <c r="A694" s="277"/>
      <c r="B694" s="277"/>
      <c r="C694" s="277"/>
      <c r="D694" s="277"/>
      <c r="E694" s="277"/>
      <c r="F694" s="277"/>
      <c r="G694" s="277"/>
      <c r="H694" s="277"/>
      <c r="I694" s="277"/>
      <c r="J694" s="277"/>
      <c r="K694" s="277"/>
      <c r="L694" s="277"/>
      <c r="M694" s="277"/>
      <c r="N694" s="277"/>
      <c r="O694" s="277"/>
      <c r="P694" s="277"/>
      <c r="Q694" s="277"/>
      <c r="R694" s="277"/>
      <c r="S694" s="277"/>
      <c r="T694" s="294"/>
      <c r="U694" s="294"/>
      <c r="V694" s="294"/>
      <c r="W694" s="294"/>
      <c r="X694" s="294"/>
      <c r="Y694" s="294"/>
      <c r="Z694" s="294"/>
      <c r="AA694" s="294"/>
      <c r="AB694" s="294"/>
      <c r="AC694" s="277"/>
      <c r="AD694" s="277"/>
      <c r="AE694" s="277"/>
      <c r="AF694" s="277"/>
      <c r="AG694" s="277"/>
      <c r="AH694" s="277"/>
      <c r="AI694" s="277"/>
      <c r="AJ694" s="277"/>
      <c r="AK694" s="277"/>
      <c r="AL694" s="277"/>
      <c r="AM694" s="277"/>
      <c r="AN694" s="277"/>
      <c r="AO694" s="277"/>
      <c r="AP694" s="277"/>
      <c r="AQ694" s="277"/>
      <c r="AR694" s="277"/>
      <c r="AS694" s="277"/>
      <c r="AT694" s="277"/>
      <c r="AU694" s="277"/>
      <c r="AV694" s="277"/>
      <c r="AW694" s="277"/>
      <c r="AX694" s="277"/>
      <c r="AY694" s="277"/>
      <c r="AZ694" s="277"/>
      <c r="BA694" s="277"/>
      <c r="BB694" s="277"/>
    </row>
    <row r="695" spans="1:54" x14ac:dyDescent="0.25">
      <c r="A695" s="277"/>
      <c r="B695" s="277"/>
      <c r="C695" s="277"/>
      <c r="D695" s="277"/>
      <c r="E695" s="277"/>
      <c r="F695" s="277"/>
      <c r="G695" s="277"/>
      <c r="H695" s="277"/>
      <c r="I695" s="277"/>
      <c r="J695" s="277"/>
      <c r="K695" s="277"/>
      <c r="L695" s="277"/>
      <c r="M695" s="277"/>
      <c r="N695" s="277"/>
      <c r="O695" s="277"/>
      <c r="P695" s="277"/>
      <c r="Q695" s="277"/>
      <c r="R695" s="277"/>
      <c r="S695" s="277"/>
      <c r="T695" s="294"/>
      <c r="U695" s="294"/>
      <c r="V695" s="294"/>
      <c r="W695" s="294"/>
      <c r="X695" s="294"/>
      <c r="Y695" s="294"/>
      <c r="Z695" s="294"/>
      <c r="AA695" s="294"/>
      <c r="AB695" s="294"/>
      <c r="AC695" s="277"/>
      <c r="AD695" s="277"/>
      <c r="AE695" s="277"/>
      <c r="AF695" s="277"/>
      <c r="AG695" s="277"/>
      <c r="AH695" s="277"/>
      <c r="AI695" s="277"/>
      <c r="AJ695" s="277"/>
      <c r="AK695" s="277"/>
      <c r="AL695" s="277"/>
      <c r="AM695" s="277"/>
      <c r="AN695" s="277"/>
      <c r="AO695" s="277"/>
      <c r="AP695" s="277"/>
      <c r="AQ695" s="277"/>
      <c r="AR695" s="277"/>
      <c r="AS695" s="277"/>
      <c r="AT695" s="277"/>
      <c r="AU695" s="277"/>
      <c r="AV695" s="277"/>
      <c r="AW695" s="277"/>
      <c r="AX695" s="277"/>
      <c r="AY695" s="277"/>
      <c r="AZ695" s="277"/>
      <c r="BA695" s="277"/>
      <c r="BB695" s="277"/>
    </row>
    <row r="696" spans="1:54" x14ac:dyDescent="0.25">
      <c r="A696" s="277"/>
      <c r="B696" s="277"/>
      <c r="C696" s="277"/>
      <c r="D696" s="277"/>
      <c r="E696" s="277"/>
      <c r="F696" s="277"/>
      <c r="G696" s="277"/>
      <c r="H696" s="277"/>
      <c r="I696" s="277"/>
      <c r="J696" s="277"/>
      <c r="K696" s="277"/>
      <c r="L696" s="277"/>
      <c r="M696" s="277"/>
      <c r="N696" s="277"/>
      <c r="O696" s="277"/>
      <c r="P696" s="277"/>
      <c r="Q696" s="277"/>
      <c r="R696" s="277"/>
      <c r="S696" s="277"/>
      <c r="T696" s="294"/>
      <c r="U696" s="294"/>
      <c r="V696" s="294"/>
      <c r="W696" s="294"/>
      <c r="X696" s="294"/>
      <c r="Y696" s="294"/>
      <c r="Z696" s="294"/>
      <c r="AA696" s="294"/>
      <c r="AB696" s="294"/>
      <c r="AC696" s="277"/>
      <c r="AD696" s="277"/>
      <c r="AE696" s="277"/>
      <c r="AF696" s="277"/>
      <c r="AG696" s="277"/>
      <c r="AH696" s="277"/>
      <c r="AI696" s="277"/>
      <c r="AJ696" s="277"/>
      <c r="AK696" s="277"/>
      <c r="AL696" s="277"/>
      <c r="AM696" s="277"/>
      <c r="AN696" s="277"/>
      <c r="AO696" s="277"/>
      <c r="AP696" s="277"/>
      <c r="AQ696" s="277"/>
      <c r="AR696" s="277"/>
      <c r="AS696" s="277"/>
      <c r="AT696" s="277"/>
      <c r="AU696" s="277"/>
      <c r="AV696" s="277"/>
      <c r="AW696" s="277"/>
      <c r="AX696" s="277"/>
      <c r="AY696" s="277"/>
      <c r="AZ696" s="277"/>
      <c r="BA696" s="277"/>
      <c r="BB696" s="277"/>
    </row>
    <row r="697" spans="1:54" x14ac:dyDescent="0.25">
      <c r="A697" s="277"/>
      <c r="B697" s="277"/>
      <c r="C697" s="277"/>
      <c r="D697" s="277"/>
      <c r="E697" s="277"/>
      <c r="F697" s="277"/>
      <c r="G697" s="277"/>
      <c r="H697" s="277"/>
      <c r="I697" s="277"/>
      <c r="J697" s="277"/>
      <c r="K697" s="277"/>
      <c r="L697" s="277"/>
      <c r="M697" s="277"/>
      <c r="N697" s="277"/>
      <c r="O697" s="277"/>
      <c r="P697" s="277"/>
      <c r="Q697" s="277"/>
      <c r="R697" s="277"/>
      <c r="S697" s="277"/>
      <c r="T697" s="294"/>
      <c r="U697" s="294"/>
      <c r="V697" s="294"/>
      <c r="W697" s="294"/>
      <c r="X697" s="294"/>
      <c r="Y697" s="294"/>
      <c r="Z697" s="294"/>
      <c r="AA697" s="294"/>
      <c r="AB697" s="294"/>
      <c r="AC697" s="277"/>
      <c r="AD697" s="277"/>
      <c r="AE697" s="277"/>
      <c r="AF697" s="277"/>
      <c r="AG697" s="277"/>
      <c r="AH697" s="277"/>
      <c r="AI697" s="277"/>
      <c r="AJ697" s="277"/>
      <c r="AK697" s="277"/>
      <c r="AL697" s="277"/>
      <c r="AM697" s="277"/>
      <c r="AN697" s="277"/>
      <c r="AO697" s="277"/>
      <c r="AP697" s="277"/>
      <c r="AQ697" s="277"/>
      <c r="AR697" s="277"/>
      <c r="AS697" s="277"/>
      <c r="AT697" s="277"/>
      <c r="AU697" s="277"/>
      <c r="AV697" s="277"/>
      <c r="AW697" s="277"/>
      <c r="AX697" s="277"/>
      <c r="AY697" s="277"/>
      <c r="AZ697" s="277"/>
      <c r="BA697" s="277"/>
      <c r="BB697" s="277"/>
    </row>
    <row r="698" spans="1:54" x14ac:dyDescent="0.25">
      <c r="A698" s="277"/>
      <c r="B698" s="277"/>
      <c r="C698" s="277"/>
      <c r="D698" s="277"/>
      <c r="E698" s="277"/>
      <c r="F698" s="277"/>
      <c r="G698" s="277"/>
      <c r="H698" s="277"/>
      <c r="I698" s="277"/>
      <c r="J698" s="277"/>
      <c r="K698" s="277"/>
      <c r="L698" s="277"/>
      <c r="M698" s="277"/>
      <c r="N698" s="277"/>
      <c r="O698" s="277"/>
      <c r="P698" s="277"/>
      <c r="Q698" s="277"/>
      <c r="R698" s="277"/>
      <c r="S698" s="277"/>
      <c r="T698" s="294"/>
      <c r="U698" s="294"/>
      <c r="V698" s="294"/>
      <c r="W698" s="294"/>
      <c r="X698" s="294"/>
      <c r="Y698" s="294"/>
      <c r="Z698" s="294"/>
      <c r="AA698" s="294"/>
      <c r="AB698" s="294"/>
      <c r="AC698" s="277"/>
      <c r="AD698" s="277"/>
      <c r="AE698" s="277"/>
      <c r="AF698" s="277"/>
      <c r="AG698" s="277"/>
      <c r="AH698" s="277"/>
      <c r="AI698" s="277"/>
      <c r="AJ698" s="277"/>
      <c r="AK698" s="277"/>
      <c r="AL698" s="277"/>
      <c r="AM698" s="277"/>
      <c r="AN698" s="277"/>
      <c r="AO698" s="277"/>
      <c r="AP698" s="277"/>
      <c r="AQ698" s="277"/>
      <c r="AR698" s="277"/>
      <c r="AS698" s="277"/>
      <c r="AT698" s="277"/>
      <c r="AU698" s="277"/>
      <c r="AV698" s="277"/>
      <c r="AW698" s="277"/>
      <c r="AX698" s="277"/>
      <c r="AY698" s="277"/>
      <c r="AZ698" s="277"/>
      <c r="BA698" s="277"/>
      <c r="BB698" s="277"/>
    </row>
    <row r="699" spans="1:54" x14ac:dyDescent="0.25">
      <c r="A699" s="277"/>
      <c r="B699" s="277"/>
      <c r="C699" s="277"/>
      <c r="D699" s="277"/>
      <c r="E699" s="277"/>
      <c r="F699" s="277"/>
      <c r="G699" s="277"/>
      <c r="H699" s="277"/>
      <c r="I699" s="277"/>
      <c r="J699" s="277"/>
      <c r="K699" s="277"/>
      <c r="L699" s="277"/>
      <c r="M699" s="277"/>
      <c r="N699" s="277"/>
      <c r="O699" s="277"/>
      <c r="P699" s="277"/>
      <c r="Q699" s="277"/>
      <c r="R699" s="277"/>
      <c r="S699" s="277"/>
      <c r="T699" s="294"/>
      <c r="U699" s="294"/>
      <c r="V699" s="294"/>
      <c r="W699" s="294"/>
      <c r="X699" s="294"/>
      <c r="Y699" s="294"/>
      <c r="Z699" s="294"/>
      <c r="AA699" s="294"/>
      <c r="AB699" s="294"/>
      <c r="AC699" s="277"/>
      <c r="AD699" s="277"/>
      <c r="AE699" s="277"/>
      <c r="AF699" s="277"/>
      <c r="AG699" s="277"/>
      <c r="AH699" s="277"/>
      <c r="AI699" s="277"/>
      <c r="AJ699" s="277"/>
      <c r="AK699" s="277"/>
      <c r="AL699" s="277"/>
      <c r="AM699" s="277"/>
      <c r="AN699" s="277"/>
      <c r="AO699" s="277"/>
      <c r="AP699" s="277"/>
      <c r="AQ699" s="277"/>
      <c r="AR699" s="277"/>
      <c r="AS699" s="277"/>
      <c r="AT699" s="277"/>
      <c r="AU699" s="277"/>
      <c r="AV699" s="277"/>
      <c r="AW699" s="277"/>
      <c r="AX699" s="277"/>
      <c r="AY699" s="277"/>
      <c r="AZ699" s="277"/>
      <c r="BA699" s="277"/>
      <c r="BB699" s="277"/>
    </row>
    <row r="700" spans="1:54" x14ac:dyDescent="0.25">
      <c r="A700" s="277"/>
      <c r="B700" s="277"/>
      <c r="C700" s="277"/>
      <c r="D700" s="277"/>
      <c r="E700" s="277"/>
      <c r="F700" s="277"/>
      <c r="G700" s="277"/>
      <c r="H700" s="277"/>
      <c r="I700" s="277"/>
      <c r="J700" s="277"/>
      <c r="K700" s="277"/>
      <c r="L700" s="277"/>
      <c r="M700" s="277"/>
      <c r="N700" s="277"/>
      <c r="O700" s="277"/>
      <c r="P700" s="277"/>
      <c r="Q700" s="277"/>
      <c r="R700" s="277"/>
      <c r="S700" s="277"/>
      <c r="T700" s="294"/>
      <c r="U700" s="294"/>
      <c r="V700" s="294"/>
      <c r="W700" s="294"/>
      <c r="X700" s="294"/>
      <c r="Y700" s="294"/>
      <c r="Z700" s="294"/>
      <c r="AA700" s="294"/>
      <c r="AB700" s="294"/>
      <c r="AC700" s="277"/>
      <c r="AD700" s="277"/>
      <c r="AE700" s="277"/>
      <c r="AF700" s="277"/>
      <c r="AG700" s="277"/>
      <c r="AH700" s="277"/>
      <c r="AI700" s="277"/>
      <c r="AJ700" s="277"/>
      <c r="AK700" s="277"/>
      <c r="AL700" s="277"/>
      <c r="AM700" s="277"/>
      <c r="AN700" s="277"/>
      <c r="AO700" s="277"/>
      <c r="AP700" s="277"/>
      <c r="AQ700" s="277"/>
      <c r="AR700" s="277"/>
      <c r="AS700" s="277"/>
      <c r="AT700" s="277"/>
      <c r="AU700" s="277"/>
      <c r="AV700" s="277"/>
      <c r="AW700" s="277"/>
      <c r="AX700" s="277"/>
      <c r="AY700" s="277"/>
      <c r="AZ700" s="277"/>
      <c r="BA700" s="277"/>
      <c r="BB700" s="277"/>
    </row>
    <row r="701" spans="1:54" x14ac:dyDescent="0.25">
      <c r="A701" s="277"/>
      <c r="B701" s="277"/>
      <c r="C701" s="277"/>
      <c r="D701" s="277"/>
      <c r="E701" s="277"/>
      <c r="F701" s="277"/>
      <c r="G701" s="277"/>
      <c r="H701" s="277"/>
      <c r="I701" s="277"/>
      <c r="J701" s="277"/>
      <c r="K701" s="277"/>
      <c r="L701" s="277"/>
      <c r="M701" s="277"/>
      <c r="N701" s="277"/>
      <c r="O701" s="277"/>
      <c r="P701" s="277"/>
      <c r="Q701" s="277"/>
      <c r="R701" s="277"/>
      <c r="S701" s="277"/>
      <c r="T701" s="294"/>
      <c r="U701" s="294"/>
      <c r="V701" s="294"/>
      <c r="W701" s="294"/>
      <c r="X701" s="294"/>
      <c r="Y701" s="294"/>
      <c r="Z701" s="294"/>
      <c r="AA701" s="294"/>
      <c r="AB701" s="294"/>
      <c r="AC701" s="277"/>
      <c r="AD701" s="277"/>
      <c r="AE701" s="277"/>
      <c r="AF701" s="277"/>
      <c r="AG701" s="277"/>
      <c r="AH701" s="277"/>
      <c r="AI701" s="277"/>
      <c r="AJ701" s="277"/>
      <c r="AK701" s="277"/>
      <c r="AL701" s="277"/>
      <c r="AM701" s="277"/>
      <c r="AN701" s="277"/>
      <c r="AO701" s="277"/>
      <c r="AP701" s="277"/>
      <c r="AQ701" s="277"/>
      <c r="AR701" s="277"/>
      <c r="AS701" s="277"/>
      <c r="AT701" s="277"/>
      <c r="AU701" s="277"/>
      <c r="AV701" s="277"/>
      <c r="AW701" s="277"/>
      <c r="AX701" s="277"/>
      <c r="AY701" s="277"/>
      <c r="AZ701" s="277"/>
      <c r="BA701" s="277"/>
      <c r="BB701" s="277"/>
    </row>
    <row r="702" spans="1:54" x14ac:dyDescent="0.25">
      <c r="A702" s="277"/>
      <c r="B702" s="277"/>
      <c r="C702" s="277"/>
      <c r="D702" s="277"/>
      <c r="E702" s="277"/>
      <c r="F702" s="277"/>
      <c r="G702" s="277"/>
      <c r="H702" s="277"/>
      <c r="I702" s="277"/>
      <c r="J702" s="277"/>
      <c r="K702" s="277"/>
      <c r="L702" s="277"/>
      <c r="M702" s="277"/>
      <c r="N702" s="277"/>
      <c r="O702" s="277"/>
      <c r="P702" s="277"/>
      <c r="Q702" s="277"/>
      <c r="R702" s="277"/>
      <c r="S702" s="277"/>
      <c r="T702" s="294"/>
      <c r="U702" s="294"/>
      <c r="V702" s="294"/>
      <c r="W702" s="294"/>
      <c r="X702" s="294"/>
      <c r="Y702" s="294"/>
      <c r="Z702" s="294"/>
      <c r="AA702" s="294"/>
      <c r="AB702" s="294"/>
      <c r="AC702" s="277"/>
      <c r="AD702" s="277"/>
      <c r="AE702" s="277"/>
      <c r="AF702" s="277"/>
      <c r="AG702" s="277"/>
      <c r="AH702" s="277"/>
      <c r="AI702" s="277"/>
      <c r="AJ702" s="277"/>
      <c r="AK702" s="277"/>
      <c r="AL702" s="277"/>
      <c r="AM702" s="277"/>
      <c r="AN702" s="277"/>
      <c r="AO702" s="277"/>
      <c r="AP702" s="277"/>
      <c r="AQ702" s="277"/>
      <c r="AR702" s="277"/>
      <c r="AS702" s="277"/>
      <c r="AT702" s="277"/>
      <c r="AU702" s="277"/>
      <c r="AV702" s="277"/>
      <c r="AW702" s="277"/>
      <c r="AX702" s="277"/>
      <c r="AY702" s="277"/>
      <c r="AZ702" s="277"/>
      <c r="BA702" s="277"/>
      <c r="BB702" s="277"/>
    </row>
    <row r="703" spans="1:54" x14ac:dyDescent="0.25">
      <c r="A703" s="277"/>
      <c r="B703" s="277"/>
      <c r="C703" s="277"/>
      <c r="D703" s="277"/>
      <c r="E703" s="277"/>
      <c r="F703" s="277"/>
      <c r="G703" s="277"/>
      <c r="H703" s="277"/>
      <c r="I703" s="277"/>
      <c r="J703" s="277"/>
      <c r="K703" s="277"/>
      <c r="L703" s="277"/>
      <c r="M703" s="277"/>
      <c r="N703" s="277"/>
      <c r="O703" s="277"/>
      <c r="P703" s="277"/>
      <c r="Q703" s="277"/>
      <c r="R703" s="277"/>
      <c r="S703" s="277"/>
      <c r="T703" s="294"/>
      <c r="U703" s="294"/>
      <c r="V703" s="294"/>
      <c r="W703" s="294"/>
      <c r="X703" s="294"/>
      <c r="Y703" s="294"/>
      <c r="Z703" s="294"/>
      <c r="AA703" s="294"/>
      <c r="AB703" s="294"/>
      <c r="AC703" s="277"/>
      <c r="AD703" s="277"/>
      <c r="AE703" s="277"/>
      <c r="AF703" s="277"/>
      <c r="AG703" s="277"/>
      <c r="AH703" s="277"/>
      <c r="AI703" s="277"/>
      <c r="AJ703" s="277"/>
      <c r="AK703" s="277"/>
      <c r="AL703" s="277"/>
      <c r="AM703" s="277"/>
      <c r="AN703" s="277"/>
      <c r="AO703" s="277"/>
      <c r="AP703" s="277"/>
      <c r="AQ703" s="277"/>
      <c r="AR703" s="277"/>
      <c r="AS703" s="277"/>
      <c r="AT703" s="277"/>
      <c r="AU703" s="277"/>
      <c r="AV703" s="277"/>
      <c r="AW703" s="277"/>
      <c r="AX703" s="277"/>
      <c r="AY703" s="277"/>
      <c r="AZ703" s="277"/>
      <c r="BA703" s="277"/>
      <c r="BB703" s="277"/>
    </row>
    <row r="704" spans="1:54" x14ac:dyDescent="0.25">
      <c r="A704" s="277"/>
      <c r="B704" s="277"/>
      <c r="C704" s="277"/>
      <c r="D704" s="277"/>
      <c r="E704" s="277"/>
      <c r="F704" s="277"/>
      <c r="G704" s="277"/>
      <c r="H704" s="277"/>
      <c r="I704" s="277"/>
      <c r="J704" s="277"/>
      <c r="K704" s="277"/>
      <c r="L704" s="277"/>
      <c r="M704" s="277"/>
      <c r="N704" s="277"/>
      <c r="O704" s="277"/>
      <c r="P704" s="277"/>
      <c r="Q704" s="277"/>
      <c r="R704" s="277"/>
      <c r="S704" s="277"/>
      <c r="T704" s="294"/>
      <c r="U704" s="294"/>
      <c r="V704" s="294"/>
      <c r="W704" s="294"/>
      <c r="X704" s="294"/>
      <c r="Y704" s="294"/>
      <c r="Z704" s="294"/>
      <c r="AA704" s="294"/>
      <c r="AB704" s="294"/>
      <c r="AC704" s="277"/>
      <c r="AD704" s="277"/>
      <c r="AE704" s="277"/>
      <c r="AF704" s="277"/>
      <c r="AG704" s="277"/>
      <c r="AH704" s="277"/>
      <c r="AI704" s="277"/>
      <c r="AJ704" s="277"/>
      <c r="AK704" s="277"/>
      <c r="AL704" s="277"/>
      <c r="AM704" s="277"/>
      <c r="AN704" s="277"/>
      <c r="AO704" s="277"/>
      <c r="AP704" s="277"/>
      <c r="AQ704" s="277"/>
      <c r="AR704" s="277"/>
      <c r="AS704" s="277"/>
      <c r="AT704" s="277"/>
      <c r="AU704" s="277"/>
      <c r="AV704" s="277"/>
      <c r="AW704" s="277"/>
      <c r="AX704" s="277"/>
      <c r="AY704" s="277"/>
      <c r="AZ704" s="277"/>
      <c r="BA704" s="277"/>
      <c r="BB704" s="277"/>
    </row>
    <row r="705" spans="1:54" x14ac:dyDescent="0.25">
      <c r="A705" s="277"/>
      <c r="B705" s="277"/>
      <c r="C705" s="277"/>
      <c r="D705" s="277"/>
      <c r="E705" s="277"/>
      <c r="F705" s="277"/>
      <c r="G705" s="277"/>
      <c r="H705" s="277"/>
      <c r="I705" s="277"/>
      <c r="J705" s="277"/>
      <c r="K705" s="277"/>
      <c r="L705" s="277"/>
      <c r="M705" s="277"/>
      <c r="N705" s="277"/>
      <c r="O705" s="277"/>
      <c r="P705" s="277"/>
      <c r="Q705" s="277"/>
      <c r="R705" s="277"/>
      <c r="S705" s="277"/>
      <c r="T705" s="294"/>
      <c r="U705" s="294"/>
      <c r="V705" s="294"/>
      <c r="W705" s="294"/>
      <c r="X705" s="294"/>
      <c r="Y705" s="294"/>
      <c r="Z705" s="294"/>
      <c r="AA705" s="294"/>
      <c r="AB705" s="294"/>
      <c r="AC705" s="277"/>
      <c r="AD705" s="277"/>
      <c r="AE705" s="277"/>
      <c r="AF705" s="277"/>
      <c r="AG705" s="277"/>
      <c r="AH705" s="277"/>
      <c r="AI705" s="277"/>
      <c r="AJ705" s="277"/>
      <c r="AK705" s="277"/>
      <c r="AL705" s="277"/>
      <c r="AM705" s="277"/>
      <c r="AN705" s="277"/>
      <c r="AO705" s="277"/>
      <c r="AP705" s="277"/>
      <c r="AQ705" s="277"/>
      <c r="AR705" s="277"/>
      <c r="AS705" s="277"/>
      <c r="AT705" s="277"/>
      <c r="AU705" s="277"/>
      <c r="AV705" s="277"/>
      <c r="AW705" s="277"/>
      <c r="AX705" s="277"/>
      <c r="AY705" s="277"/>
      <c r="AZ705" s="277"/>
      <c r="BA705" s="277"/>
      <c r="BB705" s="277"/>
    </row>
    <row r="706" spans="1:54" x14ac:dyDescent="0.25">
      <c r="A706" s="277"/>
      <c r="B706" s="277"/>
      <c r="C706" s="277"/>
      <c r="D706" s="277"/>
      <c r="E706" s="277"/>
      <c r="F706" s="277"/>
      <c r="G706" s="277"/>
      <c r="H706" s="277"/>
      <c r="I706" s="277"/>
      <c r="J706" s="277"/>
      <c r="K706" s="277"/>
      <c r="L706" s="277"/>
      <c r="M706" s="277"/>
      <c r="N706" s="277"/>
      <c r="O706" s="277"/>
      <c r="P706" s="277"/>
      <c r="Q706" s="277"/>
      <c r="R706" s="277"/>
      <c r="S706" s="277"/>
      <c r="T706" s="294"/>
      <c r="U706" s="294"/>
      <c r="V706" s="294"/>
      <c r="W706" s="294"/>
      <c r="X706" s="294"/>
      <c r="Y706" s="294"/>
      <c r="Z706" s="294"/>
      <c r="AA706" s="294"/>
      <c r="AB706" s="294"/>
      <c r="AC706" s="277"/>
      <c r="AD706" s="277"/>
      <c r="AE706" s="277"/>
      <c r="AF706" s="277"/>
      <c r="AG706" s="277"/>
      <c r="AH706" s="277"/>
      <c r="AI706" s="277"/>
      <c r="AJ706" s="277"/>
      <c r="AK706" s="277"/>
      <c r="AL706" s="277"/>
      <c r="AM706" s="277"/>
      <c r="AN706" s="277"/>
      <c r="AO706" s="277"/>
      <c r="AP706" s="277"/>
      <c r="AQ706" s="277"/>
      <c r="AR706" s="277"/>
      <c r="AS706" s="277"/>
      <c r="AT706" s="277"/>
      <c r="AU706" s="277"/>
      <c r="AV706" s="277"/>
      <c r="AW706" s="277"/>
      <c r="AX706" s="277"/>
      <c r="AY706" s="277"/>
      <c r="AZ706" s="277"/>
      <c r="BA706" s="277"/>
      <c r="BB706" s="277"/>
    </row>
    <row r="707" spans="1:54" x14ac:dyDescent="0.25">
      <c r="A707" s="277"/>
      <c r="B707" s="277"/>
      <c r="C707" s="277"/>
      <c r="D707" s="277"/>
      <c r="E707" s="277"/>
      <c r="F707" s="277"/>
      <c r="G707" s="277"/>
      <c r="H707" s="277"/>
      <c r="I707" s="277"/>
      <c r="J707" s="277"/>
      <c r="K707" s="277"/>
      <c r="L707" s="277"/>
      <c r="M707" s="277"/>
      <c r="N707" s="277"/>
      <c r="O707" s="277"/>
      <c r="P707" s="277"/>
      <c r="Q707" s="277"/>
      <c r="R707" s="277"/>
      <c r="S707" s="277"/>
      <c r="T707" s="294"/>
      <c r="U707" s="294"/>
      <c r="V707" s="294"/>
      <c r="W707" s="294"/>
      <c r="X707" s="294"/>
      <c r="Y707" s="294"/>
      <c r="Z707" s="294"/>
      <c r="AA707" s="294"/>
      <c r="AB707" s="294"/>
      <c r="AC707" s="277"/>
      <c r="AD707" s="277"/>
      <c r="AE707" s="277"/>
      <c r="AF707" s="277"/>
      <c r="AG707" s="277"/>
      <c r="AH707" s="277"/>
      <c r="AI707" s="277"/>
      <c r="AJ707" s="277"/>
      <c r="AK707" s="277"/>
      <c r="AL707" s="277"/>
      <c r="AM707" s="277"/>
      <c r="AN707" s="277"/>
      <c r="AO707" s="277"/>
      <c r="AP707" s="277"/>
      <c r="AQ707" s="277"/>
      <c r="AR707" s="277"/>
      <c r="AS707" s="277"/>
      <c r="AT707" s="277"/>
      <c r="AU707" s="277"/>
      <c r="AV707" s="277"/>
      <c r="AW707" s="277"/>
      <c r="AX707" s="277"/>
      <c r="AY707" s="277"/>
      <c r="AZ707" s="277"/>
      <c r="BA707" s="277"/>
      <c r="BB707" s="277"/>
    </row>
    <row r="708" spans="1:54" x14ac:dyDescent="0.25">
      <c r="A708" s="277"/>
      <c r="B708" s="277"/>
      <c r="C708" s="277"/>
      <c r="D708" s="277"/>
      <c r="E708" s="277"/>
      <c r="F708" s="277"/>
      <c r="G708" s="277"/>
      <c r="H708" s="277"/>
      <c r="I708" s="277"/>
      <c r="J708" s="277"/>
      <c r="K708" s="277"/>
      <c r="L708" s="277"/>
      <c r="M708" s="277"/>
      <c r="N708" s="277"/>
      <c r="O708" s="277"/>
      <c r="P708" s="277"/>
      <c r="Q708" s="277"/>
      <c r="R708" s="277"/>
      <c r="S708" s="277"/>
      <c r="T708" s="294"/>
      <c r="U708" s="294"/>
      <c r="V708" s="294"/>
      <c r="W708" s="294"/>
      <c r="X708" s="294"/>
      <c r="Y708" s="294"/>
      <c r="Z708" s="294"/>
      <c r="AA708" s="294"/>
      <c r="AB708" s="294"/>
      <c r="AC708" s="277"/>
      <c r="AD708" s="277"/>
      <c r="AE708" s="277"/>
      <c r="AF708" s="277"/>
      <c r="AG708" s="277"/>
      <c r="AH708" s="277"/>
      <c r="AI708" s="277"/>
      <c r="AJ708" s="277"/>
      <c r="AK708" s="277"/>
      <c r="AL708" s="277"/>
      <c r="AM708" s="277"/>
      <c r="AN708" s="277"/>
      <c r="AO708" s="277"/>
      <c r="AP708" s="277"/>
      <c r="AQ708" s="277"/>
      <c r="AR708" s="277"/>
      <c r="AS708" s="277"/>
      <c r="AT708" s="277"/>
      <c r="AU708" s="277"/>
      <c r="AV708" s="277"/>
      <c r="AW708" s="277"/>
      <c r="AX708" s="277"/>
      <c r="AY708" s="277"/>
      <c r="AZ708" s="277"/>
      <c r="BA708" s="277"/>
      <c r="BB708" s="277"/>
    </row>
    <row r="709" spans="1:54" x14ac:dyDescent="0.25">
      <c r="A709" s="277"/>
      <c r="B709" s="277"/>
      <c r="C709" s="277"/>
      <c r="D709" s="277"/>
      <c r="E709" s="277"/>
      <c r="F709" s="277"/>
      <c r="G709" s="277"/>
      <c r="H709" s="277"/>
      <c r="I709" s="277"/>
      <c r="J709" s="277"/>
      <c r="K709" s="277"/>
      <c r="L709" s="277"/>
      <c r="M709" s="277"/>
      <c r="N709" s="277"/>
      <c r="O709" s="277"/>
      <c r="P709" s="277"/>
      <c r="Q709" s="277"/>
      <c r="R709" s="277"/>
      <c r="S709" s="277"/>
      <c r="T709" s="294"/>
      <c r="U709" s="294"/>
      <c r="V709" s="294"/>
      <c r="W709" s="294"/>
      <c r="X709" s="294"/>
      <c r="Y709" s="294"/>
      <c r="Z709" s="294"/>
      <c r="AA709" s="294"/>
      <c r="AB709" s="294"/>
      <c r="AC709" s="277"/>
      <c r="AD709" s="277"/>
      <c r="AE709" s="277"/>
      <c r="AF709" s="277"/>
      <c r="AG709" s="277"/>
      <c r="AH709" s="277"/>
      <c r="AI709" s="277"/>
      <c r="AJ709" s="277"/>
      <c r="AK709" s="277"/>
      <c r="AL709" s="277"/>
      <c r="AM709" s="277"/>
      <c r="AN709" s="277"/>
      <c r="AO709" s="277"/>
      <c r="AP709" s="277"/>
      <c r="AQ709" s="277"/>
      <c r="AR709" s="277"/>
      <c r="AS709" s="277"/>
      <c r="AT709" s="277"/>
      <c r="AU709" s="277"/>
      <c r="AV709" s="277"/>
      <c r="AW709" s="277"/>
      <c r="AX709" s="277"/>
      <c r="AY709" s="277"/>
      <c r="AZ709" s="277"/>
      <c r="BA709" s="277"/>
      <c r="BB709" s="277"/>
    </row>
    <row r="710" spans="1:54" x14ac:dyDescent="0.25">
      <c r="A710" s="277"/>
      <c r="B710" s="277"/>
      <c r="C710" s="277"/>
      <c r="D710" s="277"/>
      <c r="E710" s="277"/>
      <c r="F710" s="277"/>
      <c r="G710" s="277"/>
      <c r="H710" s="277"/>
      <c r="I710" s="277"/>
      <c r="J710" s="277"/>
      <c r="K710" s="277"/>
      <c r="L710" s="277"/>
      <c r="M710" s="277"/>
      <c r="N710" s="277"/>
      <c r="O710" s="277"/>
      <c r="P710" s="277"/>
      <c r="Q710" s="277"/>
      <c r="R710" s="277"/>
      <c r="S710" s="277"/>
      <c r="T710" s="294"/>
      <c r="U710" s="294"/>
      <c r="V710" s="294"/>
      <c r="W710" s="294"/>
      <c r="X710" s="294"/>
      <c r="Y710" s="294"/>
      <c r="Z710" s="294"/>
      <c r="AA710" s="294"/>
      <c r="AB710" s="294"/>
      <c r="AC710" s="277"/>
      <c r="AD710" s="277"/>
      <c r="AE710" s="277"/>
      <c r="AF710" s="277"/>
      <c r="AG710" s="277"/>
      <c r="AH710" s="277"/>
      <c r="AI710" s="277"/>
      <c r="AJ710" s="277"/>
      <c r="AK710" s="277"/>
      <c r="AL710" s="277"/>
      <c r="AM710" s="277"/>
      <c r="AN710" s="277"/>
      <c r="AO710" s="277"/>
      <c r="AP710" s="277"/>
      <c r="AQ710" s="277"/>
      <c r="AR710" s="277"/>
      <c r="AS710" s="277"/>
      <c r="AT710" s="277"/>
      <c r="AU710" s="277"/>
      <c r="AV710" s="277"/>
      <c r="AW710" s="277"/>
      <c r="AX710" s="277"/>
      <c r="AY710" s="277"/>
      <c r="AZ710" s="277"/>
      <c r="BA710" s="277"/>
      <c r="BB710" s="277"/>
    </row>
    <row r="711" spans="1:54" x14ac:dyDescent="0.25">
      <c r="A711" s="277"/>
      <c r="B711" s="277"/>
      <c r="C711" s="277"/>
      <c r="D711" s="277"/>
      <c r="E711" s="277"/>
      <c r="F711" s="277"/>
      <c r="G711" s="277"/>
      <c r="H711" s="277"/>
      <c r="I711" s="277"/>
      <c r="J711" s="277"/>
      <c r="K711" s="277"/>
      <c r="L711" s="277"/>
      <c r="M711" s="277"/>
      <c r="N711" s="277"/>
      <c r="O711" s="277"/>
      <c r="P711" s="277"/>
      <c r="Q711" s="277"/>
      <c r="R711" s="277"/>
      <c r="S711" s="277"/>
      <c r="T711" s="294"/>
      <c r="U711" s="294"/>
      <c r="V711" s="294"/>
      <c r="W711" s="294"/>
      <c r="X711" s="294"/>
      <c r="Y711" s="294"/>
      <c r="Z711" s="294"/>
      <c r="AA711" s="294"/>
      <c r="AB711" s="294"/>
      <c r="AC711" s="277"/>
      <c r="AD711" s="277"/>
      <c r="AE711" s="277"/>
      <c r="AF711" s="277"/>
      <c r="AG711" s="277"/>
      <c r="AH711" s="277"/>
      <c r="AI711" s="277"/>
      <c r="AJ711" s="277"/>
      <c r="AK711" s="277"/>
      <c r="AL711" s="277"/>
      <c r="AM711" s="277"/>
      <c r="AN711" s="277"/>
      <c r="AO711" s="277"/>
      <c r="AP711" s="277"/>
      <c r="AQ711" s="277"/>
      <c r="AR711" s="277"/>
      <c r="AS711" s="277"/>
      <c r="AT711" s="277"/>
      <c r="AU711" s="277"/>
      <c r="AV711" s="277"/>
      <c r="AW711" s="277"/>
      <c r="AX711" s="277"/>
      <c r="AY711" s="277"/>
      <c r="AZ711" s="277"/>
      <c r="BA711" s="277"/>
      <c r="BB711" s="277"/>
    </row>
    <row r="712" spans="1:54" x14ac:dyDescent="0.25">
      <c r="A712" s="277"/>
      <c r="B712" s="277"/>
      <c r="C712" s="277"/>
      <c r="D712" s="277"/>
      <c r="E712" s="277"/>
      <c r="F712" s="277"/>
      <c r="G712" s="277"/>
      <c r="H712" s="277"/>
      <c r="I712" s="277"/>
      <c r="J712" s="277"/>
      <c r="K712" s="277"/>
      <c r="L712" s="277"/>
      <c r="M712" s="277"/>
      <c r="N712" s="277"/>
      <c r="O712" s="277"/>
      <c r="P712" s="277"/>
      <c r="Q712" s="277"/>
      <c r="R712" s="277"/>
      <c r="S712" s="277"/>
      <c r="T712" s="294"/>
      <c r="U712" s="294"/>
      <c r="V712" s="294"/>
      <c r="W712" s="294"/>
      <c r="X712" s="294"/>
      <c r="Y712" s="294"/>
      <c r="Z712" s="294"/>
      <c r="AA712" s="294"/>
      <c r="AB712" s="294"/>
      <c r="AC712" s="277"/>
      <c r="AD712" s="277"/>
      <c r="AE712" s="277"/>
      <c r="AF712" s="277"/>
      <c r="AG712" s="277"/>
      <c r="AH712" s="277"/>
      <c r="AI712" s="277"/>
      <c r="AJ712" s="277"/>
      <c r="AK712" s="277"/>
      <c r="AL712" s="277"/>
      <c r="AM712" s="277"/>
      <c r="AN712" s="277"/>
      <c r="AO712" s="277"/>
      <c r="AP712" s="277"/>
      <c r="AQ712" s="277"/>
      <c r="AR712" s="277"/>
      <c r="AS712" s="277"/>
      <c r="AT712" s="277"/>
      <c r="AU712" s="277"/>
      <c r="AV712" s="277"/>
      <c r="AW712" s="277"/>
      <c r="AX712" s="277"/>
      <c r="AY712" s="277"/>
      <c r="AZ712" s="277"/>
      <c r="BA712" s="277"/>
      <c r="BB712" s="277"/>
    </row>
    <row r="713" spans="1:54" x14ac:dyDescent="0.25">
      <c r="A713" s="277"/>
      <c r="B713" s="277"/>
      <c r="C713" s="277"/>
      <c r="D713" s="277"/>
      <c r="E713" s="277"/>
      <c r="F713" s="277"/>
      <c r="G713" s="277"/>
      <c r="H713" s="277"/>
      <c r="I713" s="277"/>
      <c r="J713" s="277"/>
      <c r="K713" s="277"/>
      <c r="L713" s="277"/>
      <c r="M713" s="277"/>
      <c r="N713" s="277"/>
      <c r="O713" s="277"/>
      <c r="P713" s="277"/>
      <c r="Q713" s="277"/>
      <c r="R713" s="277"/>
      <c r="S713" s="277"/>
      <c r="T713" s="294"/>
      <c r="U713" s="294"/>
      <c r="V713" s="294"/>
      <c r="W713" s="294"/>
      <c r="X713" s="294"/>
      <c r="Y713" s="294"/>
      <c r="Z713" s="294"/>
      <c r="AA713" s="294"/>
      <c r="AB713" s="294"/>
      <c r="AC713" s="277"/>
      <c r="AD713" s="277"/>
      <c r="AE713" s="277"/>
      <c r="AF713" s="277"/>
      <c r="AG713" s="277"/>
      <c r="AH713" s="277"/>
      <c r="AI713" s="277"/>
      <c r="AJ713" s="277"/>
      <c r="AK713" s="277"/>
      <c r="AL713" s="277"/>
      <c r="AM713" s="277"/>
      <c r="AN713" s="277"/>
      <c r="AO713" s="277"/>
      <c r="AP713" s="277"/>
      <c r="AQ713" s="277"/>
      <c r="AR713" s="277"/>
      <c r="AS713" s="277"/>
      <c r="AT713" s="277"/>
      <c r="AU713" s="277"/>
      <c r="AV713" s="277"/>
      <c r="AW713" s="277"/>
      <c r="AX713" s="277"/>
      <c r="AY713" s="277"/>
      <c r="AZ713" s="277"/>
      <c r="BA713" s="277"/>
      <c r="BB713" s="277"/>
    </row>
    <row r="714" spans="1:54" x14ac:dyDescent="0.25">
      <c r="A714" s="277"/>
      <c r="B714" s="277"/>
      <c r="C714" s="277"/>
      <c r="D714" s="277"/>
      <c r="E714" s="277"/>
      <c r="F714" s="277"/>
      <c r="G714" s="277"/>
      <c r="H714" s="277"/>
      <c r="I714" s="277"/>
      <c r="J714" s="277"/>
      <c r="K714" s="277"/>
      <c r="L714" s="277"/>
      <c r="M714" s="277"/>
      <c r="N714" s="277"/>
      <c r="O714" s="277"/>
      <c r="P714" s="277"/>
      <c r="Q714" s="277"/>
      <c r="R714" s="277"/>
      <c r="S714" s="277"/>
      <c r="T714" s="294"/>
      <c r="U714" s="294"/>
      <c r="V714" s="294"/>
      <c r="W714" s="294"/>
      <c r="X714" s="294"/>
      <c r="Y714" s="294"/>
      <c r="Z714" s="294"/>
      <c r="AA714" s="294"/>
      <c r="AB714" s="294"/>
      <c r="AC714" s="277"/>
      <c r="AD714" s="277"/>
      <c r="AE714" s="277"/>
      <c r="AF714" s="277"/>
      <c r="AG714" s="277"/>
      <c r="AH714" s="277"/>
      <c r="AI714" s="277"/>
      <c r="AJ714" s="277"/>
      <c r="AK714" s="277"/>
      <c r="AL714" s="277"/>
      <c r="AM714" s="277"/>
      <c r="AN714" s="277"/>
      <c r="AO714" s="277"/>
      <c r="AP714" s="277"/>
      <c r="AQ714" s="277"/>
      <c r="AR714" s="277"/>
      <c r="AS714" s="277"/>
      <c r="AT714" s="277"/>
      <c r="AU714" s="277"/>
      <c r="AV714" s="277"/>
      <c r="AW714" s="277"/>
      <c r="AX714" s="277"/>
      <c r="AY714" s="277"/>
      <c r="AZ714" s="277"/>
      <c r="BA714" s="277"/>
      <c r="BB714" s="277"/>
    </row>
    <row r="715" spans="1:54" x14ac:dyDescent="0.25">
      <c r="A715" s="277"/>
      <c r="B715" s="277"/>
      <c r="C715" s="277"/>
      <c r="D715" s="277"/>
      <c r="E715" s="277"/>
      <c r="F715" s="277"/>
      <c r="G715" s="277"/>
      <c r="H715" s="277"/>
      <c r="I715" s="277"/>
      <c r="J715" s="277"/>
      <c r="K715" s="277"/>
      <c r="L715" s="277"/>
      <c r="M715" s="277"/>
      <c r="N715" s="277"/>
      <c r="O715" s="277"/>
      <c r="P715" s="277"/>
      <c r="Q715" s="277"/>
      <c r="R715" s="277"/>
      <c r="S715" s="277"/>
      <c r="T715" s="294"/>
      <c r="U715" s="294"/>
      <c r="V715" s="294"/>
      <c r="W715" s="294"/>
      <c r="X715" s="294"/>
      <c r="Y715" s="294"/>
      <c r="Z715" s="294"/>
      <c r="AA715" s="294"/>
      <c r="AB715" s="294"/>
      <c r="AC715" s="277"/>
      <c r="AD715" s="277"/>
      <c r="AE715" s="277"/>
      <c r="AF715" s="277"/>
      <c r="AG715" s="277"/>
      <c r="AH715" s="277"/>
      <c r="AI715" s="277"/>
      <c r="AJ715" s="277"/>
      <c r="AK715" s="277"/>
      <c r="AL715" s="277"/>
      <c r="AM715" s="277"/>
      <c r="AN715" s="277"/>
      <c r="AO715" s="277"/>
      <c r="AP715" s="277"/>
      <c r="AQ715" s="277"/>
      <c r="AR715" s="277"/>
      <c r="AS715" s="277"/>
      <c r="AT715" s="277"/>
      <c r="AU715" s="277"/>
      <c r="AV715" s="277"/>
      <c r="AW715" s="277"/>
      <c r="AX715" s="277"/>
      <c r="AY715" s="277"/>
      <c r="AZ715" s="277"/>
      <c r="BA715" s="277"/>
      <c r="BB715" s="277"/>
    </row>
    <row r="716" spans="1:54" x14ac:dyDescent="0.25">
      <c r="A716" s="277"/>
      <c r="B716" s="277"/>
      <c r="C716" s="277"/>
      <c r="D716" s="277"/>
      <c r="E716" s="277"/>
      <c r="F716" s="277"/>
      <c r="G716" s="277"/>
      <c r="H716" s="277"/>
      <c r="I716" s="277"/>
      <c r="J716" s="277"/>
      <c r="K716" s="277"/>
      <c r="L716" s="277"/>
      <c r="M716" s="277"/>
      <c r="N716" s="277"/>
      <c r="O716" s="277"/>
      <c r="P716" s="277"/>
      <c r="Q716" s="277"/>
      <c r="R716" s="277"/>
      <c r="S716" s="277"/>
      <c r="T716" s="294"/>
      <c r="U716" s="294"/>
      <c r="V716" s="294"/>
      <c r="W716" s="294"/>
      <c r="X716" s="294"/>
      <c r="Y716" s="294"/>
      <c r="Z716" s="294"/>
      <c r="AA716" s="294"/>
      <c r="AB716" s="294"/>
      <c r="AC716" s="277"/>
      <c r="AD716" s="277"/>
      <c r="AE716" s="277"/>
      <c r="AF716" s="277"/>
      <c r="AG716" s="277"/>
      <c r="AH716" s="277"/>
      <c r="AI716" s="277"/>
      <c r="AJ716" s="277"/>
      <c r="AK716" s="277"/>
      <c r="AL716" s="277"/>
      <c r="AM716" s="277"/>
      <c r="AN716" s="277"/>
      <c r="AO716" s="277"/>
      <c r="AP716" s="277"/>
      <c r="AQ716" s="277"/>
      <c r="AR716" s="277"/>
      <c r="AS716" s="277"/>
      <c r="AT716" s="277"/>
      <c r="AU716" s="277"/>
      <c r="AV716" s="277"/>
      <c r="AW716" s="277"/>
      <c r="AX716" s="277"/>
      <c r="AY716" s="277"/>
      <c r="AZ716" s="277"/>
      <c r="BA716" s="277"/>
      <c r="BB716" s="277"/>
    </row>
    <row r="717" spans="1:54" x14ac:dyDescent="0.25">
      <c r="A717" s="277"/>
      <c r="B717" s="277"/>
      <c r="C717" s="277"/>
      <c r="D717" s="277"/>
      <c r="E717" s="277"/>
      <c r="F717" s="277"/>
      <c r="G717" s="277"/>
      <c r="H717" s="277"/>
      <c r="I717" s="277"/>
      <c r="J717" s="277"/>
      <c r="K717" s="277"/>
      <c r="L717" s="277"/>
      <c r="M717" s="277"/>
      <c r="N717" s="277"/>
      <c r="O717" s="277"/>
      <c r="P717" s="277"/>
      <c r="Q717" s="277"/>
      <c r="R717" s="277"/>
      <c r="S717" s="277"/>
      <c r="T717" s="294"/>
      <c r="U717" s="294"/>
      <c r="V717" s="294"/>
      <c r="W717" s="294"/>
      <c r="X717" s="294"/>
      <c r="Y717" s="294"/>
      <c r="Z717" s="294"/>
      <c r="AA717" s="294"/>
      <c r="AB717" s="294"/>
      <c r="AC717" s="277"/>
      <c r="AD717" s="277"/>
      <c r="AE717" s="277"/>
      <c r="AF717" s="277"/>
      <c r="AG717" s="277"/>
      <c r="AH717" s="277"/>
      <c r="AI717" s="277"/>
      <c r="AJ717" s="277"/>
      <c r="AK717" s="277"/>
      <c r="AL717" s="277"/>
      <c r="AM717" s="277"/>
      <c r="AN717" s="277"/>
      <c r="AO717" s="277"/>
      <c r="AP717" s="277"/>
      <c r="AQ717" s="277"/>
      <c r="AR717" s="277"/>
      <c r="AS717" s="277"/>
      <c r="AT717" s="277"/>
      <c r="AU717" s="277"/>
      <c r="AV717" s="277"/>
      <c r="AW717" s="277"/>
      <c r="AX717" s="277"/>
      <c r="AY717" s="277"/>
      <c r="AZ717" s="277"/>
      <c r="BA717" s="277"/>
      <c r="BB717" s="277"/>
    </row>
    <row r="718" spans="1:54" x14ac:dyDescent="0.25">
      <c r="A718" s="277"/>
      <c r="B718" s="277"/>
      <c r="C718" s="277"/>
      <c r="D718" s="277"/>
      <c r="E718" s="277"/>
      <c r="F718" s="277"/>
      <c r="G718" s="277"/>
      <c r="H718" s="277"/>
      <c r="I718" s="277"/>
      <c r="J718" s="277"/>
      <c r="K718" s="277"/>
      <c r="L718" s="277"/>
      <c r="M718" s="277"/>
      <c r="N718" s="277"/>
      <c r="O718" s="277"/>
      <c r="P718" s="277"/>
      <c r="Q718" s="277"/>
      <c r="R718" s="277"/>
      <c r="S718" s="277"/>
      <c r="T718" s="294"/>
      <c r="U718" s="294"/>
      <c r="V718" s="294"/>
      <c r="W718" s="294"/>
      <c r="X718" s="294"/>
      <c r="Y718" s="294"/>
      <c r="Z718" s="294"/>
      <c r="AA718" s="294"/>
      <c r="AB718" s="294"/>
      <c r="AC718" s="277"/>
      <c r="AD718" s="277"/>
      <c r="AE718" s="277"/>
      <c r="AF718" s="277"/>
      <c r="AG718" s="277"/>
      <c r="AH718" s="277"/>
      <c r="AI718" s="277"/>
      <c r="AJ718" s="277"/>
      <c r="AK718" s="277"/>
      <c r="AL718" s="277"/>
      <c r="AM718" s="277"/>
      <c r="AN718" s="277"/>
      <c r="AO718" s="277"/>
      <c r="AP718" s="277"/>
      <c r="AQ718" s="277"/>
      <c r="AR718" s="277"/>
      <c r="AS718" s="277"/>
      <c r="AT718" s="277"/>
      <c r="AU718" s="277"/>
      <c r="AV718" s="277"/>
      <c r="AW718" s="277"/>
      <c r="AX718" s="277"/>
      <c r="AY718" s="277"/>
      <c r="AZ718" s="277"/>
      <c r="BA718" s="277"/>
      <c r="BB718" s="277"/>
    </row>
    <row r="719" spans="1:54" x14ac:dyDescent="0.25">
      <c r="A719" s="277"/>
      <c r="B719" s="277"/>
      <c r="C719" s="277"/>
      <c r="D719" s="277"/>
      <c r="E719" s="277"/>
      <c r="F719" s="277"/>
      <c r="G719" s="277"/>
      <c r="H719" s="277"/>
      <c r="I719" s="277"/>
      <c r="J719" s="277"/>
      <c r="K719" s="277"/>
      <c r="L719" s="277"/>
      <c r="M719" s="277"/>
      <c r="N719" s="277"/>
      <c r="O719" s="277"/>
      <c r="P719" s="277"/>
      <c r="Q719" s="277"/>
      <c r="R719" s="277"/>
      <c r="S719" s="277"/>
      <c r="T719" s="294"/>
      <c r="U719" s="294"/>
      <c r="V719" s="294"/>
      <c r="W719" s="294"/>
      <c r="X719" s="294"/>
      <c r="Y719" s="294"/>
      <c r="Z719" s="294"/>
      <c r="AA719" s="294"/>
      <c r="AB719" s="294"/>
      <c r="AC719" s="277"/>
      <c r="AD719" s="277"/>
      <c r="AE719" s="277"/>
      <c r="AF719" s="277"/>
      <c r="AG719" s="277"/>
      <c r="AH719" s="277"/>
      <c r="AI719" s="277"/>
      <c r="AJ719" s="277"/>
      <c r="AK719" s="277"/>
      <c r="AL719" s="277"/>
      <c r="AM719" s="277"/>
      <c r="AN719" s="277"/>
      <c r="AO719" s="277"/>
      <c r="AP719" s="277"/>
      <c r="AQ719" s="277"/>
      <c r="AR719" s="277"/>
      <c r="AS719" s="277"/>
      <c r="AT719" s="277"/>
      <c r="AU719" s="277"/>
      <c r="AV719" s="277"/>
      <c r="AW719" s="277"/>
      <c r="AX719" s="277"/>
      <c r="AY719" s="277"/>
      <c r="AZ719" s="277"/>
      <c r="BA719" s="277"/>
      <c r="BB719" s="277"/>
    </row>
    <row r="720" spans="1:54" x14ac:dyDescent="0.25">
      <c r="A720" s="277"/>
      <c r="B720" s="277"/>
      <c r="C720" s="277"/>
      <c r="D720" s="277"/>
      <c r="E720" s="277"/>
      <c r="F720" s="277"/>
      <c r="G720" s="277"/>
      <c r="H720" s="277"/>
      <c r="I720" s="277"/>
      <c r="J720" s="277"/>
      <c r="K720" s="277"/>
      <c r="L720" s="277"/>
      <c r="M720" s="277"/>
      <c r="N720" s="277"/>
      <c r="O720" s="277"/>
      <c r="P720" s="277"/>
      <c r="Q720" s="277"/>
      <c r="R720" s="277"/>
      <c r="S720" s="277"/>
      <c r="T720" s="294"/>
      <c r="U720" s="294"/>
      <c r="V720" s="294"/>
      <c r="W720" s="294"/>
      <c r="X720" s="294"/>
      <c r="Y720" s="294"/>
      <c r="Z720" s="294"/>
      <c r="AA720" s="294"/>
      <c r="AB720" s="294"/>
      <c r="AC720" s="277"/>
      <c r="AD720" s="277"/>
      <c r="AE720" s="277"/>
      <c r="AF720" s="277"/>
      <c r="AG720" s="277"/>
      <c r="AH720" s="277"/>
      <c r="AI720" s="277"/>
      <c r="AJ720" s="277"/>
      <c r="AK720" s="277"/>
      <c r="AL720" s="277"/>
      <c r="AM720" s="277"/>
      <c r="AN720" s="277"/>
      <c r="AO720" s="277"/>
      <c r="AP720" s="277"/>
      <c r="AQ720" s="277"/>
      <c r="AR720" s="277"/>
      <c r="AS720" s="277"/>
      <c r="AT720" s="277"/>
      <c r="AU720" s="277"/>
      <c r="AV720" s="277"/>
      <c r="AW720" s="277"/>
      <c r="AX720" s="277"/>
      <c r="AY720" s="277"/>
      <c r="AZ720" s="277"/>
      <c r="BA720" s="277"/>
      <c r="BB720" s="277"/>
    </row>
    <row r="721" spans="1:54" x14ac:dyDescent="0.25">
      <c r="A721" s="277"/>
      <c r="B721" s="277"/>
      <c r="C721" s="277"/>
      <c r="D721" s="277"/>
      <c r="E721" s="277"/>
      <c r="F721" s="277"/>
      <c r="G721" s="277"/>
      <c r="H721" s="277"/>
      <c r="I721" s="277"/>
      <c r="J721" s="277"/>
      <c r="K721" s="277"/>
      <c r="L721" s="277"/>
      <c r="M721" s="277"/>
      <c r="N721" s="277"/>
      <c r="O721" s="277"/>
      <c r="P721" s="277"/>
      <c r="Q721" s="277"/>
      <c r="R721" s="277"/>
      <c r="S721" s="277"/>
      <c r="T721" s="294"/>
      <c r="U721" s="294"/>
      <c r="V721" s="294"/>
      <c r="W721" s="294"/>
      <c r="X721" s="294"/>
      <c r="Y721" s="294"/>
      <c r="Z721" s="294"/>
      <c r="AA721" s="294"/>
      <c r="AB721" s="294"/>
      <c r="AC721" s="277"/>
      <c r="AD721" s="277"/>
      <c r="AE721" s="277"/>
      <c r="AF721" s="277"/>
      <c r="AG721" s="277"/>
      <c r="AH721" s="277"/>
      <c r="AI721" s="277"/>
      <c r="AJ721" s="277"/>
      <c r="AK721" s="277"/>
      <c r="AL721" s="277"/>
      <c r="AM721" s="277"/>
      <c r="AN721" s="277"/>
      <c r="AO721" s="277"/>
      <c r="AP721" s="277"/>
      <c r="AQ721" s="277"/>
      <c r="AR721" s="277"/>
      <c r="AS721" s="277"/>
      <c r="AT721" s="277"/>
      <c r="AU721" s="277"/>
      <c r="AV721" s="277"/>
      <c r="AW721" s="277"/>
      <c r="AX721" s="277"/>
      <c r="AY721" s="277"/>
      <c r="AZ721" s="277"/>
      <c r="BA721" s="277"/>
      <c r="BB721" s="277"/>
    </row>
    <row r="722" spans="1:54" x14ac:dyDescent="0.25">
      <c r="A722" s="277"/>
      <c r="B722" s="277"/>
      <c r="C722" s="277"/>
      <c r="D722" s="277"/>
      <c r="E722" s="277"/>
      <c r="F722" s="277"/>
      <c r="G722" s="277"/>
      <c r="H722" s="277"/>
      <c r="I722" s="277"/>
      <c r="J722" s="277"/>
      <c r="K722" s="277"/>
      <c r="L722" s="277"/>
      <c r="M722" s="277"/>
      <c r="N722" s="277"/>
      <c r="O722" s="277"/>
      <c r="P722" s="277"/>
      <c r="Q722" s="277"/>
      <c r="R722" s="277"/>
      <c r="S722" s="277"/>
      <c r="T722" s="294"/>
      <c r="U722" s="294"/>
      <c r="V722" s="294"/>
      <c r="W722" s="294"/>
      <c r="X722" s="294"/>
      <c r="Y722" s="294"/>
      <c r="Z722" s="294"/>
      <c r="AA722" s="294"/>
      <c r="AB722" s="294"/>
      <c r="AC722" s="277"/>
      <c r="AD722" s="277"/>
      <c r="AE722" s="277"/>
      <c r="AF722" s="277"/>
      <c r="AG722" s="277"/>
      <c r="AH722" s="277"/>
      <c r="AI722" s="277"/>
      <c r="AJ722" s="277"/>
      <c r="AK722" s="277"/>
      <c r="AL722" s="277"/>
      <c r="AM722" s="277"/>
      <c r="AN722" s="277"/>
      <c r="AO722" s="277"/>
      <c r="AP722" s="277"/>
      <c r="AQ722" s="277"/>
      <c r="AR722" s="277"/>
      <c r="AS722" s="277"/>
      <c r="AT722" s="277"/>
      <c r="AU722" s="277"/>
      <c r="AV722" s="277"/>
      <c r="AW722" s="277"/>
      <c r="AX722" s="277"/>
      <c r="AY722" s="277"/>
      <c r="AZ722" s="277"/>
      <c r="BA722" s="277"/>
      <c r="BB722" s="277"/>
    </row>
    <row r="723" spans="1:54" x14ac:dyDescent="0.25">
      <c r="A723" s="277"/>
      <c r="B723" s="277"/>
      <c r="C723" s="277"/>
      <c r="D723" s="277"/>
      <c r="E723" s="277"/>
      <c r="F723" s="277"/>
      <c r="G723" s="277"/>
      <c r="H723" s="277"/>
      <c r="I723" s="277"/>
      <c r="J723" s="277"/>
      <c r="K723" s="277"/>
      <c r="L723" s="277"/>
      <c r="M723" s="277"/>
      <c r="N723" s="277"/>
      <c r="O723" s="277"/>
      <c r="P723" s="277"/>
      <c r="Q723" s="277"/>
      <c r="R723" s="277"/>
      <c r="S723" s="277"/>
      <c r="T723" s="294"/>
      <c r="U723" s="294"/>
      <c r="V723" s="294"/>
      <c r="W723" s="294"/>
      <c r="X723" s="294"/>
      <c r="Y723" s="294"/>
      <c r="Z723" s="294"/>
      <c r="AA723" s="294"/>
      <c r="AB723" s="294"/>
      <c r="AC723" s="277"/>
      <c r="AD723" s="277"/>
      <c r="AE723" s="277"/>
      <c r="AF723" s="277"/>
      <c r="AG723" s="277"/>
      <c r="AH723" s="277"/>
      <c r="AI723" s="277"/>
      <c r="AJ723" s="277"/>
      <c r="AK723" s="277"/>
      <c r="AL723" s="277"/>
      <c r="AM723" s="277"/>
      <c r="AN723" s="277"/>
      <c r="AO723" s="277"/>
      <c r="AP723" s="277"/>
      <c r="AQ723" s="277"/>
      <c r="AR723" s="277"/>
      <c r="AS723" s="277"/>
      <c r="AT723" s="277"/>
      <c r="AU723" s="277"/>
      <c r="AV723" s="277"/>
      <c r="AW723" s="277"/>
      <c r="AX723" s="277"/>
      <c r="AY723" s="277"/>
      <c r="AZ723" s="277"/>
      <c r="BA723" s="277"/>
      <c r="BB723" s="277"/>
    </row>
    <row r="724" spans="1:54" x14ac:dyDescent="0.25">
      <c r="A724" s="277"/>
      <c r="B724" s="277"/>
      <c r="C724" s="277"/>
      <c r="D724" s="277"/>
      <c r="E724" s="277"/>
      <c r="F724" s="277"/>
      <c r="G724" s="277"/>
      <c r="H724" s="277"/>
      <c r="I724" s="277"/>
      <c r="J724" s="277"/>
      <c r="K724" s="277"/>
      <c r="L724" s="277"/>
      <c r="M724" s="277"/>
      <c r="N724" s="277"/>
      <c r="O724" s="277"/>
      <c r="P724" s="277"/>
      <c r="Q724" s="277"/>
      <c r="R724" s="277"/>
      <c r="S724" s="277"/>
      <c r="T724" s="294"/>
      <c r="U724" s="294"/>
      <c r="V724" s="294"/>
      <c r="W724" s="294"/>
      <c r="X724" s="294"/>
      <c r="Y724" s="294"/>
      <c r="Z724" s="294"/>
      <c r="AA724" s="294"/>
      <c r="AB724" s="294"/>
      <c r="AC724" s="277"/>
      <c r="AD724" s="277"/>
      <c r="AE724" s="277"/>
      <c r="AF724" s="277"/>
      <c r="AG724" s="277"/>
      <c r="AH724" s="277"/>
      <c r="AI724" s="277"/>
      <c r="AJ724" s="277"/>
      <c r="AK724" s="277"/>
      <c r="AL724" s="277"/>
      <c r="AM724" s="277"/>
      <c r="AN724" s="277"/>
      <c r="AO724" s="277"/>
      <c r="AP724" s="277"/>
      <c r="AQ724" s="277"/>
      <c r="AR724" s="277"/>
      <c r="AS724" s="277"/>
      <c r="AT724" s="277"/>
      <c r="AU724" s="277"/>
      <c r="AV724" s="277"/>
      <c r="AW724" s="277"/>
      <c r="AX724" s="277"/>
      <c r="AY724" s="277"/>
      <c r="AZ724" s="277"/>
      <c r="BA724" s="277"/>
      <c r="BB724" s="277"/>
    </row>
    <row r="725" spans="1:54" x14ac:dyDescent="0.25">
      <c r="A725" s="277"/>
      <c r="B725" s="277"/>
      <c r="C725" s="277"/>
      <c r="D725" s="277"/>
      <c r="E725" s="277"/>
      <c r="F725" s="277"/>
      <c r="G725" s="277"/>
      <c r="H725" s="277"/>
      <c r="I725" s="277"/>
      <c r="J725" s="277"/>
      <c r="K725" s="277"/>
      <c r="L725" s="277"/>
      <c r="M725" s="277"/>
      <c r="N725" s="277"/>
      <c r="O725" s="277"/>
      <c r="P725" s="277"/>
      <c r="Q725" s="277"/>
      <c r="R725" s="277"/>
      <c r="S725" s="277"/>
      <c r="T725" s="294"/>
      <c r="U725" s="294"/>
      <c r="V725" s="294"/>
      <c r="W725" s="294"/>
      <c r="X725" s="294"/>
      <c r="Y725" s="294"/>
      <c r="Z725" s="294"/>
      <c r="AA725" s="294"/>
      <c r="AB725" s="294"/>
      <c r="AC725" s="277"/>
      <c r="AD725" s="277"/>
      <c r="AE725" s="277"/>
      <c r="AF725" s="277"/>
      <c r="AG725" s="277"/>
      <c r="AH725" s="277"/>
      <c r="AI725" s="277"/>
      <c r="AJ725" s="277"/>
      <c r="AK725" s="277"/>
      <c r="AL725" s="277"/>
      <c r="AM725" s="277"/>
      <c r="AN725" s="277"/>
      <c r="AO725" s="277"/>
      <c r="AP725" s="277"/>
      <c r="AQ725" s="277"/>
      <c r="AR725" s="277"/>
      <c r="AS725" s="277"/>
      <c r="AT725" s="277"/>
      <c r="AU725" s="277"/>
      <c r="AV725" s="277"/>
      <c r="AW725" s="277"/>
      <c r="AX725" s="277"/>
      <c r="AY725" s="277"/>
      <c r="AZ725" s="277"/>
      <c r="BA725" s="277"/>
      <c r="BB725" s="277"/>
    </row>
    <row r="726" spans="1:54" x14ac:dyDescent="0.25">
      <c r="A726" s="277"/>
      <c r="B726" s="277"/>
      <c r="C726" s="277"/>
      <c r="D726" s="277"/>
      <c r="E726" s="277"/>
      <c r="F726" s="277"/>
      <c r="G726" s="277"/>
      <c r="H726" s="277"/>
      <c r="I726" s="277"/>
      <c r="J726" s="277"/>
      <c r="K726" s="277"/>
      <c r="L726" s="277"/>
      <c r="M726" s="277"/>
      <c r="N726" s="277"/>
      <c r="O726" s="277"/>
      <c r="P726" s="277"/>
      <c r="Q726" s="277"/>
      <c r="R726" s="277"/>
      <c r="S726" s="277"/>
      <c r="T726" s="294"/>
      <c r="U726" s="294"/>
      <c r="V726" s="294"/>
      <c r="W726" s="294"/>
      <c r="X726" s="294"/>
      <c r="Y726" s="294"/>
      <c r="Z726" s="294"/>
      <c r="AA726" s="294"/>
      <c r="AB726" s="294"/>
      <c r="AC726" s="277"/>
      <c r="AD726" s="277"/>
      <c r="AE726" s="277"/>
      <c r="AF726" s="277"/>
      <c r="AG726" s="277"/>
      <c r="AH726" s="277"/>
      <c r="AI726" s="277"/>
      <c r="AJ726" s="277"/>
      <c r="AK726" s="277"/>
      <c r="AL726" s="277"/>
      <c r="AM726" s="277"/>
      <c r="AN726" s="277"/>
      <c r="AO726" s="277"/>
      <c r="AP726" s="277"/>
      <c r="AQ726" s="277"/>
      <c r="AR726" s="277"/>
      <c r="AS726" s="277"/>
      <c r="AT726" s="277"/>
      <c r="AU726" s="277"/>
      <c r="AV726" s="277"/>
      <c r="AW726" s="277"/>
      <c r="AX726" s="277"/>
      <c r="AY726" s="277"/>
      <c r="AZ726" s="277"/>
      <c r="BA726" s="277"/>
      <c r="BB726" s="277"/>
    </row>
    <row r="727" spans="1:54" x14ac:dyDescent="0.25">
      <c r="A727" s="277"/>
      <c r="B727" s="277"/>
      <c r="C727" s="277"/>
      <c r="D727" s="277"/>
      <c r="E727" s="277"/>
      <c r="F727" s="277"/>
      <c r="G727" s="277"/>
      <c r="H727" s="277"/>
      <c r="I727" s="277"/>
      <c r="J727" s="277"/>
      <c r="K727" s="277"/>
      <c r="L727" s="277"/>
      <c r="M727" s="277"/>
      <c r="N727" s="277"/>
      <c r="O727" s="277"/>
      <c r="P727" s="277"/>
      <c r="Q727" s="277"/>
      <c r="R727" s="277"/>
      <c r="S727" s="277"/>
      <c r="T727" s="294"/>
      <c r="U727" s="294"/>
      <c r="V727" s="294"/>
      <c r="W727" s="294"/>
      <c r="X727" s="294"/>
      <c r="Y727" s="294"/>
      <c r="Z727" s="294"/>
      <c r="AA727" s="294"/>
      <c r="AB727" s="294"/>
      <c r="AC727" s="277"/>
      <c r="AD727" s="277"/>
      <c r="AE727" s="277"/>
      <c r="AF727" s="277"/>
      <c r="AG727" s="277"/>
      <c r="AH727" s="277"/>
      <c r="AI727" s="277"/>
      <c r="AJ727" s="277"/>
      <c r="AK727" s="277"/>
      <c r="AL727" s="277"/>
      <c r="AM727" s="277"/>
      <c r="AN727" s="277"/>
      <c r="AO727" s="277"/>
      <c r="AP727" s="277"/>
      <c r="AQ727" s="277"/>
      <c r="AR727" s="277"/>
      <c r="AS727" s="277"/>
      <c r="AT727" s="277"/>
      <c r="AU727" s="277"/>
      <c r="AV727" s="277"/>
      <c r="AW727" s="277"/>
      <c r="AX727" s="277"/>
      <c r="AY727" s="277"/>
      <c r="AZ727" s="277"/>
      <c r="BA727" s="277"/>
      <c r="BB727" s="277"/>
    </row>
    <row r="728" spans="1:54" x14ac:dyDescent="0.25">
      <c r="A728" s="277"/>
      <c r="B728" s="277"/>
      <c r="C728" s="277"/>
      <c r="D728" s="277"/>
      <c r="E728" s="277"/>
      <c r="F728" s="277"/>
      <c r="G728" s="277"/>
      <c r="H728" s="277"/>
      <c r="I728" s="277"/>
      <c r="J728" s="277"/>
      <c r="K728" s="277"/>
      <c r="L728" s="277"/>
      <c r="M728" s="277"/>
      <c r="N728" s="277"/>
      <c r="O728" s="277"/>
      <c r="P728" s="277"/>
      <c r="Q728" s="277"/>
      <c r="R728" s="277"/>
      <c r="S728" s="277"/>
      <c r="T728" s="294"/>
      <c r="U728" s="294"/>
      <c r="V728" s="294"/>
      <c r="W728" s="294"/>
      <c r="X728" s="294"/>
      <c r="Y728" s="294"/>
      <c r="Z728" s="294"/>
      <c r="AA728" s="294"/>
      <c r="AB728" s="294"/>
      <c r="AC728" s="277"/>
      <c r="AD728" s="277"/>
      <c r="AE728" s="277"/>
      <c r="AF728" s="277"/>
      <c r="AG728" s="277"/>
      <c r="AH728" s="277"/>
      <c r="AI728" s="277"/>
      <c r="AJ728" s="277"/>
      <c r="AK728" s="277"/>
      <c r="AL728" s="277"/>
      <c r="AM728" s="277"/>
      <c r="AN728" s="277"/>
      <c r="AO728" s="277"/>
      <c r="AP728" s="277"/>
      <c r="AQ728" s="277"/>
      <c r="AR728" s="277"/>
      <c r="AS728" s="277"/>
      <c r="AT728" s="277"/>
      <c r="AU728" s="277"/>
      <c r="AV728" s="277"/>
      <c r="AW728" s="277"/>
      <c r="AX728" s="277"/>
      <c r="AY728" s="277"/>
      <c r="AZ728" s="277"/>
      <c r="BA728" s="277"/>
      <c r="BB728" s="277"/>
    </row>
    <row r="729" spans="1:54" x14ac:dyDescent="0.25">
      <c r="A729" s="277"/>
      <c r="B729" s="277"/>
      <c r="C729" s="277"/>
      <c r="D729" s="277"/>
      <c r="E729" s="277"/>
      <c r="F729" s="277"/>
      <c r="G729" s="277"/>
      <c r="H729" s="277"/>
      <c r="I729" s="277"/>
      <c r="J729" s="277"/>
      <c r="K729" s="277"/>
      <c r="L729" s="277"/>
      <c r="M729" s="277"/>
      <c r="N729" s="277"/>
      <c r="O729" s="277"/>
      <c r="P729" s="277"/>
      <c r="Q729" s="277"/>
      <c r="R729" s="277"/>
      <c r="S729" s="277"/>
      <c r="T729" s="294"/>
      <c r="U729" s="294"/>
      <c r="V729" s="294"/>
      <c r="W729" s="294"/>
      <c r="X729" s="294"/>
      <c r="Y729" s="294"/>
      <c r="Z729" s="294"/>
      <c r="AA729" s="294"/>
      <c r="AB729" s="294"/>
      <c r="AC729" s="277"/>
      <c r="AD729" s="277"/>
      <c r="AE729" s="277"/>
      <c r="AF729" s="277"/>
      <c r="AG729" s="277"/>
      <c r="AH729" s="277"/>
      <c r="AI729" s="277"/>
      <c r="AJ729" s="277"/>
      <c r="AK729" s="277"/>
      <c r="AL729" s="277"/>
      <c r="AM729" s="277"/>
      <c r="AN729" s="277"/>
      <c r="AO729" s="277"/>
      <c r="AP729" s="277"/>
      <c r="AQ729" s="277"/>
      <c r="AR729" s="277"/>
      <c r="AS729" s="277"/>
      <c r="AT729" s="277"/>
      <c r="AU729" s="277"/>
      <c r="AV729" s="277"/>
      <c r="AW729" s="277"/>
      <c r="AX729" s="277"/>
      <c r="AY729" s="277"/>
      <c r="AZ729" s="277"/>
      <c r="BA729" s="277"/>
      <c r="BB729" s="277"/>
    </row>
    <row r="730" spans="1:54" x14ac:dyDescent="0.25">
      <c r="A730" s="277"/>
      <c r="B730" s="277"/>
      <c r="C730" s="277"/>
      <c r="D730" s="277"/>
      <c r="E730" s="277"/>
      <c r="F730" s="277"/>
      <c r="G730" s="277"/>
      <c r="H730" s="277"/>
      <c r="I730" s="277"/>
      <c r="J730" s="277"/>
      <c r="K730" s="277"/>
      <c r="L730" s="277"/>
      <c r="M730" s="277"/>
      <c r="N730" s="277"/>
      <c r="O730" s="277"/>
      <c r="P730" s="277"/>
      <c r="Q730" s="277"/>
      <c r="R730" s="277"/>
      <c r="S730" s="277"/>
      <c r="T730" s="294"/>
      <c r="U730" s="294"/>
      <c r="V730" s="294"/>
      <c r="W730" s="294"/>
      <c r="X730" s="294"/>
      <c r="Y730" s="294"/>
      <c r="Z730" s="294"/>
      <c r="AA730" s="294"/>
      <c r="AB730" s="294"/>
      <c r="AC730" s="277"/>
      <c r="AD730" s="277"/>
      <c r="AE730" s="277"/>
      <c r="AF730" s="277"/>
      <c r="AG730" s="277"/>
      <c r="AH730" s="277"/>
      <c r="AI730" s="277"/>
      <c r="AJ730" s="277"/>
      <c r="AK730" s="277"/>
      <c r="AL730" s="277"/>
      <c r="AM730" s="277"/>
      <c r="AN730" s="277"/>
      <c r="AO730" s="277"/>
      <c r="AP730" s="277"/>
      <c r="AQ730" s="277"/>
      <c r="AR730" s="277"/>
      <c r="AS730" s="277"/>
      <c r="AT730" s="277"/>
      <c r="AU730" s="277"/>
      <c r="AV730" s="277"/>
      <c r="AW730" s="277"/>
      <c r="AX730" s="277"/>
      <c r="AY730" s="277"/>
      <c r="AZ730" s="277"/>
      <c r="BA730" s="277"/>
      <c r="BB730" s="277"/>
    </row>
    <row r="731" spans="1:54" x14ac:dyDescent="0.25">
      <c r="A731" s="277"/>
      <c r="B731" s="277"/>
      <c r="C731" s="277"/>
      <c r="D731" s="277"/>
      <c r="E731" s="277"/>
      <c r="F731" s="277"/>
      <c r="G731" s="277"/>
      <c r="H731" s="277"/>
      <c r="I731" s="277"/>
      <c r="J731" s="277"/>
      <c r="K731" s="277"/>
      <c r="L731" s="277"/>
      <c r="M731" s="277"/>
      <c r="N731" s="277"/>
      <c r="O731" s="277"/>
      <c r="P731" s="277"/>
      <c r="Q731" s="277"/>
      <c r="R731" s="277"/>
      <c r="S731" s="277"/>
      <c r="T731" s="294"/>
      <c r="U731" s="294"/>
      <c r="V731" s="294"/>
      <c r="W731" s="294"/>
      <c r="X731" s="294"/>
      <c r="Y731" s="294"/>
      <c r="Z731" s="294"/>
      <c r="AA731" s="294"/>
      <c r="AB731" s="294"/>
      <c r="AC731" s="277"/>
      <c r="AD731" s="277"/>
      <c r="AE731" s="277"/>
      <c r="AF731" s="277"/>
      <c r="AG731" s="277"/>
      <c r="AH731" s="277"/>
      <c r="AI731" s="277"/>
      <c r="AJ731" s="277"/>
      <c r="AK731" s="277"/>
      <c r="AL731" s="277"/>
      <c r="AM731" s="277"/>
      <c r="AN731" s="277"/>
      <c r="AO731" s="277"/>
      <c r="AP731" s="277"/>
      <c r="AQ731" s="277"/>
      <c r="AR731" s="277"/>
      <c r="AS731" s="277"/>
      <c r="AT731" s="277"/>
      <c r="AU731" s="277"/>
      <c r="AV731" s="277"/>
      <c r="AW731" s="277"/>
      <c r="AX731" s="277"/>
      <c r="AY731" s="277"/>
      <c r="AZ731" s="277"/>
      <c r="BA731" s="277"/>
      <c r="BB731" s="277"/>
    </row>
    <row r="732" spans="1:54" x14ac:dyDescent="0.25">
      <c r="A732" s="277"/>
      <c r="B732" s="277"/>
      <c r="C732" s="277"/>
      <c r="D732" s="277"/>
      <c r="E732" s="277"/>
      <c r="F732" s="277"/>
      <c r="G732" s="277"/>
      <c r="H732" s="277"/>
      <c r="I732" s="277"/>
      <c r="J732" s="277"/>
      <c r="K732" s="277"/>
      <c r="L732" s="277"/>
      <c r="M732" s="277"/>
      <c r="N732" s="277"/>
      <c r="O732" s="277"/>
      <c r="P732" s="277"/>
      <c r="Q732" s="277"/>
      <c r="R732" s="277"/>
      <c r="S732" s="277"/>
      <c r="T732" s="294"/>
      <c r="U732" s="294"/>
      <c r="V732" s="294"/>
      <c r="W732" s="294"/>
      <c r="X732" s="294"/>
      <c r="Y732" s="294"/>
      <c r="Z732" s="294"/>
      <c r="AA732" s="294"/>
      <c r="AB732" s="294"/>
      <c r="AC732" s="277"/>
      <c r="AD732" s="277"/>
      <c r="AE732" s="277"/>
      <c r="AF732" s="277"/>
      <c r="AG732" s="277"/>
      <c r="AH732" s="277"/>
      <c r="AI732" s="277"/>
      <c r="AJ732" s="277"/>
      <c r="AK732" s="277"/>
      <c r="AL732" s="277"/>
      <c r="AM732" s="277"/>
      <c r="AN732" s="277"/>
      <c r="AO732" s="277"/>
      <c r="AP732" s="277"/>
      <c r="AQ732" s="277"/>
      <c r="AR732" s="277"/>
      <c r="AS732" s="277"/>
      <c r="AT732" s="277"/>
      <c r="AU732" s="277"/>
      <c r="AV732" s="277"/>
      <c r="AW732" s="277"/>
      <c r="AX732" s="277"/>
      <c r="AY732" s="277"/>
      <c r="AZ732" s="277"/>
      <c r="BA732" s="277"/>
      <c r="BB732" s="277"/>
    </row>
    <row r="733" spans="1:54" x14ac:dyDescent="0.25">
      <c r="A733" s="277"/>
      <c r="B733" s="277"/>
      <c r="C733" s="277"/>
      <c r="D733" s="277"/>
      <c r="E733" s="277"/>
      <c r="F733" s="277"/>
      <c r="G733" s="277"/>
      <c r="H733" s="277"/>
      <c r="I733" s="277"/>
      <c r="J733" s="277"/>
      <c r="K733" s="277"/>
      <c r="L733" s="277"/>
      <c r="M733" s="277"/>
      <c r="N733" s="277"/>
      <c r="O733" s="277"/>
      <c r="P733" s="277"/>
      <c r="Q733" s="277"/>
      <c r="R733" s="277"/>
      <c r="S733" s="277"/>
      <c r="T733" s="294"/>
      <c r="U733" s="294"/>
      <c r="V733" s="294"/>
      <c r="W733" s="294"/>
      <c r="X733" s="294"/>
      <c r="Y733" s="294"/>
      <c r="Z733" s="294"/>
      <c r="AA733" s="294"/>
      <c r="AB733" s="294"/>
      <c r="AC733" s="277"/>
      <c r="AD733" s="277"/>
      <c r="AE733" s="277"/>
      <c r="AF733" s="277"/>
      <c r="AG733" s="277"/>
      <c r="AH733" s="277"/>
      <c r="AI733" s="277"/>
      <c r="AJ733" s="277"/>
      <c r="AK733" s="277"/>
      <c r="AL733" s="277"/>
      <c r="AM733" s="277"/>
      <c r="AN733" s="277"/>
      <c r="AO733" s="277"/>
      <c r="AP733" s="277"/>
      <c r="AQ733" s="277"/>
      <c r="AR733" s="277"/>
      <c r="AS733" s="277"/>
      <c r="AT733" s="277"/>
      <c r="AU733" s="277"/>
      <c r="AV733" s="277"/>
      <c r="AW733" s="277"/>
      <c r="AX733" s="277"/>
      <c r="AY733" s="277"/>
      <c r="AZ733" s="277"/>
      <c r="BA733" s="277"/>
      <c r="BB733" s="277"/>
    </row>
    <row r="734" spans="1:54" x14ac:dyDescent="0.25">
      <c r="A734" s="277"/>
      <c r="B734" s="277"/>
      <c r="C734" s="277"/>
      <c r="D734" s="277"/>
      <c r="E734" s="277"/>
      <c r="F734" s="277"/>
      <c r="G734" s="277"/>
      <c r="H734" s="277"/>
      <c r="I734" s="277"/>
      <c r="J734" s="277"/>
      <c r="K734" s="277"/>
      <c r="L734" s="277"/>
      <c r="M734" s="277"/>
      <c r="N734" s="277"/>
      <c r="O734" s="277"/>
      <c r="P734" s="277"/>
      <c r="Q734" s="277"/>
      <c r="R734" s="277"/>
      <c r="S734" s="277"/>
      <c r="T734" s="294"/>
      <c r="U734" s="294"/>
      <c r="V734" s="294"/>
      <c r="W734" s="294"/>
      <c r="X734" s="294"/>
      <c r="Y734" s="294"/>
      <c r="Z734" s="294"/>
      <c r="AA734" s="294"/>
      <c r="AB734" s="294"/>
      <c r="AC734" s="277"/>
      <c r="AD734" s="277"/>
      <c r="AE734" s="277"/>
      <c r="AF734" s="277"/>
      <c r="AG734" s="277"/>
      <c r="AH734" s="277"/>
      <c r="AI734" s="277"/>
      <c r="AJ734" s="277"/>
      <c r="AK734" s="277"/>
      <c r="AL734" s="277"/>
      <c r="AM734" s="277"/>
      <c r="AN734" s="277"/>
      <c r="AO734" s="277"/>
      <c r="AP734" s="277"/>
      <c r="AQ734" s="277"/>
      <c r="AR734" s="277"/>
      <c r="AS734" s="277"/>
      <c r="AT734" s="277"/>
      <c r="AU734" s="277"/>
      <c r="AV734" s="277"/>
      <c r="AW734" s="277"/>
      <c r="AX734" s="277"/>
      <c r="AY734" s="277"/>
      <c r="AZ734" s="277"/>
      <c r="BA734" s="277"/>
      <c r="BB734" s="277"/>
    </row>
    <row r="735" spans="1:54" x14ac:dyDescent="0.25">
      <c r="A735" s="277"/>
      <c r="B735" s="277"/>
      <c r="C735" s="277"/>
      <c r="D735" s="277"/>
      <c r="E735" s="277"/>
      <c r="F735" s="277"/>
      <c r="G735" s="277"/>
      <c r="H735" s="277"/>
      <c r="I735" s="277"/>
      <c r="J735" s="277"/>
      <c r="K735" s="277"/>
      <c r="L735" s="277"/>
      <c r="M735" s="277"/>
      <c r="N735" s="277"/>
      <c r="O735" s="277"/>
      <c r="P735" s="277"/>
      <c r="Q735" s="277"/>
      <c r="R735" s="277"/>
      <c r="S735" s="277"/>
      <c r="T735" s="294"/>
      <c r="U735" s="294"/>
      <c r="V735" s="294"/>
      <c r="W735" s="294"/>
      <c r="X735" s="294"/>
      <c r="Y735" s="294"/>
      <c r="Z735" s="294"/>
      <c r="AA735" s="294"/>
      <c r="AB735" s="294"/>
      <c r="AC735" s="277"/>
      <c r="AD735" s="277"/>
      <c r="AE735" s="277"/>
      <c r="AF735" s="277"/>
      <c r="AG735" s="277"/>
      <c r="AH735" s="277"/>
      <c r="AI735" s="277"/>
      <c r="AJ735" s="277"/>
      <c r="AK735" s="277"/>
      <c r="AL735" s="277"/>
      <c r="AM735" s="277"/>
      <c r="AN735" s="277"/>
      <c r="AO735" s="277"/>
      <c r="AP735" s="277"/>
      <c r="AQ735" s="277"/>
      <c r="AR735" s="277"/>
      <c r="AS735" s="277"/>
      <c r="AT735" s="277"/>
      <c r="AU735" s="277"/>
      <c r="AV735" s="277"/>
      <c r="AW735" s="277"/>
      <c r="AX735" s="277"/>
      <c r="AY735" s="277"/>
      <c r="AZ735" s="277"/>
      <c r="BA735" s="277"/>
      <c r="BB735" s="277"/>
    </row>
    <row r="736" spans="1:54" x14ac:dyDescent="0.25">
      <c r="A736" s="277"/>
      <c r="B736" s="277"/>
      <c r="C736" s="277"/>
      <c r="D736" s="277"/>
      <c r="E736" s="277"/>
      <c r="F736" s="277"/>
      <c r="G736" s="277"/>
      <c r="H736" s="277"/>
      <c r="I736" s="277"/>
      <c r="J736" s="277"/>
      <c r="K736" s="277"/>
      <c r="L736" s="277"/>
      <c r="M736" s="277"/>
      <c r="N736" s="277"/>
      <c r="O736" s="277"/>
      <c r="P736" s="277"/>
      <c r="Q736" s="277"/>
      <c r="R736" s="277"/>
      <c r="S736" s="277"/>
      <c r="T736" s="294"/>
      <c r="U736" s="294"/>
      <c r="V736" s="294"/>
      <c r="W736" s="294"/>
      <c r="X736" s="294"/>
      <c r="Y736" s="294"/>
      <c r="Z736" s="294"/>
      <c r="AA736" s="294"/>
      <c r="AB736" s="294"/>
      <c r="AC736" s="277"/>
      <c r="AD736" s="277"/>
      <c r="AE736" s="277"/>
      <c r="AF736" s="277"/>
      <c r="AG736" s="277"/>
      <c r="AH736" s="277"/>
      <c r="AI736" s="277"/>
      <c r="AJ736" s="277"/>
      <c r="AK736" s="277"/>
      <c r="AL736" s="277"/>
      <c r="AM736" s="277"/>
      <c r="AN736" s="277"/>
      <c r="AO736" s="277"/>
      <c r="AP736" s="277"/>
      <c r="AQ736" s="277"/>
      <c r="AR736" s="277"/>
      <c r="AS736" s="277"/>
      <c r="AT736" s="277"/>
      <c r="AU736" s="277"/>
      <c r="AV736" s="277"/>
      <c r="AW736" s="277"/>
      <c r="AX736" s="277"/>
      <c r="AY736" s="277"/>
      <c r="AZ736" s="277"/>
      <c r="BA736" s="277"/>
      <c r="BB736" s="277"/>
    </row>
    <row r="737" spans="1:54" x14ac:dyDescent="0.25">
      <c r="A737" s="277"/>
      <c r="B737" s="277"/>
      <c r="C737" s="277"/>
      <c r="D737" s="277"/>
      <c r="E737" s="277"/>
      <c r="F737" s="277"/>
      <c r="G737" s="277"/>
      <c r="H737" s="277"/>
      <c r="I737" s="277"/>
      <c r="J737" s="277"/>
      <c r="K737" s="277"/>
      <c r="L737" s="277"/>
      <c r="M737" s="277"/>
      <c r="N737" s="277"/>
      <c r="O737" s="277"/>
      <c r="P737" s="277"/>
      <c r="Q737" s="277"/>
      <c r="R737" s="277"/>
      <c r="S737" s="277"/>
      <c r="T737" s="294"/>
      <c r="U737" s="294"/>
      <c r="V737" s="294"/>
      <c r="W737" s="294"/>
      <c r="X737" s="294"/>
      <c r="Y737" s="294"/>
      <c r="Z737" s="294"/>
      <c r="AA737" s="294"/>
      <c r="AB737" s="294"/>
      <c r="AC737" s="277"/>
      <c r="AD737" s="277"/>
      <c r="AE737" s="277"/>
      <c r="AF737" s="277"/>
      <c r="AG737" s="277"/>
      <c r="AH737" s="277"/>
      <c r="AI737" s="277"/>
      <c r="AJ737" s="277"/>
      <c r="AK737" s="277"/>
      <c r="AL737" s="277"/>
      <c r="AM737" s="277"/>
      <c r="AN737" s="277"/>
      <c r="AO737" s="277"/>
      <c r="AP737" s="277"/>
      <c r="AQ737" s="277"/>
      <c r="AR737" s="277"/>
      <c r="AS737" s="277"/>
      <c r="AT737" s="277"/>
      <c r="AU737" s="277"/>
      <c r="AV737" s="277"/>
      <c r="AW737" s="277"/>
      <c r="AX737" s="277"/>
      <c r="AY737" s="277"/>
      <c r="AZ737" s="277"/>
      <c r="BA737" s="277"/>
      <c r="BB737" s="277"/>
    </row>
    <row r="738" spans="1:54" x14ac:dyDescent="0.25">
      <c r="A738" s="277"/>
      <c r="B738" s="277"/>
      <c r="C738" s="277"/>
      <c r="D738" s="277"/>
      <c r="E738" s="277"/>
      <c r="F738" s="277"/>
      <c r="G738" s="277"/>
      <c r="H738" s="277"/>
      <c r="I738" s="277"/>
      <c r="J738" s="277"/>
      <c r="K738" s="277"/>
      <c r="L738" s="277"/>
      <c r="M738" s="277"/>
      <c r="N738" s="277"/>
      <c r="O738" s="277"/>
      <c r="P738" s="277"/>
      <c r="Q738" s="277"/>
      <c r="R738" s="277"/>
      <c r="S738" s="277"/>
      <c r="T738" s="294"/>
      <c r="U738" s="294"/>
      <c r="V738" s="294"/>
      <c r="W738" s="294"/>
      <c r="X738" s="294"/>
      <c r="Y738" s="294"/>
      <c r="Z738" s="294"/>
      <c r="AA738" s="294"/>
      <c r="AB738" s="294"/>
      <c r="AC738" s="277"/>
      <c r="AD738" s="277"/>
      <c r="AE738" s="277"/>
      <c r="AF738" s="277"/>
      <c r="AG738" s="277"/>
      <c r="AH738" s="277"/>
      <c r="AI738" s="277"/>
      <c r="AJ738" s="277"/>
      <c r="AK738" s="277"/>
      <c r="AL738" s="277"/>
      <c r="AM738" s="277"/>
      <c r="AN738" s="277"/>
      <c r="AO738" s="277"/>
      <c r="AP738" s="277"/>
      <c r="AQ738" s="277"/>
      <c r="AR738" s="277"/>
      <c r="AS738" s="277"/>
      <c r="AT738" s="277"/>
      <c r="AU738" s="277"/>
      <c r="AV738" s="277"/>
      <c r="AW738" s="277"/>
      <c r="AX738" s="277"/>
      <c r="AY738" s="277"/>
      <c r="AZ738" s="277"/>
      <c r="BA738" s="277"/>
      <c r="BB738" s="277"/>
    </row>
    <row r="739" spans="1:54" x14ac:dyDescent="0.25">
      <c r="A739" s="277"/>
      <c r="B739" s="277"/>
      <c r="C739" s="277"/>
      <c r="D739" s="277"/>
      <c r="E739" s="277"/>
      <c r="F739" s="277"/>
      <c r="G739" s="277"/>
      <c r="H739" s="277"/>
      <c r="I739" s="277"/>
      <c r="J739" s="277"/>
      <c r="K739" s="277"/>
      <c r="L739" s="277"/>
      <c r="M739" s="277"/>
      <c r="N739" s="277"/>
      <c r="O739" s="277"/>
      <c r="P739" s="277"/>
      <c r="Q739" s="277"/>
      <c r="R739" s="277"/>
      <c r="S739" s="277"/>
      <c r="T739" s="294"/>
      <c r="U739" s="294"/>
      <c r="V739" s="294"/>
      <c r="W739" s="294"/>
      <c r="X739" s="294"/>
      <c r="Y739" s="294"/>
      <c r="Z739" s="294"/>
      <c r="AA739" s="294"/>
      <c r="AB739" s="294"/>
      <c r="AC739" s="277"/>
      <c r="AD739" s="277"/>
      <c r="AE739" s="277"/>
      <c r="AF739" s="277"/>
      <c r="AG739" s="277"/>
      <c r="AH739" s="277"/>
      <c r="AI739" s="277"/>
      <c r="AJ739" s="277"/>
      <c r="AK739" s="277"/>
      <c r="AL739" s="277"/>
      <c r="AM739" s="277"/>
      <c r="AN739" s="277"/>
      <c r="AO739" s="277"/>
      <c r="AP739" s="277"/>
      <c r="AQ739" s="277"/>
      <c r="AR739" s="277"/>
      <c r="AS739" s="277"/>
      <c r="AT739" s="277"/>
      <c r="AU739" s="277"/>
      <c r="AV739" s="277"/>
      <c r="AW739" s="277"/>
      <c r="AX739" s="277"/>
      <c r="AY739" s="277"/>
      <c r="AZ739" s="277"/>
      <c r="BA739" s="277"/>
      <c r="BB739" s="277"/>
    </row>
    <row r="740" spans="1:54" x14ac:dyDescent="0.25">
      <c r="A740" s="277"/>
      <c r="B740" s="277"/>
      <c r="C740" s="277"/>
      <c r="D740" s="277"/>
      <c r="E740" s="277"/>
      <c r="F740" s="277"/>
      <c r="G740" s="277"/>
      <c r="H740" s="277"/>
      <c r="I740" s="277"/>
      <c r="J740" s="277"/>
      <c r="K740" s="277"/>
      <c r="L740" s="277"/>
      <c r="M740" s="277"/>
      <c r="N740" s="277"/>
      <c r="O740" s="277"/>
      <c r="P740" s="277"/>
      <c r="Q740" s="277"/>
      <c r="R740" s="277"/>
      <c r="S740" s="277"/>
      <c r="T740" s="294"/>
      <c r="U740" s="294"/>
      <c r="V740" s="294"/>
      <c r="W740" s="294"/>
      <c r="X740" s="294"/>
      <c r="Y740" s="294"/>
      <c r="Z740" s="294"/>
      <c r="AA740" s="294"/>
      <c r="AB740" s="294"/>
      <c r="AC740" s="277"/>
      <c r="AD740" s="277"/>
      <c r="AE740" s="277"/>
      <c r="AF740" s="277"/>
      <c r="AG740" s="277"/>
      <c r="AH740" s="277"/>
      <c r="AI740" s="277"/>
      <c r="AJ740" s="277"/>
      <c r="AK740" s="277"/>
      <c r="AL740" s="277"/>
      <c r="AM740" s="277"/>
      <c r="AN740" s="277"/>
      <c r="AO740" s="277"/>
      <c r="AP740" s="277"/>
      <c r="AQ740" s="277"/>
      <c r="AR740" s="277"/>
      <c r="AS740" s="277"/>
      <c r="AT740" s="277"/>
      <c r="AU740" s="277"/>
      <c r="AV740" s="277"/>
      <c r="AW740" s="277"/>
      <c r="AX740" s="277"/>
      <c r="AY740" s="277"/>
      <c r="AZ740" s="277"/>
      <c r="BA740" s="277"/>
      <c r="BB740" s="277"/>
    </row>
    <row r="741" spans="1:54" x14ac:dyDescent="0.25">
      <c r="A741" s="277"/>
      <c r="B741" s="277"/>
      <c r="C741" s="277"/>
      <c r="D741" s="277"/>
      <c r="E741" s="277"/>
      <c r="F741" s="277"/>
      <c r="G741" s="277"/>
      <c r="H741" s="277"/>
      <c r="I741" s="277"/>
      <c r="J741" s="277"/>
      <c r="K741" s="277"/>
      <c r="L741" s="277"/>
      <c r="M741" s="277"/>
      <c r="N741" s="277"/>
      <c r="O741" s="277"/>
      <c r="P741" s="277"/>
      <c r="Q741" s="277"/>
      <c r="R741" s="277"/>
      <c r="S741" s="277"/>
      <c r="T741" s="294"/>
      <c r="U741" s="294"/>
      <c r="V741" s="294"/>
      <c r="W741" s="294"/>
      <c r="X741" s="294"/>
      <c r="Y741" s="294"/>
      <c r="Z741" s="294"/>
      <c r="AA741" s="294"/>
      <c r="AB741" s="294"/>
      <c r="AC741" s="277"/>
      <c r="AD741" s="277"/>
      <c r="AE741" s="277"/>
      <c r="AF741" s="277"/>
      <c r="AG741" s="277"/>
      <c r="AH741" s="277"/>
      <c r="AI741" s="277"/>
      <c r="AJ741" s="277"/>
      <c r="AK741" s="277"/>
      <c r="AL741" s="277"/>
      <c r="AM741" s="277"/>
      <c r="AN741" s="277"/>
      <c r="AO741" s="277"/>
      <c r="AP741" s="277"/>
      <c r="AQ741" s="277"/>
      <c r="AR741" s="277"/>
      <c r="AS741" s="277"/>
      <c r="AT741" s="277"/>
      <c r="AU741" s="277"/>
      <c r="AV741" s="277"/>
      <c r="AW741" s="277"/>
      <c r="AX741" s="277"/>
      <c r="AY741" s="277"/>
      <c r="AZ741" s="277"/>
      <c r="BA741" s="277"/>
      <c r="BB741" s="277"/>
    </row>
    <row r="742" spans="1:54" x14ac:dyDescent="0.25">
      <c r="A742" s="277"/>
      <c r="B742" s="277"/>
      <c r="C742" s="277"/>
      <c r="D742" s="277"/>
      <c r="E742" s="277"/>
      <c r="F742" s="277"/>
      <c r="G742" s="277"/>
      <c r="H742" s="277"/>
      <c r="I742" s="277"/>
      <c r="J742" s="277"/>
      <c r="K742" s="277"/>
      <c r="L742" s="277"/>
      <c r="M742" s="277"/>
      <c r="N742" s="277"/>
      <c r="O742" s="277"/>
      <c r="P742" s="277"/>
      <c r="Q742" s="277"/>
      <c r="R742" s="277"/>
      <c r="S742" s="277"/>
      <c r="T742" s="294"/>
      <c r="U742" s="294"/>
      <c r="V742" s="294"/>
      <c r="W742" s="294"/>
      <c r="X742" s="294"/>
      <c r="Y742" s="294"/>
      <c r="Z742" s="294"/>
      <c r="AA742" s="294"/>
      <c r="AB742" s="294"/>
      <c r="AC742" s="277"/>
      <c r="AD742" s="277"/>
      <c r="AE742" s="277"/>
      <c r="AF742" s="277"/>
      <c r="AG742" s="277"/>
      <c r="AH742" s="277"/>
      <c r="AI742" s="277"/>
      <c r="AJ742" s="277"/>
      <c r="AK742" s="277"/>
      <c r="AL742" s="277"/>
      <c r="AM742" s="277"/>
      <c r="AN742" s="277"/>
      <c r="AO742" s="277"/>
      <c r="AP742" s="277"/>
      <c r="AQ742" s="277"/>
      <c r="AR742" s="277"/>
      <c r="AS742" s="277"/>
      <c r="AT742" s="277"/>
      <c r="AU742" s="277"/>
      <c r="AV742" s="277"/>
      <c r="AW742" s="277"/>
      <c r="AX742" s="277"/>
      <c r="AY742" s="277"/>
      <c r="AZ742" s="277"/>
      <c r="BA742" s="277"/>
      <c r="BB742" s="277"/>
    </row>
    <row r="743" spans="1:54" x14ac:dyDescent="0.25">
      <c r="A743" s="277"/>
      <c r="B743" s="277"/>
      <c r="C743" s="277"/>
      <c r="D743" s="277"/>
      <c r="E743" s="277"/>
      <c r="F743" s="277"/>
      <c r="G743" s="277"/>
      <c r="H743" s="277"/>
      <c r="I743" s="277"/>
      <c r="J743" s="277"/>
      <c r="K743" s="277"/>
      <c r="L743" s="277"/>
      <c r="M743" s="277"/>
      <c r="N743" s="277"/>
      <c r="O743" s="277"/>
      <c r="P743" s="277"/>
      <c r="Q743" s="277"/>
      <c r="R743" s="277"/>
      <c r="S743" s="277"/>
      <c r="T743" s="294"/>
      <c r="U743" s="294"/>
      <c r="V743" s="294"/>
      <c r="W743" s="294"/>
      <c r="X743" s="294"/>
      <c r="Y743" s="294"/>
      <c r="Z743" s="294"/>
      <c r="AA743" s="294"/>
      <c r="AB743" s="294"/>
      <c r="AC743" s="277"/>
      <c r="AD743" s="277"/>
      <c r="AE743" s="277"/>
      <c r="AF743" s="277"/>
      <c r="AG743" s="277"/>
      <c r="AH743" s="277"/>
      <c r="AI743" s="277"/>
      <c r="AJ743" s="277"/>
      <c r="AK743" s="277"/>
      <c r="AL743" s="277"/>
      <c r="AM743" s="277"/>
      <c r="AN743" s="277"/>
      <c r="AO743" s="277"/>
      <c r="AP743" s="277"/>
      <c r="AQ743" s="277"/>
      <c r="AR743" s="277"/>
      <c r="AS743" s="277"/>
      <c r="AT743" s="277"/>
      <c r="AU743" s="277"/>
      <c r="AV743" s="277"/>
      <c r="AW743" s="277"/>
      <c r="AX743" s="277"/>
      <c r="AY743" s="277"/>
      <c r="AZ743" s="277"/>
      <c r="BA743" s="277"/>
      <c r="BB743" s="277"/>
    </row>
    <row r="744" spans="1:54" x14ac:dyDescent="0.25">
      <c r="A744" s="277"/>
      <c r="B744" s="277"/>
      <c r="C744" s="277"/>
      <c r="D744" s="277"/>
      <c r="E744" s="277"/>
      <c r="F744" s="277"/>
      <c r="G744" s="277"/>
      <c r="H744" s="277"/>
      <c r="I744" s="277"/>
      <c r="J744" s="277"/>
      <c r="K744" s="277"/>
      <c r="L744" s="277"/>
      <c r="M744" s="277"/>
      <c r="N744" s="277"/>
      <c r="O744" s="277"/>
      <c r="P744" s="277"/>
      <c r="Q744" s="277"/>
      <c r="R744" s="277"/>
      <c r="S744" s="277"/>
      <c r="T744" s="294"/>
      <c r="U744" s="294"/>
      <c r="V744" s="294"/>
      <c r="W744" s="294"/>
      <c r="X744" s="294"/>
      <c r="Y744" s="294"/>
      <c r="Z744" s="294"/>
      <c r="AA744" s="294"/>
      <c r="AB744" s="294"/>
      <c r="AC744" s="277"/>
      <c r="AD744" s="277"/>
      <c r="AE744" s="277"/>
      <c r="AF744" s="277"/>
      <c r="AG744" s="277"/>
      <c r="AH744" s="277"/>
      <c r="AI744" s="277"/>
      <c r="AJ744" s="277"/>
      <c r="AK744" s="277"/>
      <c r="AL744" s="277"/>
      <c r="AM744" s="277"/>
      <c r="AN744" s="277"/>
      <c r="AO744" s="277"/>
      <c r="AP744" s="277"/>
      <c r="AQ744" s="277"/>
      <c r="AR744" s="277"/>
      <c r="AS744" s="277"/>
      <c r="AT744" s="277"/>
      <c r="AU744" s="277"/>
      <c r="AV744" s="277"/>
      <c r="AW744" s="277"/>
      <c r="AX744" s="277"/>
      <c r="AY744" s="277"/>
      <c r="AZ744" s="277"/>
      <c r="BA744" s="277"/>
      <c r="BB744" s="277"/>
    </row>
    <row r="745" spans="1:54" x14ac:dyDescent="0.25">
      <c r="A745" s="277"/>
      <c r="B745" s="277"/>
      <c r="C745" s="277"/>
      <c r="D745" s="277"/>
      <c r="E745" s="277"/>
      <c r="F745" s="277"/>
      <c r="G745" s="277"/>
      <c r="H745" s="277"/>
      <c r="I745" s="277"/>
      <c r="J745" s="277"/>
      <c r="K745" s="277"/>
      <c r="L745" s="277"/>
      <c r="M745" s="277"/>
      <c r="N745" s="277"/>
      <c r="O745" s="277"/>
      <c r="P745" s="277"/>
      <c r="Q745" s="277"/>
      <c r="R745" s="277"/>
      <c r="S745" s="277"/>
      <c r="T745" s="294"/>
      <c r="U745" s="294"/>
      <c r="V745" s="294"/>
      <c r="W745" s="294"/>
      <c r="X745" s="294"/>
      <c r="Y745" s="294"/>
      <c r="Z745" s="294"/>
      <c r="AA745" s="294"/>
      <c r="AB745" s="294"/>
      <c r="AC745" s="277"/>
      <c r="AD745" s="277"/>
      <c r="AE745" s="277"/>
      <c r="AF745" s="277"/>
      <c r="AG745" s="277"/>
      <c r="AH745" s="277"/>
      <c r="AI745" s="277"/>
      <c r="AJ745" s="277"/>
      <c r="AK745" s="277"/>
      <c r="AL745" s="277"/>
      <c r="AM745" s="277"/>
      <c r="AN745" s="277"/>
      <c r="AO745" s="277"/>
      <c r="AP745" s="277"/>
      <c r="AQ745" s="277"/>
      <c r="AR745" s="277"/>
      <c r="AS745" s="277"/>
      <c r="AT745" s="277"/>
      <c r="AU745" s="277"/>
      <c r="AV745" s="277"/>
      <c r="AW745" s="277"/>
      <c r="AX745" s="277"/>
      <c r="AY745" s="277"/>
      <c r="AZ745" s="277"/>
      <c r="BA745" s="277"/>
      <c r="BB745" s="277"/>
    </row>
    <row r="746" spans="1:54" x14ac:dyDescent="0.25">
      <c r="A746" s="277"/>
      <c r="B746" s="277"/>
      <c r="C746" s="277"/>
      <c r="D746" s="277"/>
      <c r="E746" s="277"/>
      <c r="F746" s="277"/>
      <c r="G746" s="277"/>
      <c r="H746" s="277"/>
      <c r="I746" s="277"/>
      <c r="J746" s="277"/>
      <c r="K746" s="277"/>
      <c r="L746" s="277"/>
      <c r="M746" s="277"/>
      <c r="N746" s="277"/>
      <c r="O746" s="277"/>
      <c r="P746" s="277"/>
      <c r="Q746" s="277"/>
      <c r="R746" s="277"/>
      <c r="S746" s="277"/>
      <c r="T746" s="294"/>
      <c r="U746" s="294"/>
      <c r="V746" s="294"/>
      <c r="W746" s="294"/>
      <c r="X746" s="294"/>
      <c r="Y746" s="294"/>
      <c r="Z746" s="294"/>
      <c r="AA746" s="294"/>
      <c r="AB746" s="294"/>
      <c r="AC746" s="277"/>
      <c r="AD746" s="277"/>
      <c r="AE746" s="277"/>
      <c r="AF746" s="277"/>
      <c r="AG746" s="277"/>
      <c r="AH746" s="277"/>
      <c r="AI746" s="277"/>
      <c r="AJ746" s="277"/>
      <c r="AK746" s="277"/>
      <c r="AL746" s="277"/>
      <c r="AM746" s="277"/>
      <c r="AN746" s="277"/>
      <c r="AO746" s="277"/>
      <c r="AP746" s="277"/>
      <c r="AQ746" s="277"/>
      <c r="AR746" s="277"/>
      <c r="AS746" s="277"/>
      <c r="AT746" s="277"/>
      <c r="AU746" s="277"/>
      <c r="AV746" s="277"/>
      <c r="AW746" s="277"/>
      <c r="AX746" s="277"/>
      <c r="AY746" s="277"/>
      <c r="AZ746" s="277"/>
      <c r="BA746" s="277"/>
      <c r="BB746" s="277"/>
    </row>
    <row r="747" spans="1:54" x14ac:dyDescent="0.25">
      <c r="A747" s="277"/>
      <c r="B747" s="277"/>
      <c r="C747" s="277"/>
      <c r="D747" s="277"/>
      <c r="E747" s="277"/>
      <c r="F747" s="277"/>
      <c r="G747" s="277"/>
      <c r="H747" s="277"/>
      <c r="I747" s="277"/>
      <c r="J747" s="277"/>
      <c r="K747" s="277"/>
      <c r="L747" s="277"/>
      <c r="M747" s="277"/>
      <c r="N747" s="277"/>
      <c r="O747" s="277"/>
      <c r="P747" s="277"/>
      <c r="Q747" s="277"/>
      <c r="R747" s="277"/>
      <c r="S747" s="277"/>
      <c r="T747" s="294"/>
      <c r="U747" s="294"/>
      <c r="V747" s="294"/>
      <c r="W747" s="294"/>
      <c r="X747" s="294"/>
      <c r="Y747" s="294"/>
      <c r="Z747" s="294"/>
      <c r="AA747" s="294"/>
      <c r="AB747" s="294"/>
      <c r="AC747" s="277"/>
      <c r="AD747" s="277"/>
      <c r="AE747" s="277"/>
      <c r="AF747" s="277"/>
      <c r="AG747" s="277"/>
      <c r="AH747" s="277"/>
      <c r="AI747" s="277"/>
      <c r="AJ747" s="277"/>
      <c r="AK747" s="277"/>
      <c r="AL747" s="277"/>
      <c r="AM747" s="277"/>
      <c r="AN747" s="277"/>
      <c r="AO747" s="277"/>
      <c r="AP747" s="277"/>
      <c r="AQ747" s="277"/>
      <c r="AR747" s="277"/>
      <c r="AS747" s="277"/>
      <c r="AT747" s="277"/>
      <c r="AU747" s="277"/>
      <c r="AV747" s="277"/>
      <c r="AW747" s="277"/>
      <c r="AX747" s="277"/>
      <c r="AY747" s="277"/>
      <c r="AZ747" s="277"/>
      <c r="BA747" s="277"/>
      <c r="BB747" s="277"/>
    </row>
    <row r="748" spans="1:54" x14ac:dyDescent="0.25">
      <c r="A748" s="277"/>
      <c r="B748" s="277"/>
      <c r="C748" s="277"/>
      <c r="D748" s="277"/>
      <c r="E748" s="277"/>
      <c r="F748" s="277"/>
      <c r="G748" s="277"/>
      <c r="H748" s="277"/>
      <c r="I748" s="277"/>
      <c r="J748" s="277"/>
      <c r="K748" s="277"/>
      <c r="L748" s="277"/>
      <c r="M748" s="277"/>
      <c r="N748" s="277"/>
      <c r="O748" s="277"/>
      <c r="P748" s="277"/>
      <c r="Q748" s="277"/>
      <c r="R748" s="277"/>
      <c r="S748" s="277"/>
      <c r="T748" s="294"/>
      <c r="U748" s="294"/>
      <c r="V748" s="294"/>
      <c r="W748" s="294"/>
      <c r="X748" s="294"/>
      <c r="Y748" s="294"/>
      <c r="Z748" s="294"/>
      <c r="AA748" s="294"/>
      <c r="AB748" s="294"/>
      <c r="AC748" s="277"/>
      <c r="AD748" s="277"/>
      <c r="AE748" s="277"/>
      <c r="AF748" s="277"/>
      <c r="AG748" s="277"/>
      <c r="AH748" s="277"/>
      <c r="AI748" s="277"/>
      <c r="AJ748" s="277"/>
      <c r="AK748" s="277"/>
      <c r="AL748" s="277"/>
      <c r="AM748" s="277"/>
      <c r="AN748" s="277"/>
      <c r="AO748" s="277"/>
      <c r="AP748" s="277"/>
      <c r="AQ748" s="277"/>
      <c r="AR748" s="277"/>
      <c r="AS748" s="277"/>
      <c r="AT748" s="277"/>
      <c r="AU748" s="277"/>
      <c r="AV748" s="277"/>
      <c r="AW748" s="277"/>
      <c r="AX748" s="277"/>
      <c r="AY748" s="277"/>
      <c r="AZ748" s="277"/>
      <c r="BA748" s="277"/>
      <c r="BB748" s="277"/>
    </row>
    <row r="749" spans="1:54" x14ac:dyDescent="0.25">
      <c r="A749" s="277"/>
      <c r="B749" s="277"/>
      <c r="C749" s="277"/>
      <c r="D749" s="277"/>
      <c r="E749" s="277"/>
      <c r="F749" s="277"/>
      <c r="G749" s="277"/>
      <c r="H749" s="277"/>
      <c r="I749" s="277"/>
      <c r="J749" s="277"/>
      <c r="K749" s="277"/>
      <c r="L749" s="277"/>
      <c r="M749" s="277"/>
      <c r="N749" s="277"/>
      <c r="O749" s="277"/>
      <c r="P749" s="277"/>
      <c r="Q749" s="277"/>
      <c r="R749" s="277"/>
      <c r="S749" s="277"/>
      <c r="T749" s="294"/>
      <c r="U749" s="294"/>
      <c r="V749" s="294"/>
      <c r="W749" s="294"/>
      <c r="X749" s="294"/>
      <c r="Y749" s="294"/>
      <c r="Z749" s="294"/>
      <c r="AA749" s="294"/>
      <c r="AB749" s="294"/>
      <c r="AC749" s="277"/>
      <c r="AD749" s="277"/>
      <c r="AE749" s="277"/>
      <c r="AF749" s="277"/>
      <c r="AG749" s="277"/>
      <c r="AH749" s="277"/>
      <c r="AI749" s="277"/>
      <c r="AJ749" s="277"/>
      <c r="AK749" s="277"/>
      <c r="AL749" s="277"/>
      <c r="AM749" s="277"/>
      <c r="AN749" s="277"/>
      <c r="AO749" s="277"/>
      <c r="AP749" s="277"/>
      <c r="AQ749" s="277"/>
      <c r="AR749" s="277"/>
      <c r="AS749" s="277"/>
      <c r="AT749" s="277"/>
      <c r="AU749" s="277"/>
      <c r="AV749" s="277"/>
      <c r="AW749" s="277"/>
      <c r="AX749" s="277"/>
      <c r="AY749" s="277"/>
      <c r="AZ749" s="277"/>
      <c r="BA749" s="277"/>
      <c r="BB749" s="277"/>
    </row>
    <row r="750" spans="1:54" x14ac:dyDescent="0.25">
      <c r="A750" s="277"/>
      <c r="B750" s="277"/>
      <c r="C750" s="277"/>
      <c r="D750" s="277"/>
      <c r="E750" s="277"/>
      <c r="F750" s="277"/>
      <c r="G750" s="277"/>
      <c r="H750" s="277"/>
      <c r="I750" s="277"/>
      <c r="J750" s="277"/>
      <c r="K750" s="277"/>
      <c r="L750" s="277"/>
      <c r="M750" s="277"/>
      <c r="N750" s="277"/>
      <c r="O750" s="277"/>
      <c r="P750" s="277"/>
      <c r="Q750" s="277"/>
      <c r="R750" s="277"/>
      <c r="S750" s="277"/>
      <c r="T750" s="294"/>
      <c r="U750" s="294"/>
      <c r="V750" s="294"/>
      <c r="W750" s="294"/>
      <c r="X750" s="294"/>
      <c r="Y750" s="294"/>
      <c r="Z750" s="294"/>
      <c r="AA750" s="294"/>
      <c r="AB750" s="294"/>
      <c r="AC750" s="277"/>
      <c r="AD750" s="277"/>
      <c r="AE750" s="277"/>
      <c r="AF750" s="277"/>
      <c r="AG750" s="277"/>
      <c r="AH750" s="277"/>
      <c r="AI750" s="277"/>
      <c r="AJ750" s="277"/>
      <c r="AK750" s="277"/>
      <c r="AL750" s="277"/>
      <c r="AM750" s="277"/>
      <c r="AN750" s="277"/>
      <c r="AO750" s="277"/>
      <c r="AP750" s="277"/>
      <c r="AQ750" s="277"/>
      <c r="AR750" s="277"/>
      <c r="AS750" s="277"/>
      <c r="AT750" s="277"/>
      <c r="AU750" s="277"/>
      <c r="AV750" s="277"/>
      <c r="AW750" s="277"/>
      <c r="AX750" s="277"/>
      <c r="AY750" s="277"/>
      <c r="AZ750" s="277"/>
      <c r="BA750" s="277"/>
      <c r="BB750" s="277"/>
    </row>
    <row r="751" spans="1:54" x14ac:dyDescent="0.25">
      <c r="A751" s="277"/>
      <c r="B751" s="277"/>
      <c r="C751" s="277"/>
      <c r="D751" s="277"/>
      <c r="E751" s="277"/>
      <c r="F751" s="277"/>
      <c r="G751" s="277"/>
      <c r="H751" s="277"/>
      <c r="I751" s="277"/>
      <c r="J751" s="277"/>
      <c r="K751" s="277"/>
      <c r="L751" s="277"/>
      <c r="M751" s="277"/>
      <c r="N751" s="277"/>
      <c r="O751" s="277"/>
      <c r="P751" s="277"/>
      <c r="Q751" s="277"/>
      <c r="R751" s="277"/>
      <c r="S751" s="277"/>
      <c r="T751" s="294"/>
      <c r="U751" s="294"/>
      <c r="V751" s="294"/>
      <c r="W751" s="294"/>
      <c r="X751" s="294"/>
      <c r="Y751" s="294"/>
      <c r="Z751" s="294"/>
      <c r="AA751" s="294"/>
      <c r="AB751" s="294"/>
      <c r="AC751" s="277"/>
      <c r="AD751" s="277"/>
      <c r="AE751" s="277"/>
      <c r="AF751" s="277"/>
      <c r="AG751" s="277"/>
      <c r="AH751" s="277"/>
      <c r="AI751" s="277"/>
      <c r="AJ751" s="277"/>
      <c r="AK751" s="277"/>
      <c r="AL751" s="277"/>
      <c r="AM751" s="277"/>
      <c r="AN751" s="277"/>
      <c r="AO751" s="277"/>
      <c r="AP751" s="277"/>
      <c r="AQ751" s="277"/>
      <c r="AR751" s="277"/>
      <c r="AS751" s="277"/>
      <c r="AT751" s="277"/>
      <c r="AU751" s="277"/>
      <c r="AV751" s="277"/>
      <c r="AW751" s="277"/>
      <c r="AX751" s="277"/>
      <c r="AY751" s="277"/>
      <c r="AZ751" s="277"/>
      <c r="BA751" s="277"/>
      <c r="BB751" s="277"/>
    </row>
    <row r="752" spans="1:54" x14ac:dyDescent="0.25">
      <c r="A752" s="277"/>
      <c r="B752" s="277"/>
      <c r="C752" s="277"/>
      <c r="D752" s="277"/>
      <c r="E752" s="277"/>
      <c r="F752" s="277"/>
      <c r="G752" s="277"/>
      <c r="H752" s="277"/>
      <c r="I752" s="277"/>
      <c r="J752" s="277"/>
      <c r="K752" s="277"/>
      <c r="L752" s="277"/>
      <c r="M752" s="277"/>
      <c r="N752" s="277"/>
      <c r="O752" s="277"/>
      <c r="P752" s="277"/>
      <c r="Q752" s="277"/>
      <c r="R752" s="277"/>
      <c r="S752" s="277"/>
      <c r="T752" s="294"/>
      <c r="U752" s="294"/>
      <c r="V752" s="294"/>
      <c r="W752" s="294"/>
      <c r="X752" s="294"/>
      <c r="Y752" s="294"/>
      <c r="Z752" s="294"/>
      <c r="AA752" s="294"/>
      <c r="AB752" s="294"/>
      <c r="AC752" s="277"/>
      <c r="AD752" s="277"/>
      <c r="AE752" s="277"/>
      <c r="AF752" s="277"/>
      <c r="AG752" s="277"/>
      <c r="AH752" s="277"/>
      <c r="AI752" s="277"/>
      <c r="AJ752" s="277"/>
      <c r="AK752" s="277"/>
      <c r="AL752" s="277"/>
      <c r="AM752" s="277"/>
      <c r="AN752" s="277"/>
      <c r="AO752" s="277"/>
      <c r="AP752" s="277"/>
      <c r="AQ752" s="277"/>
      <c r="AR752" s="277"/>
      <c r="AS752" s="277"/>
      <c r="AT752" s="277"/>
      <c r="AU752" s="277"/>
      <c r="AV752" s="277"/>
      <c r="AW752" s="277"/>
      <c r="AX752" s="277"/>
      <c r="AY752" s="277"/>
      <c r="AZ752" s="277"/>
      <c r="BA752" s="277"/>
      <c r="BB752" s="277"/>
    </row>
    <row r="753" spans="1:54" x14ac:dyDescent="0.25">
      <c r="A753" s="277"/>
      <c r="B753" s="277"/>
      <c r="C753" s="277"/>
      <c r="D753" s="277"/>
      <c r="E753" s="277"/>
      <c r="F753" s="277"/>
      <c r="G753" s="277"/>
      <c r="H753" s="277"/>
      <c r="I753" s="277"/>
      <c r="J753" s="277"/>
      <c r="K753" s="277"/>
      <c r="L753" s="277"/>
      <c r="M753" s="277"/>
      <c r="N753" s="277"/>
      <c r="O753" s="277"/>
      <c r="P753" s="277"/>
      <c r="Q753" s="277"/>
      <c r="R753" s="277"/>
      <c r="S753" s="277"/>
      <c r="T753" s="294"/>
      <c r="U753" s="294"/>
      <c r="V753" s="294"/>
      <c r="W753" s="294"/>
      <c r="X753" s="294"/>
      <c r="Y753" s="294"/>
      <c r="Z753" s="294"/>
      <c r="AA753" s="294"/>
      <c r="AB753" s="294"/>
      <c r="AC753" s="277"/>
      <c r="AD753" s="277"/>
      <c r="AE753" s="277"/>
      <c r="AF753" s="277"/>
      <c r="AG753" s="277"/>
      <c r="AH753" s="277"/>
      <c r="AI753" s="277"/>
      <c r="AJ753" s="277"/>
      <c r="AK753" s="277"/>
      <c r="AL753" s="277"/>
      <c r="AM753" s="277"/>
      <c r="AN753" s="277"/>
      <c r="AO753" s="277"/>
      <c r="AP753" s="277"/>
      <c r="AQ753" s="277"/>
      <c r="AR753" s="277"/>
      <c r="AS753" s="277"/>
      <c r="AT753" s="277"/>
      <c r="AU753" s="277"/>
      <c r="AV753" s="277"/>
      <c r="AW753" s="277"/>
      <c r="AX753" s="277"/>
      <c r="AY753" s="277"/>
      <c r="AZ753" s="277"/>
      <c r="BA753" s="277"/>
      <c r="BB753" s="277"/>
    </row>
    <row r="754" spans="1:54" x14ac:dyDescent="0.25">
      <c r="A754" s="277"/>
      <c r="B754" s="277"/>
      <c r="C754" s="277"/>
      <c r="D754" s="277"/>
      <c r="E754" s="277"/>
      <c r="F754" s="277"/>
      <c r="G754" s="277"/>
      <c r="H754" s="277"/>
      <c r="I754" s="277"/>
      <c r="J754" s="277"/>
      <c r="K754" s="277"/>
      <c r="L754" s="277"/>
      <c r="M754" s="277"/>
      <c r="N754" s="277"/>
      <c r="O754" s="277"/>
      <c r="P754" s="277"/>
      <c r="Q754" s="277"/>
      <c r="R754" s="277"/>
      <c r="S754" s="277"/>
      <c r="T754" s="294"/>
      <c r="U754" s="294"/>
      <c r="V754" s="294"/>
      <c r="W754" s="294"/>
      <c r="X754" s="294"/>
      <c r="Y754" s="294"/>
      <c r="Z754" s="294"/>
      <c r="AA754" s="294"/>
      <c r="AB754" s="294"/>
      <c r="AC754" s="277"/>
      <c r="AD754" s="277"/>
      <c r="AE754" s="277"/>
      <c r="AF754" s="277"/>
      <c r="AG754" s="277"/>
      <c r="AH754" s="277"/>
      <c r="AI754" s="277"/>
      <c r="AJ754" s="277"/>
      <c r="AK754" s="277"/>
      <c r="AL754" s="277"/>
      <c r="AM754" s="277"/>
      <c r="AN754" s="277"/>
      <c r="AO754" s="277"/>
      <c r="AP754" s="277"/>
      <c r="AQ754" s="277"/>
      <c r="AR754" s="277"/>
      <c r="AS754" s="277"/>
      <c r="AT754" s="277"/>
      <c r="AU754" s="277"/>
      <c r="AV754" s="277"/>
      <c r="AW754" s="277"/>
      <c r="AX754" s="277"/>
      <c r="AY754" s="277"/>
      <c r="AZ754" s="277"/>
      <c r="BA754" s="277"/>
      <c r="BB754" s="277"/>
    </row>
    <row r="755" spans="1:54" x14ac:dyDescent="0.25">
      <c r="A755" s="277"/>
      <c r="B755" s="277"/>
      <c r="C755" s="277"/>
      <c r="D755" s="277"/>
      <c r="E755" s="277"/>
      <c r="F755" s="277"/>
      <c r="G755" s="277"/>
      <c r="H755" s="277"/>
      <c r="I755" s="277"/>
      <c r="J755" s="277"/>
      <c r="K755" s="277"/>
      <c r="L755" s="277"/>
      <c r="M755" s="277"/>
      <c r="N755" s="277"/>
      <c r="O755" s="277"/>
      <c r="P755" s="277"/>
      <c r="Q755" s="277"/>
      <c r="R755" s="277"/>
      <c r="S755" s="277"/>
      <c r="T755" s="294"/>
      <c r="U755" s="294"/>
      <c r="V755" s="294"/>
      <c r="W755" s="294"/>
      <c r="X755" s="294"/>
      <c r="Y755" s="294"/>
      <c r="Z755" s="294"/>
      <c r="AA755" s="294"/>
      <c r="AB755" s="294"/>
      <c r="AC755" s="277"/>
      <c r="AD755" s="277"/>
      <c r="AE755" s="277"/>
      <c r="AF755" s="277"/>
      <c r="AG755" s="277"/>
      <c r="AH755" s="277"/>
      <c r="AI755" s="277"/>
      <c r="AJ755" s="277"/>
      <c r="AK755" s="277"/>
      <c r="AL755" s="277"/>
      <c r="AM755" s="277"/>
      <c r="AN755" s="277"/>
      <c r="AO755" s="277"/>
      <c r="AP755" s="277"/>
      <c r="AQ755" s="277"/>
      <c r="AR755" s="277"/>
      <c r="AS755" s="277"/>
      <c r="AT755" s="277"/>
      <c r="AU755" s="277"/>
      <c r="AV755" s="277"/>
      <c r="AW755" s="277"/>
      <c r="AX755" s="277"/>
      <c r="AY755" s="277"/>
      <c r="AZ755" s="277"/>
      <c r="BA755" s="277"/>
      <c r="BB755" s="277"/>
    </row>
    <row r="756" spans="1:54" x14ac:dyDescent="0.25">
      <c r="A756" s="277"/>
      <c r="B756" s="277"/>
      <c r="C756" s="277"/>
      <c r="D756" s="277"/>
      <c r="E756" s="277"/>
      <c r="F756" s="277"/>
      <c r="G756" s="277"/>
      <c r="H756" s="277"/>
      <c r="I756" s="277"/>
      <c r="J756" s="277"/>
      <c r="K756" s="277"/>
      <c r="L756" s="277"/>
      <c r="M756" s="277"/>
      <c r="N756" s="277"/>
      <c r="O756" s="277"/>
      <c r="P756" s="277"/>
      <c r="Q756" s="277"/>
      <c r="R756" s="277"/>
      <c r="S756" s="277"/>
      <c r="T756" s="294"/>
      <c r="U756" s="294"/>
      <c r="V756" s="294"/>
      <c r="W756" s="294"/>
      <c r="X756" s="294"/>
      <c r="Y756" s="294"/>
      <c r="Z756" s="294"/>
      <c r="AA756" s="294"/>
      <c r="AB756" s="294"/>
      <c r="AC756" s="277"/>
      <c r="AD756" s="277"/>
      <c r="AE756" s="277"/>
      <c r="AF756" s="277"/>
      <c r="AG756" s="277"/>
      <c r="AH756" s="277"/>
      <c r="AI756" s="277"/>
      <c r="AJ756" s="277"/>
      <c r="AK756" s="277"/>
      <c r="AL756" s="277"/>
      <c r="AM756" s="277"/>
      <c r="AN756" s="277"/>
      <c r="AO756" s="277"/>
      <c r="AP756" s="277"/>
      <c r="AQ756" s="277"/>
      <c r="AR756" s="277"/>
      <c r="AS756" s="277"/>
      <c r="AT756" s="277"/>
      <c r="AU756" s="277"/>
      <c r="AV756" s="277"/>
      <c r="AW756" s="277"/>
      <c r="AX756" s="277"/>
      <c r="AY756" s="277"/>
      <c r="AZ756" s="277"/>
      <c r="BA756" s="277"/>
      <c r="BB756" s="277"/>
    </row>
    <row r="757" spans="1:54" x14ac:dyDescent="0.25">
      <c r="A757" s="277"/>
      <c r="B757" s="277"/>
      <c r="C757" s="277"/>
      <c r="D757" s="277"/>
      <c r="E757" s="277"/>
      <c r="F757" s="277"/>
      <c r="G757" s="277"/>
      <c r="H757" s="277"/>
      <c r="I757" s="277"/>
      <c r="J757" s="277"/>
      <c r="K757" s="277"/>
      <c r="L757" s="277"/>
      <c r="M757" s="277"/>
      <c r="N757" s="277"/>
      <c r="O757" s="277"/>
      <c r="P757" s="277"/>
      <c r="Q757" s="277"/>
      <c r="R757" s="277"/>
      <c r="S757" s="277"/>
      <c r="T757" s="294"/>
      <c r="U757" s="294"/>
      <c r="V757" s="294"/>
      <c r="W757" s="294"/>
      <c r="X757" s="294"/>
      <c r="Y757" s="294"/>
      <c r="Z757" s="294"/>
      <c r="AA757" s="294"/>
      <c r="AB757" s="294"/>
      <c r="AC757" s="277"/>
      <c r="AD757" s="277"/>
      <c r="AE757" s="277"/>
      <c r="AF757" s="277"/>
      <c r="AG757" s="277"/>
      <c r="AH757" s="277"/>
      <c r="AI757" s="277"/>
      <c r="AJ757" s="277"/>
      <c r="AK757" s="277"/>
      <c r="AL757" s="277"/>
      <c r="AM757" s="277"/>
      <c r="AN757" s="277"/>
      <c r="AO757" s="277"/>
      <c r="AP757" s="277"/>
      <c r="AQ757" s="277"/>
      <c r="AR757" s="277"/>
      <c r="AS757" s="277"/>
      <c r="AT757" s="277"/>
      <c r="AU757" s="277"/>
      <c r="AV757" s="277"/>
      <c r="AW757" s="277"/>
      <c r="AX757" s="277"/>
      <c r="AY757" s="277"/>
      <c r="AZ757" s="277"/>
      <c r="BA757" s="277"/>
      <c r="BB757" s="277"/>
    </row>
    <row r="758" spans="1:54" x14ac:dyDescent="0.25">
      <c r="A758" s="277"/>
      <c r="B758" s="277"/>
      <c r="C758" s="277"/>
      <c r="D758" s="277"/>
      <c r="E758" s="277"/>
      <c r="F758" s="277"/>
      <c r="G758" s="277"/>
      <c r="H758" s="277"/>
      <c r="I758" s="277"/>
      <c r="J758" s="277"/>
      <c r="K758" s="277"/>
      <c r="L758" s="277"/>
      <c r="M758" s="277"/>
      <c r="N758" s="277"/>
      <c r="O758" s="277"/>
      <c r="P758" s="277"/>
      <c r="Q758" s="277"/>
      <c r="R758" s="277"/>
      <c r="S758" s="277"/>
      <c r="T758" s="294"/>
      <c r="U758" s="294"/>
      <c r="V758" s="294"/>
      <c r="W758" s="294"/>
      <c r="X758" s="294"/>
      <c r="Y758" s="294"/>
      <c r="Z758" s="294"/>
      <c r="AA758" s="294"/>
      <c r="AB758" s="294"/>
      <c r="AC758" s="277"/>
      <c r="AD758" s="277"/>
      <c r="AE758" s="277"/>
      <c r="AF758" s="277"/>
      <c r="AG758" s="277"/>
      <c r="AH758" s="277"/>
      <c r="AI758" s="277"/>
      <c r="AJ758" s="277"/>
      <c r="AK758" s="277"/>
      <c r="AL758" s="277"/>
      <c r="AM758" s="277"/>
      <c r="AN758" s="277"/>
      <c r="AO758" s="277"/>
      <c r="AP758" s="277"/>
      <c r="AQ758" s="277"/>
      <c r="AR758" s="277"/>
      <c r="AS758" s="277"/>
      <c r="AT758" s="277"/>
      <c r="AU758" s="277"/>
      <c r="AV758" s="277"/>
      <c r="AW758" s="277"/>
      <c r="AX758" s="277"/>
      <c r="AY758" s="277"/>
      <c r="AZ758" s="277"/>
      <c r="BA758" s="277"/>
      <c r="BB758" s="277"/>
    </row>
    <row r="759" spans="1:54" x14ac:dyDescent="0.25">
      <c r="A759" s="277"/>
      <c r="B759" s="277"/>
      <c r="C759" s="277"/>
      <c r="D759" s="277"/>
      <c r="E759" s="277"/>
      <c r="F759" s="277"/>
      <c r="G759" s="277"/>
      <c r="H759" s="277"/>
      <c r="I759" s="277"/>
      <c r="J759" s="277"/>
      <c r="K759" s="277"/>
      <c r="L759" s="277"/>
      <c r="M759" s="277"/>
      <c r="N759" s="277"/>
      <c r="O759" s="277"/>
      <c r="P759" s="277"/>
      <c r="Q759" s="277"/>
      <c r="R759" s="277"/>
      <c r="S759" s="277"/>
      <c r="T759" s="294"/>
      <c r="U759" s="294"/>
      <c r="V759" s="294"/>
      <c r="W759" s="294"/>
      <c r="X759" s="294"/>
      <c r="Y759" s="294"/>
      <c r="Z759" s="294"/>
      <c r="AA759" s="294"/>
      <c r="AB759" s="294"/>
      <c r="AC759" s="277"/>
      <c r="AD759" s="277"/>
      <c r="AE759" s="277"/>
      <c r="AF759" s="277"/>
      <c r="AG759" s="277"/>
      <c r="AH759" s="277"/>
      <c r="AI759" s="277"/>
      <c r="AJ759" s="277"/>
      <c r="AK759" s="277"/>
      <c r="AL759" s="277"/>
      <c r="AM759" s="277"/>
      <c r="AN759" s="277"/>
      <c r="AO759" s="277"/>
      <c r="AP759" s="277"/>
      <c r="AQ759" s="277"/>
      <c r="AR759" s="277"/>
      <c r="AS759" s="277"/>
      <c r="AT759" s="277"/>
      <c r="AU759" s="277"/>
      <c r="AV759" s="277"/>
      <c r="AW759" s="277"/>
      <c r="AX759" s="277"/>
      <c r="AY759" s="277"/>
      <c r="AZ759" s="277"/>
      <c r="BA759" s="277"/>
      <c r="BB759" s="277"/>
    </row>
    <row r="760" spans="1:54" x14ac:dyDescent="0.25">
      <c r="A760" s="277"/>
      <c r="B760" s="277"/>
      <c r="C760" s="277"/>
      <c r="D760" s="277"/>
      <c r="E760" s="277"/>
      <c r="F760" s="277"/>
      <c r="G760" s="277"/>
      <c r="H760" s="277"/>
      <c r="I760" s="277"/>
      <c r="J760" s="277"/>
      <c r="K760" s="277"/>
      <c r="L760" s="277"/>
      <c r="M760" s="277"/>
      <c r="N760" s="277"/>
      <c r="O760" s="277"/>
      <c r="P760" s="277"/>
      <c r="Q760" s="277"/>
      <c r="R760" s="277"/>
      <c r="S760" s="277"/>
      <c r="T760" s="294"/>
      <c r="U760" s="294"/>
      <c r="V760" s="294"/>
      <c r="W760" s="294"/>
      <c r="X760" s="294"/>
      <c r="Y760" s="294"/>
      <c r="Z760" s="294"/>
      <c r="AA760" s="294"/>
      <c r="AB760" s="294"/>
      <c r="AC760" s="277"/>
      <c r="AD760" s="277"/>
      <c r="AE760" s="277"/>
      <c r="AF760" s="277"/>
      <c r="AG760" s="277"/>
      <c r="AH760" s="277"/>
      <c r="AI760" s="277"/>
      <c r="AJ760" s="277"/>
      <c r="AK760" s="277"/>
      <c r="AL760" s="277"/>
      <c r="AM760" s="277"/>
      <c r="AN760" s="277"/>
      <c r="AO760" s="277"/>
      <c r="AP760" s="277"/>
      <c r="AQ760" s="277"/>
      <c r="AR760" s="277"/>
      <c r="AS760" s="277"/>
      <c r="AT760" s="277"/>
      <c r="AU760" s="277"/>
      <c r="AV760" s="277"/>
      <c r="AW760" s="277"/>
      <c r="AX760" s="277"/>
      <c r="AY760" s="277"/>
      <c r="AZ760" s="277"/>
      <c r="BA760" s="277"/>
      <c r="BB760" s="277"/>
    </row>
    <row r="761" spans="1:54" x14ac:dyDescent="0.25">
      <c r="A761" s="277"/>
      <c r="B761" s="277"/>
      <c r="C761" s="277"/>
      <c r="D761" s="277"/>
      <c r="E761" s="277"/>
      <c r="F761" s="277"/>
      <c r="G761" s="277"/>
      <c r="H761" s="277"/>
      <c r="I761" s="277"/>
      <c r="J761" s="277"/>
      <c r="K761" s="277"/>
      <c r="L761" s="277"/>
      <c r="M761" s="277"/>
      <c r="N761" s="277"/>
      <c r="O761" s="277"/>
      <c r="P761" s="277"/>
      <c r="Q761" s="277"/>
      <c r="R761" s="277"/>
      <c r="S761" s="277"/>
      <c r="T761" s="294"/>
      <c r="U761" s="294"/>
      <c r="V761" s="294"/>
      <c r="W761" s="294"/>
      <c r="X761" s="294"/>
      <c r="Y761" s="294"/>
      <c r="Z761" s="294"/>
      <c r="AA761" s="294"/>
      <c r="AB761" s="294"/>
      <c r="AC761" s="277"/>
      <c r="AD761" s="277"/>
      <c r="AE761" s="277"/>
      <c r="AF761" s="277"/>
      <c r="AG761" s="277"/>
      <c r="AH761" s="277"/>
      <c r="AI761" s="277"/>
      <c r="AJ761" s="277"/>
      <c r="AK761" s="277"/>
      <c r="AL761" s="277"/>
      <c r="AM761" s="277"/>
      <c r="AN761" s="277"/>
      <c r="AO761" s="277"/>
      <c r="AP761" s="277"/>
      <c r="AQ761" s="277"/>
      <c r="AR761" s="277"/>
      <c r="AS761" s="277"/>
      <c r="AT761" s="277"/>
      <c r="AU761" s="277"/>
      <c r="AV761" s="277"/>
      <c r="AW761" s="277"/>
      <c r="AX761" s="277"/>
      <c r="AY761" s="277"/>
      <c r="AZ761" s="277"/>
      <c r="BA761" s="277"/>
      <c r="BB761" s="277"/>
    </row>
    <row r="762" spans="1:54" x14ac:dyDescent="0.25">
      <c r="A762" s="277"/>
      <c r="B762" s="277"/>
      <c r="C762" s="277"/>
      <c r="D762" s="277"/>
      <c r="E762" s="277"/>
      <c r="F762" s="277"/>
      <c r="G762" s="277"/>
      <c r="H762" s="277"/>
      <c r="I762" s="277"/>
      <c r="J762" s="277"/>
      <c r="K762" s="277"/>
      <c r="L762" s="277"/>
      <c r="M762" s="277"/>
      <c r="N762" s="277"/>
      <c r="O762" s="277"/>
      <c r="P762" s="277"/>
      <c r="Q762" s="277"/>
      <c r="R762" s="277"/>
      <c r="S762" s="277"/>
      <c r="T762" s="294"/>
      <c r="U762" s="294"/>
      <c r="V762" s="294"/>
      <c r="W762" s="294"/>
      <c r="X762" s="294"/>
      <c r="Y762" s="294"/>
      <c r="Z762" s="294"/>
      <c r="AA762" s="294"/>
      <c r="AB762" s="294"/>
      <c r="AC762" s="277"/>
      <c r="AD762" s="277"/>
      <c r="AE762" s="277"/>
      <c r="AF762" s="277"/>
      <c r="AG762" s="277"/>
      <c r="AH762" s="277"/>
      <c r="AI762" s="277"/>
      <c r="AJ762" s="277"/>
      <c r="AK762" s="277"/>
      <c r="AL762" s="277"/>
      <c r="AM762" s="277"/>
      <c r="AN762" s="277"/>
      <c r="AO762" s="277"/>
      <c r="AP762" s="277"/>
      <c r="AQ762" s="277"/>
      <c r="AR762" s="277"/>
      <c r="AS762" s="277"/>
      <c r="AT762" s="277"/>
      <c r="AU762" s="277"/>
      <c r="AV762" s="277"/>
      <c r="AW762" s="277"/>
      <c r="AX762" s="277"/>
      <c r="AY762" s="277"/>
      <c r="AZ762" s="277"/>
      <c r="BA762" s="277"/>
      <c r="BB762" s="277"/>
    </row>
    <row r="763" spans="1:54" x14ac:dyDescent="0.25">
      <c r="A763" s="277"/>
      <c r="B763" s="277"/>
      <c r="C763" s="277"/>
      <c r="D763" s="277"/>
      <c r="E763" s="277"/>
      <c r="F763" s="277"/>
      <c r="G763" s="277"/>
      <c r="H763" s="277"/>
      <c r="I763" s="277"/>
      <c r="J763" s="277"/>
      <c r="K763" s="277"/>
      <c r="L763" s="277"/>
      <c r="M763" s="277"/>
      <c r="N763" s="277"/>
      <c r="O763" s="277"/>
      <c r="P763" s="277"/>
      <c r="Q763" s="277"/>
      <c r="R763" s="277"/>
      <c r="S763" s="277"/>
      <c r="T763" s="294"/>
      <c r="U763" s="294"/>
      <c r="V763" s="294"/>
      <c r="W763" s="294"/>
      <c r="X763" s="294"/>
      <c r="Y763" s="294"/>
      <c r="Z763" s="294"/>
      <c r="AA763" s="294"/>
      <c r="AB763" s="294"/>
      <c r="AC763" s="277"/>
      <c r="AD763" s="277"/>
      <c r="AE763" s="277"/>
      <c r="AF763" s="277"/>
      <c r="AG763" s="277"/>
      <c r="AH763" s="277"/>
      <c r="AI763" s="277"/>
      <c r="AJ763" s="277"/>
      <c r="AK763" s="277"/>
      <c r="AL763" s="277"/>
      <c r="AM763" s="277"/>
      <c r="AN763" s="277"/>
      <c r="AO763" s="277"/>
      <c r="AP763" s="277"/>
      <c r="AQ763" s="277"/>
      <c r="AR763" s="277"/>
      <c r="AS763" s="277"/>
      <c r="AT763" s="277"/>
      <c r="AU763" s="277"/>
      <c r="AV763" s="277"/>
      <c r="AW763" s="277"/>
      <c r="AX763" s="277"/>
      <c r="AY763" s="277"/>
      <c r="AZ763" s="277"/>
      <c r="BA763" s="277"/>
      <c r="BB763" s="277"/>
    </row>
    <row r="764" spans="1:54" x14ac:dyDescent="0.25">
      <c r="A764" s="277"/>
      <c r="B764" s="277"/>
      <c r="C764" s="277"/>
      <c r="D764" s="277"/>
      <c r="E764" s="277"/>
      <c r="F764" s="277"/>
      <c r="G764" s="277"/>
      <c r="H764" s="277"/>
      <c r="I764" s="277"/>
      <c r="J764" s="277"/>
      <c r="K764" s="277"/>
      <c r="L764" s="277"/>
      <c r="M764" s="277"/>
      <c r="N764" s="277"/>
      <c r="O764" s="277"/>
      <c r="P764" s="277"/>
      <c r="Q764" s="277"/>
      <c r="R764" s="277"/>
      <c r="S764" s="277"/>
      <c r="T764" s="294"/>
      <c r="U764" s="294"/>
      <c r="V764" s="294"/>
      <c r="W764" s="294"/>
      <c r="X764" s="294"/>
      <c r="Y764" s="294"/>
      <c r="Z764" s="294"/>
      <c r="AA764" s="294"/>
      <c r="AB764" s="294"/>
      <c r="AC764" s="277"/>
      <c r="AD764" s="277"/>
      <c r="AE764" s="277"/>
      <c r="AF764" s="277"/>
      <c r="AG764" s="277"/>
      <c r="AH764" s="277"/>
      <c r="AI764" s="277"/>
      <c r="AJ764" s="277"/>
      <c r="AK764" s="277"/>
      <c r="AL764" s="277"/>
      <c r="AM764" s="277"/>
      <c r="AN764" s="277"/>
      <c r="AO764" s="277"/>
      <c r="AP764" s="277"/>
      <c r="AQ764" s="277"/>
      <c r="AR764" s="277"/>
      <c r="AS764" s="277"/>
      <c r="AT764" s="277"/>
      <c r="AU764" s="277"/>
      <c r="AV764" s="277"/>
      <c r="AW764" s="277"/>
      <c r="AX764" s="277"/>
      <c r="AY764" s="277"/>
      <c r="AZ764" s="277"/>
      <c r="BA764" s="277"/>
      <c r="BB764" s="277"/>
    </row>
    <row r="765" spans="1:54" x14ac:dyDescent="0.25">
      <c r="A765" s="277"/>
      <c r="B765" s="277"/>
      <c r="C765" s="277"/>
      <c r="D765" s="277"/>
      <c r="E765" s="277"/>
      <c r="F765" s="277"/>
      <c r="G765" s="277"/>
      <c r="H765" s="277"/>
      <c r="I765" s="277"/>
      <c r="J765" s="277"/>
      <c r="K765" s="277"/>
      <c r="L765" s="277"/>
      <c r="M765" s="277"/>
      <c r="N765" s="277"/>
      <c r="O765" s="277"/>
      <c r="P765" s="277"/>
      <c r="Q765" s="277"/>
      <c r="R765" s="277"/>
      <c r="S765" s="277"/>
      <c r="T765" s="294"/>
      <c r="U765" s="294"/>
      <c r="V765" s="294"/>
      <c r="W765" s="294"/>
      <c r="X765" s="294"/>
      <c r="Y765" s="294"/>
      <c r="Z765" s="294"/>
      <c r="AA765" s="294"/>
      <c r="AB765" s="294"/>
      <c r="AC765" s="277"/>
      <c r="AD765" s="277"/>
      <c r="AE765" s="277"/>
      <c r="AF765" s="277"/>
      <c r="AG765" s="277"/>
      <c r="AH765" s="277"/>
      <c r="AI765" s="277"/>
      <c r="AJ765" s="277"/>
      <c r="AK765" s="277"/>
      <c r="AL765" s="277"/>
      <c r="AM765" s="277"/>
      <c r="AN765" s="277"/>
      <c r="AO765" s="277"/>
      <c r="AP765" s="277"/>
      <c r="AQ765" s="277"/>
      <c r="AR765" s="277"/>
      <c r="AS765" s="277"/>
      <c r="AT765" s="277"/>
      <c r="AU765" s="277"/>
      <c r="AV765" s="277"/>
      <c r="AW765" s="277"/>
      <c r="AX765" s="277"/>
      <c r="AY765" s="277"/>
      <c r="AZ765" s="277"/>
      <c r="BA765" s="277"/>
      <c r="BB765" s="277"/>
    </row>
    <row r="766" spans="1:54" x14ac:dyDescent="0.25">
      <c r="A766" s="277"/>
      <c r="B766" s="277"/>
      <c r="C766" s="277"/>
      <c r="D766" s="277"/>
      <c r="E766" s="277"/>
      <c r="F766" s="277"/>
      <c r="G766" s="277"/>
      <c r="H766" s="277"/>
      <c r="I766" s="277"/>
      <c r="J766" s="277"/>
      <c r="K766" s="277"/>
      <c r="L766" s="277"/>
      <c r="M766" s="277"/>
      <c r="N766" s="277"/>
      <c r="O766" s="277"/>
      <c r="P766" s="277"/>
      <c r="Q766" s="277"/>
      <c r="R766" s="277"/>
      <c r="S766" s="277"/>
      <c r="T766" s="294"/>
      <c r="U766" s="294"/>
      <c r="V766" s="294"/>
      <c r="W766" s="294"/>
      <c r="X766" s="294"/>
      <c r="Y766" s="294"/>
      <c r="Z766" s="294"/>
      <c r="AA766" s="294"/>
      <c r="AB766" s="294"/>
      <c r="AC766" s="277"/>
      <c r="AD766" s="277"/>
      <c r="AE766" s="277"/>
      <c r="AF766" s="277"/>
      <c r="AG766" s="277"/>
      <c r="AH766" s="277"/>
      <c r="AI766" s="277"/>
      <c r="AJ766" s="277"/>
      <c r="AK766" s="277"/>
      <c r="AL766" s="277"/>
      <c r="AM766" s="277"/>
      <c r="AN766" s="277"/>
      <c r="AO766" s="277"/>
      <c r="AP766" s="277"/>
      <c r="AQ766" s="277"/>
      <c r="AR766" s="277"/>
      <c r="AS766" s="277"/>
      <c r="AT766" s="277"/>
      <c r="AU766" s="277"/>
      <c r="AV766" s="277"/>
      <c r="AW766" s="277"/>
      <c r="AX766" s="277"/>
      <c r="AY766" s="277"/>
      <c r="AZ766" s="277"/>
      <c r="BA766" s="277"/>
      <c r="BB766" s="277"/>
    </row>
    <row r="767" spans="1:54" x14ac:dyDescent="0.25">
      <c r="A767" s="277"/>
      <c r="B767" s="277"/>
      <c r="C767" s="277"/>
      <c r="D767" s="277"/>
      <c r="E767" s="277"/>
      <c r="F767" s="277"/>
      <c r="G767" s="277"/>
      <c r="H767" s="277"/>
      <c r="I767" s="277"/>
      <c r="J767" s="277"/>
      <c r="K767" s="277"/>
      <c r="L767" s="277"/>
      <c r="M767" s="277"/>
      <c r="N767" s="277"/>
      <c r="O767" s="277"/>
      <c r="P767" s="277"/>
      <c r="Q767" s="277"/>
      <c r="R767" s="277"/>
      <c r="S767" s="277"/>
      <c r="T767" s="294"/>
      <c r="U767" s="294"/>
      <c r="V767" s="294"/>
      <c r="W767" s="294"/>
      <c r="X767" s="294"/>
      <c r="Y767" s="294"/>
      <c r="Z767" s="294"/>
      <c r="AA767" s="294"/>
      <c r="AB767" s="294"/>
      <c r="AC767" s="277"/>
      <c r="AD767" s="277"/>
      <c r="AE767" s="277"/>
      <c r="AF767" s="277"/>
      <c r="AG767" s="277"/>
      <c r="AH767" s="277"/>
      <c r="AI767" s="277"/>
      <c r="AJ767" s="277"/>
      <c r="AK767" s="277"/>
      <c r="AL767" s="277"/>
      <c r="AM767" s="277"/>
      <c r="AN767" s="277"/>
      <c r="AO767" s="277"/>
      <c r="AP767" s="277"/>
      <c r="AQ767" s="277"/>
      <c r="AR767" s="277"/>
      <c r="AS767" s="277"/>
      <c r="AT767" s="277"/>
      <c r="AU767" s="277"/>
      <c r="AV767" s="277"/>
      <c r="AW767" s="277"/>
      <c r="AX767" s="277"/>
      <c r="AY767" s="277"/>
      <c r="AZ767" s="277"/>
      <c r="BA767" s="277"/>
      <c r="BB767" s="277"/>
    </row>
    <row r="768" spans="1:54" x14ac:dyDescent="0.25">
      <c r="A768" s="277"/>
      <c r="B768" s="277"/>
      <c r="C768" s="277"/>
      <c r="D768" s="277"/>
      <c r="E768" s="277"/>
      <c r="F768" s="277"/>
      <c r="G768" s="277"/>
      <c r="H768" s="277"/>
      <c r="I768" s="277"/>
      <c r="J768" s="277"/>
      <c r="K768" s="277"/>
      <c r="L768" s="277"/>
      <c r="M768" s="277"/>
      <c r="N768" s="277"/>
      <c r="O768" s="277"/>
      <c r="P768" s="277"/>
      <c r="Q768" s="277"/>
      <c r="R768" s="277"/>
      <c r="S768" s="277"/>
      <c r="T768" s="294"/>
      <c r="U768" s="294"/>
      <c r="V768" s="294"/>
      <c r="W768" s="294"/>
      <c r="X768" s="294"/>
      <c r="Y768" s="294"/>
      <c r="Z768" s="294"/>
      <c r="AA768" s="294"/>
      <c r="AB768" s="294"/>
      <c r="AC768" s="277"/>
      <c r="AD768" s="277"/>
      <c r="AE768" s="277"/>
      <c r="AF768" s="277"/>
      <c r="AG768" s="277"/>
      <c r="AH768" s="277"/>
      <c r="AI768" s="277"/>
      <c r="AJ768" s="277"/>
      <c r="AK768" s="277"/>
      <c r="AL768" s="277"/>
      <c r="AM768" s="277"/>
      <c r="AN768" s="277"/>
      <c r="AO768" s="277"/>
      <c r="AP768" s="277"/>
      <c r="AQ768" s="277"/>
      <c r="AR768" s="277"/>
      <c r="AS768" s="277"/>
      <c r="AT768" s="277"/>
      <c r="AU768" s="277"/>
      <c r="AV768" s="277"/>
      <c r="AW768" s="277"/>
      <c r="AX768" s="277"/>
      <c r="AY768" s="277"/>
      <c r="AZ768" s="277"/>
      <c r="BA768" s="277"/>
      <c r="BB768" s="277"/>
    </row>
    <row r="769" spans="1:54" x14ac:dyDescent="0.25">
      <c r="A769" s="277"/>
      <c r="B769" s="277"/>
      <c r="C769" s="277"/>
      <c r="D769" s="277"/>
      <c r="E769" s="277"/>
      <c r="F769" s="277"/>
      <c r="G769" s="277"/>
      <c r="H769" s="277"/>
      <c r="I769" s="277"/>
      <c r="J769" s="277"/>
      <c r="K769" s="277"/>
      <c r="L769" s="277"/>
      <c r="M769" s="277"/>
      <c r="N769" s="277"/>
      <c r="O769" s="277"/>
      <c r="P769" s="277"/>
      <c r="Q769" s="277"/>
      <c r="R769" s="277"/>
      <c r="S769" s="277"/>
      <c r="T769" s="294"/>
      <c r="U769" s="294"/>
      <c r="V769" s="294"/>
      <c r="W769" s="294"/>
      <c r="X769" s="294"/>
      <c r="Y769" s="294"/>
      <c r="Z769" s="294"/>
      <c r="AA769" s="294"/>
      <c r="AB769" s="294"/>
      <c r="AC769" s="277"/>
      <c r="AD769" s="277"/>
      <c r="AE769" s="277"/>
      <c r="AF769" s="277"/>
      <c r="AG769" s="277"/>
      <c r="AH769" s="277"/>
      <c r="AI769" s="277"/>
      <c r="AJ769" s="277"/>
      <c r="AK769" s="277"/>
      <c r="AL769" s="277"/>
      <c r="AM769" s="277"/>
      <c r="AN769" s="277"/>
      <c r="AO769" s="277"/>
      <c r="AP769" s="277"/>
      <c r="AQ769" s="277"/>
      <c r="AR769" s="277"/>
      <c r="AS769" s="277"/>
      <c r="AT769" s="277"/>
      <c r="AU769" s="277"/>
      <c r="AV769" s="277"/>
      <c r="AW769" s="277"/>
      <c r="AX769" s="277"/>
      <c r="AY769" s="277"/>
      <c r="AZ769" s="277"/>
      <c r="BA769" s="277"/>
      <c r="BB769" s="277"/>
    </row>
    <row r="770" spans="1:54" x14ac:dyDescent="0.25">
      <c r="A770" s="277"/>
      <c r="B770" s="277"/>
      <c r="C770" s="277"/>
      <c r="D770" s="277"/>
      <c r="E770" s="277"/>
      <c r="F770" s="277"/>
      <c r="G770" s="277"/>
      <c r="H770" s="277"/>
      <c r="I770" s="277"/>
      <c r="J770" s="277"/>
      <c r="K770" s="277"/>
      <c r="L770" s="277"/>
      <c r="M770" s="277"/>
      <c r="N770" s="277"/>
      <c r="O770" s="277"/>
      <c r="P770" s="277"/>
      <c r="Q770" s="277"/>
      <c r="R770" s="277"/>
      <c r="S770" s="277"/>
      <c r="T770" s="294"/>
      <c r="U770" s="294"/>
      <c r="V770" s="294"/>
      <c r="W770" s="294"/>
      <c r="X770" s="294"/>
      <c r="Y770" s="294"/>
      <c r="Z770" s="294"/>
      <c r="AA770" s="294"/>
      <c r="AB770" s="294"/>
      <c r="AC770" s="277"/>
      <c r="AD770" s="277"/>
      <c r="AE770" s="277"/>
      <c r="AF770" s="277"/>
      <c r="AG770" s="277"/>
      <c r="AH770" s="277"/>
      <c r="AI770" s="277"/>
      <c r="AJ770" s="277"/>
      <c r="AK770" s="277"/>
      <c r="AL770" s="277"/>
      <c r="AM770" s="277"/>
      <c r="AN770" s="277"/>
      <c r="AO770" s="277"/>
      <c r="AP770" s="277"/>
      <c r="AQ770" s="277"/>
      <c r="AR770" s="277"/>
      <c r="AS770" s="277"/>
      <c r="AT770" s="277"/>
      <c r="AU770" s="277"/>
      <c r="AV770" s="277"/>
      <c r="AW770" s="277"/>
      <c r="AX770" s="277"/>
      <c r="AY770" s="277"/>
      <c r="AZ770" s="277"/>
      <c r="BA770" s="277"/>
      <c r="BB770" s="277"/>
    </row>
    <row r="771" spans="1:54" x14ac:dyDescent="0.25">
      <c r="A771" s="277"/>
      <c r="B771" s="277"/>
      <c r="C771" s="277"/>
      <c r="D771" s="277"/>
      <c r="E771" s="277"/>
      <c r="F771" s="277"/>
      <c r="G771" s="277"/>
      <c r="H771" s="277"/>
      <c r="I771" s="277"/>
      <c r="J771" s="277"/>
      <c r="K771" s="277"/>
      <c r="L771" s="277"/>
      <c r="M771" s="277"/>
      <c r="N771" s="277"/>
      <c r="O771" s="277"/>
      <c r="P771" s="277"/>
      <c r="Q771" s="277"/>
      <c r="R771" s="277"/>
      <c r="S771" s="277"/>
      <c r="T771" s="294"/>
      <c r="U771" s="294"/>
      <c r="V771" s="294"/>
      <c r="W771" s="294"/>
      <c r="X771" s="294"/>
      <c r="Y771" s="294"/>
      <c r="Z771" s="294"/>
      <c r="AA771" s="294"/>
      <c r="AB771" s="294"/>
      <c r="AC771" s="277"/>
      <c r="AD771" s="277"/>
      <c r="AE771" s="277"/>
      <c r="AF771" s="277"/>
      <c r="AG771" s="277"/>
      <c r="AH771" s="277"/>
      <c r="AI771" s="277"/>
      <c r="AJ771" s="277"/>
      <c r="AK771" s="277"/>
      <c r="AL771" s="277"/>
      <c r="AM771" s="277"/>
      <c r="AN771" s="277"/>
      <c r="AO771" s="277"/>
      <c r="AP771" s="277"/>
      <c r="AQ771" s="277"/>
      <c r="AR771" s="277"/>
      <c r="AS771" s="277"/>
      <c r="AT771" s="277"/>
      <c r="AU771" s="277"/>
      <c r="AV771" s="277"/>
      <c r="AW771" s="277"/>
      <c r="AX771" s="277"/>
      <c r="AY771" s="277"/>
      <c r="AZ771" s="277"/>
      <c r="BA771" s="277"/>
      <c r="BB771" s="277"/>
    </row>
    <row r="772" spans="1:54" x14ac:dyDescent="0.25">
      <c r="A772" s="277"/>
      <c r="B772" s="277"/>
      <c r="C772" s="277"/>
      <c r="D772" s="277"/>
      <c r="E772" s="277"/>
      <c r="F772" s="277"/>
      <c r="G772" s="277"/>
      <c r="H772" s="277"/>
      <c r="I772" s="277"/>
      <c r="J772" s="277"/>
      <c r="K772" s="277"/>
      <c r="L772" s="277"/>
      <c r="M772" s="277"/>
      <c r="N772" s="277"/>
      <c r="O772" s="277"/>
      <c r="P772" s="277"/>
      <c r="Q772" s="277"/>
      <c r="R772" s="277"/>
      <c r="S772" s="277"/>
      <c r="T772" s="294"/>
      <c r="U772" s="294"/>
      <c r="V772" s="294"/>
      <c r="W772" s="294"/>
      <c r="X772" s="294"/>
      <c r="Y772" s="294"/>
      <c r="Z772" s="294"/>
      <c r="AA772" s="294"/>
      <c r="AB772" s="294"/>
      <c r="AC772" s="277"/>
      <c r="AD772" s="277"/>
      <c r="AE772" s="277"/>
      <c r="AF772" s="277"/>
      <c r="AG772" s="277"/>
      <c r="AH772" s="277"/>
      <c r="AI772" s="277"/>
      <c r="AJ772" s="277"/>
      <c r="AK772" s="277"/>
      <c r="AL772" s="277"/>
      <c r="AM772" s="277"/>
      <c r="AN772" s="277"/>
      <c r="AO772" s="277"/>
      <c r="AP772" s="277"/>
      <c r="AQ772" s="277"/>
      <c r="AR772" s="277"/>
      <c r="AS772" s="277"/>
      <c r="AT772" s="277"/>
      <c r="AU772" s="277"/>
      <c r="AV772" s="277"/>
      <c r="AW772" s="277"/>
      <c r="AX772" s="277"/>
      <c r="AY772" s="277"/>
      <c r="AZ772" s="277"/>
      <c r="BA772" s="277"/>
      <c r="BB772" s="277"/>
    </row>
    <row r="773" spans="1:54" x14ac:dyDescent="0.25">
      <c r="A773" s="277"/>
      <c r="B773" s="277"/>
      <c r="C773" s="277"/>
      <c r="D773" s="277"/>
      <c r="E773" s="277"/>
      <c r="F773" s="277"/>
      <c r="G773" s="277"/>
      <c r="H773" s="277"/>
      <c r="I773" s="277"/>
      <c r="J773" s="277"/>
      <c r="K773" s="277"/>
      <c r="L773" s="277"/>
      <c r="M773" s="277"/>
      <c r="N773" s="277"/>
      <c r="O773" s="277"/>
      <c r="P773" s="277"/>
      <c r="Q773" s="277"/>
      <c r="R773" s="277"/>
      <c r="S773" s="277"/>
      <c r="T773" s="294"/>
      <c r="U773" s="294"/>
      <c r="V773" s="294"/>
      <c r="W773" s="294"/>
      <c r="X773" s="294"/>
      <c r="Y773" s="294"/>
      <c r="Z773" s="294"/>
      <c r="AA773" s="294"/>
      <c r="AB773" s="294"/>
      <c r="AC773" s="277"/>
      <c r="AD773" s="277"/>
      <c r="AE773" s="277"/>
      <c r="AF773" s="277"/>
      <c r="AG773" s="277"/>
      <c r="AH773" s="277"/>
      <c r="AI773" s="277"/>
      <c r="AJ773" s="277"/>
      <c r="AK773" s="277"/>
      <c r="AL773" s="277"/>
      <c r="AM773" s="277"/>
      <c r="AN773" s="277"/>
      <c r="AO773" s="277"/>
      <c r="AP773" s="277"/>
      <c r="AQ773" s="277"/>
      <c r="AR773" s="277"/>
      <c r="AS773" s="277"/>
      <c r="AT773" s="277"/>
      <c r="AU773" s="277"/>
      <c r="AV773" s="277"/>
      <c r="AW773" s="277"/>
      <c r="AX773" s="277"/>
      <c r="AY773" s="277"/>
      <c r="AZ773" s="277"/>
      <c r="BA773" s="277"/>
      <c r="BB773" s="277"/>
    </row>
    <row r="774" spans="1:54" x14ac:dyDescent="0.25">
      <c r="A774" s="277"/>
      <c r="B774" s="277"/>
      <c r="C774" s="277"/>
      <c r="D774" s="277"/>
      <c r="E774" s="277"/>
      <c r="F774" s="277"/>
      <c r="G774" s="277"/>
      <c r="H774" s="277"/>
      <c r="I774" s="277"/>
      <c r="J774" s="277"/>
      <c r="K774" s="277"/>
      <c r="L774" s="277"/>
      <c r="M774" s="277"/>
      <c r="N774" s="277"/>
      <c r="O774" s="277"/>
      <c r="P774" s="277"/>
      <c r="Q774" s="277"/>
      <c r="R774" s="277"/>
      <c r="S774" s="277"/>
      <c r="T774" s="294"/>
      <c r="U774" s="294"/>
      <c r="V774" s="294"/>
      <c r="W774" s="294"/>
      <c r="X774" s="294"/>
      <c r="Y774" s="294"/>
      <c r="Z774" s="294"/>
      <c r="AA774" s="294"/>
      <c r="AB774" s="294"/>
      <c r="AC774" s="277"/>
      <c r="AD774" s="277"/>
      <c r="AE774" s="277"/>
      <c r="AF774" s="277"/>
      <c r="AG774" s="277"/>
      <c r="AH774" s="277"/>
      <c r="AI774" s="277"/>
      <c r="AJ774" s="277"/>
      <c r="AK774" s="277"/>
      <c r="AL774" s="277"/>
      <c r="AM774" s="277"/>
      <c r="AN774" s="277"/>
      <c r="AO774" s="277"/>
      <c r="AP774" s="277"/>
      <c r="AQ774" s="277"/>
      <c r="AR774" s="277"/>
      <c r="AS774" s="277"/>
      <c r="AT774" s="277"/>
      <c r="AU774" s="277"/>
      <c r="AV774" s="277"/>
      <c r="AW774" s="277"/>
      <c r="AX774" s="277"/>
      <c r="AY774" s="277"/>
      <c r="AZ774" s="277"/>
      <c r="BA774" s="277"/>
      <c r="BB774" s="277"/>
    </row>
    <row r="775" spans="1:54" x14ac:dyDescent="0.25">
      <c r="A775" s="277"/>
      <c r="B775" s="277"/>
      <c r="C775" s="277"/>
      <c r="D775" s="277"/>
      <c r="E775" s="277"/>
      <c r="F775" s="277"/>
      <c r="G775" s="277"/>
      <c r="H775" s="277"/>
      <c r="I775" s="277"/>
      <c r="J775" s="277"/>
      <c r="K775" s="277"/>
      <c r="L775" s="277"/>
      <c r="M775" s="277"/>
      <c r="N775" s="277"/>
      <c r="O775" s="277"/>
      <c r="P775" s="277"/>
      <c r="Q775" s="277"/>
      <c r="R775" s="277"/>
      <c r="S775" s="277"/>
      <c r="T775" s="294"/>
      <c r="U775" s="294"/>
      <c r="V775" s="294"/>
      <c r="W775" s="294"/>
      <c r="X775" s="294"/>
      <c r="Y775" s="294"/>
      <c r="Z775" s="294"/>
      <c r="AA775" s="294"/>
      <c r="AB775" s="294"/>
      <c r="AC775" s="277"/>
      <c r="AD775" s="277"/>
      <c r="AE775" s="277"/>
      <c r="AF775" s="277"/>
      <c r="AG775" s="277"/>
      <c r="AH775" s="277"/>
      <c r="AI775" s="277"/>
      <c r="AJ775" s="277"/>
      <c r="AK775" s="277"/>
      <c r="AL775" s="277"/>
      <c r="AM775" s="277"/>
      <c r="AN775" s="277"/>
      <c r="AO775" s="277"/>
      <c r="AP775" s="277"/>
      <c r="AQ775" s="277"/>
      <c r="AR775" s="277"/>
      <c r="AS775" s="277"/>
      <c r="AT775" s="277"/>
      <c r="AU775" s="277"/>
      <c r="AV775" s="277"/>
      <c r="AW775" s="277"/>
      <c r="AX775" s="277"/>
      <c r="AY775" s="277"/>
      <c r="AZ775" s="277"/>
      <c r="BA775" s="277"/>
      <c r="BB775" s="277"/>
    </row>
    <row r="776" spans="1:54" x14ac:dyDescent="0.25">
      <c r="A776" s="277"/>
      <c r="B776" s="277"/>
      <c r="C776" s="277"/>
      <c r="D776" s="277"/>
      <c r="E776" s="277"/>
      <c r="F776" s="277"/>
      <c r="G776" s="277"/>
      <c r="H776" s="277"/>
      <c r="I776" s="277"/>
      <c r="J776" s="277"/>
      <c r="K776" s="277"/>
      <c r="L776" s="277"/>
      <c r="M776" s="277"/>
      <c r="N776" s="277"/>
      <c r="O776" s="277"/>
      <c r="P776" s="277"/>
      <c r="Q776" s="277"/>
      <c r="R776" s="277"/>
      <c r="S776" s="277"/>
      <c r="T776" s="294"/>
      <c r="U776" s="294"/>
      <c r="V776" s="294"/>
      <c r="W776" s="294"/>
      <c r="X776" s="294"/>
      <c r="Y776" s="294"/>
      <c r="Z776" s="294"/>
      <c r="AA776" s="294"/>
      <c r="AB776" s="294"/>
      <c r="AC776" s="277"/>
      <c r="AD776" s="277"/>
      <c r="AE776" s="277"/>
      <c r="AF776" s="277"/>
      <c r="AG776" s="277"/>
      <c r="AH776" s="277"/>
      <c r="AI776" s="277"/>
      <c r="AJ776" s="277"/>
      <c r="AK776" s="277"/>
      <c r="AL776" s="277"/>
      <c r="AM776" s="277"/>
      <c r="AN776" s="277"/>
      <c r="AO776" s="277"/>
      <c r="AP776" s="277"/>
      <c r="AQ776" s="277"/>
      <c r="AR776" s="277"/>
      <c r="AS776" s="277"/>
      <c r="AT776" s="277"/>
      <c r="AU776" s="277"/>
      <c r="AV776" s="277"/>
      <c r="AW776" s="277"/>
      <c r="AX776" s="277"/>
      <c r="AY776" s="277"/>
      <c r="AZ776" s="277"/>
      <c r="BA776" s="277"/>
      <c r="BB776" s="277"/>
    </row>
    <row r="777" spans="1:54" x14ac:dyDescent="0.25">
      <c r="B777" s="277"/>
      <c r="C777" s="277"/>
      <c r="D777" s="277"/>
      <c r="E777" s="277"/>
      <c r="F777" s="277"/>
      <c r="G777" s="277"/>
    </row>
    <row r="778" spans="1:54" x14ac:dyDescent="0.25">
      <c r="B778" s="277"/>
      <c r="C778" s="277"/>
      <c r="D778" s="277"/>
      <c r="E778" s="277"/>
      <c r="F778" s="277"/>
      <c r="G778" s="277"/>
    </row>
    <row r="779" spans="1:54" x14ac:dyDescent="0.25">
      <c r="B779" s="277"/>
      <c r="C779" s="277"/>
      <c r="D779" s="277"/>
      <c r="E779" s="277"/>
      <c r="F779" s="277"/>
      <c r="G779" s="277"/>
    </row>
    <row r="780" spans="1:54" x14ac:dyDescent="0.25">
      <c r="B780" s="277"/>
      <c r="C780" s="277"/>
      <c r="D780" s="277"/>
      <c r="E780" s="277"/>
      <c r="F780" s="277"/>
      <c r="G780" s="277"/>
    </row>
    <row r="781" spans="1:54" x14ac:dyDescent="0.25">
      <c r="B781" s="277"/>
      <c r="C781" s="277"/>
      <c r="D781" s="277"/>
      <c r="E781" s="277"/>
      <c r="F781" s="277"/>
      <c r="G781" s="277"/>
    </row>
    <row r="782" spans="1:54" x14ac:dyDescent="0.25">
      <c r="B782" s="277"/>
      <c r="C782" s="277"/>
      <c r="D782" s="277"/>
      <c r="E782" s="277"/>
      <c r="F782" s="277"/>
      <c r="G782" s="277"/>
    </row>
    <row r="783" spans="1:54" x14ac:dyDescent="0.25">
      <c r="B783" s="277"/>
      <c r="C783" s="277"/>
      <c r="D783" s="277"/>
      <c r="E783" s="277"/>
      <c r="F783" s="277"/>
      <c r="G783" s="277"/>
    </row>
    <row r="784" spans="1:54" x14ac:dyDescent="0.25">
      <c r="B784" s="277"/>
      <c r="C784" s="277"/>
      <c r="D784" s="277"/>
      <c r="E784" s="277"/>
      <c r="F784" s="277"/>
      <c r="G784" s="277"/>
    </row>
  </sheetData>
  <mergeCells count="25">
    <mergeCell ref="B98:F98"/>
    <mergeCell ref="B110:E110"/>
    <mergeCell ref="B65:C65"/>
    <mergeCell ref="B5:C5"/>
    <mergeCell ref="B17:E17"/>
    <mergeCell ref="D24:E24"/>
    <mergeCell ref="B51:E51"/>
    <mergeCell ref="D55:E55"/>
    <mergeCell ref="B54:C55"/>
    <mergeCell ref="C40:C42"/>
    <mergeCell ref="B410:G410"/>
    <mergeCell ref="B118:C118"/>
    <mergeCell ref="B191:H192"/>
    <mergeCell ref="D193:F193"/>
    <mergeCell ref="G193:G194"/>
    <mergeCell ref="H193:H194"/>
    <mergeCell ref="B406:F406"/>
    <mergeCell ref="B373:F373"/>
    <mergeCell ref="B376:F376"/>
    <mergeCell ref="B291:C291"/>
    <mergeCell ref="B296:G296"/>
    <mergeCell ref="B224:C224"/>
    <mergeCell ref="B225:C225"/>
    <mergeCell ref="B272:G272"/>
    <mergeCell ref="B284:G284"/>
  </mergeCells>
  <phoneticPr fontId="15" type="noConversion"/>
  <conditionalFormatting sqref="C227 C229:C230 C233:C234">
    <cfRule type="cellIs" dxfId="5" priority="2" stopIfTrue="1" operator="equal">
      <formula>"N/A"</formula>
    </cfRule>
  </conditionalFormatting>
  <conditionalFormatting sqref="D311:G311 C262 C275:C276 D280:G280 D291:G291 C268:C269 C188:C189 C116 C80 C108 C90:C91 C61">
    <cfRule type="cellIs" dxfId="4" priority="3" stopIfTrue="1" operator="equal">
      <formula>"Enter Value"</formula>
    </cfRule>
  </conditionalFormatting>
  <conditionalFormatting sqref="C87">
    <cfRule type="cellIs" dxfId="3" priority="1" stopIfTrue="1" operator="equal">
      <formula>"Enter Value"</formula>
    </cfRule>
  </conditionalFormatting>
  <dataValidations xWindow="649" yWindow="174" count="24">
    <dataValidation allowBlank="1" showInputMessage="1" showErrorMessage="1" prompt="Depends on the program.  Mandatory inspection will yield a value of 100%." sqref="C286 C275:C276"/>
    <dataValidation allowBlank="1" showInputMessage="1" showErrorMessage="1" prompt="Fraction of the subwatershed with flow control for small (&lt;1-year) storm events." sqref="C230"/>
    <dataValidation allowBlank="1" showInputMessage="1" showErrorMessage="1" promptTitle="Based on Media Type" prompt="Televsion = 40%_x000a_Radio = 25%_x000a_Newspaper = 30%_x000a_Billboard = 13%_x000a_Brochure = 8%_x000a_Workshop = 7%" sqref="C262 C61 C268:C269 C91"/>
    <dataValidation allowBlank="1" showErrorMessage="1" promptTitle="hello" prompt="don't put in a dumb number" sqref="D291:D292 E292:F292"/>
    <dataValidation type="list" allowBlank="1" showInputMessage="1" showErrorMessage="1" sqref="B225:C225">
      <formula1>$B$238:$B$240</formula1>
    </dataValidation>
    <dataValidation type="list" allowBlank="1" showInputMessage="1" showErrorMessage="1" sqref="C280">
      <formula1>$B$308:$B$311</formula1>
    </dataValidation>
    <dataValidation allowBlank="1" showErrorMessage="1" sqref="C300"/>
    <dataValidation type="list" allowBlank="1" showInputMessage="1" showErrorMessage="1" sqref="C261 C267 C10:C15 C53 C274">
      <formula1>$B$417:$B$418</formula1>
    </dataValidation>
    <dataValidation type="list" allowBlank="1" showInputMessage="1" showErrorMessage="1" sqref="C319">
      <formula1>$C$51:$C$53</formula1>
    </dataValidation>
    <dataValidation type="list" allowBlank="1" showInputMessage="1" showErrorMessage="1" sqref="C318">
      <formula1>$C$328:$C$330</formula1>
    </dataValidation>
    <dataValidation type="list" allowBlank="1" showInputMessage="1" showErrorMessage="1" sqref="B143:B183">
      <formula1>Land_Use</formula1>
    </dataValidation>
    <dataValidation showInputMessage="1" showErrorMessage="1" sqref="C129:C134"/>
    <dataValidation type="list" allowBlank="1" showInputMessage="1" showErrorMessage="1" sqref="C137:C141">
      <formula1>Forest_Rural</formula1>
    </dataValidation>
    <dataValidation type="list" allowBlank="1" showInputMessage="1" showErrorMessage="1" sqref="B129:B134">
      <formula1>$B$145:$B$169</formula1>
    </dataValidation>
    <dataValidation type="list" allowBlank="1" showInputMessage="1" showErrorMessage="1" sqref="B137:B142">
      <formula1>$B$170:$B$179</formula1>
    </dataValidation>
    <dataValidation type="list" allowBlank="1" showInputMessage="1" showErrorMessage="1" sqref="C78:E78">
      <formula1>$B$82:$B$83</formula1>
    </dataValidation>
    <dataValidation allowBlank="1" showInputMessage="1" showErrorMessage="1" prompt="No parking restrictions or operator training:   0.5_x000a_Parking restrictions, no operator training:  0.75_x000a_Paring restricitons; operator training: 1.0" sqref="C80:C83"/>
    <dataValidation allowBlank="1" showInputMessage="1" showErrorMessage="1" promptTitle="Accounts for ESC Program " prompt="Few inspectors, no pre-construction meetingl     0.3_x000a_Inspectors visit monthly; pre-construction for larger sites  0.6_x000a_Inspectors visit weekly, contractor education, pre-construction meeting for most sites  0.9_x000a__x000a_" sqref="C70"/>
    <dataValidation allowBlank="1" showInputMessage="1" showErrorMessage="1" prompt="Typlically applies on lots &gt;1/8 acre" sqref="C90"/>
    <dataValidation allowBlank="1" showInputMessage="1" showErrorMessage="1" prompt="Specific ordinance, with enforcement and education included      0.9_x000a_Ordinance specifies activities, but no enforcement or education  0.6_x000a_Ordinance has no restriction on activities within the buffer   0.4" sqref="C108"/>
    <dataValidation allowBlank="1" showInputMessage="1" showErrorMessage="1" prompt="Regulations Prohibit Landfill Disposal:  0.5_x000a_No Prohibitions   1.0" sqref="C116"/>
    <dataValidation type="list" allowBlank="1" showInputMessage="1" showErrorMessage="1" sqref="C87">
      <formula1>$B$95:$B$96</formula1>
    </dataValidation>
    <dataValidation allowBlank="1" showInputMessage="1" showErrorMessage="1" promptTitle="Based on Media Type:" prompt="Televsion = 40%_x000a_Radio = 25%_x000a_Newspaper = 30%_x000a_Billboard = 13%_x000a_Brochure = 8%_x000a_Workshop = 7%" sqref="C7"/>
    <dataValidation allowBlank="1" showInputMessage="1" showErrorMessage="1" prompt="Fraction of watershed area treated by the buffer_x000a_" sqref="C107"/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Metadata</vt:lpstr>
      <vt:lpstr>Primary Sources</vt:lpstr>
      <vt:lpstr>Secondary Sources</vt:lpstr>
      <vt:lpstr>Existing Management Practices</vt:lpstr>
      <vt:lpstr>Existing Loads</vt:lpstr>
      <vt:lpstr>Stream Restoration Worksheet</vt:lpstr>
      <vt:lpstr>Retrofit Worksheet</vt:lpstr>
      <vt:lpstr>Bacteria Summary</vt:lpstr>
      <vt:lpstr>Future Management Practices</vt:lpstr>
      <vt:lpstr>Loads with Future Practices</vt:lpstr>
      <vt:lpstr>New Development</vt:lpstr>
      <vt:lpstr>Loads With New Development</vt:lpstr>
    </vt:vector>
  </TitlesOfParts>
  <Company>cwp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Kitchell</dc:creator>
  <cp:lastModifiedBy>Olivia Devereux</cp:lastModifiedBy>
  <dcterms:created xsi:type="dcterms:W3CDTF">2010-05-28T17:32:57Z</dcterms:created>
  <dcterms:modified xsi:type="dcterms:W3CDTF">2019-09-11T21:11:51Z</dcterms:modified>
</cp:coreProperties>
</file>