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szir\Desktop\BILA WIP\2_Expense Report\"/>
    </mc:Choice>
  </mc:AlternateContent>
  <xr:revisionPtr revIDLastSave="0" documentId="8_{DCA0F968-5438-4218-8156-FE2074239334}" xr6:coauthVersionLast="47" xr6:coauthVersionMax="47" xr10:uidLastSave="{00000000-0000-0000-0000-000000000000}"/>
  <bookViews>
    <workbookView xWindow="18660" yWindow="-3780" windowWidth="16200" windowHeight="28800" firstSheet="2" activeTab="1" xr2:uid="{ABFFF77F-416B-48A4-BE26-2FECA9EABFEA}"/>
  </bookViews>
  <sheets>
    <sheet name="Personalise" sheetId="1" r:id="rId1"/>
    <sheet name="Report" sheetId="2" r:id="rId2"/>
    <sheet name="Expense Breakdown" sheetId="7" r:id="rId3"/>
    <sheet name="Theoretical%" sheetId="8" r:id="rId4"/>
    <sheet name="Percentages" sheetId="3" r:id="rId5"/>
    <sheet name="Averages 20XX" sheetId="4" r:id="rId6"/>
    <sheet name="notes" sheetId="5" r:id="rId7"/>
    <sheet name="surplus data" sheetId="6" r:id="rId8"/>
  </sheets>
  <definedNames>
    <definedName name="_xlnm._FilterDatabase" localSheetId="1" hidden="1">Report!$A$1:$E$1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7" l="1"/>
  <c r="J17" i="7"/>
  <c r="E2" i="7"/>
  <c r="B17" i="8"/>
  <c r="K163" i="7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J163" i="7" s="1"/>
  <c r="K149" i="7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J149" i="7" s="1"/>
  <c r="K136" i="7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J136" i="7" s="1"/>
  <c r="K120" i="7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J120" i="7" s="1"/>
  <c r="K106" i="7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J106" i="7" s="1"/>
  <c r="K88" i="7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J88" i="7" s="1"/>
  <c r="K70" i="7"/>
  <c r="G70" i="7"/>
  <c r="E70" i="7"/>
  <c r="F70" i="7" s="1"/>
  <c r="G69" i="7"/>
  <c r="E69" i="7"/>
  <c r="F69" i="7" s="1"/>
  <c r="G68" i="7"/>
  <c r="E68" i="7"/>
  <c r="F68" i="7" s="1"/>
  <c r="G67" i="7"/>
  <c r="E67" i="7"/>
  <c r="F67" i="7" s="1"/>
  <c r="G66" i="7"/>
  <c r="E66" i="7"/>
  <c r="F66" i="7" s="1"/>
  <c r="G65" i="7"/>
  <c r="E65" i="7"/>
  <c r="F65" i="7" s="1"/>
  <c r="G64" i="7"/>
  <c r="E64" i="7"/>
  <c r="F64" i="7" s="1"/>
  <c r="G63" i="7"/>
  <c r="E63" i="7"/>
  <c r="G62" i="7"/>
  <c r="E62" i="7"/>
  <c r="F62" i="7" s="1"/>
  <c r="G61" i="7"/>
  <c r="E61" i="7"/>
  <c r="F61" i="7" s="1"/>
  <c r="G60" i="7"/>
  <c r="E60" i="7"/>
  <c r="F60" i="7" s="1"/>
  <c r="G59" i="7"/>
  <c r="E59" i="7"/>
  <c r="F59" i="7" s="1"/>
  <c r="G58" i="7"/>
  <c r="E58" i="7"/>
  <c r="F58" i="7" s="1"/>
  <c r="G57" i="7"/>
  <c r="E57" i="7"/>
  <c r="F57" i="7" s="1"/>
  <c r="G56" i="7"/>
  <c r="E56" i="7"/>
  <c r="F56" i="7" s="1"/>
  <c r="G55" i="7"/>
  <c r="E55" i="7"/>
  <c r="F55" i="7" s="1"/>
  <c r="G54" i="7"/>
  <c r="E54" i="7"/>
  <c r="F54" i="7" s="1"/>
  <c r="J70" i="7" s="1"/>
  <c r="K52" i="7"/>
  <c r="G52" i="7"/>
  <c r="E52" i="7"/>
  <c r="F52" i="7" s="1"/>
  <c r="G51" i="7"/>
  <c r="E51" i="7"/>
  <c r="F51" i="7" s="1"/>
  <c r="G50" i="7"/>
  <c r="E50" i="7"/>
  <c r="F50" i="7" s="1"/>
  <c r="G49" i="7"/>
  <c r="E49" i="7"/>
  <c r="F49" i="7" s="1"/>
  <c r="G48" i="7"/>
  <c r="E48" i="7"/>
  <c r="F48" i="7" s="1"/>
  <c r="G47" i="7"/>
  <c r="E47" i="7"/>
  <c r="F47" i="7" s="1"/>
  <c r="G46" i="7"/>
  <c r="E46" i="7"/>
  <c r="G45" i="7"/>
  <c r="E45" i="7"/>
  <c r="F45" i="7" s="1"/>
  <c r="G44" i="7"/>
  <c r="E44" i="7"/>
  <c r="F44" i="7" s="1"/>
  <c r="G43" i="7"/>
  <c r="E43" i="7"/>
  <c r="F43" i="7" s="1"/>
  <c r="G42" i="7"/>
  <c r="E42" i="7"/>
  <c r="F42" i="7" s="1"/>
  <c r="G41" i="7"/>
  <c r="E41" i="7"/>
  <c r="F41" i="7" s="1"/>
  <c r="G40" i="7"/>
  <c r="E40" i="7"/>
  <c r="F40" i="7" s="1"/>
  <c r="G39" i="7"/>
  <c r="E39" i="7"/>
  <c r="F39" i="7" s="1"/>
  <c r="G38" i="7"/>
  <c r="E38" i="7"/>
  <c r="F38" i="7" s="1"/>
  <c r="G37" i="7"/>
  <c r="E37" i="7"/>
  <c r="F37" i="7" s="1"/>
  <c r="G36" i="7"/>
  <c r="E36" i="7"/>
  <c r="F36" i="7" s="1"/>
  <c r="J52" i="7" s="1"/>
  <c r="K34" i="7"/>
  <c r="G34" i="7"/>
  <c r="E34" i="7"/>
  <c r="F34" i="7" s="1"/>
  <c r="G33" i="7"/>
  <c r="E33" i="7"/>
  <c r="F33" i="7" s="1"/>
  <c r="G32" i="7"/>
  <c r="E32" i="7"/>
  <c r="F32" i="7" s="1"/>
  <c r="G31" i="7"/>
  <c r="E31" i="7"/>
  <c r="F31" i="7" s="1"/>
  <c r="G30" i="7"/>
  <c r="E30" i="7"/>
  <c r="F30" i="7" s="1"/>
  <c r="G29" i="7"/>
  <c r="E29" i="7"/>
  <c r="F29" i="7" s="1"/>
  <c r="G28" i="7"/>
  <c r="E28" i="7"/>
  <c r="F28" i="7" s="1"/>
  <c r="G27" i="7"/>
  <c r="E27" i="7"/>
  <c r="G26" i="7"/>
  <c r="E26" i="7"/>
  <c r="F26" i="7" s="1"/>
  <c r="G25" i="7"/>
  <c r="E25" i="7"/>
  <c r="F25" i="7" s="1"/>
  <c r="G24" i="7"/>
  <c r="E24" i="7"/>
  <c r="F24" i="7" s="1"/>
  <c r="G23" i="7"/>
  <c r="E23" i="7"/>
  <c r="F23" i="7" s="1"/>
  <c r="G22" i="7"/>
  <c r="E22" i="7"/>
  <c r="F22" i="7" s="1"/>
  <c r="G21" i="7"/>
  <c r="E21" i="7"/>
  <c r="F21" i="7" s="1"/>
  <c r="G20" i="7"/>
  <c r="E20" i="7"/>
  <c r="F20" i="7" s="1"/>
  <c r="G19" i="7"/>
  <c r="E19" i="7"/>
  <c r="F19" i="7" s="1"/>
  <c r="J34" i="7" s="1"/>
  <c r="P17" i="7"/>
  <c r="K165" i="7"/>
  <c r="G17" i="7"/>
  <c r="E17" i="7"/>
  <c r="F17" i="7" s="1"/>
  <c r="G16" i="7"/>
  <c r="E16" i="7"/>
  <c r="F16" i="7" s="1"/>
  <c r="G15" i="7"/>
  <c r="E15" i="7"/>
  <c r="F15" i="7" s="1"/>
  <c r="G14" i="7"/>
  <c r="E14" i="7"/>
  <c r="F14" i="7" s="1"/>
  <c r="G13" i="7"/>
  <c r="E13" i="7"/>
  <c r="F13" i="7" s="1"/>
  <c r="G12" i="7"/>
  <c r="E12" i="7"/>
  <c r="F12" i="7" s="1"/>
  <c r="G11" i="7"/>
  <c r="E11" i="7"/>
  <c r="G10" i="7"/>
  <c r="E10" i="7"/>
  <c r="F10" i="7" s="1"/>
  <c r="G9" i="7"/>
  <c r="E9" i="7"/>
  <c r="F9" i="7" s="1"/>
  <c r="G8" i="7"/>
  <c r="E8" i="7"/>
  <c r="F8" i="7" s="1"/>
  <c r="G7" i="7"/>
  <c r="E7" i="7"/>
  <c r="F7" i="7" s="1"/>
  <c r="G6" i="7"/>
  <c r="E6" i="7"/>
  <c r="F6" i="7" s="1"/>
  <c r="G5" i="7"/>
  <c r="E5" i="7"/>
  <c r="F5" i="7" s="1"/>
  <c r="G4" i="7"/>
  <c r="E4" i="7"/>
  <c r="F4" i="7" s="1"/>
  <c r="G3" i="7"/>
  <c r="E3" i="7"/>
  <c r="F3" i="7" s="1"/>
  <c r="G2" i="7"/>
  <c r="F2" i="7"/>
  <c r="C17" i="6"/>
  <c r="C14" i="6"/>
  <c r="C1" i="6"/>
  <c r="C173" i="2"/>
  <c r="C134" i="2"/>
  <c r="C94" i="2"/>
  <c r="C74" i="2"/>
  <c r="C31" i="2"/>
  <c r="C10" i="2"/>
  <c r="C171" i="2"/>
  <c r="C152" i="2"/>
  <c r="C132" i="2"/>
  <c r="C112" i="2"/>
  <c r="C92" i="2"/>
  <c r="C72" i="2"/>
  <c r="C56" i="2"/>
  <c r="C39" i="2"/>
  <c r="C17" i="2"/>
  <c r="C25" i="2"/>
  <c r="B16" i="3"/>
</calcChain>
</file>

<file path=xl/sharedStrings.xml><?xml version="1.0" encoding="utf-8"?>
<sst xmlns="http://schemas.openxmlformats.org/spreadsheetml/2006/main" count="944" uniqueCount="159">
  <si>
    <r>
      <t xml:space="preserve">Welcome to your first personal expense report. Please fill out the </t>
    </r>
    <r>
      <rPr>
        <b/>
        <i/>
        <u/>
        <sz val="22"/>
        <color rgb="FFFF9966"/>
        <rFont val="Calibri"/>
        <family val="2"/>
        <scheme val="minor"/>
      </rPr>
      <t>ORANGE</t>
    </r>
    <r>
      <rPr>
        <b/>
        <i/>
        <sz val="22"/>
        <color theme="1"/>
        <rFont val="Calibri"/>
        <family val="2"/>
        <scheme val="minor"/>
      </rPr>
      <t xml:space="preserve"> fields below to fully personalise your report.</t>
    </r>
  </si>
  <si>
    <t>Expense Categories:</t>
  </si>
  <si>
    <t>Emoji</t>
  </si>
  <si>
    <t>Your name:</t>
  </si>
  <si>
    <t>Mike</t>
  </si>
  <si>
    <t>Income</t>
  </si>
  <si>
    <t>💲</t>
  </si>
  <si>
    <t>Eating Out</t>
  </si>
  <si>
    <t>🍔</t>
  </si>
  <si>
    <t>Groceries</t>
  </si>
  <si>
    <t>🛒</t>
  </si>
  <si>
    <t>Entertainment</t>
  </si>
  <si>
    <t>🍿</t>
  </si>
  <si>
    <t>Taxes</t>
  </si>
  <si>
    <t>🧾</t>
  </si>
  <si>
    <t>Car Insurance</t>
  </si>
  <si>
    <t>🚗</t>
  </si>
  <si>
    <t>Rent + Parking</t>
  </si>
  <si>
    <t>🏡</t>
  </si>
  <si>
    <t>Health Insurance</t>
  </si>
  <si>
    <t>❤️</t>
  </si>
  <si>
    <t>Car Registration</t>
  </si>
  <si>
    <t>Car Repair</t>
  </si>
  <si>
    <t>Car Gas</t>
  </si>
  <si>
    <t>⛽</t>
  </si>
  <si>
    <t>Renter's Insurance</t>
  </si>
  <si>
    <t>📝</t>
  </si>
  <si>
    <t>Phone</t>
  </si>
  <si>
    <t>📱</t>
  </si>
  <si>
    <t>Donations</t>
  </si>
  <si>
    <t>😊</t>
  </si>
  <si>
    <t>Mutual Fund Investment
(vtsax and vti)</t>
  </si>
  <si>
    <t>💰</t>
  </si>
  <si>
    <t>Retirement Fund Investment
(target date 2060 roth)</t>
  </si>
  <si>
    <t>Travel</t>
  </si>
  <si>
    <t>✈️</t>
  </si>
  <si>
    <t>Household Items+Laundry</t>
  </si>
  <si>
    <t>🧹</t>
  </si>
  <si>
    <t>Total</t>
  </si>
  <si>
    <t>💯</t>
  </si>
  <si>
    <t>Date</t>
  </si>
  <si>
    <t>Comment/Narrative</t>
  </si>
  <si>
    <t>Amount</t>
  </si>
  <si>
    <t>Expense Category</t>
  </si>
  <si>
    <t>Comment</t>
  </si>
  <si>
    <t>state farm car insurance</t>
  </si>
  <si>
    <t>progressive car insurance</t>
  </si>
  <si>
    <t>rent+parking</t>
  </si>
  <si>
    <t>jeep car registration</t>
  </si>
  <si>
    <t>lincoln car registration</t>
  </si>
  <si>
    <t>renter's insurance</t>
  </si>
  <si>
    <t>phone bill</t>
  </si>
  <si>
    <t>donations</t>
  </si>
  <si>
    <t>groceries</t>
  </si>
  <si>
    <t>no data, approx.</t>
  </si>
  <si>
    <t>vtsax mutual fund</t>
  </si>
  <si>
    <t>vttsx target date 2060</t>
  </si>
  <si>
    <t>spotify</t>
  </si>
  <si>
    <t>norway trip</t>
  </si>
  <si>
    <t>car gas</t>
  </si>
  <si>
    <t>travel</t>
  </si>
  <si>
    <t>brazil, north carolina
abq balloon festival</t>
  </si>
  <si>
    <t xml:space="preserve">houehold </t>
  </si>
  <si>
    <t>eating out</t>
  </si>
  <si>
    <t>entertainment</t>
  </si>
  <si>
    <t>health</t>
  </si>
  <si>
    <t>car</t>
  </si>
  <si>
    <t>gas</t>
  </si>
  <si>
    <t>food</t>
  </si>
  <si>
    <t>out</t>
  </si>
  <si>
    <t>household</t>
  </si>
  <si>
    <t>fun</t>
  </si>
  <si>
    <t>brazil travel insurance</t>
  </si>
  <si>
    <t>camping</t>
  </si>
  <si>
    <t>yellowstone</t>
  </si>
  <si>
    <t>0livia school taxes</t>
  </si>
  <si>
    <t>hawaii</t>
  </si>
  <si>
    <t>hawaii plane tickets</t>
  </si>
  <si>
    <t xml:space="preserve">owe taxes </t>
  </si>
  <si>
    <t>hawaii plane ticket</t>
  </si>
  <si>
    <t>Year</t>
  </si>
  <si>
    <t>Month</t>
  </si>
  <si>
    <t>Sum of Amount</t>
  </si>
  <si>
    <t>Decimal</t>
  </si>
  <si>
    <t>Actual Percentage %</t>
  </si>
  <si>
    <t>Theoretical Percentage %</t>
  </si>
  <si>
    <t>Item</t>
  </si>
  <si>
    <t>Theoretical %</t>
  </si>
  <si>
    <t>Percent Remaining</t>
  </si>
  <si>
    <t>Savings</t>
  </si>
  <si>
    <t>March</t>
  </si>
  <si>
    <t>Rent+Parking</t>
  </si>
  <si>
    <t xml:space="preserve">Health Insurance </t>
  </si>
  <si>
    <t>Car Insurance
&amp; Registration &amp;
Car Repair</t>
  </si>
  <si>
    <t>4,1,1</t>
  </si>
  <si>
    <t>Vehicle Gas</t>
  </si>
  <si>
    <t>Renters Insurance</t>
  </si>
  <si>
    <t>Mutual Fund 
Investment</t>
  </si>
  <si>
    <t>Retirement Fund
Investment</t>
  </si>
  <si>
    <t>Household 
Items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</si>
  <si>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</si>
  <si>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</si>
  <si>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</si>
  <si>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</si>
  <si>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</si>
  <si>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</si>
  <si>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</si>
  <si>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</si>
  <si>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</si>
  <si>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P/L</t>
  </si>
  <si>
    <t>Actual 
Percentage %</t>
  </si>
  <si>
    <t>Car Insurance, Registration, Repair</t>
  </si>
  <si>
    <t>renters insurance</t>
  </si>
  <si>
    <t>phone</t>
  </si>
  <si>
    <t>mutual fund investment, retirement fund investment</t>
  </si>
  <si>
    <t>household items</t>
  </si>
  <si>
    <t>taxes</t>
  </si>
  <si>
    <t xml:space="preserve">total </t>
  </si>
  <si>
    <t>Earned</t>
  </si>
  <si>
    <t>Earned - Total</t>
  </si>
  <si>
    <t>monthly basis</t>
  </si>
  <si>
    <t>Feb</t>
  </si>
  <si>
    <t>Mar</t>
  </si>
  <si>
    <t>Apr</t>
  </si>
  <si>
    <t>Jun</t>
  </si>
  <si>
    <t>Jul</t>
  </si>
  <si>
    <t>Average</t>
  </si>
  <si>
    <t>% of Earnings</t>
  </si>
  <si>
    <t>2022 Budget
Estimated</t>
  </si>
  <si>
    <t>Rent+
Parking</t>
  </si>
  <si>
    <t>Health 
Insurance</t>
  </si>
  <si>
    <t>Car Insurance
&amp;
Registration
&amp;
Car Fixes</t>
  </si>
  <si>
    <t>Renters 
Insurance</t>
  </si>
  <si>
    <t>Retirement 
Fund
Investment</t>
  </si>
  <si>
    <t>House Hold 
Items
&amp; Laundry</t>
  </si>
  <si>
    <t>Entertainment (and Spotify)</t>
  </si>
  <si>
    <t>Notes on 
exceptional 
items :)</t>
  </si>
  <si>
    <t>do previous months expenses to build out project</t>
  </si>
  <si>
    <t>upload 2022 data</t>
  </si>
  <si>
    <t>viewing totals for each month</t>
  </si>
  <si>
    <t>update pwr bi</t>
  </si>
  <si>
    <t>change data car insurance to car registration for every month</t>
  </si>
  <si>
    <t>possible to take out 3/27/23 data so we can just reflect 2022 data</t>
  </si>
  <si>
    <t>allow  to edit parameters in pwr bi on new data how to enable</t>
  </si>
  <si>
    <t>largest category on bottom and smallest on top</t>
  </si>
  <si>
    <t>pie chart on yrly total for each category of spending</t>
  </si>
  <si>
    <t>as function of total spending</t>
  </si>
  <si>
    <t>savings include incestments</t>
  </si>
  <si>
    <t>tital expense card drop investments</t>
  </si>
  <si>
    <t>pie chart for monthly basis allow for monthly inputs</t>
  </si>
  <si>
    <t>irs returns and seattle
car return check</t>
  </si>
  <si>
    <t>king soopers</t>
  </si>
  <si>
    <t>coursera anual subscript.</t>
  </si>
  <si>
    <t>coursera, education</t>
  </si>
  <si>
    <t>costco</t>
  </si>
  <si>
    <t>sprouts</t>
  </si>
  <si>
    <t>vti etf</t>
  </si>
  <si>
    <t>citi autopay credit card</t>
  </si>
  <si>
    <t>olivia's 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</si>
</sst>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u/>
      <sz val="22"/>
      <color rgb="FFFF996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CC3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164" fontId="0" fillId="0" borderId="0" xfId="1" applyFont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2" xfId="0" applyFont="1" applyBorder="1"/>
    <xf numFmtId="0" fontId="3" fillId="0" borderId="11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2" xfId="0" applyFill="1" applyBorder="1"/>
    <xf numFmtId="0" fontId="4" fillId="0" borderId="12" xfId="0" applyFont="1" applyBorder="1"/>
    <xf numFmtId="0" fontId="4" fillId="2" borderId="13" xfId="0" applyFont="1" applyFill="1" applyBorder="1"/>
    <xf numFmtId="0" fontId="4" fillId="2" borderId="1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3" fillId="3" borderId="0" xfId="0" applyFont="1" applyFill="1"/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Font="1" applyBorder="1"/>
    <xf numFmtId="0" fontId="4" fillId="2" borderId="13" xfId="0" applyFont="1" applyFill="1" applyBorder="1" applyAlignment="1">
      <alignment wrapText="1"/>
    </xf>
    <xf numFmtId="0" fontId="4" fillId="2" borderId="18" xfId="0" applyFont="1" applyFill="1" applyBorder="1"/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" xfId="0" applyFont="1" applyBorder="1"/>
    <xf numFmtId="164" fontId="8" fillId="0" borderId="1" xfId="1" applyFont="1" applyBorder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4" fontId="8" fillId="0" borderId="1" xfId="0" applyNumberFormat="1" applyFont="1" applyBorder="1"/>
    <xf numFmtId="0" fontId="0" fillId="0" borderId="0" xfId="0" applyAlignment="1">
      <alignment wrapText="1"/>
    </xf>
    <xf numFmtId="0" fontId="9" fillId="0" borderId="0" xfId="0" applyFont="1"/>
    <xf numFmtId="0" fontId="10" fillId="0" borderId="1" xfId="0" applyFont="1" applyBorder="1"/>
    <xf numFmtId="165" fontId="0" fillId="0" borderId="0" xfId="0" applyNumberFormat="1"/>
    <xf numFmtId="2" fontId="0" fillId="0" borderId="0" xfId="0" applyNumberFormat="1"/>
    <xf numFmtId="44" fontId="0" fillId="0" borderId="0" xfId="0" applyNumberFormat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44" fontId="0" fillId="4" borderId="0" xfId="0" applyNumberFormat="1" applyFill="1"/>
    <xf numFmtId="0" fontId="0" fillId="4" borderId="0" xfId="0" applyFill="1" applyAlignment="1">
      <alignment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33"/>
      <color rgb="FFFF99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9</xdr:col>
      <xdr:colOff>219075</xdr:colOff>
      <xdr:row>26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CACE1-5AD3-4433-86A5-7DA6BFEA7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571500"/>
          <a:ext cx="2047875" cy="539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91D1-84C8-4B18-9287-8BEEDCD6C6EC}">
  <dimension ref="A1:I61"/>
  <sheetViews>
    <sheetView showGridLines="0" zoomScale="130" zoomScaleNormal="130" workbookViewId="0">
      <selection activeCell="H23" sqref="H23"/>
    </sheetView>
  </sheetViews>
  <sheetFormatPr defaultColWidth="0" defaultRowHeight="15" zeroHeight="1"/>
  <cols>
    <col min="1" max="1" width="11.7109375" bestFit="1" customWidth="1"/>
    <col min="2" max="2" width="7.140625" bestFit="1" customWidth="1"/>
    <col min="3" max="4" width="9.42578125" customWidth="1"/>
    <col min="5" max="5" width="24.140625" bestFit="1" customWidth="1"/>
    <col min="6" max="6" width="6.5703125" bestFit="1" customWidth="1"/>
    <col min="7" max="7" width="14" bestFit="1" customWidth="1"/>
    <col min="8" max="8" width="5.42578125" bestFit="1" customWidth="1"/>
    <col min="9" max="9" width="9.140625" customWidth="1"/>
    <col min="10" max="16384" width="9.140625" hidden="1"/>
  </cols>
  <sheetData>
    <row r="1" spans="1:9" ht="20.100000000000001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20.100000000000001" customHeight="1">
      <c r="A2" s="47"/>
      <c r="B2" s="48"/>
      <c r="C2" s="48"/>
      <c r="D2" s="48"/>
      <c r="E2" s="48"/>
      <c r="F2" s="48"/>
      <c r="G2" s="48"/>
      <c r="H2" s="48"/>
      <c r="I2" s="49"/>
    </row>
    <row r="3" spans="1:9" ht="20.100000000000001" customHeight="1">
      <c r="A3" s="47"/>
      <c r="B3" s="48"/>
      <c r="C3" s="48"/>
      <c r="D3" s="48"/>
      <c r="E3" s="48"/>
      <c r="F3" s="48"/>
      <c r="G3" s="48"/>
      <c r="H3" s="48"/>
      <c r="I3" s="49"/>
    </row>
    <row r="4" spans="1:9" ht="20.100000000000001" customHeight="1">
      <c r="A4" s="47"/>
      <c r="B4" s="48"/>
      <c r="C4" s="48"/>
      <c r="D4" s="48"/>
      <c r="E4" s="48"/>
      <c r="F4" s="48"/>
      <c r="G4" s="48"/>
      <c r="H4" s="48"/>
      <c r="I4" s="49"/>
    </row>
    <row r="5" spans="1:9" ht="20.100000000000001" customHeight="1">
      <c r="A5" s="47"/>
      <c r="B5" s="48"/>
      <c r="C5" s="48"/>
      <c r="D5" s="48"/>
      <c r="E5" s="48"/>
      <c r="F5" s="48"/>
      <c r="G5" s="48"/>
      <c r="H5" s="48"/>
      <c r="I5" s="49"/>
    </row>
    <row r="6" spans="1:9" ht="15.75" thickBot="1">
      <c r="A6" s="17"/>
      <c r="B6" s="17"/>
      <c r="C6" s="17"/>
      <c r="D6" s="17"/>
      <c r="E6" s="17"/>
      <c r="F6" s="17"/>
      <c r="G6" s="17"/>
      <c r="H6" s="17"/>
      <c r="I6" s="17"/>
    </row>
    <row r="7" spans="1:9" ht="15.75" thickBot="1">
      <c r="A7" s="18"/>
      <c r="B7" s="17"/>
      <c r="C7" s="17"/>
      <c r="D7" s="17"/>
      <c r="E7" s="9" t="s">
        <v>1</v>
      </c>
      <c r="F7" s="12" t="s">
        <v>2</v>
      </c>
      <c r="G7" s="17"/>
      <c r="H7" s="17"/>
      <c r="I7" s="19"/>
    </row>
    <row r="8" spans="1:9">
      <c r="A8" s="8" t="s">
        <v>3</v>
      </c>
      <c r="B8" s="13" t="s">
        <v>4</v>
      </c>
      <c r="C8" s="17"/>
      <c r="D8" s="17"/>
      <c r="E8" s="14" t="s">
        <v>5</v>
      </c>
      <c r="F8" s="11" t="s">
        <v>6</v>
      </c>
      <c r="G8" s="17"/>
      <c r="H8" s="17"/>
      <c r="I8" s="19"/>
    </row>
    <row r="9" spans="1:9">
      <c r="A9" s="18"/>
      <c r="B9" s="17"/>
      <c r="C9" s="17"/>
      <c r="D9" s="20"/>
      <c r="E9" s="15" t="s">
        <v>7</v>
      </c>
      <c r="F9" s="10" t="s">
        <v>8</v>
      </c>
      <c r="G9" s="17"/>
      <c r="H9" s="17"/>
      <c r="I9" s="19"/>
    </row>
    <row r="10" spans="1:9">
      <c r="A10" s="18"/>
      <c r="B10" s="17"/>
      <c r="C10" s="17"/>
      <c r="D10" s="20"/>
      <c r="E10" s="15" t="s">
        <v>9</v>
      </c>
      <c r="F10" s="10" t="s">
        <v>10</v>
      </c>
      <c r="G10" s="17"/>
      <c r="H10" s="17"/>
      <c r="I10" s="19"/>
    </row>
    <row r="11" spans="1:9">
      <c r="A11" s="18"/>
      <c r="B11" s="17"/>
      <c r="C11" s="17"/>
      <c r="D11" s="20"/>
      <c r="E11" s="15" t="s">
        <v>11</v>
      </c>
      <c r="F11" s="10" t="s">
        <v>12</v>
      </c>
      <c r="G11" s="17"/>
      <c r="H11" s="17"/>
      <c r="I11" s="19"/>
    </row>
    <row r="12" spans="1:9">
      <c r="A12" s="18"/>
      <c r="B12" s="17"/>
      <c r="C12" s="17"/>
      <c r="D12" s="20"/>
      <c r="E12" s="15" t="s">
        <v>13</v>
      </c>
      <c r="F12" s="10" t="s">
        <v>14</v>
      </c>
      <c r="G12" s="17"/>
      <c r="H12" s="17"/>
      <c r="I12" s="19"/>
    </row>
    <row r="13" spans="1:9">
      <c r="A13" s="18"/>
      <c r="B13" s="17"/>
      <c r="C13" s="17"/>
      <c r="D13" s="20"/>
      <c r="E13" s="15" t="s">
        <v>15</v>
      </c>
      <c r="F13" s="10" t="s">
        <v>16</v>
      </c>
      <c r="G13" s="17"/>
      <c r="H13" s="17"/>
      <c r="I13" s="19"/>
    </row>
    <row r="14" spans="1:9">
      <c r="A14" s="18"/>
      <c r="B14" s="17"/>
      <c r="C14" s="17"/>
      <c r="D14" s="20"/>
      <c r="E14" s="15" t="s">
        <v>17</v>
      </c>
      <c r="F14" s="10" t="s">
        <v>18</v>
      </c>
      <c r="G14" s="17"/>
      <c r="H14" s="17"/>
      <c r="I14" s="19"/>
    </row>
    <row r="15" spans="1:9">
      <c r="A15" s="18"/>
      <c r="B15" s="17"/>
      <c r="C15" s="17"/>
      <c r="D15" s="20"/>
      <c r="E15" s="15" t="s">
        <v>19</v>
      </c>
      <c r="F15" s="10" t="s">
        <v>20</v>
      </c>
      <c r="G15" s="17"/>
      <c r="H15" s="17"/>
      <c r="I15" s="19"/>
    </row>
    <row r="16" spans="1:9">
      <c r="A16" s="18"/>
      <c r="B16" s="17"/>
      <c r="C16" s="17"/>
      <c r="D16" s="20"/>
      <c r="E16" s="15" t="s">
        <v>21</v>
      </c>
      <c r="F16" s="10" t="s">
        <v>16</v>
      </c>
      <c r="G16" s="17"/>
      <c r="H16" s="17"/>
      <c r="I16" s="19"/>
    </row>
    <row r="17" spans="1:9">
      <c r="A17" s="18"/>
      <c r="B17" s="17"/>
      <c r="C17" s="17"/>
      <c r="D17" s="20"/>
      <c r="E17" s="15" t="s">
        <v>22</v>
      </c>
      <c r="F17" s="10" t="s">
        <v>16</v>
      </c>
      <c r="G17" s="17"/>
      <c r="H17" s="17"/>
      <c r="I17" s="19"/>
    </row>
    <row r="18" spans="1:9">
      <c r="A18" s="18"/>
      <c r="B18" s="17"/>
      <c r="C18" s="17"/>
      <c r="D18" s="20"/>
      <c r="E18" s="15" t="s">
        <v>23</v>
      </c>
      <c r="F18" s="10" t="s">
        <v>24</v>
      </c>
      <c r="G18" s="17"/>
      <c r="H18" s="17"/>
      <c r="I18" s="19"/>
    </row>
    <row r="19" spans="1:9">
      <c r="A19" s="18"/>
      <c r="B19" s="17"/>
      <c r="C19" s="17"/>
      <c r="D19" s="20"/>
      <c r="E19" s="15" t="s">
        <v>25</v>
      </c>
      <c r="F19" s="10" t="s">
        <v>26</v>
      </c>
      <c r="G19" s="17"/>
      <c r="H19" s="17"/>
      <c r="I19" s="19"/>
    </row>
    <row r="20" spans="1:9">
      <c r="A20" s="18"/>
      <c r="B20" s="17"/>
      <c r="C20" s="17"/>
      <c r="D20" s="20"/>
      <c r="E20" s="15" t="s">
        <v>27</v>
      </c>
      <c r="F20" s="10" t="s">
        <v>28</v>
      </c>
      <c r="G20" s="17"/>
      <c r="H20" s="17"/>
      <c r="I20" s="19"/>
    </row>
    <row r="21" spans="1:9">
      <c r="A21" s="18"/>
      <c r="B21" s="17"/>
      <c r="C21" s="17"/>
      <c r="D21" s="20"/>
      <c r="E21" s="15" t="s">
        <v>29</v>
      </c>
      <c r="F21" s="10" t="s">
        <v>30</v>
      </c>
      <c r="G21" s="17"/>
      <c r="H21" s="17"/>
      <c r="I21" s="19"/>
    </row>
    <row r="22" spans="1:9" ht="45.75">
      <c r="A22" s="18"/>
      <c r="B22" s="17"/>
      <c r="C22" s="17"/>
      <c r="D22" s="20"/>
      <c r="E22" s="24" t="s">
        <v>31</v>
      </c>
      <c r="F22" s="10" t="s">
        <v>32</v>
      </c>
      <c r="G22" s="17"/>
      <c r="H22" s="17"/>
      <c r="I22" s="19"/>
    </row>
    <row r="23" spans="1:9" ht="60.75">
      <c r="A23" s="18"/>
      <c r="B23" s="17"/>
      <c r="C23" s="17"/>
      <c r="D23" s="20"/>
      <c r="E23" s="24" t="s">
        <v>33</v>
      </c>
      <c r="F23" s="10" t="s">
        <v>32</v>
      </c>
      <c r="G23" s="17"/>
      <c r="H23" s="17"/>
      <c r="I23" s="19"/>
    </row>
    <row r="24" spans="1:9">
      <c r="A24" s="18"/>
      <c r="B24" s="17"/>
      <c r="C24" s="17"/>
      <c r="D24" s="20"/>
      <c r="E24" s="25" t="s">
        <v>34</v>
      </c>
      <c r="F24" s="26" t="s">
        <v>35</v>
      </c>
      <c r="G24" s="17"/>
      <c r="H24" s="17"/>
      <c r="I24" s="19"/>
    </row>
    <row r="25" spans="1:9">
      <c r="A25" s="18"/>
      <c r="B25" s="17"/>
      <c r="C25" s="17"/>
      <c r="D25" s="20"/>
      <c r="E25" s="25" t="s">
        <v>36</v>
      </c>
      <c r="F25" s="26" t="s">
        <v>37</v>
      </c>
      <c r="G25" s="17"/>
      <c r="H25" s="17"/>
      <c r="I25" s="19"/>
    </row>
    <row r="26" spans="1:9">
      <c r="A26" s="18"/>
      <c r="B26" s="17"/>
      <c r="C26" s="17"/>
      <c r="D26" s="20"/>
      <c r="E26" s="16" t="s">
        <v>38</v>
      </c>
      <c r="F26" s="27" t="s">
        <v>39</v>
      </c>
      <c r="G26" s="17"/>
      <c r="H26" s="17"/>
      <c r="I26" s="19"/>
    </row>
    <row r="27" spans="1:9">
      <c r="A27" s="18"/>
      <c r="B27" s="17"/>
      <c r="C27" s="17"/>
      <c r="D27" s="17"/>
      <c r="E27" s="17"/>
      <c r="F27" s="17"/>
      <c r="G27" s="17"/>
      <c r="H27" s="17"/>
      <c r="I27" s="19"/>
    </row>
    <row r="28" spans="1:9" hidden="1">
      <c r="A28" s="4"/>
      <c r="I28" s="3"/>
    </row>
    <row r="29" spans="1:9" ht="11.25" hidden="1" customHeight="1">
      <c r="A29" s="4"/>
      <c r="I29" s="3"/>
    </row>
    <row r="30" spans="1:9" hidden="1">
      <c r="A30" s="4"/>
      <c r="I30" s="3"/>
    </row>
    <row r="31" spans="1:9" ht="15.75" hidden="1" thickBot="1">
      <c r="A31" s="5"/>
      <c r="B31" s="6"/>
      <c r="C31" s="6"/>
      <c r="D31" s="6"/>
      <c r="E31" s="6"/>
      <c r="F31" s="6"/>
      <c r="G31" s="6"/>
      <c r="H31" s="6"/>
      <c r="I31" s="7"/>
    </row>
    <row r="33" customFormat="1" hidden="1"/>
    <row r="34" customFormat="1" hidden="1"/>
    <row r="35" customFormat="1" hidden="1"/>
    <row r="36" customFormat="1" hidden="1"/>
    <row r="37" customFormat="1" hidden="1"/>
    <row r="38" customFormat="1" hidden="1"/>
    <row r="39" customFormat="1" hidden="1"/>
    <row r="40" customFormat="1" hidden="1"/>
    <row r="41" customFormat="1" hidden="1"/>
    <row r="42" customFormat="1" hidden="1"/>
    <row r="43" customFormat="1" hidden="1"/>
    <row r="44" customFormat="1" hidden="1"/>
    <row r="45" customFormat="1" hidden="1"/>
    <row r="46" customFormat="1" hidden="1"/>
    <row r="47" customFormat="1" hidden="1"/>
    <row r="48" customFormat="1" hidden="1"/>
    <row r="49" customFormat="1" hidden="1"/>
    <row r="50" customFormat="1" hidden="1"/>
    <row r="51" customFormat="1" hidden="1"/>
    <row r="52" customFormat="1" hidden="1"/>
    <row r="53" customFormat="1" hidden="1"/>
    <row r="54" customFormat="1" hidden="1"/>
    <row r="55" customFormat="1" hidden="1"/>
    <row r="56" customFormat="1" hidden="1"/>
    <row r="57" customFormat="1" hidden="1"/>
    <row r="58" customFormat="1" hidden="1"/>
    <row r="59" customFormat="1" hidden="1"/>
    <row r="60" customFormat="1" hidden="1"/>
    <row r="61" customFormat="1" hidden="1"/>
  </sheetData>
  <mergeCells count="1">
    <mergeCell ref="A1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2A56-68D7-45B1-BA63-3E62FF7F128C}">
  <dimension ref="A1:E181"/>
  <sheetViews>
    <sheetView tabSelected="1" zoomScale="145" zoomScaleNormal="145" workbookViewId="0">
      <pane ySplit="1" topLeftCell="A10" activePane="bottomLeft" state="frozen"/>
      <selection pane="bottomLeft" activeCell="J10" sqref="J10"/>
    </sheetView>
  </sheetViews>
  <sheetFormatPr defaultRowHeight="15"/>
  <cols>
    <col min="1" max="1" width="11.42578125" bestFit="1" customWidth="1"/>
    <col min="2" max="2" width="22.5703125" bestFit="1" customWidth="1"/>
    <col min="3" max="3" width="10.85546875" style="2" bestFit="1" customWidth="1"/>
    <col min="4" max="4" width="47.140625" bestFit="1" customWidth="1"/>
    <col min="5" max="5" width="22.5703125" bestFit="1" customWidth="1"/>
  </cols>
  <sheetData>
    <row r="1" spans="1: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>
      <c r="A2" s="32">
        <v>44922</v>
      </c>
      <c r="B2" s="28" t="s">
        <v>5</v>
      </c>
      <c r="C2" s="29">
        <v>2942.39</v>
      </c>
      <c r="D2" s="28" t="s">
        <v>5</v>
      </c>
      <c r="E2" s="30"/>
    </row>
    <row r="3" spans="1:5">
      <c r="A3" s="21">
        <v>44922</v>
      </c>
      <c r="B3" s="22" t="s">
        <v>45</v>
      </c>
      <c r="C3" s="23">
        <v>58.15</v>
      </c>
      <c r="D3" s="22" t="s">
        <v>15</v>
      </c>
      <c r="E3" s="22"/>
    </row>
    <row r="4" spans="1:5">
      <c r="A4" s="21">
        <v>44922</v>
      </c>
      <c r="B4" s="22" t="s">
        <v>46</v>
      </c>
      <c r="C4" s="23">
        <v>63.6</v>
      </c>
      <c r="D4" s="22" t="s">
        <v>15</v>
      </c>
      <c r="E4" s="22"/>
    </row>
    <row r="5" spans="1:5">
      <c r="A5" s="21">
        <v>44922</v>
      </c>
      <c r="B5" s="22" t="s">
        <v>47</v>
      </c>
      <c r="C5" s="23">
        <v>1371</v>
      </c>
      <c r="D5" s="22" t="s">
        <v>17</v>
      </c>
      <c r="E5" s="22"/>
    </row>
    <row r="6" spans="1:5">
      <c r="A6" s="21">
        <v>44922</v>
      </c>
      <c r="B6" s="22" t="s">
        <v>48</v>
      </c>
      <c r="C6" s="23">
        <v>5.25</v>
      </c>
      <c r="D6" s="22" t="s">
        <v>21</v>
      </c>
      <c r="E6" s="22"/>
    </row>
    <row r="7" spans="1:5">
      <c r="A7" s="21">
        <v>44922</v>
      </c>
      <c r="B7" s="22" t="s">
        <v>49</v>
      </c>
      <c r="C7" s="23">
        <v>14.25</v>
      </c>
      <c r="D7" s="22" t="s">
        <v>21</v>
      </c>
      <c r="E7" s="22"/>
    </row>
    <row r="8" spans="1:5">
      <c r="A8" s="21">
        <v>44922</v>
      </c>
      <c r="B8" s="22" t="s">
        <v>50</v>
      </c>
      <c r="C8" s="23">
        <v>10.58</v>
      </c>
      <c r="D8" s="22" t="s">
        <v>25</v>
      </c>
      <c r="E8" s="22"/>
    </row>
    <row r="9" spans="1:5">
      <c r="A9" s="21">
        <v>44922</v>
      </c>
      <c r="B9" s="22" t="s">
        <v>51</v>
      </c>
      <c r="C9" s="23">
        <v>30</v>
      </c>
      <c r="D9" s="22" t="s">
        <v>27</v>
      </c>
      <c r="E9" s="22"/>
    </row>
    <row r="10" spans="1:5">
      <c r="A10" s="21">
        <v>44922</v>
      </c>
      <c r="B10" s="22" t="s">
        <v>52</v>
      </c>
      <c r="C10" s="23">
        <f>51.25+25+25.63</f>
        <v>101.88</v>
      </c>
      <c r="D10" s="22" t="s">
        <v>29</v>
      </c>
      <c r="E10" s="22"/>
    </row>
    <row r="11" spans="1:5">
      <c r="A11" s="21">
        <v>44922</v>
      </c>
      <c r="B11" s="22" t="s">
        <v>53</v>
      </c>
      <c r="C11" s="23">
        <v>400</v>
      </c>
      <c r="D11" s="31" t="s">
        <v>9</v>
      </c>
      <c r="E11" s="22" t="s">
        <v>54</v>
      </c>
    </row>
    <row r="12" spans="1:5" ht="30.75">
      <c r="A12" s="21">
        <v>44922</v>
      </c>
      <c r="B12" s="22" t="s">
        <v>55</v>
      </c>
      <c r="C12" s="23">
        <v>100</v>
      </c>
      <c r="D12" s="31" t="s">
        <v>31</v>
      </c>
      <c r="E12" s="22"/>
    </row>
    <row r="13" spans="1:5" ht="30.75">
      <c r="A13" s="21">
        <v>44922</v>
      </c>
      <c r="B13" s="22" t="s">
        <v>56</v>
      </c>
      <c r="C13" s="23">
        <v>500</v>
      </c>
      <c r="D13" s="31" t="s">
        <v>33</v>
      </c>
      <c r="E13" s="22"/>
    </row>
    <row r="14" spans="1:5">
      <c r="A14" s="21">
        <v>44922</v>
      </c>
      <c r="B14" s="22" t="s">
        <v>57</v>
      </c>
      <c r="C14" s="23">
        <v>5.44</v>
      </c>
      <c r="D14" s="22" t="s">
        <v>11</v>
      </c>
      <c r="E14" s="22"/>
    </row>
    <row r="15" spans="1:5">
      <c r="A15" s="21">
        <v>44922</v>
      </c>
      <c r="B15" s="22" t="s">
        <v>58</v>
      </c>
      <c r="C15" s="23">
        <v>1790.64</v>
      </c>
      <c r="D15" s="22" t="s">
        <v>34</v>
      </c>
      <c r="E15" s="22"/>
    </row>
    <row r="16" spans="1:5">
      <c r="A16" s="21">
        <v>44922</v>
      </c>
      <c r="B16" s="22" t="s">
        <v>59</v>
      </c>
      <c r="C16" s="23">
        <v>50</v>
      </c>
      <c r="D16" s="22" t="s">
        <v>23</v>
      </c>
      <c r="E16" s="22" t="s">
        <v>54</v>
      </c>
    </row>
    <row r="17" spans="1:5">
      <c r="A17" s="32">
        <v>44892</v>
      </c>
      <c r="B17" s="28" t="s">
        <v>5</v>
      </c>
      <c r="C17" s="29">
        <f>2672.57</f>
        <v>2672.57</v>
      </c>
      <c r="D17" s="28" t="s">
        <v>5</v>
      </c>
      <c r="E17" s="30"/>
    </row>
    <row r="18" spans="1:5">
      <c r="A18" s="21">
        <v>44892</v>
      </c>
      <c r="B18" s="22" t="s">
        <v>45</v>
      </c>
      <c r="C18" s="23">
        <v>58.15</v>
      </c>
      <c r="D18" s="22" t="s">
        <v>15</v>
      </c>
      <c r="E18" s="22"/>
    </row>
    <row r="19" spans="1:5">
      <c r="A19" s="21">
        <v>44892</v>
      </c>
      <c r="B19" s="22" t="s">
        <v>46</v>
      </c>
      <c r="C19" s="23">
        <v>63.6</v>
      </c>
      <c r="D19" s="22" t="s">
        <v>15</v>
      </c>
      <c r="E19" s="22"/>
    </row>
    <row r="20" spans="1:5">
      <c r="A20" s="21">
        <v>44892</v>
      </c>
      <c r="B20" s="22" t="s">
        <v>47</v>
      </c>
      <c r="C20" s="23">
        <v>1371</v>
      </c>
      <c r="D20" s="22" t="s">
        <v>17</v>
      </c>
      <c r="E20" s="22"/>
    </row>
    <row r="21" spans="1:5">
      <c r="A21" s="21">
        <v>44892</v>
      </c>
      <c r="B21" s="22" t="s">
        <v>48</v>
      </c>
      <c r="C21" s="23">
        <v>5.25</v>
      </c>
      <c r="D21" s="22" t="s">
        <v>21</v>
      </c>
      <c r="E21" s="22"/>
    </row>
    <row r="22" spans="1:5">
      <c r="A22" s="21">
        <v>44892</v>
      </c>
      <c r="B22" s="22" t="s">
        <v>49</v>
      </c>
      <c r="C22" s="23">
        <v>14.25</v>
      </c>
      <c r="D22" s="22" t="s">
        <v>21</v>
      </c>
      <c r="E22" s="22"/>
    </row>
    <row r="23" spans="1:5">
      <c r="A23" s="21">
        <v>44892</v>
      </c>
      <c r="B23" s="22" t="s">
        <v>50</v>
      </c>
      <c r="C23" s="23">
        <v>10.58</v>
      </c>
      <c r="D23" s="22" t="s">
        <v>25</v>
      </c>
      <c r="E23" s="22"/>
    </row>
    <row r="24" spans="1:5">
      <c r="A24" s="21">
        <v>44892</v>
      </c>
      <c r="B24" s="22" t="s">
        <v>51</v>
      </c>
      <c r="C24" s="23">
        <v>30</v>
      </c>
      <c r="D24" s="22" t="s">
        <v>27</v>
      </c>
      <c r="E24" s="22"/>
    </row>
    <row r="25" spans="1:5">
      <c r="A25" s="21">
        <v>44892</v>
      </c>
      <c r="B25" s="22" t="s">
        <v>52</v>
      </c>
      <c r="C25" s="23">
        <f>51.25+25+25.63</f>
        <v>101.88</v>
      </c>
      <c r="D25" s="22" t="s">
        <v>29</v>
      </c>
      <c r="E25" s="22"/>
    </row>
    <row r="26" spans="1:5">
      <c r="A26" s="21">
        <v>44892</v>
      </c>
      <c r="B26" s="22" t="s">
        <v>59</v>
      </c>
      <c r="C26" s="23">
        <v>50</v>
      </c>
      <c r="D26" s="22" t="s">
        <v>23</v>
      </c>
      <c r="E26" s="22" t="s">
        <v>54</v>
      </c>
    </row>
    <row r="27" spans="1:5">
      <c r="A27" s="21">
        <v>44892</v>
      </c>
      <c r="B27" s="22" t="s">
        <v>53</v>
      </c>
      <c r="C27" s="23">
        <v>400</v>
      </c>
      <c r="D27" s="31" t="s">
        <v>9</v>
      </c>
      <c r="E27" s="22" t="s">
        <v>54</v>
      </c>
    </row>
    <row r="28" spans="1:5" ht="30.75">
      <c r="A28" s="21">
        <v>44892</v>
      </c>
      <c r="B28" s="22" t="s">
        <v>55</v>
      </c>
      <c r="C28" s="23">
        <v>100</v>
      </c>
      <c r="D28" s="31" t="s">
        <v>31</v>
      </c>
      <c r="E28" s="22"/>
    </row>
    <row r="29" spans="1:5" ht="30.75">
      <c r="A29" s="21">
        <v>44892</v>
      </c>
      <c r="B29" s="22" t="s">
        <v>56</v>
      </c>
      <c r="C29" s="23">
        <v>500</v>
      </c>
      <c r="D29" s="31" t="s">
        <v>33</v>
      </c>
      <c r="E29" s="22"/>
    </row>
    <row r="30" spans="1:5">
      <c r="A30" s="21">
        <v>44892</v>
      </c>
      <c r="B30" s="22" t="s">
        <v>57</v>
      </c>
      <c r="C30" s="23">
        <v>5.44</v>
      </c>
      <c r="D30" s="22" t="s">
        <v>11</v>
      </c>
      <c r="E30" s="22"/>
    </row>
    <row r="31" spans="1:5">
      <c r="A31" s="32">
        <v>44861</v>
      </c>
      <c r="B31" s="28" t="s">
        <v>5</v>
      </c>
      <c r="C31" s="29">
        <f>2624.98</f>
        <v>2624.98</v>
      </c>
      <c r="D31" s="28" t="s">
        <v>5</v>
      </c>
      <c r="E31" s="30"/>
    </row>
    <row r="32" spans="1:5">
      <c r="A32" s="21">
        <v>44861</v>
      </c>
      <c r="B32" s="22" t="s">
        <v>45</v>
      </c>
      <c r="C32" s="23">
        <v>58.15</v>
      </c>
      <c r="D32" s="22" t="s">
        <v>15</v>
      </c>
      <c r="E32" s="22"/>
    </row>
    <row r="33" spans="1:5">
      <c r="A33" s="21">
        <v>44861</v>
      </c>
      <c r="B33" s="22" t="s">
        <v>46</v>
      </c>
      <c r="C33" s="23">
        <v>63.6</v>
      </c>
      <c r="D33" s="22" t="s">
        <v>15</v>
      </c>
      <c r="E33" s="22"/>
    </row>
    <row r="34" spans="1:5">
      <c r="A34" s="21">
        <v>44861</v>
      </c>
      <c r="B34" s="22" t="s">
        <v>47</v>
      </c>
      <c r="C34" s="23">
        <v>1371</v>
      </c>
      <c r="D34" s="22" t="s">
        <v>17</v>
      </c>
      <c r="E34" s="22"/>
    </row>
    <row r="35" spans="1:5">
      <c r="A35" s="21">
        <v>44861</v>
      </c>
      <c r="B35" s="22" t="s">
        <v>48</v>
      </c>
      <c r="C35" s="23">
        <v>5.25</v>
      </c>
      <c r="D35" s="22" t="s">
        <v>21</v>
      </c>
      <c r="E35" s="22"/>
    </row>
    <row r="36" spans="1:5">
      <c r="A36" s="21">
        <v>44861</v>
      </c>
      <c r="B36" s="22" t="s">
        <v>49</v>
      </c>
      <c r="C36" s="23">
        <v>14.25</v>
      </c>
      <c r="D36" s="22" t="s">
        <v>21</v>
      </c>
      <c r="E36" s="22"/>
    </row>
    <row r="37" spans="1:5">
      <c r="A37" s="21">
        <v>44861</v>
      </c>
      <c r="B37" s="22" t="s">
        <v>50</v>
      </c>
      <c r="C37" s="23">
        <v>10.58</v>
      </c>
      <c r="D37" s="22" t="s">
        <v>25</v>
      </c>
      <c r="E37" s="22"/>
    </row>
    <row r="38" spans="1:5">
      <c r="A38" s="21">
        <v>44861</v>
      </c>
      <c r="B38" s="22" t="s">
        <v>51</v>
      </c>
      <c r="C38" s="23">
        <v>30</v>
      </c>
      <c r="D38" s="22" t="s">
        <v>27</v>
      </c>
      <c r="E38" s="22"/>
    </row>
    <row r="39" spans="1:5">
      <c r="A39" s="21">
        <v>44861</v>
      </c>
      <c r="B39" s="22" t="s">
        <v>52</v>
      </c>
      <c r="C39" s="23">
        <f>51.25+25+25.63</f>
        <v>101.88</v>
      </c>
      <c r="D39" s="22" t="s">
        <v>29</v>
      </c>
      <c r="E39" s="22"/>
    </row>
    <row r="40" spans="1:5" ht="30.75">
      <c r="A40" s="21">
        <v>44861</v>
      </c>
      <c r="B40" s="22" t="s">
        <v>60</v>
      </c>
      <c r="C40" s="23">
        <v>1529.06</v>
      </c>
      <c r="D40" s="31" t="s">
        <v>34</v>
      </c>
      <c r="E40" s="31" t="s">
        <v>61</v>
      </c>
    </row>
    <row r="41" spans="1:5" ht="30.75">
      <c r="A41" s="21">
        <v>44861</v>
      </c>
      <c r="B41" s="22" t="s">
        <v>55</v>
      </c>
      <c r="C41" s="23">
        <v>100</v>
      </c>
      <c r="D41" s="31" t="s">
        <v>31</v>
      </c>
      <c r="E41" s="22"/>
    </row>
    <row r="42" spans="1:5">
      <c r="A42" s="21">
        <v>44861</v>
      </c>
      <c r="B42" s="22" t="s">
        <v>59</v>
      </c>
      <c r="C42" s="23">
        <v>18.36</v>
      </c>
      <c r="D42" s="31" t="s">
        <v>23</v>
      </c>
      <c r="E42" s="22"/>
    </row>
    <row r="43" spans="1:5">
      <c r="A43" s="21">
        <v>44861</v>
      </c>
      <c r="B43" s="22" t="s">
        <v>62</v>
      </c>
      <c r="C43" s="23">
        <v>37.020000000000003</v>
      </c>
      <c r="D43" s="31" t="s">
        <v>36</v>
      </c>
      <c r="E43" s="22"/>
    </row>
    <row r="44" spans="1:5">
      <c r="A44" s="21">
        <v>44861</v>
      </c>
      <c r="B44" s="22" t="s">
        <v>63</v>
      </c>
      <c r="C44" s="23">
        <v>92.14</v>
      </c>
      <c r="D44" s="31" t="s">
        <v>7</v>
      </c>
      <c r="E44" s="22"/>
    </row>
    <row r="45" spans="1:5">
      <c r="A45" s="21">
        <v>44861</v>
      </c>
      <c r="B45" s="22" t="s">
        <v>53</v>
      </c>
      <c r="C45" s="23">
        <v>178.12</v>
      </c>
      <c r="D45" s="31" t="s">
        <v>9</v>
      </c>
      <c r="E45" s="22"/>
    </row>
    <row r="46" spans="1:5" ht="30.75">
      <c r="A46" s="21">
        <v>44861</v>
      </c>
      <c r="B46" s="22" t="s">
        <v>56</v>
      </c>
      <c r="C46" s="23">
        <v>500</v>
      </c>
      <c r="D46" s="31" t="s">
        <v>33</v>
      </c>
      <c r="E46" s="22"/>
    </row>
    <row r="47" spans="1:5">
      <c r="A47" s="21">
        <v>44861</v>
      </c>
      <c r="B47" s="22" t="s">
        <v>57</v>
      </c>
      <c r="C47" s="23">
        <v>5.44</v>
      </c>
      <c r="D47" s="22" t="s">
        <v>11</v>
      </c>
      <c r="E47" s="22"/>
    </row>
    <row r="48" spans="1:5">
      <c r="A48" s="32">
        <v>44831</v>
      </c>
      <c r="B48" s="28" t="s">
        <v>5</v>
      </c>
      <c r="C48" s="29">
        <v>4009.51</v>
      </c>
      <c r="D48" s="28" t="s">
        <v>5</v>
      </c>
      <c r="E48" s="30"/>
    </row>
    <row r="49" spans="1:5">
      <c r="A49" s="21">
        <v>44831</v>
      </c>
      <c r="B49" s="22" t="s">
        <v>45</v>
      </c>
      <c r="C49" s="23">
        <v>58.15</v>
      </c>
      <c r="D49" s="22" t="s">
        <v>15</v>
      </c>
      <c r="E49" s="22"/>
    </row>
    <row r="50" spans="1:5">
      <c r="A50" s="21">
        <v>44831</v>
      </c>
      <c r="B50" s="22" t="s">
        <v>46</v>
      </c>
      <c r="C50" s="23">
        <v>63.6</v>
      </c>
      <c r="D50" s="22" t="s">
        <v>15</v>
      </c>
      <c r="E50" s="22"/>
    </row>
    <row r="51" spans="1:5">
      <c r="A51" s="21">
        <v>44831</v>
      </c>
      <c r="B51" s="22" t="s">
        <v>47</v>
      </c>
      <c r="C51" s="23">
        <v>1371</v>
      </c>
      <c r="D51" s="22" t="s">
        <v>17</v>
      </c>
      <c r="E51" s="22"/>
    </row>
    <row r="52" spans="1:5">
      <c r="A52" s="21">
        <v>44831</v>
      </c>
      <c r="B52" s="22" t="s">
        <v>48</v>
      </c>
      <c r="C52" s="23">
        <v>5.25</v>
      </c>
      <c r="D52" s="22" t="s">
        <v>21</v>
      </c>
      <c r="E52" s="22"/>
    </row>
    <row r="53" spans="1:5">
      <c r="A53" s="21">
        <v>44831</v>
      </c>
      <c r="B53" s="22" t="s">
        <v>49</v>
      </c>
      <c r="C53" s="23">
        <v>14.25</v>
      </c>
      <c r="D53" s="22" t="s">
        <v>21</v>
      </c>
      <c r="E53" s="22"/>
    </row>
    <row r="54" spans="1:5">
      <c r="A54" s="21">
        <v>44831</v>
      </c>
      <c r="B54" s="22" t="s">
        <v>50</v>
      </c>
      <c r="C54" s="23">
        <v>10.58</v>
      </c>
      <c r="D54" s="22" t="s">
        <v>25</v>
      </c>
      <c r="E54" s="22"/>
    </row>
    <row r="55" spans="1:5">
      <c r="A55" s="21">
        <v>44831</v>
      </c>
      <c r="B55" s="22" t="s">
        <v>51</v>
      </c>
      <c r="C55" s="23">
        <v>30</v>
      </c>
      <c r="D55" s="22" t="s">
        <v>27</v>
      </c>
      <c r="E55" s="22"/>
    </row>
    <row r="56" spans="1:5">
      <c r="A56" s="21">
        <v>44831</v>
      </c>
      <c r="B56" s="22" t="s">
        <v>52</v>
      </c>
      <c r="C56" s="23">
        <f>51.25+25+25.63</f>
        <v>101.88</v>
      </c>
      <c r="D56" s="22" t="s">
        <v>29</v>
      </c>
      <c r="E56" s="22"/>
    </row>
    <row r="57" spans="1:5">
      <c r="A57" s="21">
        <v>44831</v>
      </c>
      <c r="B57" s="22" t="s">
        <v>53</v>
      </c>
      <c r="C57" s="23">
        <v>411.07</v>
      </c>
      <c r="D57" s="31" t="s">
        <v>9</v>
      </c>
      <c r="E57" s="22"/>
    </row>
    <row r="58" spans="1:5" ht="30.75">
      <c r="A58" s="21">
        <v>44831</v>
      </c>
      <c r="B58" s="22" t="s">
        <v>55</v>
      </c>
      <c r="C58" s="23">
        <v>50</v>
      </c>
      <c r="D58" s="31" t="s">
        <v>31</v>
      </c>
      <c r="E58" s="22"/>
    </row>
    <row r="59" spans="1:5" ht="30.75">
      <c r="A59" s="21">
        <v>44831</v>
      </c>
      <c r="B59" s="22" t="s">
        <v>56</v>
      </c>
      <c r="C59" s="23">
        <v>500</v>
      </c>
      <c r="D59" s="31" t="s">
        <v>33</v>
      </c>
      <c r="E59" s="22"/>
    </row>
    <row r="60" spans="1:5">
      <c r="A60" s="21">
        <v>44831</v>
      </c>
      <c r="B60" s="22" t="s">
        <v>57</v>
      </c>
      <c r="C60" s="23">
        <v>5.44</v>
      </c>
      <c r="D60" s="22" t="s">
        <v>11</v>
      </c>
      <c r="E60" s="22"/>
    </row>
    <row r="61" spans="1:5">
      <c r="A61" s="21">
        <v>44831</v>
      </c>
      <c r="B61" s="22" t="s">
        <v>63</v>
      </c>
      <c r="C61" s="23">
        <v>30.89</v>
      </c>
      <c r="D61" s="22" t="s">
        <v>7</v>
      </c>
      <c r="E61" s="22"/>
    </row>
    <row r="62" spans="1:5">
      <c r="A62" s="21">
        <v>44831</v>
      </c>
      <c r="B62" s="22" t="s">
        <v>62</v>
      </c>
      <c r="C62" s="23">
        <v>68.209999999999994</v>
      </c>
      <c r="D62" s="22" t="s">
        <v>36</v>
      </c>
      <c r="E62" s="22"/>
    </row>
    <row r="63" spans="1:5">
      <c r="A63" s="21">
        <v>44831</v>
      </c>
      <c r="B63" s="22" t="s">
        <v>64</v>
      </c>
      <c r="C63" s="23">
        <v>164.31</v>
      </c>
      <c r="D63" s="22" t="s">
        <v>11</v>
      </c>
      <c r="E63" s="22"/>
    </row>
    <row r="64" spans="1:5">
      <c r="A64" s="32">
        <v>44800</v>
      </c>
      <c r="B64" s="28" t="s">
        <v>5</v>
      </c>
      <c r="C64" s="29">
        <v>6793.63</v>
      </c>
      <c r="D64" s="28" t="s">
        <v>5</v>
      </c>
      <c r="E64" s="30"/>
    </row>
    <row r="65" spans="1:5">
      <c r="A65" s="21">
        <v>44800</v>
      </c>
      <c r="B65" s="22" t="s">
        <v>45</v>
      </c>
      <c r="C65" s="23">
        <v>58.15</v>
      </c>
      <c r="D65" s="22" t="s">
        <v>15</v>
      </c>
      <c r="E65" s="22"/>
    </row>
    <row r="66" spans="1:5">
      <c r="A66" s="21">
        <v>44800</v>
      </c>
      <c r="B66" s="22" t="s">
        <v>46</v>
      </c>
      <c r="C66" s="23">
        <v>63.6</v>
      </c>
      <c r="D66" s="22" t="s">
        <v>15</v>
      </c>
      <c r="E66" s="22"/>
    </row>
    <row r="67" spans="1:5">
      <c r="A67" s="21">
        <v>44800</v>
      </c>
      <c r="B67" s="22" t="s">
        <v>47</v>
      </c>
      <c r="C67" s="23">
        <v>1371</v>
      </c>
      <c r="D67" s="22" t="s">
        <v>17</v>
      </c>
      <c r="E67" s="22"/>
    </row>
    <row r="68" spans="1:5">
      <c r="A68" s="21">
        <v>44800</v>
      </c>
      <c r="B68" s="22" t="s">
        <v>48</v>
      </c>
      <c r="C68" s="23">
        <v>5.25</v>
      </c>
      <c r="D68" s="22" t="s">
        <v>21</v>
      </c>
      <c r="E68" s="22"/>
    </row>
    <row r="69" spans="1:5">
      <c r="A69" s="21">
        <v>44800</v>
      </c>
      <c r="B69" s="22" t="s">
        <v>49</v>
      </c>
      <c r="C69" s="23">
        <v>14.25</v>
      </c>
      <c r="D69" s="22" t="s">
        <v>21</v>
      </c>
      <c r="E69" s="22"/>
    </row>
    <row r="70" spans="1:5">
      <c r="A70" s="21">
        <v>44800</v>
      </c>
      <c r="B70" s="22" t="s">
        <v>50</v>
      </c>
      <c r="C70" s="23">
        <v>10.58</v>
      </c>
      <c r="D70" s="22" t="s">
        <v>25</v>
      </c>
      <c r="E70" s="22"/>
    </row>
    <row r="71" spans="1:5">
      <c r="A71" s="21">
        <v>44800</v>
      </c>
      <c r="B71" s="22" t="s">
        <v>51</v>
      </c>
      <c r="C71" s="23">
        <v>30</v>
      </c>
      <c r="D71" s="22" t="s">
        <v>27</v>
      </c>
      <c r="E71" s="22"/>
    </row>
    <row r="72" spans="1:5">
      <c r="A72" s="21">
        <v>44800</v>
      </c>
      <c r="B72" s="22" t="s">
        <v>52</v>
      </c>
      <c r="C72" s="23">
        <f>51.25+25+25.63</f>
        <v>101.88</v>
      </c>
      <c r="D72" s="22" t="s">
        <v>29</v>
      </c>
      <c r="E72" s="22"/>
    </row>
    <row r="73" spans="1:5">
      <c r="A73" s="21">
        <v>44800</v>
      </c>
      <c r="B73" s="22" t="s">
        <v>65</v>
      </c>
      <c r="C73" s="23">
        <v>226.49</v>
      </c>
      <c r="D73" s="22" t="s">
        <v>19</v>
      </c>
      <c r="E73" s="22"/>
    </row>
    <row r="74" spans="1:5">
      <c r="A74" s="21">
        <v>44800</v>
      </c>
      <c r="B74" s="22" t="s">
        <v>66</v>
      </c>
      <c r="C74" s="23">
        <f>288.55-C65-C66-C68-C69</f>
        <v>147.30000000000001</v>
      </c>
      <c r="D74" s="22" t="s">
        <v>22</v>
      </c>
      <c r="E74" s="22"/>
    </row>
    <row r="75" spans="1:5">
      <c r="A75" s="21">
        <v>44800</v>
      </c>
      <c r="B75" s="22" t="s">
        <v>67</v>
      </c>
      <c r="C75" s="23">
        <v>96.76</v>
      </c>
      <c r="D75" s="22" t="s">
        <v>23</v>
      </c>
      <c r="E75" s="22"/>
    </row>
    <row r="76" spans="1:5">
      <c r="A76" s="21">
        <v>44800</v>
      </c>
      <c r="B76" s="22" t="s">
        <v>68</v>
      </c>
      <c r="C76" s="23">
        <v>179.5</v>
      </c>
      <c r="D76" s="22" t="s">
        <v>9</v>
      </c>
      <c r="E76" s="22"/>
    </row>
    <row r="77" spans="1:5">
      <c r="A77" s="21">
        <v>44800</v>
      </c>
      <c r="B77" s="22" t="s">
        <v>69</v>
      </c>
      <c r="C77" s="23">
        <v>79.25</v>
      </c>
      <c r="D77" s="22" t="s">
        <v>7</v>
      </c>
      <c r="E77" s="22"/>
    </row>
    <row r="78" spans="1:5">
      <c r="A78" s="21">
        <v>44800</v>
      </c>
      <c r="B78" s="22" t="s">
        <v>70</v>
      </c>
      <c r="C78" s="23">
        <v>111.51</v>
      </c>
      <c r="D78" s="22" t="s">
        <v>36</v>
      </c>
      <c r="E78" s="22"/>
    </row>
    <row r="79" spans="1:5">
      <c r="A79" s="21">
        <v>44800</v>
      </c>
      <c r="B79" s="22" t="s">
        <v>71</v>
      </c>
      <c r="C79" s="23">
        <v>135.80000000000001</v>
      </c>
      <c r="D79" s="22" t="s">
        <v>11</v>
      </c>
      <c r="E79" s="22"/>
    </row>
    <row r="80" spans="1:5">
      <c r="A80" s="21">
        <v>44800</v>
      </c>
      <c r="B80" s="22" t="s">
        <v>60</v>
      </c>
      <c r="C80" s="23">
        <v>302.95999999999998</v>
      </c>
      <c r="D80" s="22" t="s">
        <v>34</v>
      </c>
      <c r="E80" s="22" t="s">
        <v>72</v>
      </c>
    </row>
    <row r="81" spans="1:5" ht="30.75">
      <c r="A81" s="21">
        <v>44800</v>
      </c>
      <c r="B81" s="22" t="s">
        <v>55</v>
      </c>
      <c r="C81" s="23">
        <v>50</v>
      </c>
      <c r="D81" s="31" t="s">
        <v>31</v>
      </c>
      <c r="E81" s="22"/>
    </row>
    <row r="82" spans="1:5" ht="30.75">
      <c r="A82" s="21">
        <v>44800</v>
      </c>
      <c r="B82" s="22" t="s">
        <v>56</v>
      </c>
      <c r="C82" s="23">
        <v>500</v>
      </c>
      <c r="D82" s="31" t="s">
        <v>33</v>
      </c>
      <c r="E82" s="22"/>
    </row>
    <row r="83" spans="1:5">
      <c r="A83" s="21">
        <v>44800</v>
      </c>
      <c r="B83" s="22" t="s">
        <v>57</v>
      </c>
      <c r="C83" s="23">
        <v>5.44</v>
      </c>
      <c r="D83" s="22" t="s">
        <v>11</v>
      </c>
      <c r="E83" s="22"/>
    </row>
    <row r="84" spans="1:5">
      <c r="A84" s="32">
        <v>44769</v>
      </c>
      <c r="B84" s="28" t="s">
        <v>5</v>
      </c>
      <c r="C84" s="29">
        <v>3676.93</v>
      </c>
      <c r="D84" s="28" t="s">
        <v>5</v>
      </c>
      <c r="E84" s="30"/>
    </row>
    <row r="85" spans="1:5">
      <c r="A85" s="21">
        <v>44769</v>
      </c>
      <c r="B85" s="22" t="s">
        <v>45</v>
      </c>
      <c r="C85" s="23">
        <v>58.15</v>
      </c>
      <c r="D85" s="22" t="s">
        <v>15</v>
      </c>
      <c r="E85" s="22"/>
    </row>
    <row r="86" spans="1:5">
      <c r="A86" s="21">
        <v>44769</v>
      </c>
      <c r="B86" s="22" t="s">
        <v>46</v>
      </c>
      <c r="C86" s="23">
        <v>63.6</v>
      </c>
      <c r="D86" s="22" t="s">
        <v>15</v>
      </c>
      <c r="E86" s="22"/>
    </row>
    <row r="87" spans="1:5">
      <c r="A87" s="21">
        <v>44769</v>
      </c>
      <c r="B87" s="22" t="s">
        <v>47</v>
      </c>
      <c r="C87" s="23">
        <v>1333</v>
      </c>
      <c r="D87" s="22" t="s">
        <v>17</v>
      </c>
      <c r="E87" s="22"/>
    </row>
    <row r="88" spans="1:5">
      <c r="A88" s="21">
        <v>44769</v>
      </c>
      <c r="B88" s="22" t="s">
        <v>48</v>
      </c>
      <c r="C88" s="23">
        <v>5.25</v>
      </c>
      <c r="D88" s="22" t="s">
        <v>21</v>
      </c>
      <c r="E88" s="22"/>
    </row>
    <row r="89" spans="1:5">
      <c r="A89" s="21">
        <v>44769</v>
      </c>
      <c r="B89" s="22" t="s">
        <v>49</v>
      </c>
      <c r="C89" s="23">
        <v>14.25</v>
      </c>
      <c r="D89" s="22" t="s">
        <v>21</v>
      </c>
      <c r="E89" s="22"/>
    </row>
    <row r="90" spans="1:5">
      <c r="A90" s="21">
        <v>44769</v>
      </c>
      <c r="B90" s="22" t="s">
        <v>50</v>
      </c>
      <c r="C90" s="23">
        <v>10.58</v>
      </c>
      <c r="D90" s="22" t="s">
        <v>25</v>
      </c>
      <c r="E90" s="22"/>
    </row>
    <row r="91" spans="1:5">
      <c r="A91" s="21">
        <v>44769</v>
      </c>
      <c r="B91" s="22" t="s">
        <v>51</v>
      </c>
      <c r="C91" s="23">
        <v>30</v>
      </c>
      <c r="D91" s="22" t="s">
        <v>27</v>
      </c>
      <c r="E91" s="22"/>
    </row>
    <row r="92" spans="1:5">
      <c r="A92" s="21">
        <v>44769</v>
      </c>
      <c r="B92" s="22" t="s">
        <v>52</v>
      </c>
      <c r="C92" s="23">
        <f>51.25+25+25.63</f>
        <v>101.88</v>
      </c>
      <c r="D92" s="22" t="s">
        <v>29</v>
      </c>
      <c r="E92" s="22"/>
    </row>
    <row r="93" spans="1:5">
      <c r="A93" s="21">
        <v>44769</v>
      </c>
      <c r="B93" s="22"/>
      <c r="C93" s="23">
        <v>5.49</v>
      </c>
      <c r="D93" s="22" t="s">
        <v>19</v>
      </c>
      <c r="E93" s="22"/>
    </row>
    <row r="94" spans="1:5">
      <c r="A94" s="21">
        <v>44769</v>
      </c>
      <c r="B94" s="22"/>
      <c r="C94" s="23">
        <f>268.56-C85-C86-C88-C89</f>
        <v>127.31</v>
      </c>
      <c r="D94" s="22" t="s">
        <v>22</v>
      </c>
      <c r="E94" s="22"/>
    </row>
    <row r="95" spans="1:5">
      <c r="A95" s="21">
        <v>44769</v>
      </c>
      <c r="B95" s="22"/>
      <c r="C95" s="23">
        <v>97.3</v>
      </c>
      <c r="D95" s="22" t="s">
        <v>23</v>
      </c>
      <c r="E95" s="22"/>
    </row>
    <row r="96" spans="1:5">
      <c r="A96" s="21">
        <v>44769</v>
      </c>
      <c r="B96" s="22"/>
      <c r="C96" s="23">
        <v>543.61</v>
      </c>
      <c r="D96" s="22" t="s">
        <v>9</v>
      </c>
      <c r="E96" s="22"/>
    </row>
    <row r="97" spans="1:5">
      <c r="A97" s="21">
        <v>44769</v>
      </c>
      <c r="B97" s="22"/>
      <c r="C97" s="23">
        <v>212.15</v>
      </c>
      <c r="D97" s="22" t="s">
        <v>36</v>
      </c>
      <c r="E97" s="22"/>
    </row>
    <row r="98" spans="1:5">
      <c r="A98" s="21">
        <v>44769</v>
      </c>
      <c r="B98" s="22"/>
      <c r="C98" s="23">
        <v>28.44</v>
      </c>
      <c r="D98" s="22" t="s">
        <v>11</v>
      </c>
      <c r="E98" s="22"/>
    </row>
    <row r="99" spans="1:5">
      <c r="A99" s="21">
        <v>44769</v>
      </c>
      <c r="B99" s="22"/>
      <c r="C99" s="23">
        <v>157.96</v>
      </c>
      <c r="D99" s="22" t="s">
        <v>34</v>
      </c>
      <c r="E99" s="22" t="s">
        <v>73</v>
      </c>
    </row>
    <row r="100" spans="1:5">
      <c r="A100" s="21">
        <v>44769</v>
      </c>
      <c r="B100" s="22"/>
      <c r="C100" s="23">
        <v>38.18</v>
      </c>
      <c r="D100" s="31" t="s">
        <v>7</v>
      </c>
      <c r="E100" s="22"/>
    </row>
    <row r="101" spans="1:5" ht="30.75">
      <c r="A101" s="21">
        <v>44769</v>
      </c>
      <c r="B101" s="22" t="s">
        <v>55</v>
      </c>
      <c r="C101" s="23">
        <v>50</v>
      </c>
      <c r="D101" s="31" t="s">
        <v>31</v>
      </c>
      <c r="E101" s="22"/>
    </row>
    <row r="102" spans="1:5" ht="30.75">
      <c r="A102" s="21">
        <v>44769</v>
      </c>
      <c r="B102" s="22" t="s">
        <v>56</v>
      </c>
      <c r="C102" s="23">
        <v>500</v>
      </c>
      <c r="D102" s="31" t="s">
        <v>33</v>
      </c>
      <c r="E102" s="22"/>
    </row>
    <row r="103" spans="1:5">
      <c r="A103" s="21">
        <v>44769</v>
      </c>
      <c r="B103" s="22" t="s">
        <v>57</v>
      </c>
      <c r="C103" s="23">
        <v>5.44</v>
      </c>
      <c r="D103" s="22" t="s">
        <v>11</v>
      </c>
      <c r="E103" s="22"/>
    </row>
    <row r="104" spans="1:5">
      <c r="A104" s="32">
        <v>44739</v>
      </c>
      <c r="B104" s="28" t="s">
        <v>5</v>
      </c>
      <c r="C104" s="29">
        <v>3916.93</v>
      </c>
      <c r="D104" s="28" t="s">
        <v>5</v>
      </c>
      <c r="E104" s="30"/>
    </row>
    <row r="105" spans="1:5">
      <c r="A105" s="21">
        <v>44739</v>
      </c>
      <c r="B105" s="22" t="s">
        <v>45</v>
      </c>
      <c r="C105" s="23">
        <v>60.15</v>
      </c>
      <c r="D105" s="22" t="s">
        <v>15</v>
      </c>
      <c r="E105" s="22"/>
    </row>
    <row r="106" spans="1:5">
      <c r="A106" s="21">
        <v>44739</v>
      </c>
      <c r="B106" s="22" t="s">
        <v>46</v>
      </c>
      <c r="C106" s="23">
        <v>63.6</v>
      </c>
      <c r="D106" s="22" t="s">
        <v>15</v>
      </c>
      <c r="E106" s="22"/>
    </row>
    <row r="107" spans="1:5">
      <c r="A107" s="21">
        <v>44739</v>
      </c>
      <c r="B107" s="22" t="s">
        <v>47</v>
      </c>
      <c r="C107" s="23">
        <v>1333</v>
      </c>
      <c r="D107" s="22" t="s">
        <v>17</v>
      </c>
      <c r="E107" s="22"/>
    </row>
    <row r="108" spans="1:5">
      <c r="A108" s="21">
        <v>44739</v>
      </c>
      <c r="B108" s="22" t="s">
        <v>48</v>
      </c>
      <c r="C108" s="23">
        <v>5.25</v>
      </c>
      <c r="D108" s="22" t="s">
        <v>21</v>
      </c>
      <c r="E108" s="22"/>
    </row>
    <row r="109" spans="1:5">
      <c r="A109" s="21">
        <v>44739</v>
      </c>
      <c r="B109" s="22" t="s">
        <v>49</v>
      </c>
      <c r="C109" s="23">
        <v>14.25</v>
      </c>
      <c r="D109" s="22" t="s">
        <v>21</v>
      </c>
      <c r="E109" s="22"/>
    </row>
    <row r="110" spans="1:5">
      <c r="A110" s="21">
        <v>44739</v>
      </c>
      <c r="B110" s="22" t="s">
        <v>50</v>
      </c>
      <c r="C110" s="23">
        <v>10.58</v>
      </c>
      <c r="D110" s="22" t="s">
        <v>25</v>
      </c>
      <c r="E110" s="22"/>
    </row>
    <row r="111" spans="1:5">
      <c r="A111" s="21">
        <v>44739</v>
      </c>
      <c r="B111" s="22" t="s">
        <v>51</v>
      </c>
      <c r="C111" s="23">
        <v>30</v>
      </c>
      <c r="D111" s="22" t="s">
        <v>27</v>
      </c>
      <c r="E111" s="22"/>
    </row>
    <row r="112" spans="1:5">
      <c r="A112" s="21">
        <v>44739</v>
      </c>
      <c r="B112" s="22" t="s">
        <v>52</v>
      </c>
      <c r="C112" s="23">
        <f>51.25+25+25.63</f>
        <v>101.88</v>
      </c>
      <c r="D112" s="22" t="s">
        <v>29</v>
      </c>
      <c r="E112" s="22"/>
    </row>
    <row r="113" spans="1:5">
      <c r="A113" s="21">
        <v>44739</v>
      </c>
      <c r="B113" s="22"/>
      <c r="C113" s="23">
        <v>5.39</v>
      </c>
      <c r="D113" s="22" t="s">
        <v>19</v>
      </c>
      <c r="E113" s="22"/>
    </row>
    <row r="114" spans="1:5">
      <c r="A114" s="21">
        <v>44739</v>
      </c>
      <c r="B114" s="22"/>
      <c r="C114" s="23">
        <v>70.069999999999993</v>
      </c>
      <c r="D114" s="22" t="s">
        <v>23</v>
      </c>
      <c r="E114" s="22"/>
    </row>
    <row r="115" spans="1:5">
      <c r="A115" s="21">
        <v>44739</v>
      </c>
      <c r="B115" s="22"/>
      <c r="C115" s="23">
        <v>419.46</v>
      </c>
      <c r="D115" s="22" t="s">
        <v>9</v>
      </c>
      <c r="E115" s="22"/>
    </row>
    <row r="116" spans="1:5">
      <c r="A116" s="21">
        <v>44739</v>
      </c>
      <c r="B116" s="22"/>
      <c r="C116" s="23">
        <v>14.95</v>
      </c>
      <c r="D116" s="22" t="s">
        <v>7</v>
      </c>
      <c r="E116" s="22"/>
    </row>
    <row r="117" spans="1:5">
      <c r="A117" s="21">
        <v>44739</v>
      </c>
      <c r="B117" s="22"/>
      <c r="C117" s="23">
        <v>272.93</v>
      </c>
      <c r="D117" s="31" t="s">
        <v>36</v>
      </c>
      <c r="E117" s="22"/>
    </row>
    <row r="118" spans="1:5">
      <c r="A118" s="21">
        <v>44739</v>
      </c>
      <c r="B118" s="22"/>
      <c r="C118" s="23">
        <v>31.93</v>
      </c>
      <c r="D118" s="31" t="s">
        <v>11</v>
      </c>
      <c r="E118" s="22"/>
    </row>
    <row r="119" spans="1:5">
      <c r="A119" s="21">
        <v>44739</v>
      </c>
      <c r="B119" s="22"/>
      <c r="C119" s="23">
        <v>300</v>
      </c>
      <c r="D119" s="31" t="s">
        <v>34</v>
      </c>
      <c r="E119" s="22" t="s">
        <v>74</v>
      </c>
    </row>
    <row r="120" spans="1:5">
      <c r="A120" s="21">
        <v>44739</v>
      </c>
      <c r="B120" s="22"/>
      <c r="C120" s="23">
        <v>450</v>
      </c>
      <c r="D120" s="31" t="s">
        <v>13</v>
      </c>
      <c r="E120" s="22" t="s">
        <v>75</v>
      </c>
    </row>
    <row r="121" spans="1:5" ht="30.75">
      <c r="A121" s="21">
        <v>44739</v>
      </c>
      <c r="B121" s="22" t="s">
        <v>55</v>
      </c>
      <c r="C121" s="23">
        <v>50</v>
      </c>
      <c r="D121" s="31" t="s">
        <v>31</v>
      </c>
      <c r="E121" s="22"/>
    </row>
    <row r="122" spans="1:5" ht="30.75">
      <c r="A122" s="21">
        <v>44739</v>
      </c>
      <c r="B122" s="22" t="s">
        <v>56</v>
      </c>
      <c r="C122" s="23">
        <v>500</v>
      </c>
      <c r="D122" s="31" t="s">
        <v>33</v>
      </c>
      <c r="E122" s="22"/>
    </row>
    <row r="123" spans="1:5">
      <c r="A123" s="21">
        <v>44739</v>
      </c>
      <c r="B123" s="22" t="s">
        <v>57</v>
      </c>
      <c r="C123" s="23">
        <v>5.44</v>
      </c>
      <c r="D123" s="22" t="s">
        <v>11</v>
      </c>
      <c r="E123" s="22"/>
    </row>
    <row r="124" spans="1:5">
      <c r="A124" s="32">
        <v>44708</v>
      </c>
      <c r="B124" s="28" t="s">
        <v>5</v>
      </c>
      <c r="C124" s="29">
        <v>4027.09</v>
      </c>
      <c r="D124" s="28" t="s">
        <v>5</v>
      </c>
      <c r="E124" s="30"/>
    </row>
    <row r="125" spans="1:5">
      <c r="A125" s="21">
        <v>44708</v>
      </c>
      <c r="B125" s="22" t="s">
        <v>45</v>
      </c>
      <c r="C125" s="23">
        <v>58.15</v>
      </c>
      <c r="D125" s="22" t="s">
        <v>15</v>
      </c>
      <c r="E125" s="22"/>
    </row>
    <row r="126" spans="1:5">
      <c r="A126" s="21">
        <v>44708</v>
      </c>
      <c r="B126" s="22" t="s">
        <v>46</v>
      </c>
      <c r="C126" s="23">
        <v>63.6</v>
      </c>
      <c r="D126" s="22" t="s">
        <v>15</v>
      </c>
      <c r="E126" s="22"/>
    </row>
    <row r="127" spans="1:5">
      <c r="A127" s="21">
        <v>44708</v>
      </c>
      <c r="B127" s="22" t="s">
        <v>47</v>
      </c>
      <c r="C127" s="23">
        <v>1333</v>
      </c>
      <c r="D127" s="22" t="s">
        <v>17</v>
      </c>
      <c r="E127" s="22"/>
    </row>
    <row r="128" spans="1:5">
      <c r="A128" s="21">
        <v>44708</v>
      </c>
      <c r="B128" s="22" t="s">
        <v>48</v>
      </c>
      <c r="C128" s="23">
        <v>5.25</v>
      </c>
      <c r="D128" s="35" t="s">
        <v>21</v>
      </c>
      <c r="E128" s="22"/>
    </row>
    <row r="129" spans="1:5">
      <c r="A129" s="21">
        <v>44708</v>
      </c>
      <c r="B129" s="22" t="s">
        <v>49</v>
      </c>
      <c r="C129" s="23">
        <v>14.25</v>
      </c>
      <c r="D129" s="35" t="s">
        <v>21</v>
      </c>
      <c r="E129" s="22"/>
    </row>
    <row r="130" spans="1:5">
      <c r="A130" s="21">
        <v>44708</v>
      </c>
      <c r="B130" s="22" t="s">
        <v>50</v>
      </c>
      <c r="C130" s="23">
        <v>10.58</v>
      </c>
      <c r="D130" s="22" t="s">
        <v>25</v>
      </c>
      <c r="E130" s="22"/>
    </row>
    <row r="131" spans="1:5">
      <c r="A131" s="21">
        <v>44708</v>
      </c>
      <c r="B131" s="22" t="s">
        <v>51</v>
      </c>
      <c r="C131" s="23">
        <v>30</v>
      </c>
      <c r="D131" s="22" t="s">
        <v>27</v>
      </c>
      <c r="E131" s="22"/>
    </row>
    <row r="132" spans="1:5">
      <c r="A132" s="21">
        <v>44708</v>
      </c>
      <c r="B132" s="22" t="s">
        <v>52</v>
      </c>
      <c r="C132" s="23">
        <f>51.25+25+25.63</f>
        <v>101.88</v>
      </c>
      <c r="D132" s="22" t="s">
        <v>29</v>
      </c>
      <c r="E132" s="22"/>
    </row>
    <row r="133" spans="1:5">
      <c r="A133" s="21">
        <v>44708</v>
      </c>
      <c r="B133" s="22"/>
      <c r="C133" s="23">
        <v>5.39</v>
      </c>
      <c r="D133" s="22" t="s">
        <v>19</v>
      </c>
      <c r="E133" s="22"/>
    </row>
    <row r="134" spans="1:5">
      <c r="A134" s="21">
        <v>44708</v>
      </c>
      <c r="B134" s="22"/>
      <c r="C134" s="23">
        <f>208.19-C125-C126-C128-C129</f>
        <v>66.94</v>
      </c>
      <c r="D134" s="22" t="s">
        <v>22</v>
      </c>
      <c r="E134" s="22"/>
    </row>
    <row r="135" spans="1:5">
      <c r="A135" s="21">
        <v>44708</v>
      </c>
      <c r="B135" s="22"/>
      <c r="C135" s="23">
        <v>120.68</v>
      </c>
      <c r="D135" s="22" t="s">
        <v>23</v>
      </c>
      <c r="E135" s="22"/>
    </row>
    <row r="136" spans="1:5">
      <c r="A136" s="21">
        <v>44708</v>
      </c>
      <c r="B136" s="22"/>
      <c r="C136" s="23">
        <v>597.28</v>
      </c>
      <c r="D136" s="22" t="s">
        <v>9</v>
      </c>
      <c r="E136" s="22"/>
    </row>
    <row r="137" spans="1:5">
      <c r="A137" s="21">
        <v>44708</v>
      </c>
      <c r="B137" s="22"/>
      <c r="C137" s="23">
        <v>83.66</v>
      </c>
      <c r="D137" s="22" t="s">
        <v>7</v>
      </c>
      <c r="E137" s="22"/>
    </row>
    <row r="138" spans="1:5">
      <c r="A138" s="21">
        <v>44708</v>
      </c>
      <c r="B138" s="22"/>
      <c r="C138" s="23">
        <v>217.89</v>
      </c>
      <c r="D138" s="22" t="s">
        <v>36</v>
      </c>
      <c r="E138" s="22"/>
    </row>
    <row r="139" spans="1:5">
      <c r="A139" s="21">
        <v>44708</v>
      </c>
      <c r="B139" s="22"/>
      <c r="C139" s="23">
        <v>359.8</v>
      </c>
      <c r="D139" s="22" t="s">
        <v>11</v>
      </c>
      <c r="E139" s="22"/>
    </row>
    <row r="140" spans="1:5">
      <c r="A140" s="21">
        <v>44708</v>
      </c>
      <c r="B140" s="22"/>
      <c r="C140" s="23">
        <v>2494</v>
      </c>
      <c r="D140" s="22" t="s">
        <v>34</v>
      </c>
      <c r="E140" s="22" t="s">
        <v>76</v>
      </c>
    </row>
    <row r="141" spans="1:5" ht="30.75">
      <c r="A141" s="21">
        <v>44708</v>
      </c>
      <c r="B141" s="22" t="s">
        <v>55</v>
      </c>
      <c r="C141" s="23">
        <v>50</v>
      </c>
      <c r="D141" s="31" t="s">
        <v>31</v>
      </c>
      <c r="E141" s="22"/>
    </row>
    <row r="142" spans="1:5" ht="30.75">
      <c r="A142" s="21">
        <v>44708</v>
      </c>
      <c r="B142" s="22" t="s">
        <v>56</v>
      </c>
      <c r="C142" s="23">
        <v>500</v>
      </c>
      <c r="D142" s="31" t="s">
        <v>33</v>
      </c>
      <c r="E142" s="22"/>
    </row>
    <row r="143" spans="1:5">
      <c r="A143" s="21">
        <v>44708</v>
      </c>
      <c r="B143" s="22" t="s">
        <v>57</v>
      </c>
      <c r="C143" s="23">
        <v>5.44</v>
      </c>
      <c r="D143" s="22" t="s">
        <v>11</v>
      </c>
      <c r="E143" s="22"/>
    </row>
    <row r="144" spans="1:5">
      <c r="A144" s="32">
        <v>44678</v>
      </c>
      <c r="B144" s="28" t="s">
        <v>5</v>
      </c>
      <c r="C144" s="29">
        <v>4483.5</v>
      </c>
      <c r="D144" s="28" t="s">
        <v>5</v>
      </c>
      <c r="E144" s="30"/>
    </row>
    <row r="145" spans="1:5">
      <c r="A145" s="21">
        <v>44678</v>
      </c>
      <c r="B145" s="22" t="s">
        <v>45</v>
      </c>
      <c r="C145" s="23">
        <v>58.15</v>
      </c>
      <c r="D145" s="22" t="s">
        <v>15</v>
      </c>
      <c r="E145" s="22"/>
    </row>
    <row r="146" spans="1:5">
      <c r="A146" s="21">
        <v>44678</v>
      </c>
      <c r="B146" s="22" t="s">
        <v>46</v>
      </c>
      <c r="C146" s="23">
        <v>63.6</v>
      </c>
      <c r="D146" s="22" t="s">
        <v>15</v>
      </c>
      <c r="E146" s="22"/>
    </row>
    <row r="147" spans="1:5">
      <c r="A147" s="21">
        <v>44678</v>
      </c>
      <c r="B147" s="22" t="s">
        <v>47</v>
      </c>
      <c r="C147" s="23">
        <v>1333</v>
      </c>
      <c r="D147" s="22" t="s">
        <v>17</v>
      </c>
      <c r="E147" s="22"/>
    </row>
    <row r="148" spans="1:5">
      <c r="A148" s="21">
        <v>44678</v>
      </c>
      <c r="B148" s="22" t="s">
        <v>48</v>
      </c>
      <c r="C148" s="23">
        <v>5.25</v>
      </c>
      <c r="D148" s="35" t="s">
        <v>21</v>
      </c>
      <c r="E148" s="22"/>
    </row>
    <row r="149" spans="1:5">
      <c r="A149" s="21">
        <v>44678</v>
      </c>
      <c r="B149" s="22" t="s">
        <v>49</v>
      </c>
      <c r="C149" s="23">
        <v>14.25</v>
      </c>
      <c r="D149" s="35" t="s">
        <v>21</v>
      </c>
      <c r="E149" s="22"/>
    </row>
    <row r="150" spans="1:5">
      <c r="A150" s="21">
        <v>44678</v>
      </c>
      <c r="B150" s="22" t="s">
        <v>50</v>
      </c>
      <c r="C150" s="23">
        <v>10.58</v>
      </c>
      <c r="D150" s="22" t="s">
        <v>25</v>
      </c>
      <c r="E150" s="22"/>
    </row>
    <row r="151" spans="1:5">
      <c r="A151" s="21">
        <v>44678</v>
      </c>
      <c r="B151" s="22" t="s">
        <v>51</v>
      </c>
      <c r="C151" s="23">
        <v>30</v>
      </c>
      <c r="D151" s="22" t="s">
        <v>27</v>
      </c>
      <c r="E151" s="22"/>
    </row>
    <row r="152" spans="1:5">
      <c r="A152" s="21">
        <v>44678</v>
      </c>
      <c r="B152" s="22" t="s">
        <v>52</v>
      </c>
      <c r="C152" s="23">
        <f>51.25+25+25.63</f>
        <v>101.88</v>
      </c>
      <c r="D152" s="22" t="s">
        <v>29</v>
      </c>
      <c r="E152" s="22"/>
    </row>
    <row r="153" spans="1:5">
      <c r="A153" s="21">
        <v>44678</v>
      </c>
      <c r="B153" s="22"/>
      <c r="C153" s="23">
        <v>216.39</v>
      </c>
      <c r="D153" s="22" t="s">
        <v>19</v>
      </c>
      <c r="E153" s="22"/>
    </row>
    <row r="154" spans="1:5">
      <c r="A154" s="21">
        <v>44678</v>
      </c>
      <c r="B154" s="22"/>
      <c r="C154" s="23">
        <v>323.16000000000003</v>
      </c>
      <c r="D154" s="22" t="s">
        <v>9</v>
      </c>
      <c r="E154" s="22"/>
    </row>
    <row r="155" spans="1:5">
      <c r="A155" s="21">
        <v>44678</v>
      </c>
      <c r="B155" s="22"/>
      <c r="C155" s="23">
        <v>42.88</v>
      </c>
      <c r="D155" s="22" t="s">
        <v>7</v>
      </c>
      <c r="E155" s="22"/>
    </row>
    <row r="156" spans="1:5">
      <c r="A156" s="21">
        <v>44678</v>
      </c>
      <c r="B156" s="22"/>
      <c r="C156" s="23">
        <v>235.2</v>
      </c>
      <c r="D156" s="22" t="s">
        <v>36</v>
      </c>
      <c r="E156" s="22"/>
    </row>
    <row r="157" spans="1:5">
      <c r="A157" s="21">
        <v>44678</v>
      </c>
      <c r="B157" s="22"/>
      <c r="C157" s="23">
        <v>163.07</v>
      </c>
      <c r="D157" s="31" t="s">
        <v>11</v>
      </c>
      <c r="E157" s="22"/>
    </row>
    <row r="158" spans="1:5">
      <c r="A158" s="21">
        <v>44678</v>
      </c>
      <c r="B158" s="22"/>
      <c r="C158" s="23">
        <v>496</v>
      </c>
      <c r="D158" s="31" t="s">
        <v>34</v>
      </c>
      <c r="E158" s="22" t="s">
        <v>77</v>
      </c>
    </row>
    <row r="159" spans="1:5">
      <c r="A159" s="21">
        <v>44678</v>
      </c>
      <c r="B159" s="22"/>
      <c r="C159" s="23">
        <v>1235</v>
      </c>
      <c r="D159" s="31" t="s">
        <v>13</v>
      </c>
      <c r="E159" s="22" t="s">
        <v>78</v>
      </c>
    </row>
    <row r="160" spans="1:5" ht="30.75">
      <c r="A160" s="21">
        <v>44678</v>
      </c>
      <c r="B160" s="22" t="s">
        <v>55</v>
      </c>
      <c r="C160" s="23">
        <v>50</v>
      </c>
      <c r="D160" s="31" t="s">
        <v>31</v>
      </c>
      <c r="E160" s="22"/>
    </row>
    <row r="161" spans="1:5" ht="30.75">
      <c r="A161" s="21">
        <v>44678</v>
      </c>
      <c r="B161" s="22" t="s">
        <v>56</v>
      </c>
      <c r="C161" s="23">
        <v>500</v>
      </c>
      <c r="D161" s="31" t="s">
        <v>33</v>
      </c>
      <c r="E161" s="22"/>
    </row>
    <row r="162" spans="1:5">
      <c r="A162" s="21">
        <v>44678</v>
      </c>
      <c r="B162" s="22" t="s">
        <v>57</v>
      </c>
      <c r="C162" s="23">
        <v>5.44</v>
      </c>
      <c r="D162" s="22" t="s">
        <v>11</v>
      </c>
      <c r="E162" s="22"/>
    </row>
    <row r="163" spans="1:5">
      <c r="A163" s="32">
        <v>44647</v>
      </c>
      <c r="B163" s="28" t="s">
        <v>5</v>
      </c>
      <c r="C163" s="29">
        <v>3819.61</v>
      </c>
      <c r="D163" s="28" t="s">
        <v>5</v>
      </c>
      <c r="E163" s="30"/>
    </row>
    <row r="164" spans="1:5">
      <c r="A164" s="21">
        <v>44647</v>
      </c>
      <c r="B164" s="22" t="s">
        <v>45</v>
      </c>
      <c r="C164" s="23">
        <v>58.15</v>
      </c>
      <c r="D164" s="22" t="s">
        <v>15</v>
      </c>
      <c r="E164" s="22"/>
    </row>
    <row r="165" spans="1:5">
      <c r="A165" s="21">
        <v>44647</v>
      </c>
      <c r="B165" s="22" t="s">
        <v>46</v>
      </c>
      <c r="C165" s="23">
        <v>63.6</v>
      </c>
      <c r="D165" s="22" t="s">
        <v>15</v>
      </c>
      <c r="E165" s="22"/>
    </row>
    <row r="166" spans="1:5">
      <c r="A166" s="21">
        <v>44647</v>
      </c>
      <c r="B166" s="22" t="s">
        <v>47</v>
      </c>
      <c r="C166" s="23">
        <v>1333</v>
      </c>
      <c r="D166" s="22" t="s">
        <v>17</v>
      </c>
      <c r="E166" s="22"/>
    </row>
    <row r="167" spans="1:5">
      <c r="A167" s="21">
        <v>44647</v>
      </c>
      <c r="B167" s="22" t="s">
        <v>48</v>
      </c>
      <c r="C167" s="23">
        <v>5.25</v>
      </c>
      <c r="D167" s="35" t="s">
        <v>21</v>
      </c>
      <c r="E167" s="22"/>
    </row>
    <row r="168" spans="1:5">
      <c r="A168" s="21">
        <v>44647</v>
      </c>
      <c r="B168" s="22" t="s">
        <v>49</v>
      </c>
      <c r="C168" s="23">
        <v>14.25</v>
      </c>
      <c r="D168" s="35" t="s">
        <v>21</v>
      </c>
      <c r="E168" s="22"/>
    </row>
    <row r="169" spans="1:5">
      <c r="A169" s="21">
        <v>44647</v>
      </c>
      <c r="B169" s="22" t="s">
        <v>50</v>
      </c>
      <c r="C169" s="23">
        <v>10.58</v>
      </c>
      <c r="D169" s="22" t="s">
        <v>25</v>
      </c>
      <c r="E169" s="22"/>
    </row>
    <row r="170" spans="1:5">
      <c r="A170" s="21">
        <v>44647</v>
      </c>
      <c r="B170" s="22" t="s">
        <v>51</v>
      </c>
      <c r="C170" s="23">
        <v>30</v>
      </c>
      <c r="D170" s="22" t="s">
        <v>27</v>
      </c>
      <c r="E170" s="22"/>
    </row>
    <row r="171" spans="1:5">
      <c r="A171" s="21">
        <v>44647</v>
      </c>
      <c r="B171" s="22" t="s">
        <v>52</v>
      </c>
      <c r="C171" s="23">
        <f>51.25+25+25.63</f>
        <v>101.88</v>
      </c>
      <c r="D171" s="22" t="s">
        <v>29</v>
      </c>
      <c r="E171" s="22"/>
    </row>
    <row r="172" spans="1:5">
      <c r="A172" s="21">
        <v>44647</v>
      </c>
      <c r="B172" s="22"/>
      <c r="C172" s="23">
        <v>159.24</v>
      </c>
      <c r="D172" s="22" t="s">
        <v>23</v>
      </c>
      <c r="E172" s="22"/>
    </row>
    <row r="173" spans="1:5">
      <c r="A173" s="21">
        <v>44647</v>
      </c>
      <c r="B173" s="22"/>
      <c r="C173" s="23">
        <f>153.16-C164-C165-C167-C168</f>
        <v>11.909999999999989</v>
      </c>
      <c r="D173" s="22" t="s">
        <v>22</v>
      </c>
      <c r="E173" s="22"/>
    </row>
    <row r="174" spans="1:5">
      <c r="A174" s="21">
        <v>44647</v>
      </c>
      <c r="B174" s="22"/>
      <c r="C174" s="23">
        <v>477.3</v>
      </c>
      <c r="D174" s="22" t="s">
        <v>9</v>
      </c>
      <c r="E174" s="22"/>
    </row>
    <row r="175" spans="1:5">
      <c r="A175" s="21">
        <v>44647</v>
      </c>
      <c r="B175" s="22"/>
      <c r="C175" s="23">
        <v>76.53</v>
      </c>
      <c r="D175" s="22" t="s">
        <v>7</v>
      </c>
      <c r="E175" s="22"/>
    </row>
    <row r="176" spans="1:5">
      <c r="A176" s="21">
        <v>44647</v>
      </c>
      <c r="B176" s="22"/>
      <c r="C176" s="23">
        <v>133.96</v>
      </c>
      <c r="D176" s="31" t="s">
        <v>36</v>
      </c>
      <c r="E176" s="22"/>
    </row>
    <row r="177" spans="1:5">
      <c r="A177" s="21">
        <v>44647</v>
      </c>
      <c r="B177" s="22"/>
      <c r="C177" s="23">
        <v>42.99</v>
      </c>
      <c r="D177" s="31" t="s">
        <v>11</v>
      </c>
      <c r="E177" s="22"/>
    </row>
    <row r="178" spans="1:5">
      <c r="A178" s="21">
        <v>44647</v>
      </c>
      <c r="B178" s="22"/>
      <c r="C178" s="23">
        <v>486</v>
      </c>
      <c r="D178" s="31" t="s">
        <v>34</v>
      </c>
      <c r="E178" s="22" t="s">
        <v>79</v>
      </c>
    </row>
    <row r="179" spans="1:5" ht="30.75">
      <c r="A179" s="21">
        <v>44647</v>
      </c>
      <c r="B179" s="22" t="s">
        <v>55</v>
      </c>
      <c r="C179" s="23">
        <v>50</v>
      </c>
      <c r="D179" s="31" t="s">
        <v>31</v>
      </c>
      <c r="E179" s="22"/>
    </row>
    <row r="180" spans="1:5" ht="30.75">
      <c r="A180" s="21">
        <v>44647</v>
      </c>
      <c r="B180" s="22" t="s">
        <v>56</v>
      </c>
      <c r="C180" s="23">
        <v>500</v>
      </c>
      <c r="D180" s="31" t="s">
        <v>33</v>
      </c>
      <c r="E180" s="22"/>
    </row>
    <row r="181" spans="1:5">
      <c r="A181" s="21">
        <v>44647</v>
      </c>
      <c r="B181" s="22" t="s">
        <v>57</v>
      </c>
      <c r="C181" s="23">
        <v>5.44</v>
      </c>
      <c r="D181" s="22" t="s">
        <v>11</v>
      </c>
      <c r="E181" s="22"/>
    </row>
  </sheetData>
  <autoFilter ref="A1:E1" xr:uid="{582D2A56-68D7-45B1-BA63-3E62FF7F128C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AA08FF-98C0-433E-9495-268819A2C74C}">
          <x14:formula1>
            <xm:f>Personalise!$E$8:$E$26</xm:f>
          </x14:formula1>
          <xm:sqref>D1:D127 D130:D147 D150:D166 D169:D1048576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4357-346B-4A4E-A3E9-691C180E1BDA}">
  <dimension ref="A1:Q165"/>
  <sheetViews>
    <sheetView workbookViewId="0">
      <selection activeCell="L17" sqref="L17"/>
    </sheetView>
  </sheetViews>
  <sheetFormatPr defaultRowHeight="15"/>
  <cols>
    <col min="1" max="1" width="7.28515625" bestFit="1" customWidth="1"/>
    <col min="2" max="2" width="10.7109375" bestFit="1" customWidth="1"/>
    <col min="3" max="3" width="24.42578125" bestFit="1" customWidth="1"/>
    <col min="4" max="4" width="17.140625" style="36" bestFit="1" customWidth="1"/>
    <col min="5" max="5" width="12.5703125" bestFit="1" customWidth="1"/>
    <col min="6" max="6" width="21.5703125" style="37" bestFit="1" customWidth="1"/>
    <col min="7" max="7" width="26" style="37" hidden="1" customWidth="1"/>
    <col min="8" max="8" width="17" style="37" hidden="1" customWidth="1"/>
    <col min="9" max="9" width="15.28515625" style="37" hidden="1" customWidth="1"/>
    <col min="10" max="10" width="20.140625" bestFit="1" customWidth="1"/>
    <col min="11" max="11" width="11.5703125" style="38" bestFit="1" customWidth="1"/>
    <col min="12" max="12" width="10.5703125" bestFit="1" customWidth="1"/>
    <col min="15" max="15" width="18.42578125" hidden="1" customWidth="1"/>
    <col min="16" max="16" width="13.28515625" hidden="1" customWidth="1"/>
  </cols>
  <sheetData>
    <row r="1" spans="1:17">
      <c r="A1" t="s">
        <v>80</v>
      </c>
      <c r="B1" t="s">
        <v>81</v>
      </c>
      <c r="C1" t="s">
        <v>43</v>
      </c>
      <c r="D1" s="36" t="s">
        <v>82</v>
      </c>
      <c r="E1" t="s">
        <v>83</v>
      </c>
      <c r="F1" s="37" t="s">
        <v>84</v>
      </c>
      <c r="G1" s="37" t="s">
        <v>85</v>
      </c>
      <c r="H1" t="s">
        <v>86</v>
      </c>
      <c r="I1" t="s">
        <v>87</v>
      </c>
      <c r="J1" t="s">
        <v>88</v>
      </c>
      <c r="K1" s="38" t="s">
        <v>89</v>
      </c>
      <c r="O1" t="s">
        <v>86</v>
      </c>
      <c r="P1" t="s">
        <v>87</v>
      </c>
    </row>
    <row r="2" spans="1:17">
      <c r="A2">
        <v>2022</v>
      </c>
      <c r="B2" t="s">
        <v>90</v>
      </c>
      <c r="C2" t="s">
        <v>23</v>
      </c>
      <c r="D2" s="36">
        <v>159.24</v>
      </c>
      <c r="E2">
        <f>D2/$D$11</f>
        <v>4.1690120195517343E-2</v>
      </c>
      <c r="F2" s="37">
        <f>E2*100</f>
        <v>4.1690120195517339</v>
      </c>
      <c r="G2" s="37">
        <f>IF(C2 = "Car Gas",5,0)</f>
        <v>5</v>
      </c>
      <c r="H2" t="s">
        <v>91</v>
      </c>
      <c r="I2">
        <v>25</v>
      </c>
      <c r="O2" t="s">
        <v>91</v>
      </c>
      <c r="P2">
        <v>25</v>
      </c>
    </row>
    <row r="3" spans="1:17">
      <c r="A3">
        <v>2022</v>
      </c>
      <c r="B3" t="s">
        <v>90</v>
      </c>
      <c r="C3" t="s">
        <v>15</v>
      </c>
      <c r="D3" s="36">
        <v>121.75</v>
      </c>
      <c r="E3">
        <f>D3/$D$11</f>
        <v>3.1874982000780185E-2</v>
      </c>
      <c r="F3" s="37">
        <f>E3*100</f>
        <v>3.1874982000780183</v>
      </c>
      <c r="G3" s="37">
        <f>IF(C3 = "Car Insurance",4,0)</f>
        <v>4</v>
      </c>
      <c r="H3" t="s">
        <v>92</v>
      </c>
      <c r="I3">
        <v>10</v>
      </c>
      <c r="O3" t="s">
        <v>92</v>
      </c>
      <c r="P3">
        <v>10</v>
      </c>
    </row>
    <row r="4" spans="1:17">
      <c r="A4">
        <v>2022</v>
      </c>
      <c r="B4" t="s">
        <v>90</v>
      </c>
      <c r="C4" t="s">
        <v>21</v>
      </c>
      <c r="D4" s="36">
        <v>19.5</v>
      </c>
      <c r="E4">
        <f>D4/$D$11</f>
        <v>5.1052332567984686E-3</v>
      </c>
      <c r="F4" s="37">
        <f>E4*100</f>
        <v>0.51052332567984682</v>
      </c>
      <c r="G4" s="37">
        <f>IF(C4 = "Car Registration",1,0)</f>
        <v>1</v>
      </c>
      <c r="H4" s="33" t="s">
        <v>93</v>
      </c>
      <c r="I4" t="s">
        <v>94</v>
      </c>
      <c r="O4" s="33" t="s">
        <v>93</v>
      </c>
      <c r="P4" t="s">
        <v>94</v>
      </c>
      <c r="Q4" s="37"/>
    </row>
    <row r="5" spans="1:17">
      <c r="A5">
        <v>2022</v>
      </c>
      <c r="B5" t="s">
        <v>90</v>
      </c>
      <c r="C5" t="s">
        <v>22</v>
      </c>
      <c r="D5" s="36">
        <v>11.909999999999901</v>
      </c>
      <c r="E5">
        <f t="shared" ref="E5:E7" si="0">D5/$D$11</f>
        <v>3.1181193891522694E-3</v>
      </c>
      <c r="F5" s="37">
        <f t="shared" ref="F5:F70" si="1">E5*100</f>
        <v>0.31181193891522696</v>
      </c>
      <c r="G5" s="37">
        <f>IF(C5 = "Car Repair",1,0)</f>
        <v>1</v>
      </c>
      <c r="H5" t="s">
        <v>95</v>
      </c>
      <c r="I5">
        <v>5</v>
      </c>
      <c r="O5" t="s">
        <v>95</v>
      </c>
      <c r="P5">
        <v>5</v>
      </c>
    </row>
    <row r="6" spans="1:17">
      <c r="A6">
        <v>2022</v>
      </c>
      <c r="B6" t="s">
        <v>90</v>
      </c>
      <c r="C6" t="s">
        <v>29</v>
      </c>
      <c r="D6" s="36">
        <v>101.88</v>
      </c>
      <c r="E6">
        <f t="shared" si="0"/>
        <v>2.6672880215519383E-2</v>
      </c>
      <c r="F6" s="37">
        <f t="shared" si="1"/>
        <v>2.6672880215519381</v>
      </c>
      <c r="G6" s="37">
        <f>IF(C6 = "Donations",2.5,0)</f>
        <v>2.5</v>
      </c>
      <c r="H6" t="s">
        <v>96</v>
      </c>
      <c r="I6">
        <v>0.25</v>
      </c>
      <c r="O6" t="s">
        <v>96</v>
      </c>
      <c r="P6">
        <v>0.25</v>
      </c>
    </row>
    <row r="7" spans="1:17">
      <c r="A7">
        <v>2022</v>
      </c>
      <c r="B7" t="s">
        <v>90</v>
      </c>
      <c r="C7" t="s">
        <v>7</v>
      </c>
      <c r="D7" s="36">
        <v>76.53</v>
      </c>
      <c r="E7">
        <f t="shared" si="0"/>
        <v>2.0036076981681375E-2</v>
      </c>
      <c r="F7" s="37">
        <f t="shared" si="1"/>
        <v>2.0036076981681377</v>
      </c>
      <c r="G7" s="37">
        <f>IF(C7 = "Eating Out",2.1,0)</f>
        <v>2.1</v>
      </c>
      <c r="H7" t="s">
        <v>27</v>
      </c>
      <c r="I7">
        <v>0.74</v>
      </c>
      <c r="O7" t="s">
        <v>27</v>
      </c>
      <c r="P7">
        <v>0.74</v>
      </c>
    </row>
    <row r="8" spans="1:17">
      <c r="A8">
        <v>2022</v>
      </c>
      <c r="B8" t="s">
        <v>90</v>
      </c>
      <c r="C8" t="s">
        <v>11</v>
      </c>
      <c r="D8" s="36">
        <v>48.43</v>
      </c>
      <c r="E8">
        <f>D8/$D$11</f>
        <v>1.267930495521794E-2</v>
      </c>
      <c r="F8" s="37">
        <f t="shared" si="1"/>
        <v>1.267930495521794</v>
      </c>
      <c r="G8" s="37">
        <f>IF(C8 = "Entertainment",9,0)</f>
        <v>9</v>
      </c>
      <c r="H8" t="s">
        <v>29</v>
      </c>
      <c r="I8">
        <v>2.5</v>
      </c>
      <c r="O8" t="s">
        <v>29</v>
      </c>
      <c r="P8">
        <v>2.5</v>
      </c>
    </row>
    <row r="9" spans="1:17" ht="15" customHeight="1">
      <c r="A9">
        <v>2022</v>
      </c>
      <c r="B9" t="s">
        <v>90</v>
      </c>
      <c r="C9" t="s">
        <v>9</v>
      </c>
      <c r="D9" s="36">
        <v>477.3</v>
      </c>
      <c r="E9">
        <f>D9/$D$11</f>
        <v>0.1249604017164056</v>
      </c>
      <c r="F9" s="37">
        <f t="shared" si="1"/>
        <v>12.49604017164056</v>
      </c>
      <c r="G9" s="37">
        <f>IF(C9 = "Groceries",11,0)</f>
        <v>11</v>
      </c>
      <c r="H9" s="33" t="s">
        <v>97</v>
      </c>
      <c r="I9">
        <v>15</v>
      </c>
      <c r="O9" s="33" t="s">
        <v>97</v>
      </c>
      <c r="P9">
        <v>15</v>
      </c>
    </row>
    <row r="10" spans="1:17" ht="15" customHeight="1">
      <c r="A10">
        <v>2022</v>
      </c>
      <c r="B10" t="s">
        <v>90</v>
      </c>
      <c r="C10" t="s">
        <v>36</v>
      </c>
      <c r="D10" s="36">
        <v>133.96</v>
      </c>
      <c r="E10">
        <f>D10/$D$11</f>
        <v>3.5071643440037076E-2</v>
      </c>
      <c r="F10" s="37">
        <f t="shared" si="1"/>
        <v>3.5071643440037077</v>
      </c>
      <c r="G10" s="37">
        <f>IF(C10 = "Household Items+Laundry",2,0)</f>
        <v>2</v>
      </c>
      <c r="H10" s="33" t="s">
        <v>98</v>
      </c>
      <c r="I10"/>
      <c r="O10" s="33" t="s">
        <v>98</v>
      </c>
    </row>
    <row r="11" spans="1:17">
      <c r="A11">
        <v>2022</v>
      </c>
      <c r="B11" t="s">
        <v>90</v>
      </c>
      <c r="C11" t="s">
        <v>5</v>
      </c>
      <c r="D11" s="36">
        <v>3819.61</v>
      </c>
      <c r="E11">
        <f t="shared" ref="E11:E19" si="2">D11/$D$11</f>
        <v>1</v>
      </c>
      <c r="G11" s="37">
        <f t="shared" ref="G11:G21" si="3">IF(C11 = "Rent + Parking",25,0)</f>
        <v>0</v>
      </c>
      <c r="H11" t="s">
        <v>9</v>
      </c>
      <c r="I11">
        <v>11</v>
      </c>
      <c r="O11" t="s">
        <v>9</v>
      </c>
      <c r="P11">
        <v>11</v>
      </c>
    </row>
    <row r="12" spans="1:17" ht="30.75">
      <c r="A12">
        <v>2022</v>
      </c>
      <c r="B12" t="s">
        <v>90</v>
      </c>
      <c r="C12" s="33" t="s">
        <v>31</v>
      </c>
      <c r="D12" s="36">
        <v>50</v>
      </c>
      <c r="E12">
        <f t="shared" si="2"/>
        <v>1.3090341684098637E-2</v>
      </c>
      <c r="F12" s="37">
        <f t="shared" si="1"/>
        <v>1.3090341684098636</v>
      </c>
      <c r="G12" s="37">
        <f>IF(C12 = "Mutual Fund Investment
(vtsax and vti)",7.5,0)</f>
        <v>7.5</v>
      </c>
      <c r="H12" t="s">
        <v>7</v>
      </c>
      <c r="I12">
        <v>2.1</v>
      </c>
      <c r="N12" s="37"/>
      <c r="O12" t="s">
        <v>7</v>
      </c>
      <c r="P12">
        <v>2.1</v>
      </c>
    </row>
    <row r="13" spans="1:17">
      <c r="A13">
        <v>2022</v>
      </c>
      <c r="B13" t="s">
        <v>90</v>
      </c>
      <c r="C13" t="s">
        <v>27</v>
      </c>
      <c r="D13" s="36">
        <v>30</v>
      </c>
      <c r="E13">
        <f t="shared" si="2"/>
        <v>7.8542050104591834E-3</v>
      </c>
      <c r="F13" s="37">
        <f t="shared" si="1"/>
        <v>0.78542050104591832</v>
      </c>
      <c r="G13" s="37">
        <f>IF(C13 = "Phone",0.74,0)</f>
        <v>0.74</v>
      </c>
      <c r="H13" s="33" t="s">
        <v>99</v>
      </c>
      <c r="I13">
        <v>2</v>
      </c>
      <c r="O13" s="33" t="s">
        <v>99</v>
      </c>
      <c r="P13">
        <v>2</v>
      </c>
    </row>
    <row r="14" spans="1:17">
      <c r="A14">
        <v>2022</v>
      </c>
      <c r="B14" t="s">
        <v>90</v>
      </c>
      <c r="C14" t="s">
        <v>17</v>
      </c>
      <c r="D14" s="36">
        <v>1333</v>
      </c>
      <c r="E14">
        <f>D14/$D$11</f>
        <v>0.34898850929806968</v>
      </c>
      <c r="F14" s="37">
        <f t="shared" si="1"/>
        <v>34.898850929806969</v>
      </c>
      <c r="G14" s="37">
        <f>IF(C14 = "Rent + Parking",25,0)</f>
        <v>25</v>
      </c>
      <c r="H14" t="s">
        <v>11</v>
      </c>
      <c r="I14">
        <v>9</v>
      </c>
      <c r="N14" s="37"/>
      <c r="O14" t="s">
        <v>11</v>
      </c>
      <c r="P14">
        <v>9</v>
      </c>
    </row>
    <row r="15" spans="1:17">
      <c r="A15">
        <v>2022</v>
      </c>
      <c r="B15" t="s">
        <v>90</v>
      </c>
      <c r="C15" t="s">
        <v>25</v>
      </c>
      <c r="D15" s="36">
        <v>10.58</v>
      </c>
      <c r="E15">
        <f t="shared" si="2"/>
        <v>2.7699163003552718E-3</v>
      </c>
      <c r="F15" s="37">
        <f t="shared" si="1"/>
        <v>0.27699163003552718</v>
      </c>
      <c r="G15" s="37">
        <f>IF(C15 = "Renter's Insurance",0.25,0)</f>
        <v>0.25</v>
      </c>
      <c r="H15" t="s">
        <v>34</v>
      </c>
      <c r="I15">
        <v>9</v>
      </c>
      <c r="O15" t="s">
        <v>34</v>
      </c>
      <c r="P15">
        <v>9</v>
      </c>
    </row>
    <row r="16" spans="1:17" ht="45.75">
      <c r="A16">
        <v>2022</v>
      </c>
      <c r="B16" t="s">
        <v>90</v>
      </c>
      <c r="C16" s="33" t="s">
        <v>33</v>
      </c>
      <c r="D16" s="36">
        <v>500</v>
      </c>
      <c r="E16">
        <f t="shared" si="2"/>
        <v>0.13090341684098639</v>
      </c>
      <c r="F16" s="37">
        <f t="shared" si="1"/>
        <v>13.09034168409864</v>
      </c>
      <c r="G16" s="37">
        <f>IF(C16 = "Retirement Fund Investment
(target date 2060 roth)",7.5,0)</f>
        <v>7.5</v>
      </c>
      <c r="H16" t="s">
        <v>13</v>
      </c>
      <c r="I16">
        <v>2.41</v>
      </c>
      <c r="O16" t="s">
        <v>13</v>
      </c>
      <c r="P16">
        <v>2.41</v>
      </c>
    </row>
    <row r="17" spans="1:16">
      <c r="A17">
        <v>2022</v>
      </c>
      <c r="B17" t="s">
        <v>90</v>
      </c>
      <c r="C17" t="s">
        <v>34</v>
      </c>
      <c r="D17" s="36">
        <v>486</v>
      </c>
      <c r="E17">
        <f t="shared" si="2"/>
        <v>0.12723812116943875</v>
      </c>
      <c r="F17" s="37">
        <f t="shared" si="1"/>
        <v>12.723812116943876</v>
      </c>
      <c r="G17" s="37">
        <f>IF(C17 = "Travel",9,0)</f>
        <v>9</v>
      </c>
      <c r="H17" s="37" t="s">
        <v>38</v>
      </c>
      <c r="I17" s="37">
        <v>100</v>
      </c>
      <c r="J17" s="37">
        <f>100-SUM(F2:F17)</f>
        <v>6.7946727545482446</v>
      </c>
      <c r="K17" s="36">
        <f>D11-SUM(D2:D10)-SUM(D12:D17)</f>
        <v>259.5300000000002</v>
      </c>
      <c r="L17" s="36"/>
      <c r="O17" t="s">
        <v>38</v>
      </c>
      <c r="P17">
        <f>SUM(P2:P16)</f>
        <v>94</v>
      </c>
    </row>
    <row r="18" spans="1:16" s="39" customFormat="1">
      <c r="D18" s="40"/>
      <c r="F18" s="41"/>
      <c r="G18" s="41"/>
      <c r="H18" s="41"/>
      <c r="I18" s="41"/>
      <c r="K18" s="42"/>
    </row>
    <row r="19" spans="1:16">
      <c r="A19">
        <v>2022</v>
      </c>
      <c r="B19" t="s">
        <v>100</v>
      </c>
      <c r="C19" t="s">
        <v>15</v>
      </c>
      <c r="D19" s="36">
        <v>121.75</v>
      </c>
      <c r="E19">
        <f>D19/$D$27</f>
        <v>2.7155124344819894E-2</v>
      </c>
      <c r="F19" s="37">
        <f t="shared" si="1"/>
        <v>2.7155124344819894</v>
      </c>
      <c r="G19" s="37">
        <f>IF(C19 = "Car Insurance",4,0)</f>
        <v>4</v>
      </c>
      <c r="H19" t="s">
        <v>91</v>
      </c>
      <c r="I19">
        <v>25</v>
      </c>
    </row>
    <row r="20" spans="1:16">
      <c r="A20">
        <v>2022</v>
      </c>
      <c r="B20" t="s">
        <v>100</v>
      </c>
      <c r="C20" t="s">
        <v>21</v>
      </c>
      <c r="D20" s="36">
        <v>19.5</v>
      </c>
      <c r="E20">
        <f>D20/$D$27</f>
        <v>4.349280695884911E-3</v>
      </c>
      <c r="F20" s="37">
        <f t="shared" si="1"/>
        <v>0.43492806958849112</v>
      </c>
      <c r="G20" s="37">
        <f>IF(C20 = "Car Registration",1,0)</f>
        <v>1</v>
      </c>
      <c r="H20" t="s">
        <v>92</v>
      </c>
      <c r="I20">
        <v>10</v>
      </c>
    </row>
    <row r="21" spans="1:16">
      <c r="A21">
        <v>2022</v>
      </c>
      <c r="B21" t="s">
        <v>100</v>
      </c>
      <c r="C21" t="s">
        <v>29</v>
      </c>
      <c r="D21" s="36">
        <v>101.88</v>
      </c>
      <c r="E21">
        <f t="shared" ref="E21:E33" si="4">D21/$D$27</f>
        <v>2.2723318835731011E-2</v>
      </c>
      <c r="F21" s="37">
        <f t="shared" si="1"/>
        <v>2.2723318835731012</v>
      </c>
      <c r="G21" s="37">
        <f>IF(C21 = "Donations",2.5,0)</f>
        <v>2.5</v>
      </c>
      <c r="H21" s="33" t="s">
        <v>93</v>
      </c>
      <c r="I21" t="s">
        <v>94</v>
      </c>
    </row>
    <row r="22" spans="1:16">
      <c r="A22">
        <v>2022</v>
      </c>
      <c r="B22" t="s">
        <v>100</v>
      </c>
      <c r="C22" t="s">
        <v>7</v>
      </c>
      <c r="D22" s="36">
        <v>42.88</v>
      </c>
      <c r="E22">
        <f t="shared" si="4"/>
        <v>9.5639567302330773E-3</v>
      </c>
      <c r="F22" s="37">
        <f t="shared" si="1"/>
        <v>0.95639567302330775</v>
      </c>
      <c r="G22" s="37">
        <f>IF(C22 = "Eating Out",2.1,0)</f>
        <v>2.1</v>
      </c>
      <c r="H22" t="s">
        <v>95</v>
      </c>
      <c r="I22">
        <v>5</v>
      </c>
    </row>
    <row r="23" spans="1:16">
      <c r="A23">
        <v>2022</v>
      </c>
      <c r="B23" t="s">
        <v>100</v>
      </c>
      <c r="C23" t="s">
        <v>11</v>
      </c>
      <c r="D23" s="36">
        <v>168.51</v>
      </c>
      <c r="E23">
        <f t="shared" si="4"/>
        <v>3.7584476413516227E-2</v>
      </c>
      <c r="F23" s="37">
        <f t="shared" si="1"/>
        <v>3.7584476413516228</v>
      </c>
      <c r="G23" s="37">
        <f>IF(C23 = "Entertainment",9,0)</f>
        <v>9</v>
      </c>
      <c r="H23" t="s">
        <v>96</v>
      </c>
      <c r="I23">
        <v>0.25</v>
      </c>
    </row>
    <row r="24" spans="1:16">
      <c r="A24">
        <v>2022</v>
      </c>
      <c r="B24" t="s">
        <v>100</v>
      </c>
      <c r="C24" t="s">
        <v>9</v>
      </c>
      <c r="D24" s="36">
        <v>323.16000000000003</v>
      </c>
      <c r="E24">
        <f t="shared" si="4"/>
        <v>7.2077617932418875E-2</v>
      </c>
      <c r="F24" s="37">
        <f t="shared" si="1"/>
        <v>7.2077617932418878</v>
      </c>
      <c r="G24" s="37">
        <f>IF(C24 = "Groceries",11,0)</f>
        <v>11</v>
      </c>
      <c r="H24" t="s">
        <v>27</v>
      </c>
      <c r="I24">
        <v>0.74</v>
      </c>
    </row>
    <row r="25" spans="1:16">
      <c r="A25">
        <v>2022</v>
      </c>
      <c r="B25" t="s">
        <v>100</v>
      </c>
      <c r="C25" t="s">
        <v>19</v>
      </c>
      <c r="D25" s="36">
        <v>216.39</v>
      </c>
      <c r="E25">
        <f t="shared" si="4"/>
        <v>4.826363332218133E-2</v>
      </c>
      <c r="F25" s="37">
        <f t="shared" si="1"/>
        <v>4.8263633322181327</v>
      </c>
      <c r="G25" s="37">
        <f>IF(C25 = "Health Insurance",10,0)</f>
        <v>10</v>
      </c>
      <c r="H25" t="s">
        <v>29</v>
      </c>
      <c r="I25">
        <v>2.5</v>
      </c>
    </row>
    <row r="26" spans="1:16">
      <c r="A26">
        <v>2022</v>
      </c>
      <c r="B26" t="s">
        <v>100</v>
      </c>
      <c r="C26" t="s">
        <v>36</v>
      </c>
      <c r="D26" s="36">
        <v>235.2</v>
      </c>
      <c r="E26">
        <f t="shared" si="4"/>
        <v>5.2459016393442623E-2</v>
      </c>
      <c r="F26" s="37">
        <f t="shared" si="1"/>
        <v>5.2459016393442619</v>
      </c>
      <c r="G26" s="37">
        <f>IF(C26 = "Household Items+Laundry",2,0)</f>
        <v>2</v>
      </c>
      <c r="H26" s="33" t="s">
        <v>97</v>
      </c>
      <c r="I26">
        <v>15</v>
      </c>
    </row>
    <row r="27" spans="1:16">
      <c r="A27">
        <v>2022</v>
      </c>
      <c r="B27" t="s">
        <v>100</v>
      </c>
      <c r="C27" t="s">
        <v>5</v>
      </c>
      <c r="D27" s="36">
        <v>4483.5</v>
      </c>
      <c r="E27">
        <f t="shared" si="4"/>
        <v>1</v>
      </c>
      <c r="G27" s="37">
        <f t="shared" ref="G27:G33" si="5">IF(C27 = "Rent + Parking",25,0)</f>
        <v>0</v>
      </c>
      <c r="H27" s="33" t="s">
        <v>98</v>
      </c>
      <c r="I27"/>
      <c r="J27" s="37"/>
    </row>
    <row r="28" spans="1:16" ht="30.75">
      <c r="A28">
        <v>2022</v>
      </c>
      <c r="B28" t="s">
        <v>100</v>
      </c>
      <c r="C28" s="33" t="s">
        <v>31</v>
      </c>
      <c r="D28" s="36">
        <v>50</v>
      </c>
      <c r="E28">
        <f t="shared" si="4"/>
        <v>1.1152001784320286E-2</v>
      </c>
      <c r="F28" s="37">
        <f t="shared" si="1"/>
        <v>1.1152001784320287</v>
      </c>
      <c r="G28" s="37">
        <f>IF(C28 = "Mutual Fund Investment
(vtsax and vti)",7.5,0)</f>
        <v>7.5</v>
      </c>
      <c r="H28" t="s">
        <v>9</v>
      </c>
      <c r="I28">
        <v>11</v>
      </c>
    </row>
    <row r="29" spans="1:16">
      <c r="A29">
        <v>2022</v>
      </c>
      <c r="B29" t="s">
        <v>100</v>
      </c>
      <c r="C29" t="s">
        <v>27</v>
      </c>
      <c r="D29" s="36">
        <v>30</v>
      </c>
      <c r="E29">
        <f t="shared" si="4"/>
        <v>6.6912010705921709E-3</v>
      </c>
      <c r="F29" s="37">
        <f t="shared" si="1"/>
        <v>0.6691201070592171</v>
      </c>
      <c r="G29" s="37">
        <f>IF(C29 = "Phone",0.74,0)</f>
        <v>0.74</v>
      </c>
      <c r="H29" t="s">
        <v>7</v>
      </c>
      <c r="I29">
        <v>2.1</v>
      </c>
    </row>
    <row r="30" spans="1:16">
      <c r="A30">
        <v>2022</v>
      </c>
      <c r="B30" t="s">
        <v>100</v>
      </c>
      <c r="C30" t="s">
        <v>17</v>
      </c>
      <c r="D30" s="36">
        <v>1333</v>
      </c>
      <c r="E30">
        <f t="shared" si="4"/>
        <v>0.29731236756997881</v>
      </c>
      <c r="F30" s="37">
        <f t="shared" si="1"/>
        <v>29.73123675699788</v>
      </c>
      <c r="G30" s="37">
        <f>IF(C30 = "Rent + Parking",25,0)</f>
        <v>25</v>
      </c>
      <c r="H30" s="33" t="s">
        <v>99</v>
      </c>
      <c r="I30">
        <v>2</v>
      </c>
    </row>
    <row r="31" spans="1:16">
      <c r="A31">
        <v>2022</v>
      </c>
      <c r="B31" t="s">
        <v>100</v>
      </c>
      <c r="C31" t="s">
        <v>25</v>
      </c>
      <c r="D31" s="36">
        <v>10.58</v>
      </c>
      <c r="E31">
        <f t="shared" si="4"/>
        <v>2.3597635775621725E-3</v>
      </c>
      <c r="F31" s="37">
        <f t="shared" si="1"/>
        <v>0.23597635775621725</v>
      </c>
      <c r="G31" s="37">
        <f>IF(C31 = "Renter's Insurance",0.25,0)</f>
        <v>0.25</v>
      </c>
      <c r="H31" t="s">
        <v>11</v>
      </c>
      <c r="I31">
        <v>9</v>
      </c>
    </row>
    <row r="32" spans="1:16" ht="45.75">
      <c r="A32">
        <v>2022</v>
      </c>
      <c r="B32" t="s">
        <v>100</v>
      </c>
      <c r="C32" s="33" t="s">
        <v>33</v>
      </c>
      <c r="D32" s="36">
        <v>500</v>
      </c>
      <c r="E32">
        <f t="shared" si="4"/>
        <v>0.11152001784320285</v>
      </c>
      <c r="F32" s="37">
        <f t="shared" si="1"/>
        <v>11.152001784320285</v>
      </c>
      <c r="G32" s="37">
        <f>IF(C32 = "Retirement Fund Investment
(target date 2060 roth)",7.5,0)</f>
        <v>7.5</v>
      </c>
      <c r="H32" t="s">
        <v>34</v>
      </c>
      <c r="I32">
        <v>9</v>
      </c>
    </row>
    <row r="33" spans="1:11">
      <c r="A33">
        <v>2022</v>
      </c>
      <c r="B33" t="s">
        <v>100</v>
      </c>
      <c r="C33" t="s">
        <v>13</v>
      </c>
      <c r="D33" s="36">
        <v>1235</v>
      </c>
      <c r="E33">
        <f t="shared" si="4"/>
        <v>0.27545444407271102</v>
      </c>
      <c r="F33" s="37">
        <f t="shared" si="1"/>
        <v>27.545444407271102</v>
      </c>
      <c r="G33" s="37">
        <f>IF(C33 = "Taxes",2.41,0)</f>
        <v>2.41</v>
      </c>
      <c r="H33" t="s">
        <v>13</v>
      </c>
      <c r="I33">
        <v>2.41</v>
      </c>
    </row>
    <row r="34" spans="1:11">
      <c r="A34">
        <v>2022</v>
      </c>
      <c r="B34" t="s">
        <v>100</v>
      </c>
      <c r="C34" t="s">
        <v>34</v>
      </c>
      <c r="D34" s="36">
        <v>496</v>
      </c>
      <c r="E34">
        <f>D34/$D$27</f>
        <v>0.11062785770045723</v>
      </c>
      <c r="F34" s="37">
        <f t="shared" si="1"/>
        <v>11.062785770045723</v>
      </c>
      <c r="G34" s="37">
        <f>IF(C34 = "Travel",9,0)</f>
        <v>9</v>
      </c>
      <c r="H34" s="37" t="s">
        <v>38</v>
      </c>
      <c r="I34" s="37">
        <v>100</v>
      </c>
      <c r="J34" s="37">
        <f>100-SUM(F19:F34)</f>
        <v>-8.9294078287052514</v>
      </c>
      <c r="K34" s="38">
        <f>D27-SUM(D19:D26)-SUM(D28:D34)</f>
        <v>-400.34999999999991</v>
      </c>
    </row>
    <row r="35" spans="1:11" s="39" customFormat="1">
      <c r="D35" s="40"/>
      <c r="F35" s="41"/>
      <c r="G35" s="41"/>
      <c r="H35" s="41"/>
      <c r="I35" s="41"/>
      <c r="K35" s="42"/>
    </row>
    <row r="36" spans="1:11">
      <c r="A36">
        <v>2022</v>
      </c>
      <c r="B36" t="s">
        <v>101</v>
      </c>
      <c r="C36" t="s">
        <v>23</v>
      </c>
      <c r="D36" s="36">
        <v>120.68</v>
      </c>
      <c r="E36">
        <f>D36/$D$46</f>
        <v>2.9967048166293777E-2</v>
      </c>
      <c r="F36" s="37">
        <f t="shared" si="1"/>
        <v>2.9967048166293777</v>
      </c>
      <c r="G36" s="37">
        <f>IF(C36 = "Car Gas",5,0)</f>
        <v>5</v>
      </c>
      <c r="H36" t="s">
        <v>91</v>
      </c>
      <c r="I36">
        <v>25</v>
      </c>
    </row>
    <row r="37" spans="1:11">
      <c r="A37">
        <v>2022</v>
      </c>
      <c r="B37" t="s">
        <v>101</v>
      </c>
      <c r="C37" t="s">
        <v>15</v>
      </c>
      <c r="D37" s="36">
        <v>121.75</v>
      </c>
      <c r="E37">
        <f>D37/$D$46</f>
        <v>3.023274870936582E-2</v>
      </c>
      <c r="F37" s="37">
        <f t="shared" si="1"/>
        <v>3.0232748709365822</v>
      </c>
      <c r="G37" s="37">
        <f>IF(C37 = "Car Insurance",4,0)</f>
        <v>4</v>
      </c>
      <c r="H37" t="s">
        <v>92</v>
      </c>
      <c r="I37">
        <v>10</v>
      </c>
    </row>
    <row r="38" spans="1:11">
      <c r="A38">
        <v>2022</v>
      </c>
      <c r="B38" t="s">
        <v>101</v>
      </c>
      <c r="C38" t="s">
        <v>21</v>
      </c>
      <c r="D38" s="36">
        <v>19.5</v>
      </c>
      <c r="E38">
        <f t="shared" ref="E38:E51" si="6">D38/$D$46</f>
        <v>4.8422061587895969E-3</v>
      </c>
      <c r="F38" s="37">
        <f t="shared" si="1"/>
        <v>0.4842206158789597</v>
      </c>
      <c r="G38" s="37">
        <f>IF(C38 = "Car Registration",1,0)</f>
        <v>1</v>
      </c>
      <c r="H38" s="33" t="s">
        <v>93</v>
      </c>
      <c r="I38" t="s">
        <v>94</v>
      </c>
    </row>
    <row r="39" spans="1:11">
      <c r="A39">
        <v>2022</v>
      </c>
      <c r="B39" t="s">
        <v>101</v>
      </c>
      <c r="C39" t="s">
        <v>22</v>
      </c>
      <c r="D39" s="36">
        <v>66.94</v>
      </c>
      <c r="E39">
        <f t="shared" si="6"/>
        <v>1.6622424629198749E-2</v>
      </c>
      <c r="F39" s="37">
        <f t="shared" si="1"/>
        <v>1.6622424629198749</v>
      </c>
      <c r="G39" s="37">
        <f>IF(C39 = "Car Repair",1,0)</f>
        <v>1</v>
      </c>
      <c r="H39" t="s">
        <v>95</v>
      </c>
      <c r="I39">
        <v>5</v>
      </c>
    </row>
    <row r="40" spans="1:11">
      <c r="A40">
        <v>2022</v>
      </c>
      <c r="B40" t="s">
        <v>101</v>
      </c>
      <c r="C40" t="s">
        <v>29</v>
      </c>
      <c r="D40" s="36">
        <v>101.88</v>
      </c>
      <c r="E40">
        <f t="shared" si="6"/>
        <v>2.5298664792691494E-2</v>
      </c>
      <c r="F40" s="37">
        <f t="shared" si="1"/>
        <v>2.5298664792691494</v>
      </c>
      <c r="G40" s="37">
        <f>IF(C40 = "Donations",2.5,0)</f>
        <v>2.5</v>
      </c>
      <c r="H40" t="s">
        <v>96</v>
      </c>
      <c r="I40">
        <v>0.25</v>
      </c>
    </row>
    <row r="41" spans="1:11">
      <c r="A41">
        <v>2022</v>
      </c>
      <c r="B41" t="s">
        <v>101</v>
      </c>
      <c r="C41" t="s">
        <v>7</v>
      </c>
      <c r="D41" s="36">
        <v>83.66</v>
      </c>
      <c r="E41">
        <f>D41/$D$46</f>
        <v>2.0774306012530139E-2</v>
      </c>
      <c r="F41" s="37">
        <f t="shared" si="1"/>
        <v>2.0774306012530142</v>
      </c>
      <c r="G41" s="37">
        <f>IF(C41 = "Eating Out",2.1,0)</f>
        <v>2.1</v>
      </c>
      <c r="H41" t="s">
        <v>27</v>
      </c>
      <c r="I41">
        <v>0.74</v>
      </c>
    </row>
    <row r="42" spans="1:11">
      <c r="A42">
        <v>2022</v>
      </c>
      <c r="B42" t="s">
        <v>101</v>
      </c>
      <c r="C42" t="s">
        <v>11</v>
      </c>
      <c r="D42" s="36">
        <v>365.24</v>
      </c>
      <c r="E42">
        <f t="shared" si="6"/>
        <v>9.0695762945451924E-2</v>
      </c>
      <c r="F42" s="37">
        <f t="shared" si="1"/>
        <v>9.0695762945451932</v>
      </c>
      <c r="G42" s="37">
        <f>IF(C42 = "Entertainment",9,0)</f>
        <v>9</v>
      </c>
      <c r="H42" t="s">
        <v>29</v>
      </c>
      <c r="I42">
        <v>2.5</v>
      </c>
    </row>
    <row r="43" spans="1:11">
      <c r="A43">
        <v>2022</v>
      </c>
      <c r="B43" t="s">
        <v>101</v>
      </c>
      <c r="C43" t="s">
        <v>9</v>
      </c>
      <c r="D43" s="36">
        <v>597.28</v>
      </c>
      <c r="E43">
        <f t="shared" si="6"/>
        <v>0.14831553305240258</v>
      </c>
      <c r="F43" s="37">
        <f t="shared" si="1"/>
        <v>14.831553305240258</v>
      </c>
      <c r="G43" s="37">
        <f>IF(C43 = "Groceries",11,0)</f>
        <v>11</v>
      </c>
      <c r="H43" s="33" t="s">
        <v>97</v>
      </c>
      <c r="I43">
        <v>15</v>
      </c>
    </row>
    <row r="44" spans="1:11">
      <c r="A44">
        <v>2022</v>
      </c>
      <c r="B44" t="s">
        <v>101</v>
      </c>
      <c r="C44" t="s">
        <v>19</v>
      </c>
      <c r="D44" s="36">
        <v>5.39</v>
      </c>
      <c r="E44">
        <f t="shared" si="6"/>
        <v>1.3384354459423553E-3</v>
      </c>
      <c r="F44" s="37">
        <f t="shared" si="1"/>
        <v>0.13384354459423553</v>
      </c>
      <c r="G44" s="37">
        <f>IF(C44 = "Health Insurance",10,0)</f>
        <v>10</v>
      </c>
      <c r="H44" s="33" t="s">
        <v>98</v>
      </c>
      <c r="I44"/>
    </row>
    <row r="45" spans="1:11">
      <c r="A45">
        <v>2022</v>
      </c>
      <c r="B45" t="s">
        <v>101</v>
      </c>
      <c r="C45" t="s">
        <v>36</v>
      </c>
      <c r="D45" s="36">
        <v>217.89</v>
      </c>
      <c r="E45">
        <f>D45/$D$46</f>
        <v>5.4106066663521295E-2</v>
      </c>
      <c r="F45" s="37">
        <f t="shared" si="1"/>
        <v>5.4106066663521295</v>
      </c>
      <c r="G45" s="37">
        <f>IF(C45 = "Household Items+Laundry",2,0)</f>
        <v>2</v>
      </c>
      <c r="H45" t="s">
        <v>9</v>
      </c>
      <c r="I45">
        <v>11</v>
      </c>
    </row>
    <row r="46" spans="1:11">
      <c r="A46">
        <v>2022</v>
      </c>
      <c r="B46" t="s">
        <v>101</v>
      </c>
      <c r="C46" t="s">
        <v>5</v>
      </c>
      <c r="D46" s="36">
        <v>4027.09</v>
      </c>
      <c r="E46">
        <f t="shared" si="6"/>
        <v>1</v>
      </c>
      <c r="G46" s="37">
        <f>IF(C46 = "Mutual Fund Investment
(vtsax and vti)",7.5,0)</f>
        <v>0</v>
      </c>
      <c r="H46" t="s">
        <v>7</v>
      </c>
      <c r="I46">
        <v>2.1</v>
      </c>
    </row>
    <row r="47" spans="1:11" ht="30.75">
      <c r="A47">
        <v>2022</v>
      </c>
      <c r="B47" t="s">
        <v>101</v>
      </c>
      <c r="C47" s="33" t="s">
        <v>31</v>
      </c>
      <c r="D47" s="36">
        <v>50</v>
      </c>
      <c r="E47">
        <f t="shared" si="6"/>
        <v>1.2415913227665634E-2</v>
      </c>
      <c r="F47" s="37">
        <f t="shared" si="1"/>
        <v>1.2415913227665634</v>
      </c>
      <c r="G47" s="37">
        <f>IF(C47 = "Mutual Fund Investment
(vtsax and vti)",7.5,0)</f>
        <v>7.5</v>
      </c>
      <c r="H47" s="33" t="s">
        <v>99</v>
      </c>
      <c r="I47">
        <v>2</v>
      </c>
    </row>
    <row r="48" spans="1:11">
      <c r="A48">
        <v>2022</v>
      </c>
      <c r="B48" t="s">
        <v>101</v>
      </c>
      <c r="C48" t="s">
        <v>27</v>
      </c>
      <c r="D48" s="36">
        <v>30</v>
      </c>
      <c r="E48">
        <f t="shared" si="6"/>
        <v>7.4495479365993805E-3</v>
      </c>
      <c r="F48" s="37">
        <f t="shared" si="1"/>
        <v>0.744954793659938</v>
      </c>
      <c r="G48" s="37">
        <f>IF(C48 = "Phone",0.74,0)</f>
        <v>0.74</v>
      </c>
      <c r="H48" t="s">
        <v>11</v>
      </c>
      <c r="I48">
        <v>9</v>
      </c>
    </row>
    <row r="49" spans="1:11">
      <c r="A49">
        <v>2022</v>
      </c>
      <c r="B49" t="s">
        <v>101</v>
      </c>
      <c r="C49" t="s">
        <v>17</v>
      </c>
      <c r="D49" s="36">
        <v>1333</v>
      </c>
      <c r="E49">
        <f t="shared" si="6"/>
        <v>0.3310082466495658</v>
      </c>
      <c r="F49" s="37">
        <f t="shared" si="1"/>
        <v>33.100824664956576</v>
      </c>
      <c r="G49" s="37">
        <f>IF(C49 = "Rent + Parking",25,0)</f>
        <v>25</v>
      </c>
      <c r="H49" t="s">
        <v>34</v>
      </c>
      <c r="I49">
        <v>9</v>
      </c>
    </row>
    <row r="50" spans="1:11">
      <c r="A50">
        <v>2022</v>
      </c>
      <c r="B50" t="s">
        <v>101</v>
      </c>
      <c r="C50" t="s">
        <v>25</v>
      </c>
      <c r="D50" s="36">
        <v>10.58</v>
      </c>
      <c r="E50">
        <f t="shared" si="6"/>
        <v>2.6272072389740483E-3</v>
      </c>
      <c r="F50" s="37">
        <f t="shared" si="1"/>
        <v>0.26272072389740486</v>
      </c>
      <c r="G50" s="37">
        <f>IF(C50 = "Renter's Insurance",0.25,0)</f>
        <v>0.25</v>
      </c>
      <c r="H50" t="s">
        <v>13</v>
      </c>
      <c r="I50">
        <v>2.41</v>
      </c>
    </row>
    <row r="51" spans="1:11" ht="45.75">
      <c r="A51">
        <v>2022</v>
      </c>
      <c r="B51" t="s">
        <v>101</v>
      </c>
      <c r="C51" s="33" t="s">
        <v>33</v>
      </c>
      <c r="D51" s="36">
        <v>500</v>
      </c>
      <c r="E51">
        <f t="shared" si="6"/>
        <v>0.12415913227665634</v>
      </c>
      <c r="F51" s="37">
        <f t="shared" si="1"/>
        <v>12.415913227665634</v>
      </c>
      <c r="G51" s="37">
        <f>IF(C51 = "Retirement Fund Investment
(target date 2060 roth)",7.5,0)</f>
        <v>7.5</v>
      </c>
      <c r="H51" s="37" t="s">
        <v>38</v>
      </c>
      <c r="I51" s="37">
        <v>100</v>
      </c>
    </row>
    <row r="52" spans="1:11">
      <c r="A52">
        <v>2022</v>
      </c>
      <c r="B52" t="s">
        <v>101</v>
      </c>
      <c r="C52" t="s">
        <v>34</v>
      </c>
      <c r="D52" s="36">
        <v>2494</v>
      </c>
      <c r="E52">
        <f>D52/$D$46</f>
        <v>0.61930575179596181</v>
      </c>
      <c r="F52" s="37">
        <f t="shared" si="1"/>
        <v>61.930575179596183</v>
      </c>
      <c r="G52" s="37">
        <f>IF(C52 = "Travel",9,0)</f>
        <v>9</v>
      </c>
      <c r="J52" s="37">
        <f>100-SUM(F36:F52)</f>
        <v>-51.915899570161059</v>
      </c>
      <c r="K52" s="38">
        <f>D46-SUM(D36:D45)-SUM(D47:D52)</f>
        <v>-2090.6999999999998</v>
      </c>
    </row>
    <row r="53" spans="1:11" s="39" customFormat="1">
      <c r="D53" s="40"/>
      <c r="F53" s="41"/>
      <c r="G53" s="41"/>
      <c r="H53" s="41"/>
      <c r="I53" s="41"/>
      <c r="K53" s="42"/>
    </row>
    <row r="54" spans="1:11">
      <c r="A54">
        <v>2022</v>
      </c>
      <c r="B54" t="s">
        <v>102</v>
      </c>
      <c r="C54" t="s">
        <v>23</v>
      </c>
      <c r="D54" s="36">
        <v>70.069999999999993</v>
      </c>
      <c r="E54">
        <f>D54/$D$63</f>
        <v>1.788901001549683E-2</v>
      </c>
      <c r="F54" s="37">
        <f>E54*100</f>
        <v>1.7889010015496829</v>
      </c>
      <c r="G54" s="37">
        <f>IF(C54 = "Car Gas",5,0)</f>
        <v>5</v>
      </c>
      <c r="H54" t="s">
        <v>91</v>
      </c>
      <c r="I54">
        <v>25</v>
      </c>
    </row>
    <row r="55" spans="1:11">
      <c r="A55">
        <v>2022</v>
      </c>
      <c r="B55" t="s">
        <v>102</v>
      </c>
      <c r="C55" t="s">
        <v>15</v>
      </c>
      <c r="D55" s="36">
        <v>123.75</v>
      </c>
      <c r="E55">
        <f>D55/$D$63</f>
        <v>3.1593620514025013E-2</v>
      </c>
      <c r="F55" s="37">
        <f t="shared" si="1"/>
        <v>3.1593620514025011</v>
      </c>
      <c r="G55" s="37">
        <f>IF(C55 = "Car Insurance",4,0)</f>
        <v>4</v>
      </c>
      <c r="H55" t="s">
        <v>92</v>
      </c>
      <c r="I55">
        <v>10</v>
      </c>
    </row>
    <row r="56" spans="1:11">
      <c r="A56">
        <v>2022</v>
      </c>
      <c r="B56" t="s">
        <v>102</v>
      </c>
      <c r="C56" t="s">
        <v>21</v>
      </c>
      <c r="D56" s="36">
        <v>19.5</v>
      </c>
      <c r="E56">
        <f t="shared" ref="E56:E69" si="7">D56/$D$63</f>
        <v>4.9783886870584876E-3</v>
      </c>
      <c r="F56" s="37">
        <f t="shared" si="1"/>
        <v>0.49783886870584876</v>
      </c>
      <c r="G56" s="37">
        <f>IF(C56 = "Car Registration",1,0)</f>
        <v>1</v>
      </c>
      <c r="H56" s="33" t="s">
        <v>93</v>
      </c>
      <c r="I56" t="s">
        <v>94</v>
      </c>
    </row>
    <row r="57" spans="1:11">
      <c r="A57">
        <v>2022</v>
      </c>
      <c r="B57" t="s">
        <v>102</v>
      </c>
      <c r="C57" t="s">
        <v>29</v>
      </c>
      <c r="D57" s="36">
        <v>101.88</v>
      </c>
      <c r="E57">
        <f t="shared" si="7"/>
        <v>2.6010166125000959E-2</v>
      </c>
      <c r="F57" s="37">
        <f t="shared" si="1"/>
        <v>2.601016612500096</v>
      </c>
      <c r="G57" s="37">
        <f>IF(C57 = "Donations",2.5,0)</f>
        <v>2.5</v>
      </c>
      <c r="H57" t="s">
        <v>95</v>
      </c>
      <c r="I57">
        <v>5</v>
      </c>
      <c r="J57" s="37"/>
    </row>
    <row r="58" spans="1:11">
      <c r="A58">
        <v>2022</v>
      </c>
      <c r="B58" t="s">
        <v>102</v>
      </c>
      <c r="C58" t="s">
        <v>7</v>
      </c>
      <c r="D58" s="36">
        <v>14.95</v>
      </c>
      <c r="E58">
        <f t="shared" si="7"/>
        <v>3.8167646600781734E-3</v>
      </c>
      <c r="F58" s="37">
        <f t="shared" si="1"/>
        <v>0.38167646600781735</v>
      </c>
      <c r="G58" s="37">
        <f>IF(C58 = "Eating Out",2.1,0)</f>
        <v>2.1</v>
      </c>
      <c r="H58" t="s">
        <v>96</v>
      </c>
      <c r="I58">
        <v>0.25</v>
      </c>
    </row>
    <row r="59" spans="1:11">
      <c r="A59">
        <v>2022</v>
      </c>
      <c r="B59" t="s">
        <v>102</v>
      </c>
      <c r="C59" t="s">
        <v>11</v>
      </c>
      <c r="D59" s="36">
        <v>37.369999999999997</v>
      </c>
      <c r="E59">
        <f t="shared" si="7"/>
        <v>9.5406351402756752E-3</v>
      </c>
      <c r="F59" s="37">
        <f t="shared" si="1"/>
        <v>0.95406351402756751</v>
      </c>
      <c r="G59" s="37">
        <f>IF(C59 = "Entertainment",9,0)</f>
        <v>9</v>
      </c>
      <c r="H59" t="s">
        <v>27</v>
      </c>
      <c r="I59">
        <v>0.74</v>
      </c>
    </row>
    <row r="60" spans="1:11">
      <c r="A60">
        <v>2022</v>
      </c>
      <c r="B60" t="s">
        <v>102</v>
      </c>
      <c r="C60" t="s">
        <v>9</v>
      </c>
      <c r="D60" s="36">
        <v>419.46</v>
      </c>
      <c r="E60">
        <f t="shared" si="7"/>
        <v>0.10708897018838734</v>
      </c>
      <c r="F60" s="37">
        <f t="shared" si="1"/>
        <v>10.708897018838734</v>
      </c>
      <c r="G60" s="37">
        <f>IF(C60 = "Groceries",11,0)</f>
        <v>11</v>
      </c>
      <c r="H60" t="s">
        <v>29</v>
      </c>
      <c r="I60">
        <v>2.5</v>
      </c>
    </row>
    <row r="61" spans="1:11">
      <c r="A61">
        <v>2022</v>
      </c>
      <c r="B61" t="s">
        <v>102</v>
      </c>
      <c r="C61" t="s">
        <v>19</v>
      </c>
      <c r="D61" s="36">
        <v>5.39</v>
      </c>
      <c r="E61">
        <f t="shared" si="7"/>
        <v>1.3760776934997562E-3</v>
      </c>
      <c r="F61" s="37">
        <f t="shared" si="1"/>
        <v>0.13760776934997562</v>
      </c>
      <c r="G61" s="37">
        <f>IF(C61 = "Health Insurance",10,0)</f>
        <v>10</v>
      </c>
      <c r="H61" s="33" t="s">
        <v>97</v>
      </c>
      <c r="I61">
        <v>15</v>
      </c>
    </row>
    <row r="62" spans="1:11">
      <c r="A62">
        <v>2022</v>
      </c>
      <c r="B62" t="s">
        <v>102</v>
      </c>
      <c r="C62" t="s">
        <v>36</v>
      </c>
      <c r="D62" s="36">
        <v>272.93</v>
      </c>
      <c r="E62">
        <f t="shared" si="7"/>
        <v>6.9679570479942207E-2</v>
      </c>
      <c r="F62" s="37">
        <f t="shared" si="1"/>
        <v>6.9679570479942203</v>
      </c>
      <c r="G62" s="37">
        <f>IF(C62 = "Household Items+Laundry",2,0)</f>
        <v>2</v>
      </c>
      <c r="H62" s="33" t="s">
        <v>98</v>
      </c>
      <c r="I62"/>
    </row>
    <row r="63" spans="1:11">
      <c r="A63">
        <v>2022</v>
      </c>
      <c r="B63" t="s">
        <v>102</v>
      </c>
      <c r="C63" t="s">
        <v>5</v>
      </c>
      <c r="D63" s="36">
        <v>3916.93</v>
      </c>
      <c r="E63">
        <f t="shared" si="7"/>
        <v>1</v>
      </c>
      <c r="G63" s="37">
        <f>IF(C63 = "Mutual Fund Investment
(vtsax and vti)",7.5,0)</f>
        <v>0</v>
      </c>
      <c r="H63" t="s">
        <v>9</v>
      </c>
      <c r="I63">
        <v>11</v>
      </c>
    </row>
    <row r="64" spans="1:11" ht="30.75">
      <c r="A64">
        <v>2022</v>
      </c>
      <c r="B64" t="s">
        <v>102</v>
      </c>
      <c r="C64" s="33" t="s">
        <v>31</v>
      </c>
      <c r="D64" s="36">
        <v>50</v>
      </c>
      <c r="E64">
        <f t="shared" si="7"/>
        <v>1.2765099197585865E-2</v>
      </c>
      <c r="F64" s="37">
        <f t="shared" si="1"/>
        <v>1.2765099197585865</v>
      </c>
      <c r="G64" s="37">
        <f>IF(C64 = "Mutual Fund Investment
(vtsax and vti)",7.5,0)</f>
        <v>7.5</v>
      </c>
      <c r="H64" t="s">
        <v>7</v>
      </c>
      <c r="I64">
        <v>2.1</v>
      </c>
    </row>
    <row r="65" spans="1:11">
      <c r="A65">
        <v>2022</v>
      </c>
      <c r="B65" t="s">
        <v>102</v>
      </c>
      <c r="C65" t="s">
        <v>27</v>
      </c>
      <c r="D65" s="36">
        <v>30</v>
      </c>
      <c r="E65">
        <f t="shared" si="7"/>
        <v>7.6590595185515187E-3</v>
      </c>
      <c r="F65" s="37">
        <f t="shared" si="1"/>
        <v>0.76590595185515187</v>
      </c>
      <c r="G65" s="37">
        <f>IF(C65 = "Phone",0.74,0)</f>
        <v>0.74</v>
      </c>
      <c r="H65" s="33" t="s">
        <v>99</v>
      </c>
      <c r="I65">
        <v>2</v>
      </c>
    </row>
    <row r="66" spans="1:11">
      <c r="A66">
        <v>2022</v>
      </c>
      <c r="B66" t="s">
        <v>102</v>
      </c>
      <c r="C66" t="s">
        <v>17</v>
      </c>
      <c r="D66" s="36">
        <v>1333</v>
      </c>
      <c r="E66">
        <f t="shared" si="7"/>
        <v>0.34031754460763913</v>
      </c>
      <c r="F66" s="37">
        <f t="shared" si="1"/>
        <v>34.031754460763914</v>
      </c>
      <c r="G66" s="37">
        <f>IF(C66 = "Rent + Parking",25,0)</f>
        <v>25</v>
      </c>
      <c r="H66" t="s">
        <v>11</v>
      </c>
      <c r="I66">
        <v>9</v>
      </c>
    </row>
    <row r="67" spans="1:11">
      <c r="A67">
        <v>2022</v>
      </c>
      <c r="B67" t="s">
        <v>102</v>
      </c>
      <c r="C67" t="s">
        <v>25</v>
      </c>
      <c r="D67" s="36">
        <v>10.58</v>
      </c>
      <c r="E67">
        <f t="shared" si="7"/>
        <v>2.7010949902091692E-3</v>
      </c>
      <c r="F67" s="37">
        <f t="shared" si="1"/>
        <v>0.27010949902091691</v>
      </c>
      <c r="G67" s="37">
        <f>IF(C67 = "Renter's Insurance",0.25,0)</f>
        <v>0.25</v>
      </c>
      <c r="H67" t="s">
        <v>34</v>
      </c>
      <c r="I67">
        <v>9</v>
      </c>
    </row>
    <row r="68" spans="1:11" ht="45.75">
      <c r="A68">
        <v>2022</v>
      </c>
      <c r="B68" t="s">
        <v>102</v>
      </c>
      <c r="C68" s="33" t="s">
        <v>33</v>
      </c>
      <c r="D68" s="36">
        <v>500</v>
      </c>
      <c r="E68">
        <f>D68/$D$63</f>
        <v>0.12765099197585866</v>
      </c>
      <c r="F68" s="37">
        <f t="shared" si="1"/>
        <v>12.765099197585867</v>
      </c>
      <c r="G68" s="37">
        <f>IF(C68 = "Retirement Fund Investment
(target date 2060 roth)",7.5,0)</f>
        <v>7.5</v>
      </c>
      <c r="H68" t="s">
        <v>13</v>
      </c>
      <c r="I68">
        <v>2.41</v>
      </c>
    </row>
    <row r="69" spans="1:11">
      <c r="A69">
        <v>2022</v>
      </c>
      <c r="B69" t="s">
        <v>102</v>
      </c>
      <c r="C69" t="s">
        <v>13</v>
      </c>
      <c r="D69" s="36">
        <v>450</v>
      </c>
      <c r="E69">
        <f t="shared" si="7"/>
        <v>0.11488589277827278</v>
      </c>
      <c r="F69" s="37">
        <f t="shared" si="1"/>
        <v>11.488589277827279</v>
      </c>
      <c r="G69" s="37">
        <f>IF(C69 = "Taxes",2.41,0)</f>
        <v>2.41</v>
      </c>
      <c r="H69" s="37" t="s">
        <v>38</v>
      </c>
      <c r="I69" s="37">
        <v>100</v>
      </c>
    </row>
    <row r="70" spans="1:11">
      <c r="A70">
        <v>2022</v>
      </c>
      <c r="B70" t="s">
        <v>102</v>
      </c>
      <c r="C70" t="s">
        <v>34</v>
      </c>
      <c r="D70" s="36">
        <v>300</v>
      </c>
      <c r="E70">
        <f>D70/$D$63</f>
        <v>7.6590595185515184E-2</v>
      </c>
      <c r="F70" s="37">
        <f t="shared" si="1"/>
        <v>7.6590595185515182</v>
      </c>
      <c r="G70" s="37">
        <f>IF(C70 = "Travel",9,0)</f>
        <v>9</v>
      </c>
      <c r="J70" s="37">
        <f>100-SUM(F54:F70)</f>
        <v>4.5456518242603323</v>
      </c>
      <c r="K70" s="38">
        <f>D63-SUM(D54:D62)-SUM(D64:D70)</f>
        <v>178.05000000000018</v>
      </c>
    </row>
    <row r="71" spans="1:11" s="39" customFormat="1">
      <c r="D71" s="40"/>
      <c r="F71" s="41"/>
      <c r="G71" s="41"/>
      <c r="H71" s="41"/>
      <c r="I71" s="41"/>
      <c r="K71" s="42"/>
    </row>
    <row r="72" spans="1:11">
      <c r="A72">
        <v>2022</v>
      </c>
      <c r="B72" t="s">
        <v>103</v>
      </c>
      <c r="C72" t="s">
        <v>23</v>
      </c>
      <c r="D72" s="36">
        <v>97.3</v>
      </c>
      <c r="E72">
        <f>D72/$D$82</f>
        <v>2.6462293271832752E-2</v>
      </c>
      <c r="F72" s="37">
        <f t="shared" ref="F72:F140" si="8">E72*100</f>
        <v>2.6462293271832751</v>
      </c>
      <c r="H72" t="s">
        <v>91</v>
      </c>
      <c r="I72">
        <v>25</v>
      </c>
    </row>
    <row r="73" spans="1:11">
      <c r="A73">
        <v>2022</v>
      </c>
      <c r="B73" t="s">
        <v>103</v>
      </c>
      <c r="C73" t="s">
        <v>15</v>
      </c>
      <c r="D73" s="36">
        <v>121.75</v>
      </c>
      <c r="E73">
        <f t="shared" ref="E73:E86" si="9">D73/$D$82</f>
        <v>3.3111862341681786E-2</v>
      </c>
      <c r="F73" s="37">
        <f t="shared" si="8"/>
        <v>3.3111862341681784</v>
      </c>
      <c r="H73" t="s">
        <v>92</v>
      </c>
      <c r="I73">
        <v>10</v>
      </c>
    </row>
    <row r="74" spans="1:11">
      <c r="A74">
        <v>2022</v>
      </c>
      <c r="B74" t="s">
        <v>103</v>
      </c>
      <c r="C74" t="s">
        <v>21</v>
      </c>
      <c r="D74" s="36">
        <v>19.5</v>
      </c>
      <c r="E74">
        <f t="shared" si="9"/>
        <v>5.3033372949716209E-3</v>
      </c>
      <c r="F74" s="37">
        <f t="shared" si="8"/>
        <v>0.53033372949716207</v>
      </c>
      <c r="H74" s="33" t="s">
        <v>93</v>
      </c>
      <c r="I74" t="s">
        <v>94</v>
      </c>
    </row>
    <row r="75" spans="1:11">
      <c r="A75">
        <v>2022</v>
      </c>
      <c r="B75" t="s">
        <v>103</v>
      </c>
      <c r="C75" t="s">
        <v>22</v>
      </c>
      <c r="D75" s="36">
        <v>127.31</v>
      </c>
      <c r="E75">
        <f t="shared" si="9"/>
        <v>3.4623993385786513E-2</v>
      </c>
      <c r="F75" s="37">
        <f t="shared" si="8"/>
        <v>3.4623993385786513</v>
      </c>
      <c r="H75" t="s">
        <v>95</v>
      </c>
      <c r="I75">
        <v>5</v>
      </c>
    </row>
    <row r="76" spans="1:11">
      <c r="A76">
        <v>2022</v>
      </c>
      <c r="B76" t="s">
        <v>103</v>
      </c>
      <c r="C76" t="s">
        <v>29</v>
      </c>
      <c r="D76" s="36">
        <v>101.88</v>
      </c>
      <c r="E76">
        <f>D76/$D$82</f>
        <v>2.7707897621113267E-2</v>
      </c>
      <c r="F76" s="37">
        <f t="shared" si="8"/>
        <v>2.7707897621113267</v>
      </c>
      <c r="H76" t="s">
        <v>96</v>
      </c>
      <c r="I76">
        <v>0.25</v>
      </c>
    </row>
    <row r="77" spans="1:11">
      <c r="A77">
        <v>2022</v>
      </c>
      <c r="B77" t="s">
        <v>103</v>
      </c>
      <c r="C77" t="s">
        <v>7</v>
      </c>
      <c r="D77" s="36">
        <v>38.18</v>
      </c>
      <c r="E77">
        <f t="shared" si="9"/>
        <v>1.0383662457539307E-2</v>
      </c>
      <c r="F77" s="37">
        <f t="shared" si="8"/>
        <v>1.0383662457539307</v>
      </c>
      <c r="H77" t="s">
        <v>27</v>
      </c>
      <c r="I77">
        <v>0.74</v>
      </c>
    </row>
    <row r="78" spans="1:11">
      <c r="A78">
        <v>2022</v>
      </c>
      <c r="B78" t="s">
        <v>103</v>
      </c>
      <c r="C78" t="s">
        <v>11</v>
      </c>
      <c r="D78" s="36">
        <v>33.880000000000003</v>
      </c>
      <c r="E78">
        <f t="shared" si="9"/>
        <v>9.2142085924942826E-3</v>
      </c>
      <c r="F78" s="37">
        <f t="shared" si="8"/>
        <v>0.92142085924942829</v>
      </c>
      <c r="H78" t="s">
        <v>29</v>
      </c>
      <c r="I78">
        <v>2.5</v>
      </c>
    </row>
    <row r="79" spans="1:11">
      <c r="A79">
        <v>2022</v>
      </c>
      <c r="B79" t="s">
        <v>103</v>
      </c>
      <c r="C79" t="s">
        <v>9</v>
      </c>
      <c r="D79" s="36">
        <v>543.61</v>
      </c>
      <c r="E79">
        <f t="shared" si="9"/>
        <v>0.14784344548305245</v>
      </c>
      <c r="F79" s="37">
        <f t="shared" si="8"/>
        <v>14.784344548305246</v>
      </c>
      <c r="H79" s="33" t="s">
        <v>97</v>
      </c>
      <c r="I79">
        <v>15</v>
      </c>
    </row>
    <row r="80" spans="1:11">
      <c r="A80">
        <v>2022</v>
      </c>
      <c r="B80" t="s">
        <v>103</v>
      </c>
      <c r="C80" t="s">
        <v>19</v>
      </c>
      <c r="D80" s="36">
        <v>5.49</v>
      </c>
      <c r="E80">
        <f t="shared" si="9"/>
        <v>1.4930934230458564E-3</v>
      </c>
      <c r="F80" s="37">
        <f t="shared" si="8"/>
        <v>0.14930934230458565</v>
      </c>
      <c r="H80" s="33" t="s">
        <v>98</v>
      </c>
      <c r="I80"/>
    </row>
    <row r="81" spans="1:11">
      <c r="A81">
        <v>2022</v>
      </c>
      <c r="B81" t="s">
        <v>103</v>
      </c>
      <c r="C81" t="s">
        <v>36</v>
      </c>
      <c r="D81" s="36">
        <v>212.15</v>
      </c>
      <c r="E81">
        <f t="shared" si="9"/>
        <v>5.7697590109139968E-2</v>
      </c>
      <c r="F81" s="37">
        <f t="shared" si="8"/>
        <v>5.7697590109139965</v>
      </c>
      <c r="H81" t="s">
        <v>9</v>
      </c>
      <c r="I81">
        <v>11</v>
      </c>
    </row>
    <row r="82" spans="1:11">
      <c r="A82">
        <v>2022</v>
      </c>
      <c r="B82" t="s">
        <v>103</v>
      </c>
      <c r="C82" t="s">
        <v>5</v>
      </c>
      <c r="D82" s="36">
        <v>3676.93</v>
      </c>
      <c r="E82">
        <f t="shared" si="9"/>
        <v>1</v>
      </c>
      <c r="H82" t="s">
        <v>7</v>
      </c>
      <c r="I82">
        <v>2.1</v>
      </c>
    </row>
    <row r="83" spans="1:11" ht="30.75">
      <c r="A83">
        <v>2022</v>
      </c>
      <c r="B83" t="s">
        <v>103</v>
      </c>
      <c r="C83" s="33" t="s">
        <v>31</v>
      </c>
      <c r="D83" s="36">
        <v>50</v>
      </c>
      <c r="E83">
        <f t="shared" si="9"/>
        <v>1.3598300756337488E-2</v>
      </c>
      <c r="F83" s="37">
        <f t="shared" si="8"/>
        <v>1.3598300756337489</v>
      </c>
      <c r="H83" s="33" t="s">
        <v>99</v>
      </c>
      <c r="I83">
        <v>2</v>
      </c>
    </row>
    <row r="84" spans="1:11">
      <c r="A84">
        <v>2022</v>
      </c>
      <c r="B84" t="s">
        <v>103</v>
      </c>
      <c r="C84" t="s">
        <v>27</v>
      </c>
      <c r="D84" s="36">
        <v>30</v>
      </c>
      <c r="E84">
        <f t="shared" si="9"/>
        <v>8.1589804538024936E-3</v>
      </c>
      <c r="F84" s="37">
        <f t="shared" si="8"/>
        <v>0.81589804538024935</v>
      </c>
      <c r="H84" t="s">
        <v>11</v>
      </c>
      <c r="I84">
        <v>9</v>
      </c>
    </row>
    <row r="85" spans="1:11">
      <c r="A85">
        <v>2022</v>
      </c>
      <c r="B85" t="s">
        <v>103</v>
      </c>
      <c r="C85" t="s">
        <v>17</v>
      </c>
      <c r="D85" s="36">
        <v>1333</v>
      </c>
      <c r="E85">
        <f t="shared" si="9"/>
        <v>0.36253069816395744</v>
      </c>
      <c r="F85" s="37">
        <f t="shared" si="8"/>
        <v>36.253069816395744</v>
      </c>
      <c r="H85" t="s">
        <v>34</v>
      </c>
      <c r="I85">
        <v>9</v>
      </c>
    </row>
    <row r="86" spans="1:11">
      <c r="A86">
        <v>2022</v>
      </c>
      <c r="B86" t="s">
        <v>103</v>
      </c>
      <c r="C86" t="s">
        <v>25</v>
      </c>
      <c r="D86" s="36">
        <v>10.58</v>
      </c>
      <c r="E86">
        <f t="shared" si="9"/>
        <v>2.8774004400410128E-3</v>
      </c>
      <c r="F86" s="37">
        <f t="shared" si="8"/>
        <v>0.28774004400410125</v>
      </c>
      <c r="H86" t="s">
        <v>13</v>
      </c>
      <c r="I86">
        <v>2.41</v>
      </c>
    </row>
    <row r="87" spans="1:11" ht="45.75">
      <c r="A87">
        <v>2022</v>
      </c>
      <c r="B87" t="s">
        <v>103</v>
      </c>
      <c r="C87" s="33" t="s">
        <v>33</v>
      </c>
      <c r="D87" s="36">
        <v>500</v>
      </c>
      <c r="E87">
        <f>D87/$D$82</f>
        <v>0.13598300756337489</v>
      </c>
      <c r="F87" s="37">
        <f t="shared" si="8"/>
        <v>13.598300756337489</v>
      </c>
      <c r="H87" s="37" t="s">
        <v>38</v>
      </c>
      <c r="I87" s="37">
        <v>100</v>
      </c>
    </row>
    <row r="88" spans="1:11">
      <c r="A88">
        <v>2022</v>
      </c>
      <c r="B88" t="s">
        <v>103</v>
      </c>
      <c r="C88" t="s">
        <v>34</v>
      </c>
      <c r="D88" s="36">
        <v>157.96</v>
      </c>
      <c r="E88">
        <f>D88/$D$82</f>
        <v>4.2959751749421397E-2</v>
      </c>
      <c r="F88" s="37">
        <f t="shared" si="8"/>
        <v>4.2959751749421393</v>
      </c>
      <c r="J88" s="37">
        <f>100-SUM(F72:F88)</f>
        <v>8.0050476892407403</v>
      </c>
      <c r="K88" s="38">
        <f>D82-SUM(D72:D81)-SUM(D83:D88)</f>
        <v>294.33999999999969</v>
      </c>
    </row>
    <row r="89" spans="1:11" s="39" customFormat="1">
      <c r="D89" s="40"/>
      <c r="F89" s="41"/>
      <c r="G89" s="41"/>
      <c r="H89" s="41"/>
      <c r="I89" s="41"/>
      <c r="K89" s="42"/>
    </row>
    <row r="90" spans="1:11">
      <c r="A90">
        <v>2022</v>
      </c>
      <c r="B90" t="s">
        <v>104</v>
      </c>
      <c r="C90" t="s">
        <v>23</v>
      </c>
      <c r="D90" s="36">
        <v>96.76</v>
      </c>
      <c r="E90">
        <f>D90/$D$100</f>
        <v>1.4242753873849474E-2</v>
      </c>
      <c r="F90" s="37">
        <f t="shared" si="8"/>
        <v>1.4242753873849474</v>
      </c>
      <c r="H90" t="s">
        <v>91</v>
      </c>
      <c r="I90">
        <v>25</v>
      </c>
    </row>
    <row r="91" spans="1:11">
      <c r="A91">
        <v>2022</v>
      </c>
      <c r="B91" t="s">
        <v>104</v>
      </c>
      <c r="C91" t="s">
        <v>15</v>
      </c>
      <c r="D91" s="36">
        <v>121.75</v>
      </c>
      <c r="E91">
        <f t="shared" ref="E91:E106" si="10">D91/$D$100</f>
        <v>1.7921199712083231E-2</v>
      </c>
      <c r="F91" s="37">
        <f t="shared" si="8"/>
        <v>1.7921199712083231</v>
      </c>
      <c r="H91" t="s">
        <v>92</v>
      </c>
      <c r="I91">
        <v>10</v>
      </c>
    </row>
    <row r="92" spans="1:11">
      <c r="A92">
        <v>2022</v>
      </c>
      <c r="B92" t="s">
        <v>104</v>
      </c>
      <c r="C92" t="s">
        <v>21</v>
      </c>
      <c r="D92" s="36">
        <v>19.5</v>
      </c>
      <c r="E92">
        <f t="shared" si="10"/>
        <v>2.8703358881776017E-3</v>
      </c>
      <c r="F92" s="37">
        <f t="shared" si="8"/>
        <v>0.28703358881776014</v>
      </c>
      <c r="H92" s="33" t="s">
        <v>93</v>
      </c>
      <c r="I92" t="s">
        <v>94</v>
      </c>
    </row>
    <row r="93" spans="1:11">
      <c r="A93">
        <v>2022</v>
      </c>
      <c r="B93" t="s">
        <v>104</v>
      </c>
      <c r="C93" t="s">
        <v>22</v>
      </c>
      <c r="D93" s="36">
        <v>147.30000000000001</v>
      </c>
      <c r="E93">
        <f t="shared" si="10"/>
        <v>2.1682075709156961E-2</v>
      </c>
      <c r="F93" s="37">
        <f t="shared" si="8"/>
        <v>2.1682075709156963</v>
      </c>
      <c r="H93" t="s">
        <v>95</v>
      </c>
      <c r="I93">
        <v>5</v>
      </c>
    </row>
    <row r="94" spans="1:11">
      <c r="A94">
        <v>2022</v>
      </c>
      <c r="B94" t="s">
        <v>104</v>
      </c>
      <c r="C94" t="s">
        <v>29</v>
      </c>
      <c r="D94" s="36">
        <v>101.88</v>
      </c>
      <c r="E94">
        <f>D94/$D$100</f>
        <v>1.499640104038636E-2</v>
      </c>
      <c r="F94" s="37">
        <f t="shared" si="8"/>
        <v>1.499640104038636</v>
      </c>
      <c r="H94" t="s">
        <v>96</v>
      </c>
      <c r="I94">
        <v>0.25</v>
      </c>
    </row>
    <row r="95" spans="1:11">
      <c r="A95">
        <v>2022</v>
      </c>
      <c r="B95" t="s">
        <v>104</v>
      </c>
      <c r="C95" t="s">
        <v>7</v>
      </c>
      <c r="D95" s="36">
        <v>79.25</v>
      </c>
      <c r="E95">
        <f t="shared" si="10"/>
        <v>1.1665339442978201E-2</v>
      </c>
      <c r="F95" s="37">
        <f t="shared" si="8"/>
        <v>1.1665339442978202</v>
      </c>
      <c r="H95" t="s">
        <v>27</v>
      </c>
      <c r="I95">
        <v>0.74</v>
      </c>
    </row>
    <row r="96" spans="1:11">
      <c r="A96">
        <v>2022</v>
      </c>
      <c r="B96" t="s">
        <v>104</v>
      </c>
      <c r="C96" t="s">
        <v>11</v>
      </c>
      <c r="D96" s="36">
        <v>141.24</v>
      </c>
      <c r="E96">
        <f t="shared" si="10"/>
        <v>2.0790063633138692E-2</v>
      </c>
      <c r="F96" s="37">
        <f t="shared" si="8"/>
        <v>2.0790063633138693</v>
      </c>
      <c r="H96" t="s">
        <v>29</v>
      </c>
      <c r="I96">
        <v>2.5</v>
      </c>
    </row>
    <row r="97" spans="1:11">
      <c r="A97">
        <v>2022</v>
      </c>
      <c r="B97" t="s">
        <v>104</v>
      </c>
      <c r="C97" t="s">
        <v>9</v>
      </c>
      <c r="D97" s="36">
        <v>179.5</v>
      </c>
      <c r="E97">
        <f t="shared" si="10"/>
        <v>2.642180984245536E-2</v>
      </c>
      <c r="F97" s="37">
        <f t="shared" si="8"/>
        <v>2.6421809842455359</v>
      </c>
      <c r="H97" s="33" t="s">
        <v>97</v>
      </c>
      <c r="I97">
        <v>15</v>
      </c>
    </row>
    <row r="98" spans="1:11">
      <c r="A98">
        <v>2022</v>
      </c>
      <c r="B98" t="s">
        <v>104</v>
      </c>
      <c r="C98" t="s">
        <v>19</v>
      </c>
      <c r="D98" s="36">
        <v>226.49</v>
      </c>
      <c r="E98">
        <f t="shared" si="10"/>
        <v>3.3338583349402311E-2</v>
      </c>
      <c r="F98" s="37">
        <f t="shared" si="8"/>
        <v>3.3338583349402309</v>
      </c>
      <c r="H98" s="33" t="s">
        <v>98</v>
      </c>
      <c r="I98"/>
    </row>
    <row r="99" spans="1:11">
      <c r="A99">
        <v>2022</v>
      </c>
      <c r="B99" t="s">
        <v>104</v>
      </c>
      <c r="C99" t="s">
        <v>36</v>
      </c>
      <c r="D99" s="36">
        <v>111.51</v>
      </c>
      <c r="E99">
        <f t="shared" si="10"/>
        <v>1.6413905379009455E-2</v>
      </c>
      <c r="F99" s="37">
        <f t="shared" si="8"/>
        <v>1.6413905379009455</v>
      </c>
      <c r="H99" t="s">
        <v>9</v>
      </c>
      <c r="I99">
        <v>11</v>
      </c>
    </row>
    <row r="100" spans="1:11">
      <c r="A100">
        <v>2022</v>
      </c>
      <c r="B100" t="s">
        <v>104</v>
      </c>
      <c r="C100" t="s">
        <v>5</v>
      </c>
      <c r="D100" s="36">
        <v>6793.63</v>
      </c>
      <c r="E100">
        <f t="shared" si="10"/>
        <v>1</v>
      </c>
      <c r="H100" t="s">
        <v>7</v>
      </c>
      <c r="I100">
        <v>2.1</v>
      </c>
    </row>
    <row r="101" spans="1:11" ht="30.75">
      <c r="A101">
        <v>2022</v>
      </c>
      <c r="B101" t="s">
        <v>104</v>
      </c>
      <c r="C101" s="33" t="s">
        <v>31</v>
      </c>
      <c r="D101" s="36">
        <v>50</v>
      </c>
      <c r="E101">
        <f t="shared" si="10"/>
        <v>7.3598356107117992E-3</v>
      </c>
      <c r="F101" s="37">
        <f t="shared" si="8"/>
        <v>0.7359835610711799</v>
      </c>
      <c r="H101" s="33" t="s">
        <v>99</v>
      </c>
      <c r="I101">
        <v>2</v>
      </c>
    </row>
    <row r="102" spans="1:11">
      <c r="A102">
        <v>2022</v>
      </c>
      <c r="B102" t="s">
        <v>104</v>
      </c>
      <c r="C102" t="s">
        <v>27</v>
      </c>
      <c r="D102" s="36">
        <v>30</v>
      </c>
      <c r="E102">
        <f t="shared" si="10"/>
        <v>4.4159013664270795E-3</v>
      </c>
      <c r="F102" s="37">
        <f t="shared" si="8"/>
        <v>0.44159013664270796</v>
      </c>
      <c r="H102" t="s">
        <v>11</v>
      </c>
      <c r="I102">
        <v>9</v>
      </c>
    </row>
    <row r="103" spans="1:11">
      <c r="A103">
        <v>2022</v>
      </c>
      <c r="B103" t="s">
        <v>104</v>
      </c>
      <c r="C103" t="s">
        <v>17</v>
      </c>
      <c r="D103" s="36">
        <v>1371</v>
      </c>
      <c r="E103">
        <f t="shared" si="10"/>
        <v>0.20180669244571753</v>
      </c>
      <c r="F103" s="37">
        <f t="shared" si="8"/>
        <v>20.180669244571753</v>
      </c>
      <c r="H103" t="s">
        <v>34</v>
      </c>
      <c r="I103">
        <v>9</v>
      </c>
    </row>
    <row r="104" spans="1:11">
      <c r="A104">
        <v>2022</v>
      </c>
      <c r="B104" t="s">
        <v>104</v>
      </c>
      <c r="C104" t="s">
        <v>25</v>
      </c>
      <c r="D104" s="36">
        <v>10.58</v>
      </c>
      <c r="E104">
        <f>D104/$D$100</f>
        <v>1.5573412152266168E-3</v>
      </c>
      <c r="F104" s="37">
        <f t="shared" si="8"/>
        <v>0.15573412152266167</v>
      </c>
      <c r="H104" t="s">
        <v>13</v>
      </c>
      <c r="I104">
        <v>2.41</v>
      </c>
    </row>
    <row r="105" spans="1:11" ht="45.75">
      <c r="A105">
        <v>2022</v>
      </c>
      <c r="B105" t="s">
        <v>104</v>
      </c>
      <c r="C105" s="33" t="s">
        <v>33</v>
      </c>
      <c r="D105" s="36">
        <v>500</v>
      </c>
      <c r="E105">
        <f t="shared" si="10"/>
        <v>7.3598356107117985E-2</v>
      </c>
      <c r="F105" s="37">
        <f t="shared" si="8"/>
        <v>7.3598356107117988</v>
      </c>
      <c r="H105" s="37" t="s">
        <v>38</v>
      </c>
      <c r="I105" s="37">
        <v>100</v>
      </c>
    </row>
    <row r="106" spans="1:11">
      <c r="A106">
        <v>2022</v>
      </c>
      <c r="B106" t="s">
        <v>104</v>
      </c>
      <c r="C106" t="s">
        <v>34</v>
      </c>
      <c r="D106" s="36">
        <v>302.95999999999998</v>
      </c>
      <c r="E106">
        <f t="shared" si="10"/>
        <v>4.4594715932424929E-2</v>
      </c>
      <c r="F106" s="37">
        <f t="shared" si="8"/>
        <v>4.4594715932424931</v>
      </c>
      <c r="J106" s="37">
        <f>100-SUM(F90:F106)</f>
        <v>48.632468945173642</v>
      </c>
      <c r="K106" s="38">
        <f>D100-SUM(D90:D99)-SUM(D101:D106)</f>
        <v>3303.91</v>
      </c>
    </row>
    <row r="107" spans="1:11" s="39" customFormat="1">
      <c r="D107" s="40"/>
      <c r="F107" s="41"/>
      <c r="G107" s="41"/>
      <c r="H107" s="41"/>
      <c r="I107" s="41"/>
      <c r="K107" s="42"/>
    </row>
    <row r="108" spans="1:11">
      <c r="A108">
        <v>2022</v>
      </c>
      <c r="B108" t="s">
        <v>105</v>
      </c>
      <c r="C108" t="s">
        <v>15</v>
      </c>
      <c r="D108" s="36">
        <v>121.75</v>
      </c>
      <c r="E108">
        <f>D108/$D$115</f>
        <v>3.0365306483834682E-2</v>
      </c>
      <c r="F108" s="37">
        <f t="shared" si="8"/>
        <v>3.0365306483834682</v>
      </c>
    </row>
    <row r="109" spans="1:11">
      <c r="A109">
        <v>2022</v>
      </c>
      <c r="B109" t="s">
        <v>105</v>
      </c>
      <c r="C109" t="s">
        <v>21</v>
      </c>
      <c r="D109" s="36">
        <v>19.5</v>
      </c>
      <c r="E109">
        <f t="shared" ref="E109:E119" si="11">D109/$D$115</f>
        <v>4.8634371781090457E-3</v>
      </c>
      <c r="F109" s="37">
        <f t="shared" si="8"/>
        <v>0.48634371781090457</v>
      </c>
    </row>
    <row r="110" spans="1:11">
      <c r="A110">
        <v>2022</v>
      </c>
      <c r="B110" t="s">
        <v>105</v>
      </c>
      <c r="C110" t="s">
        <v>29</v>
      </c>
      <c r="D110" s="36">
        <v>101.88</v>
      </c>
      <c r="E110">
        <f t="shared" si="11"/>
        <v>2.5409588702858952E-2</v>
      </c>
      <c r="F110" s="37">
        <f t="shared" si="8"/>
        <v>2.5409588702858952</v>
      </c>
    </row>
    <row r="111" spans="1:11">
      <c r="A111">
        <v>2022</v>
      </c>
      <c r="B111" t="s">
        <v>105</v>
      </c>
      <c r="C111" t="s">
        <v>7</v>
      </c>
      <c r="D111" s="36">
        <v>30.89</v>
      </c>
      <c r="E111">
        <f t="shared" si="11"/>
        <v>7.7041833041942781E-3</v>
      </c>
      <c r="F111" s="37">
        <f t="shared" si="8"/>
        <v>0.77041833041942787</v>
      </c>
    </row>
    <row r="112" spans="1:11">
      <c r="A112">
        <v>2022</v>
      </c>
      <c r="B112" t="s">
        <v>105</v>
      </c>
      <c r="C112" t="s">
        <v>11</v>
      </c>
      <c r="D112" s="36">
        <v>169.75</v>
      </c>
      <c r="E112">
        <f t="shared" si="11"/>
        <v>4.233684415302618E-2</v>
      </c>
      <c r="F112" s="37">
        <f t="shared" si="8"/>
        <v>4.2336844153026183</v>
      </c>
    </row>
    <row r="113" spans="1:11">
      <c r="A113">
        <v>2022</v>
      </c>
      <c r="B113" t="s">
        <v>105</v>
      </c>
      <c r="C113" t="s">
        <v>9</v>
      </c>
      <c r="D113" s="36">
        <v>411.07</v>
      </c>
      <c r="E113">
        <f t="shared" si="11"/>
        <v>0.10252374978488643</v>
      </c>
      <c r="F113" s="37">
        <f t="shared" si="8"/>
        <v>10.252374978488643</v>
      </c>
    </row>
    <row r="114" spans="1:11">
      <c r="A114">
        <v>2022</v>
      </c>
      <c r="B114" t="s">
        <v>105</v>
      </c>
      <c r="C114" t="s">
        <v>36</v>
      </c>
      <c r="D114" s="36">
        <v>68.209999999999994</v>
      </c>
      <c r="E114">
        <f t="shared" si="11"/>
        <v>1.7012053841990664E-2</v>
      </c>
      <c r="F114" s="37">
        <f t="shared" si="8"/>
        <v>1.7012053841990664</v>
      </c>
    </row>
    <row r="115" spans="1:11">
      <c r="A115">
        <v>2022</v>
      </c>
      <c r="B115" t="s">
        <v>105</v>
      </c>
      <c r="C115" t="s">
        <v>5</v>
      </c>
      <c r="D115" s="36">
        <v>4009.51</v>
      </c>
      <c r="E115">
        <f t="shared" si="11"/>
        <v>1</v>
      </c>
    </row>
    <row r="116" spans="1:11" ht="30.75">
      <c r="A116">
        <v>2022</v>
      </c>
      <c r="B116" t="s">
        <v>105</v>
      </c>
      <c r="C116" s="33" t="s">
        <v>31</v>
      </c>
      <c r="D116" s="36">
        <v>50</v>
      </c>
      <c r="E116">
        <f t="shared" si="11"/>
        <v>1.2470351738741142E-2</v>
      </c>
      <c r="F116" s="37">
        <f t="shared" si="8"/>
        <v>1.2470351738741141</v>
      </c>
    </row>
    <row r="117" spans="1:11">
      <c r="A117">
        <v>2022</v>
      </c>
      <c r="B117" t="s">
        <v>105</v>
      </c>
      <c r="C117" t="s">
        <v>27</v>
      </c>
      <c r="D117" s="36">
        <v>30</v>
      </c>
      <c r="E117">
        <f t="shared" si="11"/>
        <v>7.4822110432446855E-3</v>
      </c>
      <c r="F117" s="37">
        <f t="shared" si="8"/>
        <v>0.74822110432446853</v>
      </c>
    </row>
    <row r="118" spans="1:11">
      <c r="A118">
        <v>2022</v>
      </c>
      <c r="B118" t="s">
        <v>105</v>
      </c>
      <c r="C118" t="s">
        <v>17</v>
      </c>
      <c r="D118" s="36">
        <v>1371</v>
      </c>
      <c r="E118">
        <f t="shared" si="11"/>
        <v>0.34193704467628211</v>
      </c>
      <c r="F118" s="37">
        <f t="shared" si="8"/>
        <v>34.193704467628208</v>
      </c>
    </row>
    <row r="119" spans="1:11">
      <c r="A119">
        <v>2022</v>
      </c>
      <c r="B119" t="s">
        <v>105</v>
      </c>
      <c r="C119" t="s">
        <v>25</v>
      </c>
      <c r="D119" s="36">
        <v>10.58</v>
      </c>
      <c r="E119">
        <f t="shared" si="11"/>
        <v>2.6387264279176259E-3</v>
      </c>
      <c r="F119" s="37">
        <f t="shared" si="8"/>
        <v>0.26387264279176259</v>
      </c>
    </row>
    <row r="120" spans="1:11" ht="45.75">
      <c r="A120">
        <v>2022</v>
      </c>
      <c r="B120" t="s">
        <v>105</v>
      </c>
      <c r="C120" s="33" t="s">
        <v>33</v>
      </c>
      <c r="D120" s="36">
        <v>500</v>
      </c>
      <c r="E120">
        <f>D120/$D$115</f>
        <v>0.12470351738741142</v>
      </c>
      <c r="F120" s="37">
        <f t="shared" si="8"/>
        <v>12.470351738741142</v>
      </c>
      <c r="J120" s="37">
        <f>100-SUM(F108:F120)</f>
        <v>28.055298527750281</v>
      </c>
      <c r="K120" s="38">
        <f>D115-SUM(D108:D114)-SUM(D116:D120)</f>
        <v>1124.8800000000001</v>
      </c>
    </row>
    <row r="121" spans="1:11" s="39" customFormat="1">
      <c r="C121" s="43"/>
      <c r="D121" s="40"/>
      <c r="F121" s="41"/>
      <c r="G121" s="41"/>
      <c r="H121" s="41"/>
      <c r="I121" s="41"/>
      <c r="K121" s="42"/>
    </row>
    <row r="122" spans="1:11">
      <c r="A122">
        <v>2022</v>
      </c>
      <c r="B122" t="s">
        <v>106</v>
      </c>
      <c r="C122" t="s">
        <v>23</v>
      </c>
      <c r="D122" s="36">
        <v>18.36</v>
      </c>
      <c r="E122">
        <f>D122/$D$130</f>
        <v>6.9943390044876529E-3</v>
      </c>
      <c r="F122" s="37">
        <f t="shared" si="8"/>
        <v>0.6994339004487653</v>
      </c>
    </row>
    <row r="123" spans="1:11">
      <c r="A123">
        <v>2022</v>
      </c>
      <c r="B123" t="s">
        <v>106</v>
      </c>
      <c r="C123" t="s">
        <v>15</v>
      </c>
      <c r="D123" s="36">
        <v>121.75</v>
      </c>
      <c r="E123">
        <f t="shared" ref="E123:E134" si="12">D123/$D$130</f>
        <v>4.6381305762329621E-2</v>
      </c>
      <c r="F123" s="37">
        <f t="shared" si="8"/>
        <v>4.6381305762329621</v>
      </c>
    </row>
    <row r="124" spans="1:11">
      <c r="A124">
        <v>2022</v>
      </c>
      <c r="B124" t="s">
        <v>106</v>
      </c>
      <c r="C124" t="s">
        <v>21</v>
      </c>
      <c r="D124" s="36">
        <v>19.5</v>
      </c>
      <c r="E124">
        <f t="shared" si="12"/>
        <v>7.4286280276421156E-3</v>
      </c>
      <c r="F124" s="37">
        <f t="shared" si="8"/>
        <v>0.74286280276421157</v>
      </c>
    </row>
    <row r="125" spans="1:11">
      <c r="A125">
        <v>2022</v>
      </c>
      <c r="B125" t="s">
        <v>106</v>
      </c>
      <c r="C125" t="s">
        <v>29</v>
      </c>
      <c r="D125" s="36">
        <v>101.88</v>
      </c>
      <c r="E125">
        <f t="shared" si="12"/>
        <v>3.8811724279804033E-2</v>
      </c>
      <c r="F125" s="37">
        <f t="shared" si="8"/>
        <v>3.8811724279804034</v>
      </c>
    </row>
    <row r="126" spans="1:11">
      <c r="A126">
        <v>2022</v>
      </c>
      <c r="B126" t="s">
        <v>106</v>
      </c>
      <c r="C126" t="s">
        <v>7</v>
      </c>
      <c r="D126" s="36">
        <v>92.14</v>
      </c>
      <c r="E126">
        <f t="shared" si="12"/>
        <v>3.5101219818817669E-2</v>
      </c>
      <c r="F126" s="37">
        <f t="shared" si="8"/>
        <v>3.5101219818817668</v>
      </c>
    </row>
    <row r="127" spans="1:11">
      <c r="A127">
        <v>2022</v>
      </c>
      <c r="B127" t="s">
        <v>106</v>
      </c>
      <c r="C127" t="s">
        <v>11</v>
      </c>
      <c r="D127" s="36">
        <v>5.44</v>
      </c>
      <c r="E127">
        <f t="shared" si="12"/>
        <v>2.0723967420704158E-3</v>
      </c>
      <c r="F127" s="37">
        <f t="shared" si="8"/>
        <v>0.20723967420704156</v>
      </c>
    </row>
    <row r="128" spans="1:11">
      <c r="A128">
        <v>2022</v>
      </c>
      <c r="B128" t="s">
        <v>106</v>
      </c>
      <c r="C128" t="s">
        <v>9</v>
      </c>
      <c r="D128" s="36">
        <v>178.12</v>
      </c>
      <c r="E128">
        <f t="shared" si="12"/>
        <v>6.7855755091467365E-2</v>
      </c>
      <c r="F128" s="37">
        <f t="shared" si="8"/>
        <v>6.7855755091467369</v>
      </c>
    </row>
    <row r="129" spans="1:11">
      <c r="A129">
        <v>2022</v>
      </c>
      <c r="B129" t="s">
        <v>106</v>
      </c>
      <c r="C129" t="s">
        <v>36</v>
      </c>
      <c r="D129" s="36">
        <v>37.020000000000003</v>
      </c>
      <c r="E129">
        <f>D129/$D$130</f>
        <v>1.4102964594015955E-2</v>
      </c>
      <c r="F129" s="37">
        <f t="shared" si="8"/>
        <v>1.4102964594015954</v>
      </c>
    </row>
    <row r="130" spans="1:11">
      <c r="A130">
        <v>2022</v>
      </c>
      <c r="B130" t="s">
        <v>106</v>
      </c>
      <c r="C130" t="s">
        <v>5</v>
      </c>
      <c r="D130" s="36">
        <v>2624.98</v>
      </c>
      <c r="E130">
        <f t="shared" si="12"/>
        <v>1</v>
      </c>
    </row>
    <row r="131" spans="1:11" ht="30.75">
      <c r="A131">
        <v>2022</v>
      </c>
      <c r="B131" t="s">
        <v>106</v>
      </c>
      <c r="C131" s="33" t="s">
        <v>31</v>
      </c>
      <c r="D131" s="36">
        <v>100</v>
      </c>
      <c r="E131">
        <f t="shared" si="12"/>
        <v>3.8095528346882644E-2</v>
      </c>
      <c r="F131" s="37">
        <f t="shared" si="8"/>
        <v>3.8095528346882643</v>
      </c>
    </row>
    <row r="132" spans="1:11">
      <c r="A132">
        <v>2022</v>
      </c>
      <c r="B132" t="s">
        <v>106</v>
      </c>
      <c r="C132" t="s">
        <v>27</v>
      </c>
      <c r="D132" s="36">
        <v>30</v>
      </c>
      <c r="E132">
        <f t="shared" si="12"/>
        <v>1.1428658504064793E-2</v>
      </c>
      <c r="F132" s="37">
        <f t="shared" si="8"/>
        <v>1.1428658504064793</v>
      </c>
    </row>
    <row r="133" spans="1:11">
      <c r="A133">
        <v>2022</v>
      </c>
      <c r="B133" t="s">
        <v>106</v>
      </c>
      <c r="C133" t="s">
        <v>17</v>
      </c>
      <c r="D133" s="36">
        <v>1371</v>
      </c>
      <c r="E133">
        <f t="shared" si="12"/>
        <v>0.52228969363576105</v>
      </c>
      <c r="F133" s="37">
        <f t="shared" si="8"/>
        <v>52.228969363576105</v>
      </c>
    </row>
    <row r="134" spans="1:11">
      <c r="A134">
        <v>2022</v>
      </c>
      <c r="B134" t="s">
        <v>106</v>
      </c>
      <c r="C134" t="s">
        <v>25</v>
      </c>
      <c r="D134" s="36">
        <v>10.58</v>
      </c>
      <c r="E134">
        <f t="shared" si="12"/>
        <v>4.0305068991001837E-3</v>
      </c>
      <c r="F134" s="37">
        <f t="shared" si="8"/>
        <v>0.40305068991001836</v>
      </c>
    </row>
    <row r="135" spans="1:11" ht="45.75">
      <c r="A135">
        <v>2022</v>
      </c>
      <c r="B135" t="s">
        <v>106</v>
      </c>
      <c r="C135" s="33" t="s">
        <v>33</v>
      </c>
      <c r="D135" s="36">
        <v>500</v>
      </c>
      <c r="E135">
        <f>D135/$D$130</f>
        <v>0.1904776417344132</v>
      </c>
      <c r="F135" s="37">
        <f t="shared" si="8"/>
        <v>19.047764173441319</v>
      </c>
    </row>
    <row r="136" spans="1:11">
      <c r="A136">
        <v>2022</v>
      </c>
      <c r="B136" t="s">
        <v>106</v>
      </c>
      <c r="C136" t="s">
        <v>34</v>
      </c>
      <c r="D136" s="36">
        <v>1529.06</v>
      </c>
      <c r="E136">
        <f>D136/$D$130</f>
        <v>0.58250348574084376</v>
      </c>
      <c r="F136" s="37">
        <f t="shared" si="8"/>
        <v>58.250348574084377</v>
      </c>
      <c r="J136" s="37">
        <f>100-SUM(F122:F136)</f>
        <v>-56.757384818170067</v>
      </c>
      <c r="K136" s="38">
        <f>D130-SUM(D122:D129)-SUM(D131:D136)</f>
        <v>-1489.87</v>
      </c>
    </row>
    <row r="137" spans="1:11" s="39" customFormat="1">
      <c r="D137" s="40"/>
      <c r="F137" s="41"/>
      <c r="G137" s="41"/>
      <c r="H137" s="41"/>
      <c r="I137" s="41"/>
      <c r="K137" s="42"/>
    </row>
    <row r="138" spans="1:11">
      <c r="A138">
        <v>2022</v>
      </c>
      <c r="B138" t="s">
        <v>107</v>
      </c>
      <c r="C138" t="s">
        <v>23</v>
      </c>
      <c r="D138" s="36">
        <v>50</v>
      </c>
      <c r="E138">
        <f>D138/$D$144</f>
        <v>1.8708583872452358E-2</v>
      </c>
      <c r="F138" s="37">
        <f t="shared" si="8"/>
        <v>1.8708583872452358</v>
      </c>
    </row>
    <row r="139" spans="1:11">
      <c r="A139">
        <v>2022</v>
      </c>
      <c r="B139" t="s">
        <v>107</v>
      </c>
      <c r="C139" t="s">
        <v>15</v>
      </c>
      <c r="D139" s="36">
        <v>121.75</v>
      </c>
      <c r="E139">
        <f t="shared" ref="E139:E149" si="13">D139/$D$144</f>
        <v>4.5555401729421491E-2</v>
      </c>
      <c r="F139" s="37">
        <f>E139*100</f>
        <v>4.5555401729421492</v>
      </c>
    </row>
    <row r="140" spans="1:11">
      <c r="A140">
        <v>2022</v>
      </c>
      <c r="B140" t="s">
        <v>107</v>
      </c>
      <c r="C140" t="s">
        <v>21</v>
      </c>
      <c r="D140" s="36">
        <v>19.5</v>
      </c>
      <c r="E140">
        <f t="shared" si="13"/>
        <v>7.2963477102564196E-3</v>
      </c>
      <c r="F140" s="37">
        <f>E140*100</f>
        <v>0.729634771025642</v>
      </c>
    </row>
    <row r="141" spans="1:11">
      <c r="A141">
        <v>2022</v>
      </c>
      <c r="B141" t="s">
        <v>107</v>
      </c>
      <c r="C141" t="s">
        <v>29</v>
      </c>
      <c r="D141" s="36">
        <v>101.88</v>
      </c>
      <c r="E141">
        <f t="shared" si="13"/>
        <v>3.8120610498508921E-2</v>
      </c>
      <c r="F141" s="37">
        <f>E141*100</f>
        <v>3.8120610498508922</v>
      </c>
    </row>
    <row r="142" spans="1:11">
      <c r="A142">
        <v>2022</v>
      </c>
      <c r="B142" t="s">
        <v>107</v>
      </c>
      <c r="C142" t="s">
        <v>11</v>
      </c>
      <c r="D142" s="36">
        <v>5.44</v>
      </c>
      <c r="E142">
        <f t="shared" si="13"/>
        <v>2.0354939253228168E-3</v>
      </c>
      <c r="F142" s="37">
        <f>E142*100</f>
        <v>0.20354939253228169</v>
      </c>
    </row>
    <row r="143" spans="1:11">
      <c r="A143">
        <v>2022</v>
      </c>
      <c r="B143" t="s">
        <v>107</v>
      </c>
      <c r="C143" t="s">
        <v>9</v>
      </c>
      <c r="D143" s="36">
        <v>400</v>
      </c>
      <c r="E143">
        <f t="shared" si="13"/>
        <v>0.14966867097961886</v>
      </c>
      <c r="F143" s="37">
        <f>E143*100</f>
        <v>14.966867097961886</v>
      </c>
    </row>
    <row r="144" spans="1:11">
      <c r="A144">
        <v>2022</v>
      </c>
      <c r="B144" t="s">
        <v>107</v>
      </c>
      <c r="C144" t="s">
        <v>5</v>
      </c>
      <c r="D144" s="36">
        <v>2672.57</v>
      </c>
      <c r="E144">
        <f t="shared" si="13"/>
        <v>1</v>
      </c>
    </row>
    <row r="145" spans="1:11" ht="30.75">
      <c r="A145">
        <v>2022</v>
      </c>
      <c r="B145" t="s">
        <v>107</v>
      </c>
      <c r="C145" s="33" t="s">
        <v>31</v>
      </c>
      <c r="D145" s="36">
        <v>100</v>
      </c>
      <c r="E145">
        <f t="shared" si="13"/>
        <v>3.7417167744904715E-2</v>
      </c>
      <c r="F145" s="37">
        <f>E145*100</f>
        <v>3.7417167744904716</v>
      </c>
    </row>
    <row r="146" spans="1:11">
      <c r="A146">
        <v>2022</v>
      </c>
      <c r="B146" t="s">
        <v>107</v>
      </c>
      <c r="C146" t="s">
        <v>27</v>
      </c>
      <c r="D146" s="36">
        <v>30</v>
      </c>
      <c r="E146">
        <f t="shared" si="13"/>
        <v>1.1225150323471414E-2</v>
      </c>
      <c r="F146" s="37">
        <f>E146*100</f>
        <v>1.1225150323471413</v>
      </c>
    </row>
    <row r="147" spans="1:11">
      <c r="A147">
        <v>2022</v>
      </c>
      <c r="B147" t="s">
        <v>107</v>
      </c>
      <c r="C147" t="s">
        <v>17</v>
      </c>
      <c r="D147" s="36">
        <v>1371</v>
      </c>
      <c r="E147">
        <f t="shared" si="13"/>
        <v>0.51298936978264364</v>
      </c>
      <c r="F147" s="37">
        <f>E147*100</f>
        <v>51.298936978264365</v>
      </c>
    </row>
    <row r="148" spans="1:11">
      <c r="A148">
        <v>2022</v>
      </c>
      <c r="B148" t="s">
        <v>107</v>
      </c>
      <c r="C148" t="s">
        <v>25</v>
      </c>
      <c r="D148" s="36">
        <v>10.58</v>
      </c>
      <c r="E148">
        <f t="shared" si="13"/>
        <v>3.9587363474109186E-3</v>
      </c>
      <c r="F148" s="37">
        <f>E148*100</f>
        <v>0.39587363474109188</v>
      </c>
    </row>
    <row r="149" spans="1:11" ht="45.75">
      <c r="A149">
        <v>2022</v>
      </c>
      <c r="B149" t="s">
        <v>107</v>
      </c>
      <c r="C149" s="33" t="s">
        <v>33</v>
      </c>
      <c r="D149" s="36">
        <v>500</v>
      </c>
      <c r="E149">
        <f>D149/$D$144</f>
        <v>0.18708583872452358</v>
      </c>
      <c r="F149" s="37">
        <f>E149*100</f>
        <v>18.708583872452358</v>
      </c>
      <c r="J149" s="37">
        <f>100-SUM(F138:F149)</f>
        <v>-1.4061371638535149</v>
      </c>
      <c r="K149" s="38">
        <f>D144-SUM(D138:D143)-SUM(D145:D149)</f>
        <v>-37.5799999999997</v>
      </c>
    </row>
    <row r="150" spans="1:11" s="39" customFormat="1">
      <c r="C150" s="43"/>
      <c r="D150" s="40"/>
      <c r="F150" s="41"/>
      <c r="G150" s="41"/>
      <c r="H150" s="41"/>
      <c r="I150" s="41"/>
      <c r="K150" s="42"/>
    </row>
    <row r="151" spans="1:11">
      <c r="A151">
        <v>2022</v>
      </c>
      <c r="B151" t="s">
        <v>108</v>
      </c>
      <c r="C151" t="s">
        <v>23</v>
      </c>
      <c r="D151" s="36">
        <v>50</v>
      </c>
      <c r="E151">
        <f>D151/$D$157</f>
        <v>1.6992988692865325E-2</v>
      </c>
      <c r="F151" s="37">
        <f>E151*100</f>
        <v>1.6992988692865325</v>
      </c>
    </row>
    <row r="152" spans="1:11">
      <c r="A152">
        <v>2022</v>
      </c>
      <c r="B152" t="s">
        <v>108</v>
      </c>
      <c r="C152" t="s">
        <v>15</v>
      </c>
      <c r="D152" s="36">
        <v>121.75</v>
      </c>
      <c r="E152">
        <f t="shared" ref="E152:E163" si="14">D152/$D$157</f>
        <v>4.1377927467127068E-2</v>
      </c>
      <c r="F152" s="37">
        <f>E152*100</f>
        <v>4.1377927467127069</v>
      </c>
    </row>
    <row r="153" spans="1:11">
      <c r="A153">
        <v>2022</v>
      </c>
      <c r="B153" t="s">
        <v>108</v>
      </c>
      <c r="C153" t="s">
        <v>21</v>
      </c>
      <c r="D153" s="36">
        <v>19.5</v>
      </c>
      <c r="E153">
        <f t="shared" si="14"/>
        <v>6.6272655902174767E-3</v>
      </c>
      <c r="F153" s="37">
        <f>E153*100</f>
        <v>0.66272655902174771</v>
      </c>
    </row>
    <row r="154" spans="1:11">
      <c r="A154">
        <v>2022</v>
      </c>
      <c r="B154" t="s">
        <v>108</v>
      </c>
      <c r="C154" t="s">
        <v>29</v>
      </c>
      <c r="D154" s="36">
        <v>101.88</v>
      </c>
      <c r="E154">
        <f t="shared" si="14"/>
        <v>3.4624913760582382E-2</v>
      </c>
      <c r="F154" s="37">
        <f>E154*100</f>
        <v>3.4624913760582383</v>
      </c>
    </row>
    <row r="155" spans="1:11">
      <c r="A155">
        <v>2022</v>
      </c>
      <c r="B155" t="s">
        <v>108</v>
      </c>
      <c r="C155" t="s">
        <v>11</v>
      </c>
      <c r="D155" s="36">
        <v>5.44</v>
      </c>
      <c r="E155">
        <f t="shared" si="14"/>
        <v>1.8488371697837475E-3</v>
      </c>
      <c r="F155" s="37">
        <f>E155*100</f>
        <v>0.18488371697837475</v>
      </c>
    </row>
    <row r="156" spans="1:11">
      <c r="A156">
        <v>2022</v>
      </c>
      <c r="B156" t="s">
        <v>108</v>
      </c>
      <c r="C156" t="s">
        <v>9</v>
      </c>
      <c r="D156" s="36">
        <v>400</v>
      </c>
      <c r="E156">
        <f t="shared" si="14"/>
        <v>0.1359439095429226</v>
      </c>
      <c r="F156" s="37">
        <f>E156*100</f>
        <v>13.59439095429226</v>
      </c>
    </row>
    <row r="157" spans="1:11">
      <c r="A157">
        <v>2022</v>
      </c>
      <c r="B157" t="s">
        <v>108</v>
      </c>
      <c r="C157" t="s">
        <v>5</v>
      </c>
      <c r="D157" s="36">
        <v>2942.39</v>
      </c>
      <c r="E157">
        <f t="shared" si="14"/>
        <v>1</v>
      </c>
    </row>
    <row r="158" spans="1:11" ht="30.75">
      <c r="A158">
        <v>2022</v>
      </c>
      <c r="B158" t="s">
        <v>108</v>
      </c>
      <c r="C158" s="33" t="s">
        <v>31</v>
      </c>
      <c r="D158" s="36">
        <v>100</v>
      </c>
      <c r="E158">
        <f t="shared" si="14"/>
        <v>3.3985977385730649E-2</v>
      </c>
      <c r="F158" s="37">
        <f>E158*100</f>
        <v>3.398597738573065</v>
      </c>
    </row>
    <row r="159" spans="1:11">
      <c r="A159">
        <v>2022</v>
      </c>
      <c r="B159" t="s">
        <v>108</v>
      </c>
      <c r="C159" t="s">
        <v>27</v>
      </c>
      <c r="D159" s="36">
        <v>30</v>
      </c>
      <c r="E159">
        <f t="shared" si="14"/>
        <v>1.0195793215719194E-2</v>
      </c>
      <c r="F159" s="37">
        <f>E159*100</f>
        <v>1.0195793215719193</v>
      </c>
    </row>
    <row r="160" spans="1:11">
      <c r="A160">
        <v>2022</v>
      </c>
      <c r="B160" t="s">
        <v>108</v>
      </c>
      <c r="C160" t="s">
        <v>17</v>
      </c>
      <c r="D160" s="36">
        <v>1371</v>
      </c>
      <c r="E160">
        <f t="shared" si="14"/>
        <v>0.46594774995836719</v>
      </c>
      <c r="F160" s="37">
        <f>E160*100</f>
        <v>46.594774995836715</v>
      </c>
    </row>
    <row r="161" spans="1:12">
      <c r="A161">
        <v>2022</v>
      </c>
      <c r="B161" t="s">
        <v>108</v>
      </c>
      <c r="C161" t="s">
        <v>25</v>
      </c>
      <c r="D161" s="36">
        <v>10.58</v>
      </c>
      <c r="E161">
        <f t="shared" si="14"/>
        <v>3.5957164074103026E-3</v>
      </c>
      <c r="F161" s="37">
        <f>E161*100</f>
        <v>0.35957164074103026</v>
      </c>
    </row>
    <row r="162" spans="1:12" ht="45.75">
      <c r="A162">
        <v>2022</v>
      </c>
      <c r="B162" t="s">
        <v>108</v>
      </c>
      <c r="C162" s="33" t="s">
        <v>33</v>
      </c>
      <c r="D162" s="36">
        <v>500</v>
      </c>
      <c r="E162">
        <f t="shared" si="14"/>
        <v>0.16992988692865324</v>
      </c>
      <c r="F162" s="37">
        <f>E162*100</f>
        <v>16.992988692865325</v>
      </c>
    </row>
    <row r="163" spans="1:12">
      <c r="A163">
        <v>2022</v>
      </c>
      <c r="B163" t="s">
        <v>108</v>
      </c>
      <c r="C163" t="s">
        <v>34</v>
      </c>
      <c r="D163" s="36">
        <v>1790.64</v>
      </c>
      <c r="E163">
        <f t="shared" si="14"/>
        <v>0.60856650545984736</v>
      </c>
      <c r="F163" s="37">
        <f>E163*100</f>
        <v>60.856650545984735</v>
      </c>
      <c r="J163" s="37">
        <f>100-SUM(F151:F163)</f>
        <v>-52.963747157922626</v>
      </c>
      <c r="K163" s="38">
        <f>D157-SUM(D151:D156)-SUM(D158:D163)</f>
        <v>-1558.4000000000005</v>
      </c>
    </row>
    <row r="164" spans="1:12" s="39" customFormat="1">
      <c r="D164" s="40"/>
      <c r="F164" s="41"/>
      <c r="G164" s="41"/>
      <c r="H164" s="41"/>
      <c r="I164" s="41"/>
      <c r="K164" s="42"/>
    </row>
    <row r="165" spans="1:12">
      <c r="J165" s="38"/>
      <c r="K165" s="38">
        <f>SUM(K1:K163)</f>
        <v>-416.18999999999983</v>
      </c>
      <c r="L16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C987-7357-4794-A87E-8ADB7CBEFED5}">
  <dimension ref="A1:B17"/>
  <sheetViews>
    <sheetView workbookViewId="0">
      <selection activeCell="G4" sqref="G4"/>
    </sheetView>
  </sheetViews>
  <sheetFormatPr defaultRowHeight="15"/>
  <cols>
    <col min="1" max="1" width="17" bestFit="1" customWidth="1"/>
    <col min="2" max="2" width="13" bestFit="1" customWidth="1"/>
  </cols>
  <sheetData>
    <row r="1" spans="1:2">
      <c r="A1" t="s">
        <v>86</v>
      </c>
      <c r="B1" t="s">
        <v>87</v>
      </c>
    </row>
    <row r="2" spans="1:2">
      <c r="A2" t="s">
        <v>91</v>
      </c>
      <c r="B2">
        <v>25</v>
      </c>
    </row>
    <row r="3" spans="1:2">
      <c r="A3" t="s">
        <v>92</v>
      </c>
      <c r="B3">
        <v>10</v>
      </c>
    </row>
    <row r="4" spans="1:2" ht="45.75">
      <c r="A4" s="33" t="s">
        <v>93</v>
      </c>
      <c r="B4" t="s">
        <v>94</v>
      </c>
    </row>
    <row r="5" spans="1:2">
      <c r="A5" t="s">
        <v>95</v>
      </c>
      <c r="B5">
        <v>5</v>
      </c>
    </row>
    <row r="6" spans="1:2">
      <c r="A6" t="s">
        <v>96</v>
      </c>
      <c r="B6">
        <v>0.25</v>
      </c>
    </row>
    <row r="7" spans="1:2">
      <c r="A7" t="s">
        <v>27</v>
      </c>
      <c r="B7">
        <v>0.74</v>
      </c>
    </row>
    <row r="8" spans="1:2">
      <c r="A8" t="s">
        <v>29</v>
      </c>
      <c r="B8">
        <v>2.5</v>
      </c>
    </row>
    <row r="9" spans="1:2" ht="30.75">
      <c r="A9" s="33" t="s">
        <v>97</v>
      </c>
      <c r="B9">
        <v>15</v>
      </c>
    </row>
    <row r="10" spans="1:2" ht="30.75">
      <c r="A10" s="33" t="s">
        <v>98</v>
      </c>
    </row>
    <row r="11" spans="1:2">
      <c r="A11" t="s">
        <v>9</v>
      </c>
      <c r="B11">
        <v>11</v>
      </c>
    </row>
    <row r="12" spans="1:2">
      <c r="A12" t="s">
        <v>7</v>
      </c>
      <c r="B12">
        <v>2.1</v>
      </c>
    </row>
    <row r="13" spans="1:2" ht="30.75">
      <c r="A13" s="33" t="s">
        <v>99</v>
      </c>
      <c r="B13">
        <v>2</v>
      </c>
    </row>
    <row r="14" spans="1:2">
      <c r="A14" t="s">
        <v>11</v>
      </c>
      <c r="B14">
        <v>9</v>
      </c>
    </row>
    <row r="15" spans="1:2">
      <c r="A15" t="s">
        <v>34</v>
      </c>
      <c r="B15">
        <v>9</v>
      </c>
    </row>
    <row r="16" spans="1:2">
      <c r="A16" t="s">
        <v>13</v>
      </c>
      <c r="B16">
        <v>2.41</v>
      </c>
    </row>
    <row r="17" spans="1:2">
      <c r="A17" t="s">
        <v>38</v>
      </c>
      <c r="B17">
        <f>SUM(B2:B16)</f>
        <v>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1935-15BB-4572-B809-7DE1C2EA9DCC}">
  <dimension ref="A1:C22"/>
  <sheetViews>
    <sheetView workbookViewId="0">
      <selection activeCell="B22" sqref="B22"/>
    </sheetView>
  </sheetViews>
  <sheetFormatPr defaultRowHeight="15"/>
  <cols>
    <col min="1" max="1" width="13.42578125" bestFit="1" customWidth="1"/>
    <col min="2" max="2" width="13" bestFit="1" customWidth="1"/>
    <col min="3" max="3" width="48.7109375" bestFit="1" customWidth="1"/>
  </cols>
  <sheetData>
    <row r="1" spans="1:3" ht="45.75">
      <c r="A1" s="33" t="s">
        <v>110</v>
      </c>
      <c r="B1" t="s">
        <v>87</v>
      </c>
      <c r="C1" t="s">
        <v>43</v>
      </c>
    </row>
    <row r="2" spans="1:3">
      <c r="B2">
        <v>25</v>
      </c>
      <c r="C2" t="s">
        <v>91</v>
      </c>
    </row>
    <row r="3" spans="1:3">
      <c r="B3">
        <v>12.41</v>
      </c>
      <c r="C3" t="s">
        <v>19</v>
      </c>
    </row>
    <row r="4" spans="1:3">
      <c r="B4">
        <v>6</v>
      </c>
      <c r="C4" t="s">
        <v>111</v>
      </c>
    </row>
    <row r="5" spans="1:3">
      <c r="B5">
        <v>5</v>
      </c>
      <c r="C5" t="s">
        <v>59</v>
      </c>
    </row>
    <row r="6" spans="1:3">
      <c r="B6">
        <v>0.25</v>
      </c>
      <c r="C6" t="s">
        <v>112</v>
      </c>
    </row>
    <row r="7" spans="1:3">
      <c r="B7">
        <v>0.74</v>
      </c>
      <c r="C7" t="s">
        <v>113</v>
      </c>
    </row>
    <row r="8" spans="1:3">
      <c r="B8">
        <v>2.5</v>
      </c>
      <c r="C8" t="s">
        <v>52</v>
      </c>
    </row>
    <row r="9" spans="1:3">
      <c r="B9">
        <v>15</v>
      </c>
      <c r="C9" t="s">
        <v>114</v>
      </c>
    </row>
    <row r="10" spans="1:3">
      <c r="B10">
        <v>11</v>
      </c>
      <c r="C10" t="s">
        <v>53</v>
      </c>
    </row>
    <row r="11" spans="1:3">
      <c r="B11">
        <v>2.1</v>
      </c>
      <c r="C11" t="s">
        <v>63</v>
      </c>
    </row>
    <row r="12" spans="1:3">
      <c r="B12">
        <v>2</v>
      </c>
      <c r="C12" t="s">
        <v>115</v>
      </c>
    </row>
    <row r="13" spans="1:3">
      <c r="B13">
        <v>9</v>
      </c>
      <c r="C13" t="s">
        <v>64</v>
      </c>
    </row>
    <row r="14" spans="1:3">
      <c r="B14">
        <v>9</v>
      </c>
      <c r="C14" t="s">
        <v>60</v>
      </c>
    </row>
    <row r="15" spans="1:3">
      <c r="C15" t="s">
        <v>116</v>
      </c>
    </row>
    <row r="16" spans="1:3">
      <c r="A16">
        <v>100</v>
      </c>
      <c r="B16">
        <f>SUM(B2:B15)</f>
        <v>100</v>
      </c>
      <c r="C16" t="s">
        <v>117</v>
      </c>
    </row>
    <row r="19" spans="1:2">
      <c r="A19" t="s">
        <v>118</v>
      </c>
      <c r="B19">
        <v>3200</v>
      </c>
    </row>
    <row r="20" spans="1:2">
      <c r="A20" t="s">
        <v>119</v>
      </c>
    </row>
    <row r="22" spans="1:2">
      <c r="A2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5EBC-2D5D-4BDB-B2F9-7E70EF842059}">
  <dimension ref="A1:K22"/>
  <sheetViews>
    <sheetView workbookViewId="0">
      <selection activeCell="L5" sqref="L5"/>
    </sheetView>
  </sheetViews>
  <sheetFormatPr defaultRowHeight="15"/>
  <cols>
    <col min="1" max="1" width="26" bestFit="1" customWidth="1"/>
    <col min="2" max="7" width="8.140625" bestFit="1" customWidth="1"/>
    <col min="8" max="8" width="8.28515625" bestFit="1" customWidth="1"/>
    <col min="9" max="9" width="12.85546875" bestFit="1" customWidth="1"/>
    <col min="11" max="11" width="12.28515625" customWidth="1"/>
  </cols>
  <sheetData>
    <row r="1" spans="1:11" ht="60.75">
      <c r="B1" t="s">
        <v>121</v>
      </c>
      <c r="C1" t="s">
        <v>122</v>
      </c>
      <c r="D1" t="s">
        <v>123</v>
      </c>
      <c r="E1" t="s">
        <v>101</v>
      </c>
      <c r="F1" t="s">
        <v>124</v>
      </c>
      <c r="G1" t="s">
        <v>125</v>
      </c>
      <c r="H1" t="s">
        <v>126</v>
      </c>
      <c r="I1" t="s">
        <v>127</v>
      </c>
      <c r="K1" s="33" t="s">
        <v>128</v>
      </c>
    </row>
    <row r="3" spans="1:11" ht="30.75">
      <c r="A3" s="33" t="s">
        <v>129</v>
      </c>
      <c r="B3">
        <v>1333</v>
      </c>
      <c r="C3">
        <v>1333</v>
      </c>
      <c r="D3">
        <v>1333</v>
      </c>
      <c r="E3">
        <v>1333</v>
      </c>
      <c r="F3">
        <v>1333</v>
      </c>
      <c r="G3">
        <v>1333</v>
      </c>
      <c r="H3">
        <v>1333</v>
      </c>
      <c r="I3">
        <v>33.700000000000003</v>
      </c>
    </row>
    <row r="4" spans="1:11" ht="45.75">
      <c r="A4" s="33" t="s">
        <v>130</v>
      </c>
      <c r="B4">
        <v>0</v>
      </c>
      <c r="C4">
        <v>0</v>
      </c>
      <c r="D4">
        <v>216.39</v>
      </c>
      <c r="E4">
        <v>5.39</v>
      </c>
      <c r="F4">
        <v>5.39</v>
      </c>
      <c r="G4">
        <v>5.49</v>
      </c>
      <c r="H4">
        <v>39</v>
      </c>
      <c r="I4">
        <v>1</v>
      </c>
    </row>
    <row r="5" spans="1:11" ht="121.5">
      <c r="A5" s="33" t="s">
        <v>131</v>
      </c>
      <c r="B5">
        <v>315.16000000000003</v>
      </c>
      <c r="C5">
        <v>153.16</v>
      </c>
      <c r="D5">
        <v>140.59</v>
      </c>
      <c r="E5">
        <v>208.19</v>
      </c>
      <c r="F5">
        <v>143.52000000000001</v>
      </c>
      <c r="G5">
        <v>268.56</v>
      </c>
      <c r="H5">
        <v>205</v>
      </c>
      <c r="I5">
        <v>5.2</v>
      </c>
    </row>
    <row r="6" spans="1:11">
      <c r="A6" t="s">
        <v>95</v>
      </c>
      <c r="B6">
        <v>65.31</v>
      </c>
      <c r="C6">
        <v>159.24</v>
      </c>
      <c r="D6">
        <v>0</v>
      </c>
      <c r="E6">
        <v>120.68</v>
      </c>
      <c r="F6">
        <v>70.069999999999993</v>
      </c>
      <c r="G6">
        <v>97.3</v>
      </c>
      <c r="H6">
        <v>85</v>
      </c>
      <c r="I6">
        <v>2.2000000000000002</v>
      </c>
    </row>
    <row r="7" spans="1:11" ht="45.75">
      <c r="A7" s="33" t="s">
        <v>132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0.3</v>
      </c>
    </row>
    <row r="8" spans="1:11">
      <c r="A8" t="s">
        <v>27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0.8</v>
      </c>
    </row>
    <row r="9" spans="1:11">
      <c r="A9" t="s">
        <v>29</v>
      </c>
      <c r="B9">
        <v>150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108</v>
      </c>
      <c r="I9">
        <v>2.7</v>
      </c>
    </row>
    <row r="10" spans="1:11" ht="60.75">
      <c r="A10" s="33" t="s">
        <v>97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1.3</v>
      </c>
    </row>
    <row r="11" spans="1:11" ht="76.5">
      <c r="A11" s="33" t="s">
        <v>133</v>
      </c>
      <c r="B11">
        <v>500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500</v>
      </c>
      <c r="I11">
        <v>12.6</v>
      </c>
    </row>
    <row r="12" spans="1:11">
      <c r="A12" t="s">
        <v>9</v>
      </c>
      <c r="B12">
        <v>399.77</v>
      </c>
      <c r="C12">
        <v>477.3</v>
      </c>
      <c r="D12">
        <v>323.16000000000003</v>
      </c>
      <c r="E12">
        <v>597.28</v>
      </c>
      <c r="F12">
        <v>419.46</v>
      </c>
      <c r="G12">
        <v>543.61</v>
      </c>
      <c r="H12">
        <v>460</v>
      </c>
      <c r="I12">
        <v>11.6</v>
      </c>
    </row>
    <row r="13" spans="1:11">
      <c r="A13" t="s">
        <v>7</v>
      </c>
      <c r="B13">
        <v>39.869999999999997</v>
      </c>
      <c r="C13">
        <v>76.53</v>
      </c>
      <c r="D13">
        <v>42.88</v>
      </c>
      <c r="E13">
        <v>83.66</v>
      </c>
      <c r="F13">
        <v>14.95</v>
      </c>
      <c r="G13">
        <v>38.18</v>
      </c>
      <c r="H13">
        <v>49</v>
      </c>
      <c r="I13">
        <v>1.2</v>
      </c>
    </row>
    <row r="14" spans="1:11" ht="76.5">
      <c r="A14" s="33" t="s">
        <v>134</v>
      </c>
      <c r="B14">
        <v>38.01</v>
      </c>
      <c r="C14">
        <v>133.96</v>
      </c>
      <c r="D14">
        <v>235.2</v>
      </c>
      <c r="E14">
        <v>217.89</v>
      </c>
      <c r="F14">
        <v>272.93</v>
      </c>
      <c r="G14">
        <v>212.15</v>
      </c>
      <c r="H14">
        <v>185</v>
      </c>
      <c r="I14">
        <v>4.7</v>
      </c>
    </row>
    <row r="15" spans="1:11">
      <c r="A15" t="s">
        <v>135</v>
      </c>
      <c r="B15">
        <v>32.29</v>
      </c>
      <c r="C15">
        <v>42.99</v>
      </c>
      <c r="D15">
        <v>163.07</v>
      </c>
      <c r="E15">
        <v>359.8</v>
      </c>
      <c r="F15">
        <v>31.93</v>
      </c>
      <c r="G15">
        <v>28.44</v>
      </c>
      <c r="H15">
        <v>110</v>
      </c>
      <c r="I15">
        <v>2.8</v>
      </c>
    </row>
    <row r="16" spans="1:11">
      <c r="A16" t="s">
        <v>34</v>
      </c>
      <c r="B16">
        <v>593.04</v>
      </c>
      <c r="C16">
        <v>486</v>
      </c>
      <c r="D16">
        <v>496</v>
      </c>
      <c r="E16">
        <v>2494</v>
      </c>
      <c r="F16">
        <v>300</v>
      </c>
      <c r="G16">
        <v>157.96</v>
      </c>
      <c r="H16">
        <v>755</v>
      </c>
      <c r="I16">
        <v>19.100000000000001</v>
      </c>
    </row>
    <row r="17" spans="1:8">
      <c r="A17" t="s">
        <v>13</v>
      </c>
      <c r="B17">
        <v>0</v>
      </c>
      <c r="C17">
        <v>0</v>
      </c>
      <c r="D17">
        <v>1235</v>
      </c>
      <c r="E17">
        <v>0</v>
      </c>
      <c r="F17">
        <v>450</v>
      </c>
      <c r="G17">
        <v>0</v>
      </c>
    </row>
    <row r="18" spans="1:8">
      <c r="A18" t="s">
        <v>38</v>
      </c>
      <c r="B18">
        <v>3056.45</v>
      </c>
      <c r="C18">
        <v>3052.18</v>
      </c>
      <c r="D18">
        <v>4375.29</v>
      </c>
      <c r="E18">
        <v>5609.89</v>
      </c>
      <c r="F18">
        <v>3231.25</v>
      </c>
      <c r="G18">
        <v>2874.69</v>
      </c>
      <c r="H18">
        <v>3700</v>
      </c>
    </row>
    <row r="19" spans="1:8">
      <c r="A19" t="s">
        <v>118</v>
      </c>
      <c r="B19">
        <v>3835.86</v>
      </c>
      <c r="C19">
        <v>3819.61</v>
      </c>
      <c r="D19">
        <v>4483.5</v>
      </c>
      <c r="E19">
        <v>4027.09</v>
      </c>
      <c r="F19">
        <v>3916.93</v>
      </c>
      <c r="G19">
        <v>3676.93</v>
      </c>
      <c r="H19">
        <v>3960</v>
      </c>
    </row>
    <row r="20" spans="1:8">
      <c r="A20" t="s">
        <v>119</v>
      </c>
      <c r="B20">
        <v>779.41</v>
      </c>
      <c r="C20">
        <v>767.43</v>
      </c>
      <c r="D20">
        <v>108.21</v>
      </c>
      <c r="E20">
        <v>-1582.8</v>
      </c>
      <c r="F20">
        <v>685.68</v>
      </c>
      <c r="G20">
        <v>802.24</v>
      </c>
      <c r="H20">
        <v>260</v>
      </c>
    </row>
    <row r="22" spans="1:8" ht="60.75">
      <c r="A22" s="33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74BB-EE1C-412A-B9C5-A3A71A7E65AF}">
  <dimension ref="A1:F12"/>
  <sheetViews>
    <sheetView workbookViewId="0">
      <selection activeCell="I13" sqref="I13"/>
    </sheetView>
  </sheetViews>
  <sheetFormatPr defaultRowHeight="15"/>
  <sheetData>
    <row r="1" spans="1:6" s="34" customFormat="1">
      <c r="A1" s="34" t="s">
        <v>137</v>
      </c>
    </row>
    <row r="2" spans="1:6" s="34" customFormat="1">
      <c r="A2" s="34" t="s">
        <v>138</v>
      </c>
    </row>
    <row r="3" spans="1:6" s="34" customFormat="1">
      <c r="A3" s="34" t="s">
        <v>139</v>
      </c>
    </row>
    <row r="4" spans="1:6" s="34" customFormat="1">
      <c r="A4" s="34" t="s">
        <v>140</v>
      </c>
    </row>
    <row r="5" spans="1:6" s="34" customFormat="1">
      <c r="A5" s="34" t="s">
        <v>141</v>
      </c>
    </row>
    <row r="6" spans="1:6" s="34" customFormat="1">
      <c r="A6" s="34" t="s">
        <v>142</v>
      </c>
    </row>
    <row r="7" spans="1:6">
      <c r="A7" t="s">
        <v>143</v>
      </c>
    </row>
    <row r="8" spans="1:6" s="34" customFormat="1">
      <c r="A8" s="34" t="s">
        <v>144</v>
      </c>
    </row>
    <row r="9" spans="1:6" s="34" customFormat="1">
      <c r="A9" s="34" t="s">
        <v>145</v>
      </c>
      <c r="F9" s="34" t="s">
        <v>146</v>
      </c>
    </row>
    <row r="10" spans="1:6" s="34" customFormat="1">
      <c r="A10" s="34" t="s">
        <v>147</v>
      </c>
    </row>
    <row r="11" spans="1:6" s="34" customFormat="1">
      <c r="A11" s="34" t="s">
        <v>148</v>
      </c>
    </row>
    <row r="12" spans="1:6" s="34" customFormat="1">
      <c r="A12" s="34" t="s">
        <v>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74AB-F2B1-4CC0-9AB8-8E2A0651A2F3}">
  <dimension ref="A1:E19"/>
  <sheetViews>
    <sheetView workbookViewId="0">
      <selection activeCell="G8" sqref="G8"/>
    </sheetView>
  </sheetViews>
  <sheetFormatPr defaultRowHeight="15"/>
  <cols>
    <col min="1" max="1" width="10.42578125" bestFit="1" customWidth="1"/>
    <col min="2" max="2" width="23.7109375" bestFit="1" customWidth="1"/>
    <col min="3" max="3" width="10.85546875" bestFit="1" customWidth="1"/>
    <col min="4" max="4" width="17.5703125" bestFit="1" customWidth="1"/>
    <col min="5" max="5" width="18.7109375" bestFit="1" customWidth="1"/>
  </cols>
  <sheetData>
    <row r="1" spans="1:5" ht="106.5">
      <c r="A1" s="32">
        <v>45012</v>
      </c>
      <c r="B1" s="28" t="s">
        <v>5</v>
      </c>
      <c r="C1" s="29">
        <f>2672.57+576.28+279.74+1434+506.9+1976+298.36</f>
        <v>7743.8499999999995</v>
      </c>
      <c r="D1" s="28" t="s">
        <v>5</v>
      </c>
      <c r="E1" s="30" t="s">
        <v>150</v>
      </c>
    </row>
    <row r="2" spans="1:5">
      <c r="A2" s="21">
        <v>45012</v>
      </c>
      <c r="B2" s="22" t="s">
        <v>151</v>
      </c>
      <c r="C2" s="23">
        <v>14.71</v>
      </c>
      <c r="D2" s="22" t="s">
        <v>9</v>
      </c>
      <c r="E2" s="22"/>
    </row>
    <row r="3" spans="1:5">
      <c r="A3" s="21">
        <v>45012</v>
      </c>
      <c r="B3" s="22" t="s">
        <v>45</v>
      </c>
      <c r="C3" s="23">
        <v>58.15</v>
      </c>
      <c r="D3" s="22" t="s">
        <v>15</v>
      </c>
      <c r="E3" s="22"/>
    </row>
    <row r="4" spans="1:5">
      <c r="A4" s="21">
        <v>45012</v>
      </c>
      <c r="B4" s="22" t="s">
        <v>46</v>
      </c>
      <c r="C4" s="23">
        <v>63.6</v>
      </c>
      <c r="D4" s="22" t="s">
        <v>15</v>
      </c>
      <c r="E4" s="22"/>
    </row>
    <row r="5" spans="1:5">
      <c r="A5" s="21">
        <v>45012</v>
      </c>
      <c r="B5" s="22" t="s">
        <v>152</v>
      </c>
      <c r="C5" s="23">
        <v>430.36</v>
      </c>
      <c r="D5" s="22" t="s">
        <v>11</v>
      </c>
      <c r="E5" s="22" t="s">
        <v>153</v>
      </c>
    </row>
    <row r="6" spans="1:5">
      <c r="A6" s="21">
        <v>45012</v>
      </c>
      <c r="B6" s="22" t="s">
        <v>154</v>
      </c>
      <c r="C6" s="23">
        <v>4.32</v>
      </c>
      <c r="D6" s="22" t="s">
        <v>7</v>
      </c>
      <c r="E6" s="22"/>
    </row>
    <row r="7" spans="1:5">
      <c r="A7" s="21">
        <v>45012</v>
      </c>
      <c r="B7" s="22" t="s">
        <v>155</v>
      </c>
      <c r="C7" s="23">
        <v>11.38</v>
      </c>
      <c r="D7" s="22" t="s">
        <v>9</v>
      </c>
      <c r="E7" s="22"/>
    </row>
    <row r="8" spans="1:5">
      <c r="A8" s="21">
        <v>45012</v>
      </c>
      <c r="B8" s="22" t="s">
        <v>155</v>
      </c>
      <c r="C8" s="23">
        <v>13.94</v>
      </c>
      <c r="D8" s="22" t="s">
        <v>9</v>
      </c>
      <c r="E8" s="22"/>
    </row>
    <row r="9" spans="1:5">
      <c r="A9" s="21">
        <v>45012</v>
      </c>
      <c r="B9" s="22" t="s">
        <v>47</v>
      </c>
      <c r="C9" s="23">
        <v>1371</v>
      </c>
      <c r="D9" s="22" t="s">
        <v>17</v>
      </c>
      <c r="E9" s="22"/>
    </row>
    <row r="10" spans="1:5">
      <c r="A10" s="21">
        <v>45012</v>
      </c>
      <c r="B10" s="22" t="s">
        <v>48</v>
      </c>
      <c r="C10" s="23">
        <v>5.25</v>
      </c>
      <c r="D10" s="22" t="s">
        <v>15</v>
      </c>
      <c r="E10" s="22"/>
    </row>
    <row r="11" spans="1:5">
      <c r="A11" s="21">
        <v>45012</v>
      </c>
      <c r="B11" s="22" t="s">
        <v>49</v>
      </c>
      <c r="C11" s="23">
        <v>14.25</v>
      </c>
      <c r="D11" s="22" t="s">
        <v>15</v>
      </c>
      <c r="E11" s="22"/>
    </row>
    <row r="12" spans="1:5">
      <c r="A12" s="21">
        <v>45012</v>
      </c>
      <c r="B12" s="22" t="s">
        <v>50</v>
      </c>
      <c r="C12" s="23">
        <v>10.58</v>
      </c>
      <c r="D12" s="22" t="s">
        <v>25</v>
      </c>
      <c r="E12" s="22"/>
    </row>
    <row r="13" spans="1:5">
      <c r="A13" s="21">
        <v>45012</v>
      </c>
      <c r="B13" s="22" t="s">
        <v>51</v>
      </c>
      <c r="C13" s="23">
        <v>30</v>
      </c>
      <c r="D13" s="22" t="s">
        <v>27</v>
      </c>
      <c r="E13" s="22"/>
    </row>
    <row r="14" spans="1:5">
      <c r="A14" s="21">
        <v>45012</v>
      </c>
      <c r="B14" s="22" t="s">
        <v>52</v>
      </c>
      <c r="C14" s="23">
        <f>51.25+25+25.63</f>
        <v>101.88</v>
      </c>
      <c r="D14" s="22" t="s">
        <v>29</v>
      </c>
      <c r="E14" s="22"/>
    </row>
    <row r="15" spans="1:5" ht="91.5">
      <c r="A15" s="21">
        <v>45012</v>
      </c>
      <c r="B15" s="22" t="s">
        <v>156</v>
      </c>
      <c r="C15" s="23">
        <v>500</v>
      </c>
      <c r="D15" s="31" t="s">
        <v>31</v>
      </c>
      <c r="E15" s="22"/>
    </row>
    <row r="16" spans="1:5" ht="91.5">
      <c r="A16" s="21">
        <v>45012</v>
      </c>
      <c r="B16" s="22" t="s">
        <v>55</v>
      </c>
      <c r="C16" s="23">
        <v>500</v>
      </c>
      <c r="D16" s="31" t="s">
        <v>31</v>
      </c>
      <c r="E16" s="22"/>
    </row>
    <row r="17" spans="1:5" ht="121.5">
      <c r="A17" s="21">
        <v>45012</v>
      </c>
      <c r="B17" s="22" t="s">
        <v>56</v>
      </c>
      <c r="C17" s="23">
        <f>270.83+270.83</f>
        <v>541.66</v>
      </c>
      <c r="D17" s="31" t="s">
        <v>33</v>
      </c>
      <c r="E17" s="22"/>
    </row>
    <row r="18" spans="1:5">
      <c r="A18" s="21">
        <v>45012</v>
      </c>
      <c r="B18" s="22" t="s">
        <v>57</v>
      </c>
      <c r="C18" s="23">
        <v>5.44</v>
      </c>
      <c r="D18" s="22" t="s">
        <v>11</v>
      </c>
      <c r="E18" s="22"/>
    </row>
    <row r="19" spans="1:5">
      <c r="A19" s="21">
        <v>45012</v>
      </c>
      <c r="B19" s="22" t="s">
        <v>157</v>
      </c>
      <c r="C19" s="23">
        <v>1286</v>
      </c>
      <c r="D19" s="22" t="s">
        <v>11</v>
      </c>
      <c r="E19" s="22" t="s">
        <v>158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8A92FD-3319-490C-80D2-C5A4701F2696}">
          <x14:formula1>
            <xm:f>Personalise!$E$8:$E$26</xm:f>
          </x14:formula1>
          <xm:sqref>D1:D19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C74A6A840C1046B2A451843B28932B" ma:contentTypeVersion="13" ma:contentTypeDescription="Create a new document." ma:contentTypeScope="" ma:versionID="02a8a94c1ac124f9c1c02620d7091b1e">
  <xsd:schema xmlns:xsd="http://www.w3.org/2001/XMLSchema" xmlns:xs="http://www.w3.org/2001/XMLSchema" xmlns:p="http://schemas.microsoft.com/office/2006/metadata/properties" xmlns:ns3="28d84e13-6091-4e4a-b96d-e0d4de1d86e5" xmlns:ns4="778806fc-f511-452c-be10-3e30fbf793c3" targetNamespace="http://schemas.microsoft.com/office/2006/metadata/properties" ma:root="true" ma:fieldsID="6064a363e4e438dae7e728e1b767bb8f" ns3:_="" ns4:_="">
    <xsd:import namespace="28d84e13-6091-4e4a-b96d-e0d4de1d86e5"/>
    <xsd:import namespace="778806fc-f511-452c-be10-3e30fbf79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84e13-6091-4e4a-b96d-e0d4de1d86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806fc-f511-452c-be10-3e30fbf793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1D86F4-A4F9-41BB-B52A-C4A6E8BDFA22}"/>
</file>

<file path=customXml/itemProps2.xml><?xml version="1.0" encoding="utf-8"?>
<ds:datastoreItem xmlns:ds="http://schemas.openxmlformats.org/officeDocument/2006/customXml" ds:itemID="{0ED28C0C-E5A4-4E8A-805D-C09ADB147EF9}"/>
</file>

<file path=customXml/itemProps3.xml><?xml version="1.0" encoding="utf-8"?>
<ds:datastoreItem xmlns:ds="http://schemas.openxmlformats.org/officeDocument/2006/customXml" ds:itemID="{229BCDB4-8465-4D9B-9850-63A689908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 Szirmai CW</dc:creator>
  <cp:keywords/>
  <dc:description/>
  <cp:lastModifiedBy/>
  <cp:revision/>
  <dcterms:created xsi:type="dcterms:W3CDTF">2020-12-10T23:56:06Z</dcterms:created>
  <dcterms:modified xsi:type="dcterms:W3CDTF">2023-04-13T14:54:18Z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0x0101000FC74A6A840C1046B2A451843B28932B</vt:lpwstr>
  </property>
</Properties>
</file>