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 Calculator" sheetId="1" r:id="rId3"/>
    <sheet state="visible" name="Calculator" sheetId="2" r:id="rId4"/>
    <sheet state="visible" name="Dashboard (Final Comparison)" sheetId="3" r:id="rId5"/>
    <sheet state="visible" name="Sensitivity Analysis" sheetId="4" r:id="rId6"/>
    <sheet state="visible" name="Equations" sheetId="5" r:id="rId7"/>
    <sheet state="hidden" name="Assumptions and Summary" sheetId="6" r:id="rId8"/>
    <sheet state="hidden" name="Monthly  Mortgage Calculation" sheetId="7" r:id="rId9"/>
    <sheet state="visible" name="Notes" sheetId="8" r:id="rId10"/>
    <sheet state="visible" name="Models_Personal" sheetId="9" r:id="rId11"/>
    <sheet state="hidden" name="Original Assumptions and Summar" sheetId="10" r:id="rId12"/>
  </sheets>
  <definedNames/>
  <calcPr/>
</workbook>
</file>

<file path=xl/sharedStrings.xml><?xml version="1.0" encoding="utf-8"?>
<sst xmlns="http://schemas.openxmlformats.org/spreadsheetml/2006/main" count="483" uniqueCount="283">
  <si>
    <t>Input Variables</t>
  </si>
  <si>
    <t>Purchase price</t>
  </si>
  <si>
    <t>Insurance</t>
  </si>
  <si>
    <t>Down payment</t>
  </si>
  <si>
    <t>Repairs/Maintenance</t>
  </si>
  <si>
    <t>Loan amount</t>
  </si>
  <si>
    <t>Property tax</t>
  </si>
  <si>
    <t>Interest rate (Fixed)</t>
  </si>
  <si>
    <t>Initial monthly rent</t>
  </si>
  <si>
    <t>Loan maturity (years)</t>
  </si>
  <si>
    <t>Property appreciation</t>
  </si>
  <si>
    <t>Mortgage Payment</t>
  </si>
  <si>
    <t>Expense growth (RM&amp;INS)</t>
  </si>
  <si>
    <t>Closing costs</t>
  </si>
  <si>
    <t>Rental growth rate</t>
  </si>
  <si>
    <t>Holding period (years)</t>
  </si>
  <si>
    <t>Investment opportunity</t>
  </si>
  <si>
    <t>Selling expenses</t>
  </si>
  <si>
    <t>Marginal tax rate</t>
  </si>
  <si>
    <t>Option 1: Buy the house</t>
  </si>
  <si>
    <t>Year</t>
  </si>
  <si>
    <t>Out flows</t>
  </si>
  <si>
    <t>Down payment + Origination</t>
  </si>
  <si>
    <t>Insurance &amp; Maintenance</t>
  </si>
  <si>
    <t>Mortgage payments</t>
  </si>
  <si>
    <t>Total:</t>
  </si>
  <si>
    <t>In flow</t>
  </si>
  <si>
    <t>Tax benefits</t>
  </si>
  <si>
    <t>Net cash out flow</t>
  </si>
  <si>
    <t>Other</t>
  </si>
  <si>
    <t>Interest payment</t>
  </si>
  <si>
    <t>Principal payments</t>
  </si>
  <si>
    <t>House value</t>
  </si>
  <si>
    <t>Loan Balance</t>
  </si>
  <si>
    <t>Total equity</t>
  </si>
  <si>
    <t>Cash at time sold</t>
  </si>
  <si>
    <t>Option 2: Rent the house</t>
  </si>
  <si>
    <t>Rent expenses</t>
  </si>
  <si>
    <t>Extra Cash from not buying</t>
  </si>
  <si>
    <t>Investments portfolio</t>
  </si>
  <si>
    <t>Home Variables</t>
  </si>
  <si>
    <t>Rent Variables</t>
  </si>
  <si>
    <t>Expense growth (Repairs&amp;Insurance)</t>
  </si>
  <si>
    <t>Year current</t>
  </si>
  <si>
    <t>Equity</t>
  </si>
  <si>
    <t>in 30yrs from 2023 rent will likely go up by approx 236%</t>
  </si>
  <si>
    <t>Sensitivity analysis is trying to answer how sensitive this output (wealth) is to variance in X variable</t>
  </si>
  <si>
    <t>expect wealth over 30yrs to be sensitive to annual appreciation in the buying case</t>
  </si>
  <si>
    <t>expect wealth over 30yrs to be sensitive to market returns in the renting case</t>
  </si>
  <si>
    <t>projections based model, subject to change w new assumptions</t>
  </si>
  <si>
    <t>low sensitivity to interest rates</t>
  </si>
  <si>
    <t>C2*(1-C3)</t>
  </si>
  <si>
    <t>Purchase price*(1-Down Payment)</t>
  </si>
  <si>
    <t>-PMT(C5/12,C6*12,C4,0)</t>
  </si>
  <si>
    <t>-PMT(fixed interest rate/12, loan maturity in years*12, loan amount, 0)
PMT function is a financial function that calculates the payment for a loan based on a constant interest rate, the number of periods and the loan amount.
the mortgage payment is descending b/c ur paying it off each month so in order to get positive amount u need to put negative in front of equation</t>
  </si>
  <si>
    <t>C2*6%</t>
  </si>
  <si>
    <t>Purchase price* 6%</t>
  </si>
  <si>
    <t>c2*0.5%</t>
  </si>
  <si>
    <t>Purchase price* 0.5%</t>
  </si>
  <si>
    <t>C2*1%</t>
  </si>
  <si>
    <t>Purchase price* 1%</t>
  </si>
  <si>
    <t>C2*1.3%</t>
  </si>
  <si>
    <t>Purchase price* 1.3%</t>
  </si>
  <si>
    <t>(C3*C2)+C8</t>
  </si>
  <si>
    <t>(Down payment*Purchase Price)+closing costs</t>
  </si>
  <si>
    <t>E23*(1+$C$16)</t>
  </si>
  <si>
    <t>(insurance+repairs)*(1+expense growth)</t>
  </si>
  <si>
    <t>E24*(1+$C$14)</t>
  </si>
  <si>
    <t>property tax*(1+property appreciation)</t>
  </si>
  <si>
    <t>Mortgage payments
(fixed interest rate)
per yr</t>
  </si>
  <si>
    <t>$C$7*12</t>
  </si>
  <si>
    <t xml:space="preserve">mortgage payments *12 </t>
  </si>
  <si>
    <t>IF($C$15*(E35+E24-12200)&gt;0,$C$15*(E35+E24-12200),0)</t>
  </si>
  <si>
    <t>if (marginal tax rate *(interest payment+property tax-12200)&gt;0, marginal tax rate*(interest payment+property tax-12200), else 0)</t>
  </si>
  <si>
    <t>sd = 12200 p/person</t>
  </si>
  <si>
    <t>standard deduction override</t>
  </si>
  <si>
    <t>Net cash out flow
(outflow total - inflow total)</t>
  </si>
  <si>
    <t>F27-F30</t>
  </si>
  <si>
    <t>outflow-inflow</t>
  </si>
  <si>
    <t>-CUMIPMT($C$5/12,$C$6*12,$C$4,D20*12+1,E20*12,0)</t>
  </si>
  <si>
    <t>-cumipmt(fixed interest rate/12, loan maturity in yrs*12, loan amount, year*12+1, (previous year+1)*12,0)
Returns the cumulative interest paid on a loan between start_period and end_period.</t>
  </si>
  <si>
    <t>??</t>
  </si>
  <si>
    <t>E25-E35</t>
  </si>
  <si>
    <t>mortgage payments - interest payments</t>
  </si>
  <si>
    <t>House value w/appreciation</t>
  </si>
  <si>
    <t>D37*(1+$C$14)</t>
  </si>
  <si>
    <t>purchase price*(1+property appreciation)</t>
  </si>
  <si>
    <t>D38-E36</t>
  </si>
  <si>
    <t>loan amount - principle payments</t>
  </si>
  <si>
    <t>E37-E38</t>
  </si>
  <si>
    <t>house value - loan balance</t>
  </si>
  <si>
    <t>M39-(M37*$C$10)</t>
  </si>
  <si>
    <t>total equity - (house value*selling expenses)</t>
  </si>
  <si>
    <t>Rent expenses p/yr add rent inflation</t>
  </si>
  <si>
    <t>E44*(1+$H$3)</t>
  </si>
  <si>
    <t>rent expenses p/yr*(1+ rental growth rate)</t>
  </si>
  <si>
    <t>E32-E44</t>
  </si>
  <si>
    <t>net cash outflow - rent expenses p/yr</t>
  </si>
  <si>
    <t>D48*(1+$H$4)+E46</t>
  </si>
  <si>
    <t>(Down payment + Origination- rent expenses p/yr)*(1+investment avg interest rate return)+extra cash from not buying</t>
  </si>
  <si>
    <t>Renting Case</t>
  </si>
  <si>
    <t>Owning Case</t>
  </si>
  <si>
    <t>Comparison</t>
  </si>
  <si>
    <t>To edit with your own numbers: with a Google Docs account, go to File -&gt; make a copy</t>
  </si>
  <si>
    <t>Renting Assumptions</t>
  </si>
  <si>
    <t>House and Mortgage Assumptions</t>
  </si>
  <si>
    <t>what about fixed rate mortgage with opportunity to refiance</t>
  </si>
  <si>
    <t>Rates as a percent of the house value</t>
  </si>
  <si>
    <t>Initial monthly rent:</t>
  </si>
  <si>
    <t>House purchase Price</t>
  </si>
  <si>
    <t>Mortgage Interest rate:</t>
  </si>
  <si>
    <t>Maintenance %</t>
  </si>
  <si>
    <t>Property tax %</t>
  </si>
  <si>
    <t>Insurance %</t>
  </si>
  <si>
    <t>House Appreciation</t>
  </si>
  <si>
    <t>After x years</t>
  </si>
  <si>
    <t>Winner</t>
  </si>
  <si>
    <t>Then in your copy, change the assumptions and figures to suit your situation</t>
  </si>
  <si>
    <t>Downpayment (needs % sign)</t>
  </si>
  <si>
    <t>First 5 Years</t>
  </si>
  <si>
    <t>One</t>
  </si>
  <si>
    <t>Amortization (Max 30yrs)</t>
  </si>
  <si>
    <t>Next 5 Years:</t>
  </si>
  <si>
    <t>Five</t>
  </si>
  <si>
    <t>Input fields are in 12-pt font</t>
  </si>
  <si>
    <t>Annual Stock Mrkt Returns</t>
  </si>
  <si>
    <t>Ten</t>
  </si>
  <si>
    <t>Conclusion in blue to the right.</t>
  </si>
  <si>
    <t xml:space="preserve">
 Rent Increase Percentage</t>
  </si>
  <si>
    <t>Investment return</t>
  </si>
  <si>
    <t>Renters insurance 
(% of monthly rent)</t>
  </si>
  <si>
    <t>Twenty</t>
  </si>
  <si>
    <t>For more on the spreadsheet:</t>
  </si>
  <si>
    <t>Calculated Monthly payment</t>
  </si>
  <si>
    <t>Thirty</t>
  </si>
  <si>
    <t>Closing Costs(3-6%)
6% is high case</t>
  </si>
  <si>
    <t>http://www.holypotato.net/?p=1073</t>
  </si>
  <si>
    <t>(Note: If you don't see the file</t>
  </si>
  <si>
    <t>menu, click "Go to spreadsheet view" at the top/bottom)</t>
  </si>
  <si>
    <t>Investment Tax Rate:</t>
  </si>
  <si>
    <t>Total Cash to be used toward purchase</t>
  </si>
  <si>
    <t>Updates from March 8, 2014:</t>
  </si>
  <si>
    <t>Or, enter 0 here and an after-tax rate of investment return above</t>
  </si>
  <si>
    <t>PMI Insurance 
(1-2% of the loan)</t>
  </si>
  <si>
    <t>http://www.holypotato.net/?p=1235</t>
  </si>
  <si>
    <t>Other Assumptions</t>
  </si>
  <si>
    <t>Also be sure to check out the Value of Simple: A Practical Guide to Taking the Complexity Out of Investing</t>
  </si>
  <si>
    <t>Commission (seller pays)</t>
  </si>
  <si>
    <t>http://ValueofSimple.ca</t>
  </si>
  <si>
    <t xml:space="preserve">Net worth comparison without selling home </t>
  </si>
  <si>
    <t>Assuming house is sold (with sales commission, but no mortgage penalty), and investment portfolio taxed</t>
  </si>
  <si>
    <t>Cost of Renting</t>
  </si>
  <si>
    <t>Surplus vs owning (annual)</t>
  </si>
  <si>
    <t>Investment portfolio</t>
  </si>
  <si>
    <t>Mortgage (P+I)</t>
  </si>
  <si>
    <t>Maintenance</t>
  </si>
  <si>
    <t>Property Tax</t>
  </si>
  <si>
    <t>Annual Cash Outlay</t>
  </si>
  <si>
    <t>Mortgage Balance (opening)</t>
  </si>
  <si>
    <t>Beginning of year House Value</t>
  </si>
  <si>
    <t>Beginning of year Owner's Equity</t>
  </si>
  <si>
    <t>Timing of comparison</t>
  </si>
  <si>
    <t>Renter ahead by</t>
  </si>
  <si>
    <t>At time of Purchase</t>
  </si>
  <si>
    <t>After 1 year</t>
  </si>
  <si>
    <t>After 2 years</t>
  </si>
  <si>
    <t>After 3 years</t>
  </si>
  <si>
    <t>After 4 Years</t>
  </si>
  <si>
    <t>After 5 Years</t>
  </si>
  <si>
    <t>After 6 Years</t>
  </si>
  <si>
    <t>After 7 Years</t>
  </si>
  <si>
    <t>After 8 Years</t>
  </si>
  <si>
    <t>After 9 Years</t>
  </si>
  <si>
    <t>After 10 Years</t>
  </si>
  <si>
    <t>After 11 Years</t>
  </si>
  <si>
    <t>After 12 Years</t>
  </si>
  <si>
    <t>After 13 Years</t>
  </si>
  <si>
    <t>After 14 Years</t>
  </si>
  <si>
    <t>After 15 Years</t>
  </si>
  <si>
    <t>After 16 Years</t>
  </si>
  <si>
    <t>After 17 Years</t>
  </si>
  <si>
    <t>After 18 Years</t>
  </si>
  <si>
    <t>After 19 Years</t>
  </si>
  <si>
    <t>After 20 Years</t>
  </si>
  <si>
    <t>After 21 Years</t>
  </si>
  <si>
    <t>After 22 Years</t>
  </si>
  <si>
    <t>After 23 Years</t>
  </si>
  <si>
    <t>After 24 Years</t>
  </si>
  <si>
    <t>After 25 Years</t>
  </si>
  <si>
    <t>After 26 Years</t>
  </si>
  <si>
    <t>After 27 Years</t>
  </si>
  <si>
    <t>After 28 Years</t>
  </si>
  <si>
    <t>After 29 Years</t>
  </si>
  <si>
    <t>After 30 Years</t>
  </si>
  <si>
    <t>Month</t>
  </si>
  <si>
    <t>Monthly Payment</t>
  </si>
  <si>
    <t>Monthly Interest</t>
  </si>
  <si>
    <t>Ending Principal</t>
  </si>
  <si>
    <t>Assumptions from previous page</t>
  </si>
  <si>
    <t>Amortization</t>
  </si>
  <si>
    <t>Interest rates</t>
  </si>
  <si>
    <t>Stated rate</t>
  </si>
  <si>
    <t>Calculations</t>
  </si>
  <si>
    <t>monthly factor</t>
  </si>
  <si>
    <t>monthly payment</t>
  </si>
  <si>
    <t>huge assumptions</t>
  </si>
  <si>
    <t>a result that may not be true</t>
  </si>
  <si>
    <t>prove that home will actually appreciate 8-10%</t>
  </si>
  <si>
    <t>prolonged monthly pressure</t>
  </si>
  <si>
    <t>huge upfront downpayment costs</t>
  </si>
  <si>
    <t>credit report fee</t>
  </si>
  <si>
    <t>Mortgage lenders look at your credit score and history to help determine whether you qualify for the loan and what the terms of your loan will be. Some lenders will charge a small fee in return for running a credit score report, which is usually around $20 – $30.</t>
  </si>
  <si>
    <t>Earnest Money</t>
  </si>
  <si>
    <t>Once all the conditions in the transaction are met, the money is released and applied to your down payment or closing costs. Earnest money deposits protect all parties involved in the sale, and are typically 1% – 2% of the sale price.</t>
  </si>
  <si>
    <t>HOA but it doesnt always apply to your neighborhood</t>
  </si>
  <si>
    <t>HOA fees are monthly expenses and usually cost between $200 – $500 per month.</t>
  </si>
  <si>
    <t>Home Owner's Insurance</t>
  </si>
  <si>
    <t>The average cost of homeowners insurance per year is $1,585, but it can fluctuate based on the state you live in.</t>
  </si>
  <si>
    <t>To get an estimate of how much you’ll pay in taxes, you’ll need to find your property’s assessed value and your municipality’s millage (mill) rate. Divide the mill rate by 1,000, then multiply that number by your home’s assessed value.</t>
  </si>
  <si>
    <t>Property Taxes</t>
  </si>
  <si>
    <t>Your state and county impose property taxes, which go toward paying for local services and amenities, like schools, parks and police and fire departments.</t>
  </si>
  <si>
    <t>For example, if your home’s assessed value is $250,000 and the mill rate is 6. This is how you’d get an estimate of what you’d pay:</t>
  </si>
  <si>
    <t>6/1,000 = $0.006</t>
  </si>
  <si>
    <t>$250,000 ✕ $0.006 = $1,500</t>
  </si>
  <si>
    <t>Your property taxes would be about $1,500.</t>
  </si>
  <si>
    <t>Realtor fee</t>
  </si>
  <si>
    <t>usually paid by sellers not buyers.</t>
  </si>
  <si>
    <t>ur investment is losing money here. u start making money when cash at time sold &gt;208k to start turning positive on ur house investment</t>
  </si>
  <si>
    <r>
      <rPr>
        <strike/>
      </rPr>
      <t>do sensitivity analysis and</t>
    </r>
    <r>
      <rPr/>
      <t xml:space="preserve"> understand the last 2 equations</t>
    </r>
  </si>
  <si>
    <t>run sheet in sheets to clean data?</t>
  </si>
  <si>
    <t>uncertainty intervals on graph</t>
  </si>
  <si>
    <t>Golden, CO Purchase</t>
  </si>
  <si>
    <t>316 Dalton, MI</t>
  </si>
  <si>
    <t>1475 Folsom, CO</t>
  </si>
  <si>
    <t>Golden, CO</t>
  </si>
  <si>
    <t>Purchase Price</t>
  </si>
  <si>
    <t>Rent</t>
  </si>
  <si>
    <t>Mortgage</t>
  </si>
  <si>
    <t>Investment</t>
  </si>
  <si>
    <t>per month</t>
  </si>
  <si>
    <t>Rate of Interest</t>
  </si>
  <si>
    <t>Rate of Return</t>
  </si>
  <si>
    <t>Payment p Month</t>
  </si>
  <si>
    <t>Value after 30yr</t>
  </si>
  <si>
    <t>1.23M</t>
  </si>
  <si>
    <t>Type of Loan</t>
  </si>
  <si>
    <t>30 yr fixed rate</t>
  </si>
  <si>
    <t>Adjusted value</t>
  </si>
  <si>
    <t>w/Tax</t>
  </si>
  <si>
    <t>Annual Appreciation</t>
  </si>
  <si>
    <t>w/o Tax</t>
  </si>
  <si>
    <t>Inflation avg. 30yr</t>
  </si>
  <si>
    <t>1M</t>
  </si>
  <si>
    <t>Value after 34yr</t>
  </si>
  <si>
    <t>Adjusted Value</t>
  </si>
  <si>
    <t>asssumes no investing in the mrkt</t>
  </si>
  <si>
    <t>Actual</t>
  </si>
  <si>
    <t>NA</t>
  </si>
  <si>
    <t>$288,000 in 2023 is worth $125,121.66 in 1990</t>
  </si>
  <si>
    <t xml:space="preserve">Rent - Buy Adjusted Value </t>
  </si>
  <si>
    <t>down payment size</t>
  </si>
  <si>
    <t>job security</t>
  </si>
  <si>
    <t>can i stay &gt; 5yrs? 10yrs?</t>
  </si>
  <si>
    <t>here we can both invest in the mrkt and get appreciation</t>
  </si>
  <si>
    <t xml:space="preserve">money commitment is significantly higher in home buying than renting. pressure throughout the mortgage repayment process is high </t>
  </si>
  <si>
    <t>Amortization (Max 30)</t>
  </si>
  <si>
    <t>Ontario Land Transfer Tax</t>
  </si>
  <si>
    <t>CPI rate
 (rent increase)</t>
  </si>
  <si>
    <t>Toronto Land Transfer Tax</t>
  </si>
  <si>
    <t>Title Insurance</t>
  </si>
  <si>
    <t>Built-in assumptions:</t>
  </si>
  <si>
    <t>Legal Fees (including disbursments)</t>
  </si>
  <si>
    <t>CMHC premium is capitalized to mortgage</t>
  </si>
  <si>
    <t>Home Inspection</t>
  </si>
  <si>
    <t>Other closing costs are paid as cash</t>
  </si>
  <si>
    <t>CMHC insurance</t>
  </si>
  <si>
    <t>Buyer is not a first time homebuyer</t>
  </si>
  <si>
    <t>House is in Ontario</t>
  </si>
  <si>
    <t>Commission (on sale only)</t>
  </si>
  <si>
    <t>House is in Toronto (416)</t>
  </si>
  <si>
    <t>Yes</t>
  </si>
  <si>
    <t>Original created by Potato for http://www.holypotato.net</t>
  </si>
  <si>
    <t>Extensively modified and improved by Matthew Gordon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</si>
</sst>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quot;$&quot;* #,##0_);_(&quot;$&quot;* \(#,##0\);_(&quot;$&quot;* &quot;-&quot;??_);_(@_)"/>
    <numFmt numFmtId="165" formatCode="&quot;$&quot;#,##0.00_);[Red]\(&quot;$&quot;#,##0.00\)"/>
    <numFmt numFmtId="166" formatCode="_(&quot;$&quot;* #,##0.00_);_(&quot;$&quot;* \(#,##0.00\);_(&quot;$&quot;* &quot;-&quot;??_);_(@_)"/>
    <numFmt numFmtId="167" formatCode="&quot;$&quot;#,##0"/>
    <numFmt numFmtId="168" formatCode="$#,##0"/>
    <numFmt numFmtId="169" formatCode="$#,##0.00"/>
    <numFmt numFmtId="170" formatCode="#,##0;(#,##0)"/>
  </numFmts>
  <fonts count="31">
    <font>
      <sz val="10.0"/>
      <color rgb="FF000000"/>
      <name val="Arial"/>
    </font>
    <font>
      <b/>
      <sz val="11.0"/>
      <color/>
      <name val="Calibri"/>
    </font>
    <font/>
    <font>
      <sz val="11.0"/>
      <color/>
      <name val="Calibri"/>
    </font>
    <font>
      <sz val="10.0"/>
      <name val="Arial"/>
    </font>
    <font>
      <b/>
      <sz val="12.0"/>
      <name val="Arial"/>
    </font>
    <font>
      <sz val="12.0"/>
      <color/>
      <name val="Calibri"/>
    </font>
    <font>
      <b/>
      <sz val="12.0"/>
      <color/>
      <name val="Calibri"/>
    </font>
    <font>
      <b/>
    </font>
    <font>
      <sz val="9.0"/>
      <name val="Roboto"/>
    </font>
    <font>
      <sz val="9.0"/>
      <color rgb="FF000000"/>
      <name val="&quot;Google Sans Mono&quot;"/>
    </font>
    <font>
      <sz val="10.0"/>
      <color/>
      <name val="Calibri"/>
    </font>
    <font>
      <sz val="10.0"/>
      <color rgb="FF000000"/>
      <name val="&quot;Google Sans Mono&quot;"/>
    </font>
    <font>
      <sz val="10.0"/>
    </font>
    <font>
      <sz val="10.0"/>
      <color rgb="FF000000"/>
      <name val="Calibri"/>
    </font>
    <font>
      <sz val="10.0"/>
      <color rgb="FF11A9CC"/>
      <name val="&quot;Google Sans Mono&quot;"/>
    </font>
    <font>
      <sz val="10.0"/>
      <color rgb="FF1155CC"/>
      <name val="&quot;Google Sans Mono&quot;"/>
    </font>
    <font>
      <color rgb="FF000000"/>
      <name val="Arial"/>
    </font>
    <font>
      <sz val="10.0"/>
      <color rgb="FF7E3794"/>
      <name val="&quot;Google Sans Mono&quot;"/>
    </font>
    <font>
      <b/>
      <sz val="14.0"/>
      <color rgb="FF000000"/>
    </font>
    <font>
      <sz val="10.0"/>
      <color rgb="FF000000"/>
    </font>
    <font>
      <u/>
      <color rgb="FF0000FF"/>
    </font>
    <font>
      <b/>
      <sz val="12.0"/>
      <color rgb="FF000000"/>
    </font>
    <font>
      <u/>
      <color rgb="FF0000FF"/>
    </font>
    <font>
      <b/>
      <sz val="10.0"/>
      <color rgb="FF000000"/>
    </font>
    <font>
      <sz val="8.0"/>
    </font>
    <font>
      <u/>
      <sz val="8.0"/>
      <color rgb="FF0000FF"/>
    </font>
    <font>
      <u/>
      <sz val="14.0"/>
      <color rgb="FF0000FF"/>
    </font>
    <font>
      <b/>
      <sz val="10.0"/>
    </font>
    <font>
      <strike/>
    </font>
    <font>
      <name val="Arial"/>
    </font>
  </fonts>
  <fills count="17">
    <fill>
      <patternFill patternType="none"/>
    </fill>
    <fill>
      <patternFill patternType="lightGray"/>
    </fill>
    <fill>
      <patternFill patternType="solid">
        <fgColor rgb="FFFEF2CB"/>
        <bgColor rgb="FFFEF2CB"/>
      </patternFill>
    </fill>
    <fill>
      <patternFill patternType="solid">
        <fgColor rgb="FFE2EFD9"/>
        <bgColor rgb="FFE2EFD9"/>
      </patternFill>
    </fill>
    <fill>
      <patternFill patternType="solid">
        <fgColor rgb="FFFFFF00"/>
        <bgColor rgb="FFFFFF00"/>
      </patternFill>
    </fill>
    <fill>
      <patternFill patternType="solid">
        <fgColor rgb="FFDEEAF6"/>
        <bgColor rgb="FFDEEAF6"/>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9FC5E8"/>
        <bgColor rgb="FF9FC5E8"/>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E4F6DD"/>
        <bgColor rgb="FFE4F6DD"/>
      </patternFill>
    </fill>
    <fill>
      <patternFill patternType="solid">
        <fgColor rgb="FFFEDFDF"/>
        <bgColor rgb="FFFEDFDF"/>
      </patternFill>
    </fill>
    <fill>
      <patternFill patternType="solid">
        <fgColor rgb="FFB7B7B7"/>
        <bgColor rgb="FFB7B7B7"/>
      </patternFill>
    </fill>
  </fills>
  <borders count="5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border>
    <border>
      <right/>
      <top style="medium">
        <color rgb="FF000000"/>
      </top>
      <bottom/>
    </border>
    <border>
      <left/>
      <right/>
      <top style="medium">
        <color rgb="FF000000"/>
      </top>
      <bottom/>
    </border>
    <border>
      <left/>
      <top style="medium">
        <color rgb="FF000000"/>
      </top>
      <bottom/>
    </border>
    <border>
      <left/>
      <right style="medium">
        <color rgb="FF000000"/>
      </right>
      <top style="medium">
        <color rgb="FF000000"/>
      </top>
      <bottom/>
    </border>
    <border>
      <left style="medium">
        <color rgb="FF000000"/>
      </left>
      <top/>
      <bottom/>
    </border>
    <border>
      <right/>
      <top/>
      <bottom/>
    </border>
    <border>
      <left/>
      <right/>
      <top/>
      <bottom/>
    </border>
    <border>
      <lef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border>
    <border>
      <top style="thick">
        <color rgb="FF000000"/>
      </top>
    </border>
    <border>
      <right style="thick">
        <color rgb="FF000000"/>
      </right>
      <top style="thick">
        <color rgb="FF000000"/>
      </top>
    </border>
    <border>
      <left style="medium">
        <color rgb="FF000000"/>
      </left>
      <right/>
      <top/>
      <bottom/>
    </border>
    <border>
      <right style="thin">
        <color rgb="FF000000"/>
      </right>
    </border>
    <border>
      <left/>
      <top/>
      <bottom style="medium">
        <color rgb="FF000000"/>
      </bottom>
    </border>
    <border>
      <bottom style="medium">
        <color rgb="FF000000"/>
      </bottom>
    </border>
    <border>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thick">
        <color rgb="FF000000"/>
      </right>
    </border>
    <border>
      <left style="medium">
        <color rgb="FF000000"/>
      </left>
      <bottom style="medium">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332">
    <xf borderId="0" fillId="0" fontId="0" numFmtId="0" xfId="0" applyAlignment="1" applyFont="1">
      <alignment readingOrder="0" shrinkToFit="0" vertical="bottom" wrapText="1"/>
    </xf>
    <xf borderId="1" fillId="0" fontId="1" numFmtId="0" xfId="0" applyAlignment="1" applyBorder="1" applyFont="1">
      <alignment horizontal="center" shrinkToFit="0" wrapText="1"/>
    </xf>
    <xf borderId="2" fillId="0" fontId="2" numFmtId="0" xfId="0" applyAlignment="1" applyBorder="1" applyFont="1">
      <alignment shrinkToFit="0" wrapText="1"/>
    </xf>
    <xf borderId="0" fillId="0" fontId="3" numFmtId="0" xfId="0" applyAlignment="1" applyFont="1">
      <alignment shrinkToFit="0" wrapText="1"/>
    </xf>
    <xf borderId="3" fillId="2" fontId="3" numFmtId="0" xfId="0" applyAlignment="1" applyBorder="1" applyFill="1" applyFont="1">
      <alignment horizontal="left" shrinkToFit="0" wrapText="1"/>
    </xf>
    <xf borderId="4" fillId="0" fontId="2" numFmtId="0" xfId="0" applyAlignment="1" applyBorder="1" applyFont="1">
      <alignment shrinkToFit="0" wrapText="1"/>
    </xf>
    <xf borderId="5" fillId="0" fontId="3" numFmtId="164" xfId="0" applyAlignment="1" applyBorder="1" applyFont="1" applyNumberFormat="1">
      <alignment readingOrder="0" shrinkToFit="0" wrapText="1"/>
    </xf>
    <xf borderId="5" fillId="2" fontId="3" numFmtId="0" xfId="0" applyAlignment="1" applyBorder="1" applyFont="1">
      <alignment shrinkToFit="0" wrapText="1"/>
    </xf>
    <xf borderId="6" fillId="2" fontId="3" numFmtId="0" xfId="0" applyAlignment="1" applyBorder="1" applyFont="1">
      <alignment horizontal="left" shrinkToFit="0" wrapText="1"/>
    </xf>
    <xf borderId="5" fillId="2" fontId="3" numFmtId="164" xfId="0" applyAlignment="1" applyBorder="1" applyFont="1" applyNumberFormat="1">
      <alignment shrinkToFit="0" wrapText="1"/>
    </xf>
    <xf borderId="7" fillId="2" fontId="3" numFmtId="0" xfId="0" applyAlignment="1" applyBorder="1" applyFont="1">
      <alignment shrinkToFit="0" wrapText="1"/>
    </xf>
    <xf borderId="8" fillId="2" fontId="3" numFmtId="0" xfId="0" applyAlignment="1" applyBorder="1" applyFont="1">
      <alignment horizontal="left" shrinkToFit="0" wrapText="1"/>
    </xf>
    <xf borderId="9" fillId="0" fontId="2" numFmtId="0" xfId="0" applyAlignment="1" applyBorder="1" applyFont="1">
      <alignment shrinkToFit="0" wrapText="1"/>
    </xf>
    <xf borderId="10" fillId="0" fontId="4" numFmtId="10" xfId="0" applyAlignment="1" applyBorder="1" applyFont="1" applyNumberFormat="1">
      <alignment readingOrder="0" shrinkToFit="0" wrapText="1"/>
    </xf>
    <xf borderId="10" fillId="2" fontId="3" numFmtId="0" xfId="0" applyAlignment="1" applyBorder="1" applyFont="1">
      <alignment shrinkToFit="0" wrapText="1"/>
    </xf>
    <xf borderId="11" fillId="2" fontId="3" numFmtId="0" xfId="0" applyAlignment="1" applyBorder="1" applyFont="1">
      <alignment horizontal="left" shrinkToFit="0" wrapText="1"/>
    </xf>
    <xf borderId="10" fillId="2" fontId="3" numFmtId="164" xfId="0" applyAlignment="1" applyBorder="1" applyFont="1" applyNumberFormat="1">
      <alignment shrinkToFit="0" wrapText="1"/>
    </xf>
    <xf borderId="12" fillId="2" fontId="3" numFmtId="0" xfId="0" applyAlignment="1" applyBorder="1" applyFont="1">
      <alignment shrinkToFit="0" wrapText="1"/>
    </xf>
    <xf borderId="10" fillId="0" fontId="3" numFmtId="10" xfId="0" applyAlignment="1" applyBorder="1" applyFont="1" applyNumberFormat="1">
      <alignment readingOrder="0" shrinkToFit="0" wrapText="1"/>
    </xf>
    <xf borderId="10" fillId="0" fontId="3" numFmtId="164" xfId="0" applyAlignment="1" applyBorder="1" applyFont="1" applyNumberFormat="1">
      <alignment readingOrder="0" shrinkToFit="0" wrapText="1"/>
    </xf>
    <xf borderId="10" fillId="0" fontId="3" numFmtId="0" xfId="0" applyAlignment="1" applyBorder="1" applyFont="1">
      <alignment readingOrder="0" shrinkToFit="0" wrapText="1"/>
    </xf>
    <xf borderId="10" fillId="2" fontId="3" numFmtId="165" xfId="0" applyAlignment="1" applyBorder="1" applyFont="1" applyNumberFormat="1">
      <alignment shrinkToFit="0" wrapText="1"/>
    </xf>
    <xf borderId="8" fillId="2" fontId="4" numFmtId="0" xfId="0" applyAlignment="1" applyBorder="1" applyFont="1">
      <alignment horizontal="left" shrinkToFit="0" wrapText="1"/>
    </xf>
    <xf borderId="10" fillId="0" fontId="3" numFmtId="1" xfId="0" applyAlignment="1" applyBorder="1" applyFont="1" applyNumberFormat="1">
      <alignment readingOrder="0" shrinkToFit="0" wrapText="1"/>
    </xf>
    <xf borderId="13" fillId="2" fontId="3" numFmtId="0" xfId="0" applyAlignment="1" applyBorder="1" applyFont="1">
      <alignment shrinkToFit="0" wrapText="1"/>
    </xf>
    <xf borderId="14" fillId="2" fontId="3" numFmtId="0" xfId="0" applyAlignment="1" applyBorder="1" applyFont="1">
      <alignment shrinkToFit="0" wrapText="1"/>
    </xf>
    <xf borderId="15" fillId="2" fontId="3" numFmtId="0" xfId="0" applyAlignment="1" applyBorder="1" applyFont="1">
      <alignment shrinkToFit="0" wrapText="1"/>
    </xf>
    <xf borderId="0" fillId="0" fontId="3" numFmtId="164" xfId="0" applyAlignment="1" applyFont="1" applyNumberFormat="1">
      <alignment shrinkToFit="0" wrapText="1"/>
    </xf>
    <xf borderId="16" fillId="3" fontId="5" numFmtId="0" xfId="0" applyAlignment="1" applyBorder="1" applyFill="1" applyFont="1">
      <alignment shrinkToFit="0" wrapText="1"/>
    </xf>
    <xf borderId="5" fillId="3" fontId="3" numFmtId="0" xfId="0" applyAlignment="1" applyBorder="1" applyFont="1">
      <alignment shrinkToFit="0" wrapText="1"/>
    </xf>
    <xf borderId="5" fillId="3" fontId="3" numFmtId="164" xfId="0" applyAlignment="1" applyBorder="1" applyFont="1" applyNumberFormat="1">
      <alignment shrinkToFit="0" wrapText="1"/>
    </xf>
    <xf borderId="6" fillId="3" fontId="3" numFmtId="164" xfId="0" applyAlignment="1" applyBorder="1" applyFont="1" applyNumberFormat="1">
      <alignment shrinkToFit="0" wrapText="1"/>
    </xf>
    <xf borderId="17" fillId="3" fontId="3" numFmtId="164" xfId="0" applyAlignment="1" applyBorder="1" applyFont="1" applyNumberFormat="1">
      <alignment shrinkToFit="0" wrapText="1"/>
    </xf>
    <xf borderId="17" fillId="3" fontId="6" numFmtId="164" xfId="0" applyAlignment="1" applyBorder="1" applyFont="1" applyNumberFormat="1">
      <alignment shrinkToFit="0" wrapText="1"/>
    </xf>
    <xf borderId="18" fillId="3" fontId="3" numFmtId="164" xfId="0" applyAlignment="1" applyBorder="1" applyFont="1" applyNumberFormat="1">
      <alignment shrinkToFit="0" wrapText="1"/>
    </xf>
    <xf borderId="19" fillId="3" fontId="3" numFmtId="0" xfId="0" applyAlignment="1" applyBorder="1" applyFont="1">
      <alignment shrinkToFit="0" wrapText="1"/>
    </xf>
    <xf borderId="10" fillId="3" fontId="3" numFmtId="0" xfId="0" applyAlignment="1" applyBorder="1" applyFont="1">
      <alignment shrinkToFit="0" wrapText="1"/>
    </xf>
    <xf borderId="10" fillId="3" fontId="3" numFmtId="164" xfId="0" applyAlignment="1" applyBorder="1" applyFont="1" applyNumberFormat="1">
      <alignment shrinkToFit="0" wrapText="1"/>
    </xf>
    <xf borderId="11" fillId="3" fontId="3" numFmtId="164" xfId="0" applyAlignment="1" applyBorder="1" applyFont="1" applyNumberFormat="1">
      <alignment shrinkToFit="0" wrapText="1"/>
    </xf>
    <xf borderId="0" fillId="3" fontId="3" numFmtId="164" xfId="0" applyAlignment="1" applyFont="1" applyNumberFormat="1">
      <alignment shrinkToFit="0" wrapText="1"/>
    </xf>
    <xf borderId="20" fillId="3" fontId="3" numFmtId="164" xfId="0" applyAlignment="1" applyBorder="1" applyFont="1" applyNumberFormat="1">
      <alignment shrinkToFit="0" wrapText="1"/>
    </xf>
    <xf borderId="11" fillId="3" fontId="3" numFmtId="0" xfId="0" applyAlignment="1" applyBorder="1" applyFont="1">
      <alignment shrinkToFit="0" wrapText="1"/>
    </xf>
    <xf borderId="0" fillId="3" fontId="3" numFmtId="0" xfId="0" applyAlignment="1" applyFont="1">
      <alignment readingOrder="0" shrinkToFit="0" wrapText="1"/>
    </xf>
    <xf borderId="20" fillId="3" fontId="3" numFmtId="0" xfId="0" applyAlignment="1" applyBorder="1" applyFont="1">
      <alignment readingOrder="0" shrinkToFit="0" wrapText="1"/>
    </xf>
    <xf borderId="19" fillId="3" fontId="5" numFmtId="0" xfId="0" applyAlignment="1" applyBorder="1" applyFont="1">
      <alignment shrinkToFit="0" wrapText="1"/>
    </xf>
    <xf borderId="10" fillId="3" fontId="3" numFmtId="166" xfId="0" applyAlignment="1" applyBorder="1" applyFont="1" applyNumberFormat="1">
      <alignment shrinkToFit="0" wrapText="1"/>
    </xf>
    <xf borderId="11" fillId="3" fontId="3" numFmtId="166" xfId="0" applyAlignment="1" applyBorder="1" applyFont="1" applyNumberFormat="1">
      <alignment shrinkToFit="0" wrapText="1"/>
    </xf>
    <xf borderId="0" fillId="3" fontId="3" numFmtId="166" xfId="0" applyAlignment="1" applyFont="1" applyNumberFormat="1">
      <alignment shrinkToFit="0" wrapText="1"/>
    </xf>
    <xf borderId="20" fillId="3" fontId="3" numFmtId="166" xfId="0" applyAlignment="1" applyBorder="1" applyFont="1" applyNumberFormat="1">
      <alignment shrinkToFit="0" wrapText="1"/>
    </xf>
    <xf borderId="19" fillId="3" fontId="7" numFmtId="0" xfId="0" applyAlignment="1" applyBorder="1" applyFont="1">
      <alignment shrinkToFit="0" wrapText="1"/>
    </xf>
    <xf borderId="13" fillId="3" fontId="5" numFmtId="0" xfId="0" applyAlignment="1" applyBorder="1" applyFont="1">
      <alignment shrinkToFit="0" wrapText="1"/>
    </xf>
    <xf borderId="14" fillId="3" fontId="3" numFmtId="0" xfId="0" applyAlignment="1" applyBorder="1" applyFont="1">
      <alignment shrinkToFit="0" wrapText="1"/>
    </xf>
    <xf borderId="14" fillId="3" fontId="3" numFmtId="164" xfId="0" applyAlignment="1" applyBorder="1" applyFont="1" applyNumberFormat="1">
      <alignment shrinkToFit="0" wrapText="1"/>
    </xf>
    <xf borderId="14" fillId="4" fontId="3" numFmtId="164" xfId="0" applyAlignment="1" applyBorder="1" applyFill="1" applyFont="1" applyNumberFormat="1">
      <alignment shrinkToFit="0" wrapText="1"/>
    </xf>
    <xf borderId="21" fillId="4" fontId="3" numFmtId="164" xfId="0" applyAlignment="1" applyBorder="1" applyFont="1" applyNumberFormat="1">
      <alignment shrinkToFit="0" wrapText="1"/>
    </xf>
    <xf borderId="0" fillId="4" fontId="3" numFmtId="164" xfId="0" applyAlignment="1" applyFont="1" applyNumberFormat="1">
      <alignment shrinkToFit="0" wrapText="1"/>
    </xf>
    <xf borderId="20" fillId="4" fontId="3" numFmtId="164" xfId="0" applyAlignment="1" applyBorder="1" applyFont="1" applyNumberFormat="1">
      <alignment shrinkToFit="0" wrapText="1"/>
    </xf>
    <xf borderId="20" fillId="0" fontId="2" numFmtId="0" xfId="0" applyAlignment="1" applyBorder="1" applyFont="1">
      <alignment shrinkToFit="0" wrapText="1"/>
    </xf>
    <xf borderId="16" fillId="5" fontId="5" numFmtId="0" xfId="0" applyAlignment="1" applyBorder="1" applyFill="1" applyFont="1">
      <alignment shrinkToFit="0" wrapText="1"/>
    </xf>
    <xf borderId="5" fillId="5" fontId="3" numFmtId="0" xfId="0" applyAlignment="1" applyBorder="1" applyFont="1">
      <alignment shrinkToFit="0" wrapText="1"/>
    </xf>
    <xf borderId="5" fillId="5" fontId="3" numFmtId="164" xfId="0" applyAlignment="1" applyBorder="1" applyFont="1" applyNumberFormat="1">
      <alignment shrinkToFit="0" wrapText="1"/>
    </xf>
    <xf borderId="6" fillId="5" fontId="3" numFmtId="164" xfId="0" applyAlignment="1" applyBorder="1" applyFont="1" applyNumberFormat="1">
      <alignment shrinkToFit="0" wrapText="1"/>
    </xf>
    <xf borderId="0" fillId="5" fontId="3" numFmtId="164" xfId="0" applyAlignment="1" applyFont="1" applyNumberFormat="1">
      <alignment shrinkToFit="0" wrapText="1"/>
    </xf>
    <xf borderId="20" fillId="5" fontId="3" numFmtId="164" xfId="0" applyAlignment="1" applyBorder="1" applyFont="1" applyNumberFormat="1">
      <alignment shrinkToFit="0" wrapText="1"/>
    </xf>
    <xf borderId="19" fillId="5" fontId="3" numFmtId="0" xfId="0" applyAlignment="1" applyBorder="1" applyFont="1">
      <alignment shrinkToFit="0" wrapText="1"/>
    </xf>
    <xf borderId="10" fillId="5" fontId="3" numFmtId="0" xfId="0" applyAlignment="1" applyBorder="1" applyFont="1">
      <alignment shrinkToFit="0" wrapText="1"/>
    </xf>
    <xf borderId="10" fillId="5" fontId="3" numFmtId="164" xfId="0" applyAlignment="1" applyBorder="1" applyFont="1" applyNumberFormat="1">
      <alignment shrinkToFit="0" wrapText="1"/>
    </xf>
    <xf borderId="11" fillId="5" fontId="3" numFmtId="164" xfId="0" applyAlignment="1" applyBorder="1" applyFont="1" applyNumberFormat="1">
      <alignment shrinkToFit="0" wrapText="1"/>
    </xf>
    <xf borderId="13" fillId="5" fontId="3" numFmtId="0" xfId="0" applyAlignment="1" applyBorder="1" applyFont="1">
      <alignment shrinkToFit="0" wrapText="1"/>
    </xf>
    <xf borderId="14" fillId="5" fontId="3" numFmtId="0" xfId="0" applyAlignment="1" applyBorder="1" applyFont="1">
      <alignment shrinkToFit="0" wrapText="1"/>
    </xf>
    <xf borderId="14" fillId="5" fontId="3" numFmtId="164" xfId="0" applyAlignment="1" applyBorder="1" applyFont="1" applyNumberFormat="1">
      <alignment shrinkToFit="0" wrapText="1"/>
    </xf>
    <xf borderId="22" fillId="4" fontId="3" numFmtId="164" xfId="0" applyAlignment="1" applyBorder="1" applyFont="1" applyNumberFormat="1">
      <alignment shrinkToFit="0" wrapText="1"/>
    </xf>
    <xf borderId="23" fillId="4" fontId="3" numFmtId="164" xfId="0" applyAlignment="1" applyBorder="1" applyFont="1" applyNumberFormat="1">
      <alignment shrinkToFit="0" wrapText="1"/>
    </xf>
    <xf borderId="0" fillId="0" fontId="3" numFmtId="167" xfId="0" applyAlignment="1" applyFont="1" applyNumberFormat="1">
      <alignment shrinkToFit="0" wrapText="1"/>
    </xf>
    <xf borderId="24" fillId="2" fontId="8" numFmtId="0" xfId="0" applyAlignment="1" applyBorder="1" applyFont="1">
      <alignment readingOrder="0" shrinkToFit="0" wrapText="1"/>
    </xf>
    <xf borderId="25" fillId="2" fontId="2" numFmtId="0" xfId="0" applyAlignment="1" applyBorder="1" applyFont="1">
      <alignment shrinkToFit="0" wrapText="1"/>
    </xf>
    <xf borderId="26" fillId="2" fontId="2" numFmtId="0" xfId="0" applyAlignment="1" applyBorder="1" applyFont="1">
      <alignment shrinkToFit="0" wrapText="1"/>
    </xf>
    <xf borderId="25" fillId="2" fontId="8" numFmtId="0" xfId="0" applyAlignment="1" applyBorder="1" applyFont="1">
      <alignment readingOrder="0" shrinkToFit="0" wrapText="1"/>
    </xf>
    <xf borderId="27" fillId="2" fontId="2" numFmtId="0" xfId="0" applyAlignment="1" applyBorder="1" applyFont="1">
      <alignment shrinkToFit="0" wrapText="1"/>
    </xf>
    <xf borderId="28" fillId="2" fontId="3" numFmtId="0" xfId="0" applyAlignment="1" applyBorder="1" applyFont="1">
      <alignment horizontal="left" shrinkToFit="0" wrapText="1"/>
    </xf>
    <xf borderId="29" fillId="0" fontId="3" numFmtId="164" xfId="0" applyAlignment="1" applyBorder="1" applyFont="1" applyNumberFormat="1">
      <alignment readingOrder="0" shrinkToFit="0" wrapText="1"/>
    </xf>
    <xf borderId="0" fillId="2" fontId="2" numFmtId="0" xfId="0" applyAlignment="1" applyFont="1">
      <alignment shrinkToFit="0" wrapText="1"/>
    </xf>
    <xf borderId="29" fillId="2" fontId="3" numFmtId="0" xfId="0" applyAlignment="1" applyBorder="1" applyFont="1">
      <alignment horizontal="left" shrinkToFit="0" wrapText="1"/>
    </xf>
    <xf borderId="30" fillId="0" fontId="3" numFmtId="164" xfId="0" applyAlignment="1" applyBorder="1" applyFont="1" applyNumberFormat="1">
      <alignment readingOrder="0" shrinkToFit="0" wrapText="1"/>
    </xf>
    <xf borderId="29" fillId="0" fontId="4" numFmtId="10" xfId="0" applyAlignment="1" applyBorder="1" applyFont="1" applyNumberFormat="1">
      <alignment readingOrder="0" shrinkToFit="0" wrapText="1"/>
    </xf>
    <xf borderId="29" fillId="2" fontId="2" numFmtId="0" xfId="0" applyAlignment="1" applyBorder="1" applyFont="1">
      <alignment shrinkToFit="0" wrapText="1"/>
    </xf>
    <xf borderId="30" fillId="0" fontId="2" numFmtId="10" xfId="0" applyAlignment="1" applyBorder="1" applyFont="1" applyNumberFormat="1">
      <alignment shrinkToFit="0" wrapText="1"/>
    </xf>
    <xf borderId="29" fillId="2" fontId="3" numFmtId="164" xfId="0" applyAlignment="1" applyBorder="1" applyFont="1" applyNumberFormat="1">
      <alignment shrinkToFit="0" wrapText="1"/>
    </xf>
    <xf borderId="30" fillId="0" fontId="2" numFmtId="10" xfId="0" applyAlignment="1" applyBorder="1" applyFont="1" applyNumberFormat="1">
      <alignment readingOrder="0" shrinkToFit="0" wrapText="1"/>
    </xf>
    <xf borderId="29" fillId="0" fontId="3" numFmtId="10" xfId="0" applyAlignment="1" applyBorder="1" applyFont="1" applyNumberFormat="1">
      <alignment readingOrder="0" shrinkToFit="0" wrapText="1"/>
    </xf>
    <xf borderId="31" fillId="2" fontId="2" numFmtId="0" xfId="0" applyAlignment="1" applyBorder="1" applyFont="1">
      <alignment shrinkToFit="0" wrapText="1"/>
    </xf>
    <xf borderId="29" fillId="0" fontId="3" numFmtId="0" xfId="0" applyAlignment="1" applyBorder="1" applyFont="1">
      <alignment readingOrder="0" shrinkToFit="0" wrapText="1"/>
    </xf>
    <xf borderId="28" fillId="2" fontId="4" numFmtId="0" xfId="0" applyAlignment="1" applyBorder="1" applyFont="1">
      <alignment horizontal="left" shrinkToFit="0" wrapText="1"/>
    </xf>
    <xf borderId="29" fillId="2" fontId="3" numFmtId="164" xfId="0" applyAlignment="1" applyBorder="1" applyFont="1" applyNumberFormat="1">
      <alignment readingOrder="0" shrinkToFit="0" wrapText="1"/>
    </xf>
    <xf borderId="29" fillId="0" fontId="3" numFmtId="1" xfId="0" applyAlignment="1" applyBorder="1" applyFont="1" applyNumberFormat="1">
      <alignment readingOrder="0" shrinkToFit="0" wrapText="1"/>
    </xf>
    <xf borderId="28" fillId="2" fontId="2" numFmtId="0" xfId="0" applyAlignment="1" applyBorder="1" applyFont="1">
      <alignment shrinkToFit="0" wrapText="1"/>
    </xf>
    <xf borderId="29" fillId="2" fontId="2" numFmtId="0" xfId="0" applyAlignment="1" applyBorder="1" applyFont="1">
      <alignment readingOrder="0" shrinkToFit="0" wrapText="1"/>
    </xf>
    <xf borderId="29" fillId="0" fontId="2" numFmtId="10" xfId="0" applyAlignment="1" applyBorder="1" applyFont="1" applyNumberFormat="1">
      <alignment readingOrder="0" shrinkToFit="0" wrapText="1"/>
    </xf>
    <xf borderId="29" fillId="0" fontId="2" numFmtId="10" xfId="0" applyAlignment="1" applyBorder="1" applyFont="1" applyNumberFormat="1">
      <alignment shrinkToFit="0" wrapText="1"/>
    </xf>
    <xf borderId="32" fillId="2" fontId="2" numFmtId="0" xfId="0" applyAlignment="1" applyBorder="1" applyFont="1">
      <alignment readingOrder="0" shrinkToFit="0" wrapText="1"/>
    </xf>
    <xf borderId="33" fillId="0" fontId="2" numFmtId="10" xfId="0" applyAlignment="1" applyBorder="1" applyFont="1" applyNumberFormat="1">
      <alignment shrinkToFit="0" wrapText="1"/>
    </xf>
    <xf borderId="22" fillId="2" fontId="2" numFmtId="0" xfId="0" applyAlignment="1" applyBorder="1" applyFont="1">
      <alignment shrinkToFit="0" wrapText="1"/>
    </xf>
    <xf borderId="34" fillId="2" fontId="2" numFmtId="0" xfId="0" applyAlignment="1" applyBorder="1" applyFont="1">
      <alignment shrinkToFit="0" wrapText="1"/>
    </xf>
    <xf borderId="35" fillId="3" fontId="5" numFmtId="0" xfId="0" applyAlignment="1" applyBorder="1" applyFont="1">
      <alignment shrinkToFit="0" wrapText="1"/>
    </xf>
    <xf borderId="26" fillId="3" fontId="3" numFmtId="0" xfId="0" applyAlignment="1" applyBorder="1" applyFont="1">
      <alignment shrinkToFit="0" wrapText="1"/>
    </xf>
    <xf borderId="26" fillId="3" fontId="3" numFmtId="164" xfId="0" applyAlignment="1" applyBorder="1" applyFont="1" applyNumberFormat="1">
      <alignment shrinkToFit="0" wrapText="1"/>
    </xf>
    <xf borderId="26" fillId="3" fontId="6" numFmtId="164" xfId="0" applyAlignment="1" applyBorder="1" applyFont="1" applyNumberFormat="1">
      <alignment shrinkToFit="0" wrapText="1"/>
    </xf>
    <xf borderId="36" fillId="3" fontId="3" numFmtId="164" xfId="0" applyAlignment="1" applyBorder="1" applyFont="1" applyNumberFormat="1">
      <alignment shrinkToFit="0" wrapText="1"/>
    </xf>
    <xf borderId="37" fillId="3" fontId="3" numFmtId="0" xfId="0" applyAlignment="1" applyBorder="1" applyFont="1">
      <alignment readingOrder="0" shrinkToFit="0" wrapText="1"/>
    </xf>
    <xf borderId="0" fillId="3" fontId="3" numFmtId="0" xfId="0" applyAlignment="1" applyFont="1">
      <alignment shrinkToFit="0" wrapText="1"/>
    </xf>
    <xf borderId="38" fillId="3" fontId="3" numFmtId="0" xfId="0" applyAlignment="1" applyBorder="1" applyFont="1">
      <alignment readingOrder="0" shrinkToFit="0" wrapText="1"/>
    </xf>
    <xf borderId="37" fillId="3" fontId="3" numFmtId="0" xfId="0" applyAlignment="1" applyBorder="1" applyFont="1">
      <alignment shrinkToFit="0" wrapText="1"/>
    </xf>
    <xf borderId="31" fillId="3" fontId="3" numFmtId="0" xfId="0" applyAlignment="1" applyBorder="1" applyFont="1">
      <alignment readingOrder="0" shrinkToFit="0" wrapText="1"/>
    </xf>
    <xf borderId="37" fillId="3" fontId="5" numFmtId="0" xfId="0" applyAlignment="1" applyBorder="1" applyFont="1">
      <alignment shrinkToFit="0" wrapText="1"/>
    </xf>
    <xf borderId="31" fillId="3" fontId="3" numFmtId="164" xfId="0" applyAlignment="1" applyBorder="1" applyFont="1" applyNumberFormat="1">
      <alignment shrinkToFit="0" wrapText="1"/>
    </xf>
    <xf borderId="0" fillId="3" fontId="9" numFmtId="164" xfId="0" applyAlignment="1" applyFont="1" applyNumberFormat="1">
      <alignment shrinkToFit="0" wrapText="1"/>
    </xf>
    <xf borderId="0" fillId="3" fontId="10" numFmtId="0" xfId="0" applyAlignment="1" applyFont="1">
      <alignment readingOrder="0" shrinkToFit="0" wrapText="1"/>
    </xf>
    <xf borderId="31" fillId="3" fontId="3" numFmtId="166" xfId="0" applyAlignment="1" applyBorder="1" applyFont="1" applyNumberFormat="1">
      <alignment shrinkToFit="0" wrapText="1"/>
    </xf>
    <xf borderId="37" fillId="3" fontId="7" numFmtId="0" xfId="0" applyAlignment="1" applyBorder="1" applyFont="1">
      <alignment shrinkToFit="0" wrapText="1"/>
    </xf>
    <xf borderId="37" fillId="3" fontId="5" numFmtId="0" xfId="0" applyAlignment="1" applyBorder="1" applyFont="1">
      <alignment readingOrder="0" shrinkToFit="0" wrapText="1"/>
    </xf>
    <xf borderId="39" fillId="3" fontId="5" numFmtId="0" xfId="0" applyAlignment="1" applyBorder="1" applyFont="1">
      <alignment shrinkToFit="0" wrapText="1"/>
    </xf>
    <xf borderId="22" fillId="3" fontId="3" numFmtId="0" xfId="0" applyAlignment="1" applyBorder="1" applyFont="1">
      <alignment shrinkToFit="0" wrapText="1"/>
    </xf>
    <xf borderId="22" fillId="3" fontId="3" numFmtId="164" xfId="0" applyAlignment="1" applyBorder="1" applyFont="1" applyNumberFormat="1">
      <alignment shrinkToFit="0" wrapText="1"/>
    </xf>
    <xf borderId="34" fillId="4" fontId="3" numFmtId="164" xfId="0" applyAlignment="1" applyBorder="1" applyFont="1" applyNumberFormat="1">
      <alignment shrinkToFit="0" wrapText="1"/>
    </xf>
    <xf borderId="0" fillId="0" fontId="3" numFmtId="164" xfId="0" applyAlignment="1" applyFont="1" applyNumberFormat="1">
      <alignment readingOrder="0" shrinkToFit="0" wrapText="1"/>
    </xf>
    <xf borderId="35" fillId="5" fontId="5" numFmtId="0" xfId="0" applyAlignment="1" applyBorder="1" applyFont="1">
      <alignment shrinkToFit="0" wrapText="1"/>
    </xf>
    <xf borderId="26" fillId="5" fontId="3" numFmtId="0" xfId="0" applyAlignment="1" applyBorder="1" applyFont="1">
      <alignment shrinkToFit="0" wrapText="1"/>
    </xf>
    <xf borderId="26" fillId="5" fontId="3" numFmtId="164" xfId="0" applyAlignment="1" applyBorder="1" applyFont="1" applyNumberFormat="1">
      <alignment shrinkToFit="0" wrapText="1"/>
    </xf>
    <xf borderId="36" fillId="5" fontId="3" numFmtId="164" xfId="0" applyAlignment="1" applyBorder="1" applyFont="1" applyNumberFormat="1">
      <alignment shrinkToFit="0" wrapText="1"/>
    </xf>
    <xf borderId="37" fillId="5" fontId="3" numFmtId="0" xfId="0" applyAlignment="1" applyBorder="1" applyFont="1">
      <alignment shrinkToFit="0" wrapText="1"/>
    </xf>
    <xf borderId="0" fillId="5" fontId="3" numFmtId="0" xfId="0" applyAlignment="1" applyFont="1">
      <alignment shrinkToFit="0" wrapText="1"/>
    </xf>
    <xf borderId="31" fillId="5" fontId="3" numFmtId="164" xfId="0" applyAlignment="1" applyBorder="1" applyFont="1" applyNumberFormat="1">
      <alignment shrinkToFit="0" wrapText="1"/>
    </xf>
    <xf borderId="39" fillId="5" fontId="3" numFmtId="0" xfId="0" applyAlignment="1" applyBorder="1" applyFont="1">
      <alignment shrinkToFit="0" wrapText="1"/>
    </xf>
    <xf borderId="22" fillId="5" fontId="3" numFmtId="0" xfId="0" applyAlignment="1" applyBorder="1" applyFont="1">
      <alignment shrinkToFit="0" wrapText="1"/>
    </xf>
    <xf borderId="22" fillId="5" fontId="3" numFmtId="164" xfId="0" applyAlignment="1" applyBorder="1" applyFont="1" applyNumberFormat="1">
      <alignment shrinkToFit="0" wrapText="1"/>
    </xf>
    <xf borderId="22" fillId="4" fontId="3" numFmtId="164" xfId="0" applyAlignment="1" applyBorder="1" applyFont="1" applyNumberFormat="1">
      <alignment readingOrder="0" shrinkToFit="0" wrapText="1"/>
    </xf>
    <xf borderId="0" fillId="0" fontId="2" numFmtId="0" xfId="0" applyAlignment="1" applyFont="1">
      <alignment readingOrder="0" shrinkToFit="0" wrapText="1"/>
    </xf>
    <xf borderId="0" fillId="6" fontId="10" numFmtId="0" xfId="0" applyAlignment="1" applyFill="1" applyFont="1">
      <alignment shrinkToFit="0" wrapText="1"/>
    </xf>
    <xf borderId="28" fillId="2" fontId="11" numFmtId="0" xfId="0" applyAlignment="1" applyBorder="1" applyFont="1">
      <alignment horizontal="left" shrinkToFit="0" wrapText="1"/>
    </xf>
    <xf borderId="0" fillId="6" fontId="12" numFmtId="0" xfId="0" applyAlignment="1" applyFont="1">
      <alignment readingOrder="0" shrinkToFit="0" wrapText="1"/>
    </xf>
    <xf borderId="28" fillId="0" fontId="11" numFmtId="0" xfId="0" applyAlignment="1" applyBorder="1" applyFont="1">
      <alignment horizontal="left" readingOrder="0" shrinkToFit="0" wrapText="1"/>
    </xf>
    <xf borderId="0" fillId="0" fontId="13" numFmtId="0" xfId="0" applyAlignment="1" applyFont="1">
      <alignment readingOrder="0" shrinkToFit="0" wrapText="1"/>
    </xf>
    <xf borderId="0" fillId="0" fontId="14" numFmtId="0" xfId="0" applyAlignment="1" applyFont="1">
      <alignment horizontal="left" readingOrder="0" shrinkToFit="0" wrapText="1"/>
    </xf>
    <xf borderId="28" fillId="2" fontId="13" numFmtId="0" xfId="0" applyAlignment="1" applyBorder="1" applyFont="1">
      <alignment shrinkToFit="0" wrapText="1"/>
    </xf>
    <xf borderId="0" fillId="0" fontId="13" numFmtId="0" xfId="0" applyAlignment="1" applyFont="1">
      <alignment shrinkToFit="0" wrapText="1"/>
    </xf>
    <xf borderId="37" fillId="3" fontId="11" numFmtId="0" xfId="0" applyAlignment="1" applyBorder="1" applyFont="1">
      <alignment shrinkToFit="0" wrapText="1"/>
    </xf>
    <xf borderId="0" fillId="6" fontId="15" numFmtId="0" xfId="0" applyAlignment="1" applyFont="1">
      <alignment readingOrder="0" shrinkToFit="0" wrapText="1"/>
    </xf>
    <xf borderId="37" fillId="3" fontId="11" numFmtId="0" xfId="0" applyAlignment="1" applyBorder="1" applyFont="1">
      <alignment readingOrder="0" shrinkToFit="0" wrapText="1"/>
    </xf>
    <xf borderId="0" fillId="6" fontId="16" numFmtId="0" xfId="0" applyAlignment="1" applyFont="1">
      <alignment readingOrder="0" shrinkToFit="0" wrapText="1"/>
    </xf>
    <xf borderId="0" fillId="6" fontId="17" numFmtId="0" xfId="0" applyAlignment="1" applyFont="1">
      <alignment horizontal="left" readingOrder="0" shrinkToFit="0" wrapText="1"/>
    </xf>
    <xf borderId="0" fillId="6" fontId="18" numFmtId="0" xfId="0" applyAlignment="1" applyFont="1">
      <alignment horizontal="left" readingOrder="0" shrinkToFit="0" wrapText="1"/>
    </xf>
    <xf borderId="0" fillId="6" fontId="18" numFmtId="0" xfId="0" applyAlignment="1" applyFont="1">
      <alignment readingOrder="0" shrinkToFit="0" wrapText="1"/>
    </xf>
    <xf borderId="39" fillId="3" fontId="4" numFmtId="0" xfId="0" applyAlignment="1" applyBorder="1" applyFont="1">
      <alignment shrinkToFit="0" wrapText="1"/>
    </xf>
    <xf borderId="0" fillId="5" fontId="11" numFmtId="0" xfId="0" applyAlignment="1" applyFont="1">
      <alignment readingOrder="0" shrinkToFit="0" wrapText="1"/>
    </xf>
    <xf borderId="0" fillId="5" fontId="11" numFmtId="0" xfId="0" applyAlignment="1" applyFont="1">
      <alignment shrinkToFit="0" wrapText="1"/>
    </xf>
    <xf borderId="37" fillId="0" fontId="11" numFmtId="0" xfId="0" applyAlignment="1" applyBorder="1" applyFont="1">
      <alignment readingOrder="0" shrinkToFit="0" wrapText="1"/>
    </xf>
    <xf borderId="0" fillId="7" fontId="19" numFmtId="0" xfId="0" applyAlignment="1" applyFill="1" applyFont="1">
      <alignment horizontal="center" readingOrder="0" shrinkToFit="0" vertical="bottom" wrapText="1"/>
    </xf>
    <xf borderId="0" fillId="8" fontId="19" numFmtId="0" xfId="0" applyAlignment="1" applyFill="1" applyFont="1">
      <alignment horizontal="center" readingOrder="0" shrinkToFit="0" vertical="bottom" wrapText="1"/>
    </xf>
    <xf borderId="0" fillId="9" fontId="19" numFmtId="0" xfId="0" applyAlignment="1" applyFill="1" applyFont="1">
      <alignment horizontal="center" readingOrder="0" shrinkToFit="0" vertical="bottom" wrapText="1"/>
    </xf>
    <xf borderId="0" fillId="4" fontId="2" numFmtId="0" xfId="0" applyAlignment="1" applyFont="1">
      <alignment readingOrder="0" shrinkToFit="0" wrapText="1"/>
    </xf>
    <xf borderId="0" fillId="10" fontId="20" numFmtId="0" xfId="0" applyAlignment="1" applyFill="1" applyFont="1">
      <alignment shrinkToFit="0" wrapText="1"/>
    </xf>
    <xf borderId="0" fillId="11" fontId="20" numFmtId="0" xfId="0" applyAlignment="1" applyFill="1" applyFont="1">
      <alignment shrinkToFit="0" wrapText="1"/>
    </xf>
    <xf borderId="0" fillId="12" fontId="20" numFmtId="0" xfId="0" applyAlignment="1" applyFill="1" applyFont="1">
      <alignment shrinkToFit="0" wrapText="1"/>
    </xf>
    <xf borderId="40" fillId="10" fontId="20" numFmtId="0" xfId="0" applyAlignment="1" applyBorder="1" applyFont="1">
      <alignment shrinkToFit="0" wrapText="1"/>
    </xf>
    <xf borderId="40" fillId="11" fontId="20" numFmtId="0" xfId="0" applyAlignment="1" applyBorder="1" applyFont="1">
      <alignment shrinkToFit="0" wrapText="1"/>
    </xf>
    <xf borderId="20" fillId="10" fontId="20" numFmtId="0" xfId="0" applyAlignment="1" applyBorder="1" applyFont="1">
      <alignment shrinkToFit="0" wrapText="1"/>
    </xf>
    <xf borderId="41" fillId="7" fontId="20" numFmtId="0" xfId="0" applyAlignment="1" applyBorder="1" applyFont="1">
      <alignment horizontal="center" readingOrder="0" shrinkToFit="0" vertical="bottom" wrapText="0"/>
    </xf>
    <xf borderId="42" fillId="0" fontId="2" numFmtId="0" xfId="0" applyAlignment="1" applyBorder="1" applyFont="1">
      <alignment shrinkToFit="0" wrapText="1"/>
    </xf>
    <xf borderId="43" fillId="10" fontId="20" numFmtId="0" xfId="0" applyAlignment="1" applyBorder="1" applyFont="1">
      <alignment shrinkToFit="0" wrapText="1"/>
    </xf>
    <xf borderId="20" fillId="0" fontId="20" numFmtId="0" xfId="0" applyAlignment="1" applyBorder="1" applyFont="1">
      <alignment shrinkToFit="0" wrapText="1"/>
    </xf>
    <xf borderId="41" fillId="8" fontId="20" numFmtId="0" xfId="0" applyAlignment="1" applyBorder="1" applyFont="1">
      <alignment horizontal="center" readingOrder="0" shrinkToFit="0" vertical="bottom" wrapText="0"/>
    </xf>
    <xf borderId="43" fillId="11" fontId="20" numFmtId="0" xfId="0" applyAlignment="1" applyBorder="1" applyFont="1">
      <alignment shrinkToFit="0" wrapText="1"/>
    </xf>
    <xf borderId="44" fillId="11" fontId="20" numFmtId="0" xfId="0" applyAlignment="1" applyBorder="1" applyFont="1">
      <alignment readingOrder="0" shrinkToFit="0" wrapText="1"/>
    </xf>
    <xf borderId="41" fillId="8" fontId="20" numFmtId="0" xfId="0" applyAlignment="1" applyBorder="1" applyFont="1">
      <alignment horizontal="center" readingOrder="0" shrinkToFit="0" vertical="bottom" wrapText="1"/>
    </xf>
    <xf borderId="45" fillId="0" fontId="2" numFmtId="0" xfId="0" applyAlignment="1" applyBorder="1" applyFont="1">
      <alignment shrinkToFit="0" wrapText="1"/>
    </xf>
    <xf borderId="43" fillId="0" fontId="20" numFmtId="0" xfId="0" applyAlignment="1" applyBorder="1" applyFont="1">
      <alignment shrinkToFit="0" wrapText="1"/>
    </xf>
    <xf borderId="40" fillId="12" fontId="20" numFmtId="0" xfId="0" applyAlignment="1" applyBorder="1" applyFont="1">
      <alignment shrinkToFit="0" wrapText="1"/>
    </xf>
    <xf borderId="0" fillId="13" fontId="21" numFmtId="0" xfId="0" applyAlignment="1" applyFill="1" applyFont="1">
      <alignment readingOrder="0" shrinkToFit="0" wrapText="1"/>
    </xf>
    <xf borderId="41" fillId="14" fontId="20" numFmtId="0" xfId="0" applyAlignment="1" applyBorder="1" applyFill="1" applyFont="1">
      <alignment readingOrder="0" shrinkToFit="0" wrapText="1"/>
    </xf>
    <xf borderId="42" fillId="14" fontId="22" numFmtId="168" xfId="0" applyAlignment="1" applyBorder="1" applyFont="1" applyNumberFormat="1">
      <alignment readingOrder="0" shrinkToFit="0" wrapText="1"/>
    </xf>
    <xf borderId="46" fillId="15" fontId="20" numFmtId="0" xfId="0" applyAlignment="1" applyBorder="1" applyFill="1" applyFont="1">
      <alignment readingOrder="0" shrinkToFit="0" wrapText="1"/>
    </xf>
    <xf borderId="47" fillId="15" fontId="22" numFmtId="168" xfId="0" applyAlignment="1" applyBorder="1" applyFont="1" applyNumberFormat="1">
      <alignment readingOrder="0" shrinkToFit="0" wrapText="1"/>
    </xf>
    <xf borderId="48" fillId="11" fontId="20" numFmtId="0" xfId="0" applyAlignment="1" applyBorder="1" applyFont="1">
      <alignment shrinkToFit="0" wrapText="1"/>
    </xf>
    <xf borderId="29" fillId="8" fontId="20" numFmtId="0" xfId="0" applyAlignment="1" applyBorder="1" applyFont="1">
      <alignment shrinkToFit="0" wrapText="1"/>
    </xf>
    <xf borderId="29" fillId="8" fontId="20" numFmtId="0" xfId="0" applyAlignment="1" applyBorder="1" applyFont="1">
      <alignment readingOrder="0" shrinkToFit="0" wrapText="1"/>
    </xf>
    <xf borderId="41" fillId="8" fontId="20" numFmtId="0" xfId="0" applyAlignment="1" applyBorder="1" applyFont="1">
      <alignment readingOrder="0" shrinkToFit="0" wrapText="1"/>
    </xf>
    <xf borderId="45" fillId="8" fontId="20" numFmtId="0" xfId="0" applyAlignment="1" applyBorder="1" applyFont="1">
      <alignment readingOrder="0" shrinkToFit="0" wrapText="1"/>
    </xf>
    <xf borderId="42" fillId="8" fontId="20" numFmtId="0" xfId="0" applyAlignment="1" applyBorder="1" applyFont="1">
      <alignment readingOrder="0" shrinkToFit="0" wrapText="1"/>
    </xf>
    <xf borderId="48" fillId="0" fontId="20" numFmtId="0" xfId="0" applyAlignment="1" applyBorder="1" applyFont="1">
      <alignment shrinkToFit="0" wrapText="1"/>
    </xf>
    <xf borderId="41" fillId="9" fontId="20" numFmtId="0" xfId="0" applyAlignment="1" applyBorder="1" applyFont="1">
      <alignment readingOrder="0" shrinkToFit="0" wrapText="1"/>
    </xf>
    <xf borderId="42" fillId="9" fontId="20" numFmtId="0" xfId="0" applyAlignment="1" applyBorder="1" applyFont="1">
      <alignment readingOrder="0" shrinkToFit="0" wrapText="1"/>
    </xf>
    <xf borderId="0" fillId="13" fontId="2" numFmtId="0" xfId="0" applyAlignment="1" applyFont="1">
      <alignment readingOrder="0" shrinkToFit="0" wrapText="1"/>
    </xf>
    <xf borderId="49" fillId="10" fontId="20" numFmtId="0" xfId="0" applyAlignment="1" applyBorder="1" applyFont="1">
      <alignment shrinkToFit="0" wrapText="1"/>
    </xf>
    <xf borderId="43" fillId="15" fontId="20" numFmtId="0" xfId="0" applyAlignment="1" applyBorder="1" applyFont="1">
      <alignment readingOrder="0" shrinkToFit="0" wrapText="1"/>
    </xf>
    <xf borderId="20" fillId="15" fontId="22" numFmtId="10" xfId="0" applyAlignment="1" applyBorder="1" applyFont="1" applyNumberFormat="1">
      <alignment readingOrder="0" shrinkToFit="0" wrapText="1"/>
    </xf>
    <xf borderId="48" fillId="11" fontId="20" numFmtId="168" xfId="0" applyAlignment="1" applyBorder="1" applyFont="1" applyNumberFormat="1">
      <alignment shrinkToFit="0" wrapText="1"/>
    </xf>
    <xf borderId="50" fillId="15" fontId="20" numFmtId="0" xfId="0" applyAlignment="1" applyBorder="1" applyFont="1">
      <alignment readingOrder="0" shrinkToFit="0" wrapText="1"/>
    </xf>
    <xf borderId="50" fillId="15" fontId="22" numFmtId="10" xfId="0" applyAlignment="1" applyBorder="1" applyFont="1" applyNumberFormat="1">
      <alignment readingOrder="0" shrinkToFit="0" wrapText="1"/>
    </xf>
    <xf borderId="46" fillId="15" fontId="22" numFmtId="10" xfId="0" applyAlignment="1" applyBorder="1" applyFont="1" applyNumberFormat="1">
      <alignment readingOrder="0" shrinkToFit="0" wrapText="1"/>
    </xf>
    <xf borderId="49" fillId="15" fontId="22" numFmtId="10" xfId="0" applyAlignment="1" applyBorder="1" applyFont="1" applyNumberFormat="1">
      <alignment readingOrder="0" shrinkToFit="0" wrapText="1"/>
    </xf>
    <xf borderId="47" fillId="15" fontId="22" numFmtId="10" xfId="0" applyAlignment="1" applyBorder="1" applyFont="1" applyNumberFormat="1">
      <alignment readingOrder="0" shrinkToFit="0" wrapText="1"/>
    </xf>
    <xf borderId="46" fillId="12" fontId="20" numFmtId="0" xfId="0" applyAlignment="1" applyBorder="1" applyFont="1">
      <alignment readingOrder="0" shrinkToFit="0" wrapText="1"/>
    </xf>
    <xf borderId="47" fillId="12" fontId="20" numFmtId="0" xfId="0" applyAlignment="1" applyBorder="1" applyFont="1">
      <alignment shrinkToFit="0" wrapText="1"/>
    </xf>
    <xf borderId="43" fillId="15" fontId="20" numFmtId="0" xfId="0" applyAlignment="1" applyBorder="1" applyFont="1">
      <alignment readingOrder="0" shrinkToFit="0" wrapText="1"/>
    </xf>
    <xf borderId="20" fillId="15" fontId="22" numFmtId="0" xfId="0" applyAlignment="1" applyBorder="1" applyFont="1">
      <alignment readingOrder="0" shrinkToFit="0" wrapText="1"/>
    </xf>
    <xf borderId="48" fillId="15" fontId="20" numFmtId="0" xfId="0" applyAlignment="1" applyBorder="1" applyFont="1">
      <alignment readingOrder="0" shrinkToFit="0" wrapText="1"/>
    </xf>
    <xf borderId="48" fillId="15" fontId="22" numFmtId="10" xfId="0" applyAlignment="1" applyBorder="1" applyFont="1" applyNumberFormat="1">
      <alignment readingOrder="0" shrinkToFit="0" wrapText="1"/>
    </xf>
    <xf borderId="43" fillId="15" fontId="22" numFmtId="10" xfId="0" applyAlignment="1" applyBorder="1" applyFont="1" applyNumberFormat="1">
      <alignment readingOrder="0" shrinkToFit="0" wrapText="1"/>
    </xf>
    <xf borderId="0" fillId="15" fontId="22" numFmtId="10" xfId="0" applyAlignment="1" applyFont="1" applyNumberFormat="1">
      <alignment readingOrder="0" shrinkToFit="0" wrapText="1"/>
    </xf>
    <xf borderId="43" fillId="12" fontId="20" numFmtId="0" xfId="0" applyAlignment="1" applyBorder="1" applyFont="1">
      <alignment readingOrder="0" shrinkToFit="0" wrapText="1"/>
    </xf>
    <xf borderId="20" fillId="12" fontId="20" numFmtId="0" xfId="0" applyAlignment="1" applyBorder="1" applyFont="1">
      <alignment shrinkToFit="0" wrapText="1"/>
    </xf>
    <xf borderId="40" fillId="10" fontId="20" numFmtId="0" xfId="0" applyAlignment="1" applyBorder="1" applyFont="1">
      <alignment readingOrder="0" shrinkToFit="0" wrapText="1"/>
    </xf>
    <xf borderId="20" fillId="15" fontId="20" numFmtId="167" xfId="0" applyAlignment="1" applyBorder="1" applyFont="1" applyNumberFormat="1">
      <alignment shrinkToFit="0" wrapText="1"/>
    </xf>
    <xf borderId="51" fillId="15" fontId="20" numFmtId="0" xfId="0" applyAlignment="1" applyBorder="1" applyFont="1">
      <alignment shrinkToFit="0" wrapText="1"/>
    </xf>
    <xf borderId="51" fillId="15" fontId="22" numFmtId="10" xfId="0" applyAlignment="1" applyBorder="1" applyFont="1" applyNumberFormat="1">
      <alignment readingOrder="0" shrinkToFit="0" wrapText="1"/>
    </xf>
    <xf borderId="52" fillId="15" fontId="22" numFmtId="10" xfId="0" applyAlignment="1" applyBorder="1" applyFont="1" applyNumberFormat="1">
      <alignment readingOrder="0" shrinkToFit="0" wrapText="1"/>
    </xf>
    <xf borderId="40" fillId="15" fontId="22" numFmtId="10" xfId="0" applyAlignment="1" applyBorder="1" applyFont="1" applyNumberFormat="1">
      <alignment readingOrder="0" shrinkToFit="0" wrapText="1"/>
    </xf>
    <xf borderId="44" fillId="15" fontId="22" numFmtId="10" xfId="0" applyAlignment="1" applyBorder="1" applyFont="1" applyNumberFormat="1">
      <alignment readingOrder="0" shrinkToFit="0" wrapText="1"/>
    </xf>
    <xf borderId="20" fillId="13" fontId="2" numFmtId="0" xfId="0" applyAlignment="1" applyBorder="1" applyFont="1">
      <alignment readingOrder="0" shrinkToFit="0" wrapText="1"/>
    </xf>
    <xf borderId="41" fillId="7" fontId="20" numFmtId="0" xfId="0" applyAlignment="1" applyBorder="1" applyFont="1">
      <alignment shrinkToFit="0" wrapText="1"/>
    </xf>
    <xf borderId="45" fillId="7" fontId="20" numFmtId="0" xfId="0" applyAlignment="1" applyBorder="1" applyFont="1">
      <alignment horizontal="center" readingOrder="0" shrinkToFit="0" vertical="bottom" wrapText="1"/>
    </xf>
    <xf borderId="45" fillId="7" fontId="20" numFmtId="0" xfId="0" applyAlignment="1" applyBorder="1" applyFont="1">
      <alignment horizontal="center" readingOrder="0" shrinkToFit="0" vertical="bottom" wrapText="1"/>
    </xf>
    <xf borderId="42" fillId="7" fontId="20" numFmtId="169" xfId="0" applyAlignment="1" applyBorder="1" applyFont="1" applyNumberFormat="1">
      <alignment horizontal="center" readingOrder="0" shrinkToFit="0" vertical="bottom" wrapText="1"/>
    </xf>
    <xf borderId="20" fillId="15" fontId="20" numFmtId="167" xfId="0" applyAlignment="1" applyBorder="1" applyFont="1" applyNumberFormat="1">
      <alignment readingOrder="0" shrinkToFit="0" wrapText="1"/>
    </xf>
    <xf borderId="45" fillId="11" fontId="20" numFmtId="0" xfId="0" applyAlignment="1" applyBorder="1" applyFont="1">
      <alignment shrinkToFit="0" wrapText="1"/>
    </xf>
    <xf borderId="49" fillId="11" fontId="20" numFmtId="0" xfId="0" applyAlignment="1" applyBorder="1" applyFont="1">
      <alignment shrinkToFit="0" wrapText="1"/>
    </xf>
    <xf borderId="20" fillId="0" fontId="2" numFmtId="0" xfId="0" applyAlignment="1" applyBorder="1" applyFont="1">
      <alignment readingOrder="0" shrinkToFit="0" wrapText="1"/>
    </xf>
    <xf borderId="46" fillId="14" fontId="20" numFmtId="0" xfId="0" applyAlignment="1" applyBorder="1" applyFont="1">
      <alignment readingOrder="0" shrinkToFit="0" wrapText="1"/>
    </xf>
    <xf borderId="49" fillId="14" fontId="22" numFmtId="10" xfId="0" applyAlignment="1" applyBorder="1" applyFont="1" applyNumberFormat="1">
      <alignment readingOrder="0" shrinkToFit="0" wrapText="1"/>
    </xf>
    <xf borderId="47" fillId="14" fontId="22" numFmtId="10" xfId="0" applyAlignment="1" applyBorder="1" applyFont="1" applyNumberFormat="1">
      <alignment readingOrder="0" shrinkToFit="0" wrapText="1"/>
    </xf>
    <xf borderId="41" fillId="8" fontId="20" numFmtId="0" xfId="0" applyAlignment="1" applyBorder="1" applyFont="1">
      <alignment shrinkToFit="0" wrapText="1"/>
    </xf>
    <xf borderId="52" fillId="12" fontId="20" numFmtId="0" xfId="0" applyAlignment="1" applyBorder="1" applyFont="1">
      <alignment readingOrder="0" shrinkToFit="0" wrapText="1"/>
    </xf>
    <xf borderId="44" fillId="12" fontId="20" numFmtId="0" xfId="0" applyAlignment="1" applyBorder="1" applyFont="1">
      <alignment shrinkToFit="0" wrapText="1"/>
    </xf>
    <xf borderId="43" fillId="14" fontId="20" numFmtId="0" xfId="0" applyAlignment="1" applyBorder="1" applyFont="1">
      <alignment readingOrder="0" shrinkToFit="0" wrapText="1"/>
    </xf>
    <xf borderId="0" fillId="14" fontId="22" numFmtId="10" xfId="0" applyAlignment="1" applyFont="1" applyNumberFormat="1">
      <alignment readingOrder="0" shrinkToFit="0" wrapText="1"/>
    </xf>
    <xf borderId="20" fillId="14" fontId="22" numFmtId="10" xfId="0" applyAlignment="1" applyBorder="1" applyFont="1" applyNumberFormat="1">
      <alignment readingOrder="0" shrinkToFit="0" wrapText="1"/>
    </xf>
    <xf borderId="20" fillId="15" fontId="22" numFmtId="168" xfId="0" applyAlignment="1" applyBorder="1" applyFont="1" applyNumberFormat="1">
      <alignment readingOrder="0" shrinkToFit="0" wrapText="1"/>
    </xf>
    <xf borderId="47" fillId="15" fontId="20" numFmtId="4" xfId="0" applyAlignment="1" applyBorder="1" applyFont="1" applyNumberFormat="1">
      <alignment shrinkToFit="0" wrapText="1"/>
    </xf>
    <xf borderId="20" fillId="0" fontId="23" numFmtId="0" xfId="0" applyAlignment="1" applyBorder="1" applyFont="1">
      <alignment readingOrder="0" shrinkToFit="0" wrapText="1"/>
    </xf>
    <xf borderId="20" fillId="15" fontId="22" numFmtId="0" xfId="0" applyAlignment="1" applyBorder="1" applyFont="1">
      <alignment readingOrder="0" shrinkToFit="0" wrapText="1"/>
    </xf>
    <xf borderId="47" fillId="0" fontId="2" numFmtId="0" xfId="0" applyAlignment="1" applyBorder="1" applyFont="1">
      <alignment shrinkToFit="0" wrapText="1"/>
    </xf>
    <xf borderId="49" fillId="12" fontId="20" numFmtId="0" xfId="0" applyAlignment="1" applyBorder="1" applyFont="1">
      <alignment shrinkToFit="0" wrapText="1"/>
    </xf>
    <xf borderId="52" fillId="14" fontId="20" numFmtId="0" xfId="0" applyAlignment="1" applyBorder="1" applyFont="1">
      <alignment shrinkToFit="0" wrapText="1"/>
    </xf>
    <xf borderId="40" fillId="14" fontId="22" numFmtId="10" xfId="0" applyAlignment="1" applyBorder="1" applyFont="1" applyNumberFormat="1">
      <alignment readingOrder="0" shrinkToFit="0" wrapText="1"/>
    </xf>
    <xf borderId="44" fillId="14" fontId="22" numFmtId="10" xfId="0" applyAlignment="1" applyBorder="1" applyFont="1" applyNumberFormat="1">
      <alignment readingOrder="0" shrinkToFit="0" wrapText="1"/>
    </xf>
    <xf borderId="20" fillId="15" fontId="20" numFmtId="4" xfId="0" applyAlignment="1" applyBorder="1" applyFont="1" applyNumberFormat="1">
      <alignment shrinkToFit="0" wrapText="1"/>
    </xf>
    <xf borderId="0" fillId="0" fontId="2" numFmtId="0" xfId="0" applyAlignment="1" applyFont="1">
      <alignment readingOrder="0" shrinkToFit="0" wrapText="1"/>
    </xf>
    <xf borderId="45" fillId="10" fontId="20" numFmtId="0" xfId="0" applyAlignment="1" applyBorder="1" applyFont="1">
      <alignment shrinkToFit="0" wrapText="1"/>
    </xf>
    <xf borderId="20" fillId="15" fontId="20" numFmtId="10" xfId="0" applyAlignment="1" applyBorder="1" applyFont="1" applyNumberFormat="1">
      <alignment shrinkToFit="0" wrapText="1"/>
    </xf>
    <xf borderId="52" fillId="15" fontId="20" numFmtId="0" xfId="0" applyAlignment="1" applyBorder="1" applyFont="1">
      <alignment shrinkToFit="0" wrapText="1"/>
    </xf>
    <xf borderId="44" fillId="15" fontId="20" numFmtId="4" xfId="0" applyAlignment="1" applyBorder="1" applyFont="1" applyNumberFormat="1">
      <alignment shrinkToFit="0" wrapText="1"/>
    </xf>
    <xf borderId="0" fillId="12" fontId="24" numFmtId="0" xfId="0" applyAlignment="1" applyFont="1">
      <alignment shrinkToFit="0" wrapText="1"/>
    </xf>
    <xf borderId="42" fillId="14" fontId="22" numFmtId="10" xfId="0" applyAlignment="1" applyBorder="1" applyFont="1" applyNumberFormat="1">
      <alignment readingOrder="0" shrinkToFit="0" wrapText="1"/>
    </xf>
    <xf borderId="52" fillId="10" fontId="20" numFmtId="0" xfId="0" applyAlignment="1" applyBorder="1" applyFont="1">
      <alignment shrinkToFit="0" wrapText="1"/>
    </xf>
    <xf borderId="52" fillId="15" fontId="20" numFmtId="0" xfId="0" applyAlignment="1" applyBorder="1" applyFont="1">
      <alignment readingOrder="0" shrinkToFit="0" wrapText="1"/>
    </xf>
    <xf borderId="44" fillId="15" fontId="20" numFmtId="169" xfId="0" applyAlignment="1" applyBorder="1" applyFont="1" applyNumberFormat="1">
      <alignment shrinkToFit="0" wrapText="1"/>
    </xf>
    <xf borderId="20" fillId="11" fontId="20" numFmtId="0" xfId="0" applyAlignment="1" applyBorder="1" applyFont="1">
      <alignment shrinkToFit="0" wrapText="1"/>
    </xf>
    <xf borderId="44" fillId="0" fontId="2" numFmtId="0" xfId="0" applyAlignment="1" applyBorder="1" applyFont="1">
      <alignment shrinkToFit="0" wrapText="1"/>
    </xf>
    <xf borderId="49" fillId="10" fontId="20" numFmtId="0" xfId="0" applyAlignment="1" applyBorder="1" applyFont="1">
      <alignment readingOrder="0" shrinkToFit="0" wrapText="1"/>
    </xf>
    <xf borderId="49" fillId="0" fontId="2" numFmtId="0" xfId="0" applyAlignment="1" applyBorder="1" applyFont="1">
      <alignment shrinkToFit="0" wrapText="1"/>
    </xf>
    <xf borderId="45" fillId="16" fontId="20" numFmtId="0" xfId="0" applyAlignment="1" applyBorder="1" applyFill="1" applyFont="1">
      <alignment readingOrder="0" shrinkToFit="0" wrapText="1"/>
    </xf>
    <xf borderId="0" fillId="15" fontId="2" numFmtId="0" xfId="0" applyAlignment="1" applyFont="1">
      <alignment shrinkToFit="0" wrapText="1"/>
    </xf>
    <xf borderId="0" fillId="0" fontId="25" numFmtId="0" xfId="0" applyAlignment="1" applyFont="1">
      <alignment readingOrder="0" shrinkToFit="0" wrapText="1"/>
    </xf>
    <xf borderId="0" fillId="0" fontId="20" numFmtId="0" xfId="0" applyAlignment="1" applyFont="1">
      <alignment shrinkToFit="0" wrapText="1"/>
    </xf>
    <xf borderId="45" fillId="16" fontId="20" numFmtId="0" xfId="0" applyAlignment="1" applyBorder="1" applyFont="1">
      <alignment horizontal="center" readingOrder="0" shrinkToFit="0" vertical="bottom" wrapText="0"/>
    </xf>
    <xf borderId="45" fillId="16" fontId="20" numFmtId="0" xfId="0" applyAlignment="1" applyBorder="1" applyFont="1">
      <alignment horizontal="center" readingOrder="0" shrinkToFit="0" vertical="bottom" wrapText="0"/>
    </xf>
    <xf borderId="0" fillId="11" fontId="20" numFmtId="0" xfId="0" applyAlignment="1" applyFont="1">
      <alignment readingOrder="0" shrinkToFit="0" wrapText="1"/>
    </xf>
    <xf borderId="45" fillId="8" fontId="20" numFmtId="0" xfId="0" applyAlignment="1" applyBorder="1" applyFont="1">
      <alignment horizontal="center" readingOrder="0" shrinkToFit="0" vertical="bottom" wrapText="0"/>
    </xf>
    <xf borderId="0" fillId="0" fontId="26" numFmtId="0" xfId="0" applyAlignment="1" applyFont="1">
      <alignment readingOrder="0" shrinkToFit="0" wrapText="1"/>
    </xf>
    <xf borderId="40" fillId="0" fontId="2" numFmtId="0" xfId="0" applyAlignment="1" applyBorder="1" applyFont="1">
      <alignment shrinkToFit="0" wrapText="1"/>
    </xf>
    <xf borderId="46" fillId="15" fontId="20" numFmtId="0" xfId="0" applyAlignment="1" applyBorder="1" applyFont="1">
      <alignment readingOrder="0" shrinkToFit="0" wrapText="1"/>
    </xf>
    <xf borderId="0" fillId="0" fontId="27" numFmtId="0" xfId="0" applyAlignment="1" applyFont="1">
      <alignment readingOrder="0" shrinkToFit="0" wrapText="1"/>
    </xf>
    <xf borderId="44" fillId="15" fontId="22" numFmtId="10" xfId="0" applyAlignment="1" applyBorder="1" applyFont="1" applyNumberFormat="1">
      <alignment horizontal="right" readingOrder="0" shrinkToFit="0" vertical="bottom" wrapText="1"/>
    </xf>
    <xf borderId="0" fillId="12" fontId="20" numFmtId="0" xfId="0" applyAlignment="1" applyFont="1">
      <alignment readingOrder="0" shrinkToFit="0" wrapText="1"/>
    </xf>
    <xf borderId="0" fillId="6" fontId="20" numFmtId="0" xfId="0" applyAlignment="1" applyFont="1">
      <alignment shrinkToFit="0" wrapText="1"/>
    </xf>
    <xf borderId="0" fillId="7" fontId="20" numFmtId="0" xfId="0" applyAlignment="1" applyFont="1">
      <alignment horizontal="center" readingOrder="0" shrinkToFit="0" vertical="bottom" wrapText="1"/>
    </xf>
    <xf borderId="0" fillId="7" fontId="24" numFmtId="0" xfId="0" applyAlignment="1" applyFont="1">
      <alignment horizontal="center" readingOrder="0" shrinkToFit="0" vertical="bottom" wrapText="1"/>
    </xf>
    <xf borderId="0" fillId="8" fontId="20" numFmtId="0" xfId="0" applyAlignment="1" applyFont="1">
      <alignment horizontal="center" readingOrder="0" shrinkToFit="0" vertical="bottom" wrapText="1"/>
    </xf>
    <xf borderId="0" fillId="8" fontId="24" numFmtId="0" xfId="0" applyAlignment="1" applyFont="1">
      <alignment horizontal="center" readingOrder="0" shrinkToFit="0" vertical="bottom" wrapText="1"/>
    </xf>
    <xf borderId="0" fillId="12" fontId="28" numFmtId="0" xfId="0" applyAlignment="1" applyFont="1">
      <alignment readingOrder="0" shrinkToFit="0" wrapText="1"/>
    </xf>
    <xf borderId="0" fillId="12" fontId="24" numFmtId="0" xfId="0" applyAlignment="1" applyFont="1">
      <alignment readingOrder="0" shrinkToFit="0" wrapText="1"/>
    </xf>
    <xf borderId="0" fillId="6" fontId="24" numFmtId="0" xfId="0" applyAlignment="1" applyFont="1">
      <alignment shrinkToFit="0" wrapText="1"/>
    </xf>
    <xf borderId="0" fillId="10" fontId="20" numFmtId="0" xfId="0" applyAlignment="1" applyFont="1">
      <alignment readingOrder="0" shrinkToFit="0" wrapText="1"/>
    </xf>
    <xf borderId="0" fillId="10" fontId="20" numFmtId="3" xfId="0" applyAlignment="1" applyFont="1" applyNumberFormat="1">
      <alignment shrinkToFit="0" wrapText="1"/>
    </xf>
    <xf borderId="0" fillId="11" fontId="20" numFmtId="3" xfId="0" applyAlignment="1" applyFont="1" applyNumberFormat="1">
      <alignment shrinkToFit="0" wrapText="1"/>
    </xf>
    <xf borderId="0" fillId="11" fontId="20" numFmtId="170" xfId="0" applyAlignment="1" applyFont="1" applyNumberFormat="1">
      <alignment shrinkToFit="0" wrapText="1"/>
    </xf>
    <xf borderId="0" fillId="12" fontId="2" numFmtId="0" xfId="0" applyAlignment="1" applyFont="1">
      <alignment horizontal="center" readingOrder="0" shrinkToFit="0" vertical="bottom" wrapText="1"/>
    </xf>
    <xf borderId="0" fillId="12" fontId="20" numFmtId="3" xfId="0" applyAlignment="1" applyFont="1" applyNumberFormat="1">
      <alignment shrinkToFit="0" wrapText="1"/>
    </xf>
    <xf borderId="0" fillId="12" fontId="20" numFmtId="168" xfId="0" applyAlignment="1" applyFont="1" applyNumberFormat="1">
      <alignment shrinkToFit="0" wrapText="1"/>
    </xf>
    <xf borderId="0" fillId="6" fontId="20" numFmtId="3" xfId="0" applyAlignment="1" applyFont="1" applyNumberFormat="1">
      <alignment shrinkToFit="0" wrapText="1"/>
    </xf>
    <xf borderId="0" fillId="10" fontId="20" numFmtId="0" xfId="0" applyAlignment="1" applyFont="1">
      <alignment shrinkToFit="0" wrapText="1"/>
    </xf>
    <xf borderId="0" fillId="10" fontId="24" numFmtId="3" xfId="0" applyAlignment="1" applyFont="1" applyNumberFormat="1">
      <alignment shrinkToFit="0" wrapText="1"/>
    </xf>
    <xf borderId="0" fillId="11" fontId="24" numFmtId="3" xfId="0" applyAlignment="1" applyFont="1" applyNumberFormat="1">
      <alignment shrinkToFit="0" wrapText="1"/>
    </xf>
    <xf borderId="0" fillId="8" fontId="20" numFmtId="0" xfId="0" applyAlignment="1" applyFont="1">
      <alignment readingOrder="0" shrinkToFit="0" wrapText="1"/>
    </xf>
    <xf borderId="46" fillId="8" fontId="24" numFmtId="0" xfId="0" applyAlignment="1" applyBorder="1" applyFont="1">
      <alignment horizontal="center" readingOrder="0" shrinkToFit="0" vertical="bottom" wrapText="1"/>
    </xf>
    <xf borderId="43" fillId="0" fontId="24" numFmtId="0" xfId="0" applyAlignment="1" applyBorder="1" applyFont="1">
      <alignment shrinkToFit="0" wrapText="1"/>
    </xf>
    <xf borderId="0" fillId="11" fontId="20" numFmtId="0" xfId="0" applyAlignment="1" applyFont="1">
      <alignment readingOrder="0" shrinkToFit="0" wrapText="1"/>
    </xf>
    <xf borderId="0" fillId="11" fontId="20" numFmtId="169" xfId="0" applyAlignment="1" applyFont="1" applyNumberFormat="1">
      <alignment shrinkToFit="0" wrapText="1"/>
    </xf>
    <xf borderId="0" fillId="11" fontId="20" numFmtId="0" xfId="0" applyAlignment="1" applyFont="1">
      <alignment shrinkToFit="0" wrapText="1"/>
    </xf>
    <xf borderId="44" fillId="15" fontId="20" numFmtId="0" xfId="0" applyAlignment="1" applyBorder="1" applyFont="1">
      <alignment shrinkToFit="0" wrapText="1"/>
    </xf>
    <xf borderId="49" fillId="15" fontId="20" numFmtId="0" xfId="0" applyAlignment="1" applyBorder="1" applyFont="1">
      <alignment shrinkToFit="0" wrapText="1"/>
    </xf>
    <xf borderId="40" fillId="15" fontId="20" numFmtId="0" xfId="0" applyAlignment="1" applyBorder="1" applyFont="1">
      <alignment shrinkToFit="0" wrapText="1"/>
    </xf>
    <xf borderId="46" fillId="8" fontId="20" numFmtId="0" xfId="0" applyAlignment="1" applyBorder="1" applyFont="1">
      <alignment readingOrder="0" shrinkToFit="0" wrapText="1"/>
    </xf>
    <xf borderId="47" fillId="8" fontId="20" numFmtId="0" xfId="0" applyAlignment="1" applyBorder="1" applyFont="1">
      <alignment readingOrder="0" shrinkToFit="0" wrapText="1"/>
    </xf>
    <xf borderId="48" fillId="15" fontId="20" numFmtId="0" xfId="0" applyAlignment="1" applyBorder="1" applyFont="1">
      <alignment shrinkToFit="0" wrapText="1"/>
    </xf>
    <xf borderId="48" fillId="15" fontId="20" numFmtId="10" xfId="0" applyAlignment="1" applyBorder="1" applyFont="1" applyNumberFormat="1">
      <alignment shrinkToFit="0" wrapText="1"/>
    </xf>
    <xf borderId="51" fillId="15" fontId="20" numFmtId="10" xfId="0" applyAlignment="1" applyBorder="1" applyFont="1" applyNumberFormat="1">
      <alignment shrinkToFit="0" wrapText="1"/>
    </xf>
    <xf borderId="45" fillId="0" fontId="20" numFmtId="0" xfId="0" applyAlignment="1" applyBorder="1" applyFont="1">
      <alignment shrinkToFit="0" wrapText="1"/>
    </xf>
    <xf borderId="40" fillId="0" fontId="20" numFmtId="0" xfId="0" applyAlignment="1" applyBorder="1" applyFont="1">
      <alignment shrinkToFit="0" wrapText="1"/>
    </xf>
    <xf borderId="41" fillId="8" fontId="24" numFmtId="0" xfId="0" applyAlignment="1" applyBorder="1" applyFont="1">
      <alignment horizontal="center" readingOrder="0" shrinkToFit="0" vertical="bottom" wrapText="1"/>
    </xf>
    <xf borderId="50" fillId="8" fontId="20" numFmtId="0" xfId="0" applyAlignment="1" applyBorder="1" applyFont="1">
      <alignment shrinkToFit="0" wrapText="1"/>
    </xf>
    <xf borderId="43" fillId="15" fontId="20" numFmtId="10" xfId="0" applyAlignment="1" applyBorder="1" applyFont="1" applyNumberFormat="1">
      <alignment shrinkToFit="0" wrapText="1"/>
    </xf>
    <xf borderId="20" fillId="15" fontId="20" numFmtId="169" xfId="0" applyAlignment="1" applyBorder="1" applyFont="1" applyNumberFormat="1">
      <alignment shrinkToFit="0" wrapText="1"/>
    </xf>
    <xf borderId="49" fillId="0" fontId="20" numFmtId="0" xfId="0" applyAlignment="1" applyBorder="1" applyFont="1">
      <alignment shrinkToFit="0" wrapText="1"/>
    </xf>
    <xf borderId="0" fillId="4" fontId="2" numFmtId="0" xfId="0" applyAlignment="1" applyFont="1">
      <alignment readingOrder="0" shrinkToFit="0" wrapText="1"/>
    </xf>
    <xf borderId="0" fillId="4" fontId="29" numFmtId="0" xfId="0" applyAlignment="1" applyFont="1">
      <alignment readingOrder="0" shrinkToFit="0" wrapText="1"/>
    </xf>
    <xf borderId="29" fillId="0" fontId="30" numFmtId="0" xfId="0" applyAlignment="1" applyBorder="1" applyFont="1">
      <alignment shrinkToFit="0" vertical="bottom" wrapText="1"/>
    </xf>
    <xf borderId="42" fillId="0" fontId="30" numFmtId="0" xfId="0" applyAlignment="1" applyBorder="1" applyFont="1">
      <alignment shrinkToFit="0" vertical="bottom" wrapText="1"/>
    </xf>
    <xf borderId="20" fillId="0" fontId="30" numFmtId="0" xfId="0" applyAlignment="1" applyBorder="1" applyFont="1">
      <alignment shrinkToFit="0" vertical="bottom" wrapText="1"/>
    </xf>
    <xf borderId="0" fillId="0" fontId="30" numFmtId="0" xfId="0" applyAlignment="1" applyFont="1">
      <alignment shrinkToFit="0" vertical="bottom" wrapText="1"/>
    </xf>
    <xf borderId="51" fillId="0" fontId="30" numFmtId="0" xfId="0" applyAlignment="1" applyBorder="1" applyFont="1">
      <alignment shrinkToFit="0" vertical="bottom" wrapText="1"/>
    </xf>
    <xf borderId="44" fillId="0" fontId="30" numFmtId="0" xfId="0" applyAlignment="1" applyBorder="1" applyFont="1">
      <alignment horizontal="right" shrinkToFit="0" vertical="bottom" wrapText="1"/>
    </xf>
    <xf borderId="44" fillId="0" fontId="30" numFmtId="0" xfId="0" applyAlignment="1" applyBorder="1" applyFont="1">
      <alignment shrinkToFit="0" vertical="bottom" wrapText="1"/>
    </xf>
    <xf borderId="44" fillId="0" fontId="30" numFmtId="9" xfId="0" applyAlignment="1" applyBorder="1" applyFont="1" applyNumberFormat="1">
      <alignment horizontal="right" shrinkToFit="0" vertical="bottom" wrapText="1"/>
    </xf>
    <xf borderId="44" fillId="0" fontId="30" numFmtId="167" xfId="0" applyAlignment="1" applyBorder="1" applyFont="1" applyNumberFormat="1">
      <alignment horizontal="right" shrinkToFit="0" vertical="bottom" wrapText="1"/>
    </xf>
    <xf borderId="44" fillId="0" fontId="30" numFmtId="10" xfId="0" applyAlignment="1" applyBorder="1" applyFont="1" applyNumberFormat="1">
      <alignment horizontal="right" shrinkToFit="0" vertical="bottom" wrapText="1"/>
    </xf>
    <xf borderId="0" fillId="0" fontId="30" numFmtId="0" xfId="0" applyAlignment="1" applyFont="1">
      <alignment shrinkToFit="0" vertical="bottom" wrapText="0"/>
    </xf>
    <xf borderId="40" fillId="0" fontId="30" numFmtId="0" xfId="0" applyAlignment="1" applyBorder="1" applyFont="1">
      <alignment shrinkToFit="0" vertical="bottom" wrapText="1"/>
    </xf>
    <xf borderId="0" fillId="0" fontId="30" numFmtId="0" xfId="0" applyAlignment="1" applyFont="1">
      <alignment horizontal="right" shrinkToFit="0" vertical="bottom" wrapText="1"/>
    </xf>
    <xf borderId="0" fillId="6" fontId="30" numFmtId="0" xfId="0" applyAlignment="1" applyFont="1">
      <alignment shrinkToFit="0" vertical="bottom" wrapText="0"/>
    </xf>
    <xf borderId="44" fillId="11" fontId="20" numFmtId="0" xfId="0" applyAlignment="1" applyBorder="1" applyFont="1">
      <alignment shrinkToFit="0" wrapText="1"/>
    </xf>
    <xf borderId="0" fillId="10" fontId="2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Final Comparison</a:t>
            </a:r>
          </a:p>
        </c:rich>
      </c:tx>
      <c:overlay val="0"/>
    </c:title>
    <c:plotArea>
      <c:layout/>
      <c:barChart>
        <c:barDir val="col"/>
        <c:ser>
          <c:idx val="0"/>
          <c:order val="0"/>
          <c:tx>
            <c:v>Wealth (Buyer)</c:v>
          </c:tx>
          <c:spPr>
            <a:solidFill>
              <a:srgbClr val="4285F4"/>
            </a:solidFill>
            <a:ln cmpd="sng">
              <a:solidFill>
                <a:srgbClr val="000000"/>
              </a:solidFill>
              <a:prstDash val="solid"/>
            </a:ln>
          </c:spPr>
          <c:dPt>
            <c:idx val="27"/>
          </c:dPt>
          <c:cat>
            <c:strRef>
              <c:f>Calculator!$D$19:$AH$19</c:f>
            </c:strRef>
          </c:cat>
          <c:val>
            <c:numRef>
              <c:f>Calculator!$D$41:$AH$41</c:f>
              <c:numCache/>
            </c:numRef>
          </c:val>
        </c:ser>
        <c:ser>
          <c:idx val="1"/>
          <c:order val="1"/>
          <c:tx>
            <c:v>Wealth (Renter)</c:v>
          </c:tx>
          <c:spPr>
            <a:solidFill>
              <a:srgbClr val="DB4437"/>
            </a:solidFill>
            <a:ln cmpd="sng">
              <a:solidFill>
                <a:srgbClr val="000000"/>
              </a:solidFill>
            </a:ln>
          </c:spPr>
          <c:dPt>
            <c:idx val="30"/>
          </c:dPt>
          <c:cat>
            <c:strRef>
              <c:f>Calculator!$D$19:$AH$19</c:f>
            </c:strRef>
          </c:cat>
          <c:val>
            <c:numRef>
              <c:f>Calculator!$D$48:$AH$48</c:f>
              <c:numCache/>
            </c:numRef>
          </c:val>
        </c:ser>
        <c:axId val="1537733324"/>
        <c:axId val="522930170"/>
      </c:barChart>
      <c:catAx>
        <c:axId val="153773332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Years</a:t>
                </a:r>
              </a:p>
            </c:rich>
          </c:tx>
          <c:overlay val="0"/>
        </c:title>
        <c:numFmt formatCode="General" sourceLinked="1"/>
        <c:majorTickMark val="cross"/>
        <c:minorTickMark val="none"/>
        <c:spPr/>
        <c:txPr>
          <a:bodyPr/>
          <a:lstStyle/>
          <a:p>
            <a:pPr lvl="0">
              <a:defRPr b="0">
                <a:solidFill>
                  <a:srgbClr val="000000"/>
                </a:solidFill>
                <a:latin typeface="Roboto"/>
              </a:defRPr>
            </a:pPr>
          </a:p>
        </c:txPr>
        <c:crossAx val="522930170"/>
      </c:catAx>
      <c:valAx>
        <c:axId val="522930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Wealth in Dollars</a:t>
                </a:r>
              </a:p>
            </c:rich>
          </c:tx>
          <c:overlay val="0"/>
        </c:title>
        <c:numFmt formatCode="General" sourceLinked="1"/>
        <c:majorTickMark val="cross"/>
        <c:minorTickMark val="cross"/>
        <c:tickLblPos val="nextTo"/>
        <c:spPr>
          <a:ln/>
        </c:spPr>
        <c:txPr>
          <a:bodyPr/>
          <a:lstStyle/>
          <a:p>
            <a:pPr lvl="0">
              <a:defRPr b="0">
                <a:solidFill>
                  <a:srgbClr val="000000"/>
                </a:solidFill>
                <a:latin typeface="Roboto"/>
              </a:defRPr>
            </a:pPr>
          </a:p>
        </c:txPr>
        <c:crossAx val="1537733324"/>
      </c:valAx>
    </c:plotArea>
    <c:legend>
      <c:legendPos val="b"/>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47</xdr:row>
      <xdr:rowOff>114300</xdr:rowOff>
    </xdr:from>
    <xdr:ext cx="7886700" cy="3990975"/>
    <xdr:sp>
      <xdr:nvSpPr>
        <xdr:cNvPr id="3" name="Shape 3"/>
        <xdr:cNvSpPr txBox="1"/>
      </xdr:nvSpPr>
      <xdr:spPr>
        <a:xfrm>
          <a:off x="2012250" y="1830975"/>
          <a:ext cx="7866300" cy="3972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 few things to consider:</a:t>
          </a:r>
          <a:endParaRPr sz="14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Down Payment - less than 20% you will need to factor in Mortgage insurance premium which will hurt the buy choice.</a:t>
          </a:r>
          <a:endParaRPr sz="14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Choosing to rent, you need to be discipline and invest the difference every month. If not, you will definitely be behind.</a:t>
          </a:r>
          <a:endParaRPr sz="14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Pro to buying, you don’t need to worry about a landlord, remodel the home to your pleasing, and helps you invest since your mortgage payments go towards your equity (a portion).</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050">
              <a:solidFill>
                <a:srgbClr val="F1F1F1"/>
              </a:solidFill>
              <a:highlight>
                <a:srgbClr val="0F0F0F"/>
              </a:highlight>
              <a:latin typeface="Roboto"/>
              <a:ea typeface="Roboto"/>
              <a:cs typeface="Roboto"/>
              <a:sym typeface="Roboto"/>
            </a:rPr>
            <a:t>sensitivity analysis with a data table for the changing monthly rent need to build</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rPr lang="en-US" sz="1050">
              <a:solidFill>
                <a:srgbClr val="F1F1F1"/>
              </a:solidFill>
              <a:highlight>
                <a:srgbClr val="0F0F0F"/>
              </a:highlight>
              <a:latin typeface="Roboto"/>
              <a:ea typeface="Roboto"/>
              <a:cs typeface="Roboto"/>
              <a:sym typeface="Roboto"/>
            </a:rPr>
            <a:t>Build dashboard for visualization</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rPr lang="en-US" sz="1050">
              <a:solidFill>
                <a:srgbClr val="F1F1F1"/>
              </a:solidFill>
              <a:highlight>
                <a:srgbClr val="0F0F0F"/>
              </a:highlight>
              <a:latin typeface="Roboto"/>
              <a:ea typeface="Roboto"/>
              <a:cs typeface="Roboto"/>
              <a:sym typeface="Roboto"/>
            </a:rPr>
            <a:t>-PMI should be fixed and won’t change (i.e. 0.5% of the loan) and once you have a loan-to-value of 80% (meaning you have more than 20% in equity) the PMI can be removed.</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t/>
          </a:r>
          <a:endParaRPr sz="1050">
            <a:solidFill>
              <a:srgbClr val="F1F1F1"/>
            </a:solidFill>
            <a:highlight>
              <a:srgbClr val="0F0F0F"/>
            </a:highlight>
            <a:latin typeface="Roboto"/>
            <a:ea typeface="Roboto"/>
            <a:cs typeface="Roboto"/>
            <a:sym typeface="Roboto"/>
          </a:endParaRPr>
        </a:p>
        <a:p>
          <a:pPr indent="0" lvl="0" marL="0" rtl="0" algn="l">
            <a:spcBef>
              <a:spcPts val="0"/>
            </a:spcBef>
            <a:spcAft>
              <a:spcPts val="0"/>
            </a:spcAft>
            <a:buNone/>
          </a:pPr>
          <a:r>
            <a:rPr lang="en-US" sz="1050">
              <a:solidFill>
                <a:srgbClr val="F1F1F1"/>
              </a:solidFill>
              <a:highlight>
                <a:srgbClr val="0F0F0F"/>
              </a:highlight>
              <a:latin typeface="Roboto"/>
              <a:ea typeface="Roboto"/>
              <a:cs typeface="Roboto"/>
              <a:sym typeface="Roboto"/>
            </a:rPr>
            <a:t>assumption that you can rent and remain in that spot for 10 years is also unrealistic. The owner may decide to sell and you need to move. The lack of life stability and needing to move always and not knowing if your new residence will be in the school district etc - is a reason to buy. Family stability. To me, </a:t>
          </a:r>
          <a:endParaRPr sz="1050">
            <a:solidFill>
              <a:srgbClr val="F1F1F1"/>
            </a:solidFill>
            <a:highlight>
              <a:srgbClr val="0F0F0F"/>
            </a:highlight>
            <a:latin typeface="Roboto"/>
            <a:ea typeface="Roboto"/>
            <a:cs typeface="Roboto"/>
            <a:sym typeface="Roboto"/>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0</xdr:rowOff>
    </xdr:from>
    <xdr:ext cx="10420350" cy="5848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4</xdr:row>
      <xdr:rowOff>133350</xdr:rowOff>
    </xdr:from>
    <xdr:ext cx="5734050" cy="2143125"/>
    <xdr:pic>
      <xdr:nvPicPr>
        <xdr:cNvPr descr="hello"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104775</xdr:colOff>
      <xdr:row>21</xdr:row>
      <xdr:rowOff>104775</xdr:rowOff>
    </xdr:from>
    <xdr:ext cx="5286375" cy="19812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495300</xdr:colOff>
      <xdr:row>4</xdr:row>
      <xdr:rowOff>57150</xdr:rowOff>
    </xdr:from>
    <xdr:ext cx="5619750" cy="20955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323850</xdr:colOff>
      <xdr:row>4</xdr:row>
      <xdr:rowOff>133350</xdr:rowOff>
    </xdr:from>
    <xdr:ext cx="5734050" cy="21431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466725</xdr:colOff>
      <xdr:row>20</xdr:row>
      <xdr:rowOff>152400</xdr:rowOff>
    </xdr:from>
    <xdr:ext cx="5619750" cy="20955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holypotato.net/?p=1073" TargetMode="External"/><Relationship Id="rId2" Type="http://schemas.openxmlformats.org/officeDocument/2006/relationships/hyperlink" Target="http://www.holypotato.net/?p=1235" TargetMode="External"/><Relationship Id="rId3" Type="http://schemas.openxmlformats.org/officeDocument/2006/relationships/hyperlink" Target="http://valueofsimple.ca"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holypotato.net/?p=1073" TargetMode="External"/><Relationship Id="rId2" Type="http://schemas.openxmlformats.org/officeDocument/2006/relationships/hyperlink" Target="http://www.holypotato.net/?p=1235" TargetMode="External"/><Relationship Id="rId3" Type="http://schemas.openxmlformats.org/officeDocument/2006/relationships/hyperlink" Target="http://valueofsimple.ca"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2.75"/>
  <cols>
    <col customWidth="1" min="1" max="1" width="7.63"/>
    <col customWidth="1" min="2" max="2" width="18.25"/>
    <col customWidth="1" min="3" max="3" width="12.38"/>
    <col customWidth="1" min="4" max="7" width="10.63"/>
    <col customWidth="1" min="8" max="8" width="10.5"/>
    <col customWidth="1" min="9" max="10" width="10.63"/>
    <col customWidth="1" min="11" max="14" width="9.25"/>
    <col customWidth="1" min="15" max="15" width="10.5"/>
    <col customWidth="1" min="16" max="25" width="10.63"/>
    <col customWidth="1" min="26" max="38" width="11.5"/>
  </cols>
  <sheetData>
    <row r="1">
      <c r="B1" s="1" t="s">
        <v>0</v>
      </c>
      <c r="C1" s="2"/>
      <c r="D1" s="3"/>
      <c r="E1" s="3"/>
      <c r="F1" s="3"/>
      <c r="G1" s="3"/>
      <c r="H1" s="3"/>
      <c r="I1" s="3"/>
      <c r="J1" s="3"/>
    </row>
    <row r="2">
      <c r="B2" s="4" t="s">
        <v>1</v>
      </c>
      <c r="C2" s="5"/>
      <c r="D2" s="6">
        <v>800000.0</v>
      </c>
      <c r="E2" s="7"/>
      <c r="F2" s="7"/>
      <c r="G2" s="8" t="s">
        <v>2</v>
      </c>
      <c r="H2" s="5"/>
      <c r="I2" s="9">
        <f>D2*0.5%</f>
        <v>4000</v>
      </c>
      <c r="J2" s="10"/>
    </row>
    <row r="3">
      <c r="B3" s="11" t="s">
        <v>3</v>
      </c>
      <c r="C3" s="12"/>
      <c r="D3" s="13">
        <v>0.2</v>
      </c>
      <c r="E3" s="14"/>
      <c r="F3" s="14"/>
      <c r="G3" s="15" t="s">
        <v>4</v>
      </c>
      <c r="H3" s="12"/>
      <c r="I3" s="16">
        <f>D2*1%</f>
        <v>8000</v>
      </c>
      <c r="J3" s="17"/>
    </row>
    <row r="4">
      <c r="B4" s="11" t="s">
        <v>5</v>
      </c>
      <c r="C4" s="12"/>
      <c r="D4" s="16">
        <f>D2*(1-D3)</f>
        <v>640000</v>
      </c>
      <c r="E4" s="14"/>
      <c r="F4" s="14"/>
      <c r="G4" s="15" t="s">
        <v>6</v>
      </c>
      <c r="H4" s="12"/>
      <c r="I4" s="16">
        <f>D2*1.3%</f>
        <v>10400</v>
      </c>
      <c r="J4" s="17"/>
    </row>
    <row r="5">
      <c r="B5" s="11" t="s">
        <v>7</v>
      </c>
      <c r="C5" s="12"/>
      <c r="D5" s="18">
        <v>0.06</v>
      </c>
      <c r="E5" s="14"/>
      <c r="F5" s="14"/>
      <c r="G5" s="15" t="s">
        <v>8</v>
      </c>
      <c r="H5" s="12"/>
      <c r="I5" s="19">
        <v>1700.0</v>
      </c>
      <c r="J5" s="17"/>
    </row>
    <row r="6">
      <c r="B6" s="11" t="s">
        <v>9</v>
      </c>
      <c r="C6" s="12"/>
      <c r="D6" s="20">
        <v>30.0</v>
      </c>
      <c r="E6" s="14"/>
      <c r="F6" s="14"/>
      <c r="G6" s="15" t="s">
        <v>10</v>
      </c>
      <c r="H6" s="12"/>
      <c r="I6" s="18">
        <v>0.09</v>
      </c>
      <c r="J6" s="17"/>
    </row>
    <row r="7">
      <c r="B7" s="11" t="s">
        <v>11</v>
      </c>
      <c r="C7" s="12"/>
      <c r="D7" s="16">
        <f>-PMT(D5/12,D6*12,D4,0)</f>
        <v>3837.123361</v>
      </c>
      <c r="E7" s="21"/>
      <c r="F7" s="14"/>
      <c r="G7" s="15" t="s">
        <v>12</v>
      </c>
      <c r="H7" s="12"/>
      <c r="I7" s="18">
        <v>0.03</v>
      </c>
      <c r="J7" s="17"/>
    </row>
    <row r="8">
      <c r="B8" s="22" t="s">
        <v>13</v>
      </c>
      <c r="C8" s="12"/>
      <c r="D8" s="16">
        <f>D2*3%</f>
        <v>24000</v>
      </c>
      <c r="E8" s="14"/>
      <c r="F8" s="14"/>
      <c r="G8" s="15" t="s">
        <v>14</v>
      </c>
      <c r="H8" s="12"/>
      <c r="I8" s="18">
        <v>0.03</v>
      </c>
      <c r="J8" s="17"/>
    </row>
    <row r="9">
      <c r="B9" s="11" t="s">
        <v>15</v>
      </c>
      <c r="C9" s="12"/>
      <c r="D9" s="23">
        <v>30.0</v>
      </c>
      <c r="E9" s="14"/>
      <c r="F9" s="14"/>
      <c r="G9" s="15" t="s">
        <v>16</v>
      </c>
      <c r="H9" s="12"/>
      <c r="I9" s="18">
        <v>0.07</v>
      </c>
      <c r="J9" s="17"/>
    </row>
    <row r="10">
      <c r="B10" s="11" t="s">
        <v>17</v>
      </c>
      <c r="C10" s="12"/>
      <c r="D10" s="18">
        <v>0.09</v>
      </c>
      <c r="E10" s="14"/>
      <c r="F10" s="14"/>
      <c r="G10" s="15" t="s">
        <v>18</v>
      </c>
      <c r="H10" s="12"/>
      <c r="I10" s="18">
        <v>0.22</v>
      </c>
      <c r="J10" s="17"/>
    </row>
    <row r="11">
      <c r="B11" s="24"/>
      <c r="C11" s="25"/>
      <c r="D11" s="25"/>
      <c r="E11" s="25"/>
      <c r="F11" s="25"/>
      <c r="G11" s="25"/>
      <c r="H11" s="25"/>
      <c r="I11" s="25"/>
      <c r="J11" s="26"/>
    </row>
    <row r="12">
      <c r="B12" s="3"/>
      <c r="C12" s="3"/>
      <c r="D12" s="27"/>
      <c r="E12" s="27"/>
      <c r="F12" s="27"/>
      <c r="G12" s="27"/>
      <c r="H12" s="27"/>
      <c r="I12" s="27"/>
      <c r="J12" s="27"/>
    </row>
    <row r="13">
      <c r="B13" s="28" t="s">
        <v>19</v>
      </c>
      <c r="C13" s="29"/>
      <c r="D13" s="30"/>
      <c r="E13" s="30"/>
      <c r="F13" s="30"/>
      <c r="G13" s="30"/>
      <c r="H13" s="30"/>
      <c r="I13" s="30"/>
      <c r="J13" s="30"/>
      <c r="K13" s="30"/>
      <c r="L13" s="30"/>
      <c r="M13" s="30"/>
      <c r="N13" s="30"/>
      <c r="O13" s="31"/>
      <c r="P13" s="32"/>
      <c r="Q13" s="32"/>
      <c r="R13" s="33"/>
      <c r="S13" s="32"/>
      <c r="T13" s="32"/>
      <c r="U13" s="32"/>
      <c r="V13" s="32"/>
      <c r="W13" s="32"/>
      <c r="X13" s="32"/>
      <c r="Y13" s="32"/>
      <c r="Z13" s="32"/>
      <c r="AA13" s="32"/>
      <c r="AB13" s="32"/>
      <c r="AC13" s="32"/>
      <c r="AD13" s="32"/>
      <c r="AE13" s="32"/>
      <c r="AF13" s="32"/>
      <c r="AG13" s="32"/>
      <c r="AH13" s="32"/>
      <c r="AI13" s="32"/>
      <c r="AJ13" s="32"/>
      <c r="AK13" s="32"/>
      <c r="AL13" s="34"/>
    </row>
    <row r="14">
      <c r="B14" s="35"/>
      <c r="C14" s="36"/>
      <c r="D14" s="37"/>
      <c r="E14" s="37"/>
      <c r="F14" s="37"/>
      <c r="G14" s="37"/>
      <c r="H14" s="37"/>
      <c r="I14" s="37"/>
      <c r="J14" s="37"/>
      <c r="K14" s="37"/>
      <c r="L14" s="37"/>
      <c r="M14" s="37"/>
      <c r="N14" s="37"/>
      <c r="O14" s="38"/>
      <c r="P14" s="39"/>
      <c r="Q14" s="39"/>
      <c r="R14" s="39"/>
      <c r="S14" s="39"/>
      <c r="T14" s="39"/>
      <c r="U14" s="39"/>
      <c r="V14" s="39"/>
      <c r="W14" s="39"/>
      <c r="X14" s="39"/>
      <c r="Y14" s="39"/>
      <c r="Z14" s="39"/>
      <c r="AA14" s="39"/>
      <c r="AB14" s="39"/>
      <c r="AC14" s="39"/>
      <c r="AD14" s="39"/>
      <c r="AE14" s="39"/>
      <c r="AF14" s="39"/>
      <c r="AG14" s="39"/>
      <c r="AH14" s="39"/>
      <c r="AI14" s="39"/>
      <c r="AJ14" s="39"/>
      <c r="AK14" s="39"/>
      <c r="AL14" s="40"/>
    </row>
    <row r="15">
      <c r="B15" s="35" t="s">
        <v>20</v>
      </c>
      <c r="C15" s="36"/>
      <c r="D15" s="37"/>
      <c r="E15" s="36">
        <v>0.0</v>
      </c>
      <c r="F15" s="36">
        <v>1.0</v>
      </c>
      <c r="G15" s="36">
        <v>2.0</v>
      </c>
      <c r="H15" s="36">
        <v>3.0</v>
      </c>
      <c r="I15" s="36">
        <v>4.0</v>
      </c>
      <c r="J15" s="36">
        <v>5.0</v>
      </c>
      <c r="K15" s="36">
        <v>6.0</v>
      </c>
      <c r="L15" s="36">
        <v>7.0</v>
      </c>
      <c r="M15" s="36">
        <v>8.0</v>
      </c>
      <c r="N15" s="36">
        <v>9.0</v>
      </c>
      <c r="O15" s="41">
        <v>10.0</v>
      </c>
      <c r="P15" s="42">
        <v>11.0</v>
      </c>
      <c r="Q15" s="42">
        <v>12.0</v>
      </c>
      <c r="R15" s="42">
        <v>13.0</v>
      </c>
      <c r="S15" s="42">
        <v>14.0</v>
      </c>
      <c r="T15" s="42">
        <v>15.0</v>
      </c>
      <c r="U15" s="42">
        <v>16.0</v>
      </c>
      <c r="V15" s="42">
        <v>17.0</v>
      </c>
      <c r="W15" s="42">
        <v>18.0</v>
      </c>
      <c r="X15" s="42">
        <v>19.0</v>
      </c>
      <c r="Y15" s="42">
        <v>20.0</v>
      </c>
      <c r="Z15" s="42">
        <v>21.0</v>
      </c>
      <c r="AA15" s="42">
        <v>22.0</v>
      </c>
      <c r="AB15" s="42">
        <v>23.0</v>
      </c>
      <c r="AC15" s="42">
        <v>24.0</v>
      </c>
      <c r="AD15" s="42">
        <v>25.0</v>
      </c>
      <c r="AE15" s="42">
        <v>26.0</v>
      </c>
      <c r="AF15" s="42">
        <v>27.0</v>
      </c>
      <c r="AG15" s="42">
        <v>28.0</v>
      </c>
      <c r="AH15" s="42">
        <v>29.0</v>
      </c>
      <c r="AI15" s="42">
        <v>30.0</v>
      </c>
      <c r="AJ15" s="42"/>
      <c r="AK15" s="42"/>
      <c r="AL15" s="43"/>
    </row>
    <row r="16">
      <c r="B16" s="44" t="s">
        <v>21</v>
      </c>
      <c r="C16" s="36"/>
      <c r="D16" s="37"/>
      <c r="E16" s="37"/>
      <c r="F16" s="37"/>
      <c r="G16" s="37"/>
      <c r="H16" s="37"/>
      <c r="I16" s="37"/>
      <c r="J16" s="37"/>
      <c r="K16" s="37"/>
      <c r="L16" s="37"/>
      <c r="M16" s="37"/>
      <c r="N16" s="37"/>
      <c r="O16" s="38"/>
      <c r="P16" s="39"/>
      <c r="Q16" s="39"/>
      <c r="R16" s="39"/>
      <c r="S16" s="39"/>
      <c r="T16" s="39"/>
      <c r="U16" s="39"/>
      <c r="V16" s="39"/>
      <c r="W16" s="39"/>
      <c r="X16" s="39"/>
      <c r="Y16" s="39"/>
      <c r="Z16" s="39"/>
      <c r="AA16" s="39"/>
      <c r="AB16" s="39"/>
      <c r="AC16" s="39"/>
      <c r="AD16" s="39"/>
      <c r="AE16" s="39"/>
      <c r="AF16" s="39"/>
      <c r="AG16" s="39"/>
      <c r="AH16" s="39"/>
      <c r="AI16" s="39"/>
      <c r="AJ16" s="39"/>
      <c r="AK16" s="39"/>
      <c r="AL16" s="40"/>
    </row>
    <row r="17">
      <c r="B17" s="35" t="s">
        <v>22</v>
      </c>
      <c r="C17" s="36"/>
      <c r="D17" s="37"/>
      <c r="E17" s="37">
        <f>D3*D2+D8</f>
        <v>184000</v>
      </c>
      <c r="F17" s="37"/>
      <c r="G17" s="37"/>
      <c r="H17" s="37"/>
      <c r="I17" s="37"/>
      <c r="J17" s="37"/>
      <c r="K17" s="37"/>
      <c r="L17" s="37"/>
      <c r="M17" s="37"/>
      <c r="N17" s="37"/>
      <c r="O17" s="38"/>
      <c r="P17" s="39"/>
      <c r="Q17" s="39"/>
      <c r="R17" s="39"/>
      <c r="S17" s="39"/>
      <c r="T17" s="39"/>
      <c r="U17" s="39"/>
      <c r="V17" s="39"/>
      <c r="W17" s="39"/>
      <c r="X17" s="39"/>
      <c r="Y17" s="39"/>
      <c r="Z17" s="39"/>
      <c r="AA17" s="39"/>
      <c r="AB17" s="39"/>
      <c r="AC17" s="39"/>
      <c r="AD17" s="39"/>
      <c r="AE17" s="39"/>
      <c r="AF17" s="39"/>
      <c r="AG17" s="39"/>
      <c r="AH17" s="39"/>
      <c r="AI17" s="39"/>
      <c r="AJ17" s="39"/>
      <c r="AK17" s="39"/>
      <c r="AL17" s="40"/>
    </row>
    <row r="18">
      <c r="B18" s="35" t="s">
        <v>23</v>
      </c>
      <c r="C18" s="36"/>
      <c r="D18" s="37"/>
      <c r="E18" s="37"/>
      <c r="F18" s="37">
        <f>I2+I3</f>
        <v>12000</v>
      </c>
      <c r="G18" s="37">
        <f t="shared" ref="G18:AI18" si="1">F18*(1+$I$7)</f>
        <v>12360</v>
      </c>
      <c r="H18" s="37">
        <f t="shared" si="1"/>
        <v>12730.8</v>
      </c>
      <c r="I18" s="37">
        <f t="shared" si="1"/>
        <v>13112.724</v>
      </c>
      <c r="J18" s="37">
        <f t="shared" si="1"/>
        <v>13506.10572</v>
      </c>
      <c r="K18" s="37">
        <f t="shared" si="1"/>
        <v>13911.28889</v>
      </c>
      <c r="L18" s="37">
        <f t="shared" si="1"/>
        <v>14328.62756</v>
      </c>
      <c r="M18" s="37">
        <f t="shared" si="1"/>
        <v>14758.48639</v>
      </c>
      <c r="N18" s="37">
        <f t="shared" si="1"/>
        <v>15201.24098</v>
      </c>
      <c r="O18" s="38">
        <f t="shared" si="1"/>
        <v>15657.27821</v>
      </c>
      <c r="P18" s="39">
        <f t="shared" si="1"/>
        <v>16126.99655</v>
      </c>
      <c r="Q18" s="39">
        <f t="shared" si="1"/>
        <v>16610.80645</v>
      </c>
      <c r="R18" s="39">
        <f t="shared" si="1"/>
        <v>17109.13064</v>
      </c>
      <c r="S18" s="39">
        <f t="shared" si="1"/>
        <v>17622.40456</v>
      </c>
      <c r="T18" s="39">
        <f t="shared" si="1"/>
        <v>18151.0767</v>
      </c>
      <c r="U18" s="39">
        <f t="shared" si="1"/>
        <v>18695.609</v>
      </c>
      <c r="V18" s="39">
        <f t="shared" si="1"/>
        <v>19256.47727</v>
      </c>
      <c r="W18" s="39">
        <f t="shared" si="1"/>
        <v>19834.17159</v>
      </c>
      <c r="X18" s="39">
        <f t="shared" si="1"/>
        <v>20429.19673</v>
      </c>
      <c r="Y18" s="39">
        <f t="shared" si="1"/>
        <v>21042.07264</v>
      </c>
      <c r="Z18" s="39">
        <f t="shared" si="1"/>
        <v>21673.33482</v>
      </c>
      <c r="AA18" s="39">
        <f t="shared" si="1"/>
        <v>22323.53486</v>
      </c>
      <c r="AB18" s="39">
        <f t="shared" si="1"/>
        <v>22993.24091</v>
      </c>
      <c r="AC18" s="39">
        <f t="shared" si="1"/>
        <v>23683.03813</v>
      </c>
      <c r="AD18" s="39">
        <f t="shared" si="1"/>
        <v>24393.52928</v>
      </c>
      <c r="AE18" s="39">
        <f t="shared" si="1"/>
        <v>25125.33516</v>
      </c>
      <c r="AF18" s="39">
        <f t="shared" si="1"/>
        <v>25879.09521</v>
      </c>
      <c r="AG18" s="39">
        <f t="shared" si="1"/>
        <v>26655.46807</v>
      </c>
      <c r="AH18" s="39">
        <f t="shared" si="1"/>
        <v>27455.13211</v>
      </c>
      <c r="AI18" s="39">
        <f t="shared" si="1"/>
        <v>28278.78607</v>
      </c>
      <c r="AJ18" s="39"/>
      <c r="AK18" s="39"/>
      <c r="AL18" s="40"/>
    </row>
    <row r="19">
      <c r="B19" s="35" t="s">
        <v>6</v>
      </c>
      <c r="C19" s="36"/>
      <c r="D19" s="37"/>
      <c r="E19" s="37"/>
      <c r="F19" s="37">
        <f>$I$4</f>
        <v>10400</v>
      </c>
      <c r="G19" s="37">
        <f t="shared" ref="G19:AI19" si="2">F19*(1+$I$6)</f>
        <v>11336</v>
      </c>
      <c r="H19" s="37">
        <f t="shared" si="2"/>
        <v>12356.24</v>
      </c>
      <c r="I19" s="37">
        <f t="shared" si="2"/>
        <v>13468.3016</v>
      </c>
      <c r="J19" s="37">
        <f t="shared" si="2"/>
        <v>14680.44874</v>
      </c>
      <c r="K19" s="37">
        <f t="shared" si="2"/>
        <v>16001.68913</v>
      </c>
      <c r="L19" s="37">
        <f t="shared" si="2"/>
        <v>17441.84115</v>
      </c>
      <c r="M19" s="37">
        <f t="shared" si="2"/>
        <v>19011.60686</v>
      </c>
      <c r="N19" s="37">
        <f t="shared" si="2"/>
        <v>20722.65147</v>
      </c>
      <c r="O19" s="38">
        <f t="shared" si="2"/>
        <v>22587.69011</v>
      </c>
      <c r="P19" s="39">
        <f t="shared" si="2"/>
        <v>24620.58222</v>
      </c>
      <c r="Q19" s="39">
        <f t="shared" si="2"/>
        <v>26836.43462</v>
      </c>
      <c r="R19" s="39">
        <f t="shared" si="2"/>
        <v>29251.71373</v>
      </c>
      <c r="S19" s="39">
        <f t="shared" si="2"/>
        <v>31884.36797</v>
      </c>
      <c r="T19" s="39">
        <f t="shared" si="2"/>
        <v>34753.96108</v>
      </c>
      <c r="U19" s="39">
        <f t="shared" si="2"/>
        <v>37881.81758</v>
      </c>
      <c r="V19" s="39">
        <f t="shared" si="2"/>
        <v>41291.18116</v>
      </c>
      <c r="W19" s="39">
        <f t="shared" si="2"/>
        <v>45007.38747</v>
      </c>
      <c r="X19" s="39">
        <f t="shared" si="2"/>
        <v>49058.05234</v>
      </c>
      <c r="Y19" s="39">
        <f t="shared" si="2"/>
        <v>53473.27705</v>
      </c>
      <c r="Z19" s="39">
        <f t="shared" si="2"/>
        <v>58285.87198</v>
      </c>
      <c r="AA19" s="39">
        <f t="shared" si="2"/>
        <v>63531.60046</v>
      </c>
      <c r="AB19" s="39">
        <f t="shared" si="2"/>
        <v>69249.44451</v>
      </c>
      <c r="AC19" s="39">
        <f t="shared" si="2"/>
        <v>75481.89451</v>
      </c>
      <c r="AD19" s="39">
        <f t="shared" si="2"/>
        <v>82275.26502</v>
      </c>
      <c r="AE19" s="39">
        <f t="shared" si="2"/>
        <v>89680.03887</v>
      </c>
      <c r="AF19" s="39">
        <f t="shared" si="2"/>
        <v>97751.24237</v>
      </c>
      <c r="AG19" s="39">
        <f t="shared" si="2"/>
        <v>106548.8542</v>
      </c>
      <c r="AH19" s="39">
        <f t="shared" si="2"/>
        <v>116138.2511</v>
      </c>
      <c r="AI19" s="39">
        <f t="shared" si="2"/>
        <v>126590.6937</v>
      </c>
      <c r="AJ19" s="39"/>
      <c r="AK19" s="39"/>
      <c r="AL19" s="40"/>
    </row>
    <row r="20">
      <c r="B20" s="35" t="s">
        <v>24</v>
      </c>
      <c r="C20" s="36"/>
      <c r="D20" s="37"/>
      <c r="E20" s="37"/>
      <c r="F20" s="37">
        <f t="shared" ref="F20:AI20" si="3">$D$7*12</f>
        <v>46045.48033</v>
      </c>
      <c r="G20" s="37">
        <f t="shared" si="3"/>
        <v>46045.48033</v>
      </c>
      <c r="H20" s="37">
        <f t="shared" si="3"/>
        <v>46045.48033</v>
      </c>
      <c r="I20" s="37">
        <f t="shared" si="3"/>
        <v>46045.48033</v>
      </c>
      <c r="J20" s="37">
        <f t="shared" si="3"/>
        <v>46045.48033</v>
      </c>
      <c r="K20" s="37">
        <f t="shared" si="3"/>
        <v>46045.48033</v>
      </c>
      <c r="L20" s="37">
        <f t="shared" si="3"/>
        <v>46045.48033</v>
      </c>
      <c r="M20" s="37">
        <f t="shared" si="3"/>
        <v>46045.48033</v>
      </c>
      <c r="N20" s="37">
        <f t="shared" si="3"/>
        <v>46045.48033</v>
      </c>
      <c r="O20" s="38">
        <f t="shared" si="3"/>
        <v>46045.48033</v>
      </c>
      <c r="P20" s="39">
        <f t="shared" si="3"/>
        <v>46045.48033</v>
      </c>
      <c r="Q20" s="39">
        <f t="shared" si="3"/>
        <v>46045.48033</v>
      </c>
      <c r="R20" s="39">
        <f t="shared" si="3"/>
        <v>46045.48033</v>
      </c>
      <c r="S20" s="39">
        <f t="shared" si="3"/>
        <v>46045.48033</v>
      </c>
      <c r="T20" s="39">
        <f t="shared" si="3"/>
        <v>46045.48033</v>
      </c>
      <c r="U20" s="39">
        <f t="shared" si="3"/>
        <v>46045.48033</v>
      </c>
      <c r="V20" s="39">
        <f t="shared" si="3"/>
        <v>46045.48033</v>
      </c>
      <c r="W20" s="39">
        <f t="shared" si="3"/>
        <v>46045.48033</v>
      </c>
      <c r="X20" s="39">
        <f t="shared" si="3"/>
        <v>46045.48033</v>
      </c>
      <c r="Y20" s="39">
        <f t="shared" si="3"/>
        <v>46045.48033</v>
      </c>
      <c r="Z20" s="39">
        <f t="shared" si="3"/>
        <v>46045.48033</v>
      </c>
      <c r="AA20" s="39">
        <f t="shared" si="3"/>
        <v>46045.48033</v>
      </c>
      <c r="AB20" s="39">
        <f t="shared" si="3"/>
        <v>46045.48033</v>
      </c>
      <c r="AC20" s="39">
        <f t="shared" si="3"/>
        <v>46045.48033</v>
      </c>
      <c r="AD20" s="39">
        <f t="shared" si="3"/>
        <v>46045.48033</v>
      </c>
      <c r="AE20" s="39">
        <f t="shared" si="3"/>
        <v>46045.48033</v>
      </c>
      <c r="AF20" s="39">
        <f t="shared" si="3"/>
        <v>46045.48033</v>
      </c>
      <c r="AG20" s="39">
        <f t="shared" si="3"/>
        <v>46045.48033</v>
      </c>
      <c r="AH20" s="39">
        <f t="shared" si="3"/>
        <v>46045.48033</v>
      </c>
      <c r="AI20" s="39">
        <f t="shared" si="3"/>
        <v>46045.48033</v>
      </c>
      <c r="AJ20" s="39"/>
      <c r="AK20" s="39"/>
      <c r="AL20" s="40"/>
    </row>
    <row r="21" ht="15.75" customHeight="1">
      <c r="B21" s="35"/>
      <c r="C21" s="36"/>
      <c r="D21" s="37"/>
      <c r="E21" s="37"/>
      <c r="F21" s="37"/>
      <c r="G21" s="37"/>
      <c r="H21" s="37"/>
      <c r="I21" s="37"/>
      <c r="J21" s="37"/>
      <c r="K21" s="37"/>
      <c r="L21" s="37"/>
      <c r="M21" s="37"/>
      <c r="N21" s="37"/>
      <c r="O21" s="38"/>
      <c r="P21" s="39"/>
      <c r="Q21" s="39"/>
      <c r="R21" s="39"/>
      <c r="S21" s="39"/>
      <c r="T21" s="39"/>
      <c r="U21" s="39"/>
      <c r="V21" s="39"/>
      <c r="W21" s="39"/>
      <c r="X21" s="39"/>
      <c r="Y21" s="39"/>
      <c r="Z21" s="39"/>
      <c r="AA21" s="39"/>
      <c r="AB21" s="39"/>
      <c r="AC21" s="39"/>
      <c r="AD21" s="39"/>
      <c r="AE21" s="39"/>
      <c r="AF21" s="39"/>
      <c r="AG21" s="39"/>
      <c r="AH21" s="39"/>
      <c r="AI21" s="39"/>
      <c r="AJ21" s="39"/>
      <c r="AK21" s="39"/>
      <c r="AL21" s="40"/>
    </row>
    <row r="22" ht="15.75" customHeight="1">
      <c r="B22" s="35" t="s">
        <v>25</v>
      </c>
      <c r="C22" s="36"/>
      <c r="D22" s="37"/>
      <c r="E22" s="37">
        <f t="shared" ref="E22:AI22" si="4">SUM(E17:E20)</f>
        <v>184000</v>
      </c>
      <c r="F22" s="37">
        <f t="shared" si="4"/>
        <v>68445.48033</v>
      </c>
      <c r="G22" s="37">
        <f t="shared" si="4"/>
        <v>69741.48033</v>
      </c>
      <c r="H22" s="37">
        <f t="shared" si="4"/>
        <v>71132.52033</v>
      </c>
      <c r="I22" s="37">
        <f t="shared" si="4"/>
        <v>72626.50593</v>
      </c>
      <c r="J22" s="37">
        <f t="shared" si="4"/>
        <v>74232.0348</v>
      </c>
      <c r="K22" s="37">
        <f t="shared" si="4"/>
        <v>75958.45835</v>
      </c>
      <c r="L22" s="37">
        <f t="shared" si="4"/>
        <v>77815.94904</v>
      </c>
      <c r="M22" s="37">
        <f t="shared" si="4"/>
        <v>79815.57357</v>
      </c>
      <c r="N22" s="37">
        <f t="shared" si="4"/>
        <v>81969.37278</v>
      </c>
      <c r="O22" s="38">
        <f t="shared" si="4"/>
        <v>84290.44864</v>
      </c>
      <c r="P22" s="39">
        <f t="shared" si="4"/>
        <v>86793.0591</v>
      </c>
      <c r="Q22" s="39">
        <f t="shared" si="4"/>
        <v>89492.7214</v>
      </c>
      <c r="R22" s="39">
        <f t="shared" si="4"/>
        <v>92406.3247</v>
      </c>
      <c r="S22" s="39">
        <f t="shared" si="4"/>
        <v>95552.25286</v>
      </c>
      <c r="T22" s="39">
        <f t="shared" si="4"/>
        <v>98950.51811</v>
      </c>
      <c r="U22" s="39">
        <f t="shared" si="4"/>
        <v>102622.9069</v>
      </c>
      <c r="V22" s="39">
        <f t="shared" si="4"/>
        <v>106593.1388</v>
      </c>
      <c r="W22" s="39">
        <f t="shared" si="4"/>
        <v>110887.0394</v>
      </c>
      <c r="X22" s="39">
        <f t="shared" si="4"/>
        <v>115532.7294</v>
      </c>
      <c r="Y22" s="39">
        <f t="shared" si="4"/>
        <v>120560.83</v>
      </c>
      <c r="Z22" s="39">
        <f t="shared" si="4"/>
        <v>126004.6871</v>
      </c>
      <c r="AA22" s="39">
        <f t="shared" si="4"/>
        <v>131900.6157</v>
      </c>
      <c r="AB22" s="39">
        <f t="shared" si="4"/>
        <v>138288.1657</v>
      </c>
      <c r="AC22" s="39">
        <f t="shared" si="4"/>
        <v>145210.413</v>
      </c>
      <c r="AD22" s="39">
        <f t="shared" si="4"/>
        <v>152714.2746</v>
      </c>
      <c r="AE22" s="39">
        <f t="shared" si="4"/>
        <v>160850.8544</v>
      </c>
      <c r="AF22" s="39">
        <f t="shared" si="4"/>
        <v>169675.8179</v>
      </c>
      <c r="AG22" s="39">
        <f t="shared" si="4"/>
        <v>179249.8026</v>
      </c>
      <c r="AH22" s="39">
        <f t="shared" si="4"/>
        <v>189638.8635</v>
      </c>
      <c r="AI22" s="39">
        <f t="shared" si="4"/>
        <v>200914.9601</v>
      </c>
      <c r="AJ22" s="39"/>
      <c r="AK22" s="39"/>
      <c r="AL22" s="40"/>
    </row>
    <row r="23" ht="15.75" customHeight="1">
      <c r="B23" s="35"/>
      <c r="C23" s="36"/>
      <c r="D23" s="37"/>
      <c r="E23" s="37"/>
      <c r="F23" s="37"/>
      <c r="G23" s="37"/>
      <c r="H23" s="37"/>
      <c r="I23" s="37"/>
      <c r="J23" s="37"/>
      <c r="K23" s="37"/>
      <c r="L23" s="37"/>
      <c r="M23" s="37"/>
      <c r="N23" s="37"/>
      <c r="O23" s="38"/>
      <c r="P23" s="39"/>
      <c r="Q23" s="39"/>
      <c r="R23" s="39"/>
      <c r="S23" s="39"/>
      <c r="T23" s="39"/>
      <c r="U23" s="39"/>
      <c r="V23" s="39"/>
      <c r="W23" s="39"/>
      <c r="X23" s="39"/>
      <c r="Y23" s="39"/>
      <c r="Z23" s="39"/>
      <c r="AA23" s="39"/>
      <c r="AB23" s="39"/>
      <c r="AC23" s="39"/>
      <c r="AD23" s="39"/>
      <c r="AE23" s="39"/>
      <c r="AF23" s="39"/>
      <c r="AG23" s="39"/>
      <c r="AH23" s="39"/>
      <c r="AI23" s="39"/>
      <c r="AJ23" s="39"/>
      <c r="AK23" s="39"/>
      <c r="AL23" s="40"/>
    </row>
    <row r="24" ht="15.75" customHeight="1">
      <c r="B24" s="44" t="s">
        <v>26</v>
      </c>
      <c r="C24" s="36"/>
      <c r="D24" s="37"/>
      <c r="E24" s="37"/>
      <c r="F24" s="37"/>
      <c r="G24" s="37"/>
      <c r="H24" s="37"/>
      <c r="I24" s="37"/>
      <c r="J24" s="37"/>
      <c r="K24" s="37"/>
      <c r="L24" s="37"/>
      <c r="M24" s="37"/>
      <c r="N24" s="37"/>
      <c r="O24" s="38"/>
      <c r="P24" s="39"/>
      <c r="Q24" s="39"/>
      <c r="R24" s="39"/>
      <c r="S24" s="39"/>
      <c r="T24" s="39"/>
      <c r="U24" s="39"/>
      <c r="V24" s="39"/>
      <c r="W24" s="39"/>
      <c r="X24" s="39"/>
      <c r="Y24" s="39"/>
      <c r="Z24" s="39"/>
      <c r="AA24" s="39"/>
      <c r="AB24" s="39"/>
      <c r="AC24" s="39"/>
      <c r="AD24" s="39"/>
      <c r="AE24" s="39"/>
      <c r="AF24" s="39"/>
      <c r="AG24" s="39"/>
      <c r="AH24" s="39"/>
      <c r="AI24" s="39"/>
      <c r="AJ24" s="39"/>
      <c r="AK24" s="39"/>
      <c r="AL24" s="40"/>
    </row>
    <row r="25" ht="15.75" customHeight="1">
      <c r="B25" s="35" t="s">
        <v>27</v>
      </c>
      <c r="C25" s="36"/>
      <c r="D25" s="37"/>
      <c r="E25" s="45">
        <f t="shared" ref="E25:AI25" si="5">IF($I$10*(E30+E19-12200)&gt;0,$I$10*(E30+E19-12200),0)</f>
        <v>0</v>
      </c>
      <c r="F25" s="45">
        <f t="shared" si="5"/>
        <v>8004.965182</v>
      </c>
      <c r="G25" s="45">
        <f t="shared" si="5"/>
        <v>8104.241748</v>
      </c>
      <c r="H25" s="45">
        <f t="shared" si="5"/>
        <v>8215.47358</v>
      </c>
      <c r="I25" s="45">
        <f t="shared" si="5"/>
        <v>8339.922943</v>
      </c>
      <c r="J25" s="45">
        <f t="shared" si="5"/>
        <v>8478.977194</v>
      </c>
      <c r="K25" s="45">
        <f t="shared" si="5"/>
        <v>8634.160752</v>
      </c>
      <c r="L25" s="45">
        <f t="shared" si="5"/>
        <v>8807.148184</v>
      </c>
      <c r="M25" s="45">
        <f t="shared" si="5"/>
        <v>8999.77852</v>
      </c>
      <c r="N25" s="45">
        <f t="shared" si="5"/>
        <v>9214.070896</v>
      </c>
      <c r="O25" s="46">
        <f t="shared" si="5"/>
        <v>9452.241674</v>
      </c>
      <c r="P25" s="47">
        <f t="shared" si="5"/>
        <v>88046.28062</v>
      </c>
      <c r="Q25" s="47">
        <f t="shared" si="5"/>
        <v>95323.93648</v>
      </c>
      <c r="R25" s="47">
        <f t="shared" si="5"/>
        <v>102439.4724</v>
      </c>
      <c r="S25" s="47">
        <f t="shared" si="5"/>
        <v>109384.1317</v>
      </c>
      <c r="T25" s="47">
        <f t="shared" si="5"/>
        <v>116148.7295</v>
      </c>
      <c r="U25" s="47">
        <f t="shared" si="5"/>
        <v>122723.6365</v>
      </c>
      <c r="V25" s="47">
        <f t="shared" si="5"/>
        <v>129098.762</v>
      </c>
      <c r="W25" s="47">
        <f t="shared" si="5"/>
        <v>135263.5382</v>
      </c>
      <c r="X25" s="47">
        <f t="shared" si="5"/>
        <v>141206.9028</v>
      </c>
      <c r="Y25" s="47">
        <f t="shared" si="5"/>
        <v>146917.2838</v>
      </c>
      <c r="Z25" s="47">
        <f t="shared" si="5"/>
        <v>152382.5828</v>
      </c>
      <c r="AA25" s="47">
        <f t="shared" si="5"/>
        <v>157590.1596</v>
      </c>
      <c r="AB25" s="47">
        <f t="shared" si="5"/>
        <v>162526.8173</v>
      </c>
      <c r="AC25" s="47">
        <f t="shared" si="5"/>
        <v>167178.7878</v>
      </c>
      <c r="AD25" s="47">
        <f t="shared" si="5"/>
        <v>171531.7188</v>
      </c>
      <c r="AE25" s="47">
        <f t="shared" si="5"/>
        <v>175570.6611</v>
      </c>
      <c r="AF25" s="47">
        <f t="shared" si="5"/>
        <v>179280.0582</v>
      </c>
      <c r="AG25" s="47">
        <f t="shared" si="5"/>
        <v>182643.737</v>
      </c>
      <c r="AH25" s="47">
        <f t="shared" si="5"/>
        <v>185644.9004</v>
      </c>
      <c r="AI25" s="47">
        <f t="shared" si="5"/>
        <v>188266.1228</v>
      </c>
      <c r="AJ25" s="47"/>
      <c r="AK25" s="47"/>
      <c r="AL25" s="48"/>
    </row>
    <row r="26" ht="15.75" customHeight="1">
      <c r="B26" s="35"/>
      <c r="C26" s="36"/>
      <c r="D26" s="37"/>
      <c r="E26" s="37"/>
      <c r="F26" s="37"/>
      <c r="G26" s="37"/>
      <c r="H26" s="37"/>
      <c r="I26" s="37"/>
      <c r="J26" s="37"/>
      <c r="K26" s="37"/>
      <c r="L26" s="37"/>
      <c r="M26" s="37"/>
      <c r="N26" s="37"/>
      <c r="O26" s="38"/>
      <c r="P26" s="39"/>
      <c r="Q26" s="39"/>
      <c r="R26" s="39"/>
      <c r="S26" s="39"/>
      <c r="T26" s="39"/>
      <c r="U26" s="39"/>
      <c r="V26" s="39"/>
      <c r="W26" s="39"/>
      <c r="X26" s="39"/>
      <c r="Y26" s="39"/>
      <c r="Z26" s="39"/>
      <c r="AA26" s="39"/>
      <c r="AB26" s="39"/>
      <c r="AC26" s="39"/>
      <c r="AD26" s="39"/>
      <c r="AE26" s="39"/>
      <c r="AF26" s="39"/>
      <c r="AG26" s="39"/>
      <c r="AH26" s="39"/>
      <c r="AI26" s="39"/>
      <c r="AJ26" s="39"/>
      <c r="AK26" s="39"/>
      <c r="AL26" s="40"/>
    </row>
    <row r="27" ht="15.75" customHeight="1">
      <c r="B27" s="49" t="s">
        <v>28</v>
      </c>
      <c r="C27" s="36"/>
      <c r="D27" s="37"/>
      <c r="E27" s="37">
        <f t="shared" ref="E27:AI27" si="6">E22-E25</f>
        <v>184000</v>
      </c>
      <c r="F27" s="37">
        <f t="shared" si="6"/>
        <v>60440.51515</v>
      </c>
      <c r="G27" s="37">
        <f t="shared" si="6"/>
        <v>61637.23858</v>
      </c>
      <c r="H27" s="37">
        <f t="shared" si="6"/>
        <v>62917.04675</v>
      </c>
      <c r="I27" s="37">
        <f t="shared" si="6"/>
        <v>64286.58299</v>
      </c>
      <c r="J27" s="37">
        <f t="shared" si="6"/>
        <v>65753.0576</v>
      </c>
      <c r="K27" s="37">
        <f t="shared" si="6"/>
        <v>67324.2976</v>
      </c>
      <c r="L27" s="37">
        <f t="shared" si="6"/>
        <v>69008.80086</v>
      </c>
      <c r="M27" s="37">
        <f t="shared" si="6"/>
        <v>70815.79505</v>
      </c>
      <c r="N27" s="37">
        <f t="shared" si="6"/>
        <v>72755.30189</v>
      </c>
      <c r="O27" s="38">
        <f t="shared" si="6"/>
        <v>74838.20697</v>
      </c>
      <c r="P27" s="39">
        <f t="shared" si="6"/>
        <v>-1253.221517</v>
      </c>
      <c r="Q27" s="39">
        <f t="shared" si="6"/>
        <v>-5831.215084</v>
      </c>
      <c r="R27" s="39">
        <f t="shared" si="6"/>
        <v>-10033.14766</v>
      </c>
      <c r="S27" s="39">
        <f t="shared" si="6"/>
        <v>-13831.8788</v>
      </c>
      <c r="T27" s="39">
        <f t="shared" si="6"/>
        <v>-17198.21141</v>
      </c>
      <c r="U27" s="39">
        <f t="shared" si="6"/>
        <v>-20100.72957</v>
      </c>
      <c r="V27" s="39">
        <f t="shared" si="6"/>
        <v>-22505.62328</v>
      </c>
      <c r="W27" s="39">
        <f t="shared" si="6"/>
        <v>-24376.49877</v>
      </c>
      <c r="X27" s="39">
        <f t="shared" si="6"/>
        <v>-25674.17341</v>
      </c>
      <c r="Y27" s="39">
        <f t="shared" si="6"/>
        <v>-26356.45382</v>
      </c>
      <c r="Z27" s="39">
        <f t="shared" si="6"/>
        <v>-26377.8957</v>
      </c>
      <c r="AA27" s="39">
        <f t="shared" si="6"/>
        <v>-25689.54397</v>
      </c>
      <c r="AB27" s="39">
        <f t="shared" si="6"/>
        <v>-24238.65154</v>
      </c>
      <c r="AC27" s="39">
        <f t="shared" si="6"/>
        <v>-21968.37484</v>
      </c>
      <c r="AD27" s="39">
        <f t="shared" si="6"/>
        <v>-18817.44416</v>
      </c>
      <c r="AE27" s="39">
        <f t="shared" si="6"/>
        <v>-14719.80675</v>
      </c>
      <c r="AF27" s="39">
        <f t="shared" si="6"/>
        <v>-9604.240331</v>
      </c>
      <c r="AG27" s="39">
        <f t="shared" si="6"/>
        <v>-3393.93442</v>
      </c>
      <c r="AH27" s="39">
        <f t="shared" si="6"/>
        <v>3993.963101</v>
      </c>
      <c r="AI27" s="39">
        <f t="shared" si="6"/>
        <v>12648.83726</v>
      </c>
      <c r="AJ27" s="39"/>
      <c r="AK27" s="39"/>
      <c r="AL27" s="40"/>
    </row>
    <row r="28" ht="15.75" customHeight="1">
      <c r="B28" s="35"/>
      <c r="C28" s="36"/>
      <c r="D28" s="37"/>
      <c r="E28" s="37"/>
      <c r="F28" s="37"/>
      <c r="G28" s="37"/>
      <c r="H28" s="37"/>
      <c r="I28" s="37"/>
      <c r="J28" s="37"/>
      <c r="K28" s="37"/>
      <c r="L28" s="37"/>
      <c r="M28" s="37"/>
      <c r="N28" s="37"/>
      <c r="O28" s="38"/>
      <c r="P28" s="39"/>
      <c r="Q28" s="39"/>
      <c r="R28" s="39"/>
      <c r="S28" s="39"/>
      <c r="T28" s="39"/>
      <c r="U28" s="39"/>
      <c r="V28" s="39"/>
      <c r="W28" s="39"/>
      <c r="X28" s="39"/>
      <c r="Y28" s="39"/>
      <c r="Z28" s="39"/>
      <c r="AA28" s="39"/>
      <c r="AB28" s="39"/>
      <c r="AC28" s="39"/>
      <c r="AD28" s="39"/>
      <c r="AE28" s="39"/>
      <c r="AF28" s="39"/>
      <c r="AG28" s="39"/>
      <c r="AH28" s="39"/>
      <c r="AI28" s="39"/>
      <c r="AJ28" s="39"/>
      <c r="AK28" s="39"/>
      <c r="AL28" s="40"/>
    </row>
    <row r="29" ht="15.75" customHeight="1">
      <c r="B29" s="44" t="s">
        <v>29</v>
      </c>
      <c r="C29" s="36"/>
      <c r="D29" s="37"/>
      <c r="E29" s="37"/>
      <c r="F29" s="37"/>
      <c r="G29" s="37"/>
      <c r="H29" s="37"/>
      <c r="I29" s="37"/>
      <c r="J29" s="37"/>
      <c r="K29" s="37"/>
      <c r="L29" s="37"/>
      <c r="M29" s="37"/>
      <c r="N29" s="37"/>
      <c r="O29" s="38"/>
      <c r="P29" s="39"/>
      <c r="Q29" s="39"/>
      <c r="R29" s="39"/>
      <c r="S29" s="39"/>
      <c r="T29" s="39"/>
      <c r="U29" s="39"/>
      <c r="V29" s="39"/>
      <c r="W29" s="39"/>
      <c r="X29" s="39"/>
      <c r="Y29" s="39"/>
      <c r="Z29" s="39"/>
      <c r="AA29" s="39"/>
      <c r="AB29" s="39"/>
      <c r="AC29" s="39"/>
      <c r="AD29" s="39"/>
      <c r="AE29" s="39"/>
      <c r="AF29" s="39"/>
      <c r="AG29" s="39"/>
      <c r="AH29" s="39"/>
      <c r="AI29" s="39"/>
      <c r="AJ29" s="39"/>
      <c r="AK29" s="39"/>
      <c r="AL29" s="40"/>
    </row>
    <row r="30" ht="15.75" customHeight="1">
      <c r="B30" s="35" t="s">
        <v>30</v>
      </c>
      <c r="C30" s="36"/>
      <c r="D30" s="37"/>
      <c r="E30" s="37"/>
      <c r="F30" s="37">
        <f t="shared" ref="F30:O30" si="7">-CUMIPMT($D$5/12,$D$6*12,$D$4,E15*12+1,F15*12,0)</f>
        <v>38186.20537</v>
      </c>
      <c r="G30" s="37">
        <f t="shared" si="7"/>
        <v>37701.46249</v>
      </c>
      <c r="H30" s="37">
        <f t="shared" si="7"/>
        <v>37186.82173</v>
      </c>
      <c r="I30" s="37">
        <f t="shared" si="7"/>
        <v>36640.43905</v>
      </c>
      <c r="J30" s="37">
        <f t="shared" si="7"/>
        <v>36060.35668</v>
      </c>
      <c r="K30" s="37">
        <f t="shared" si="7"/>
        <v>35444.4961</v>
      </c>
      <c r="L30" s="37">
        <f t="shared" si="7"/>
        <v>34790.65059</v>
      </c>
      <c r="M30" s="37">
        <f t="shared" si="7"/>
        <v>34096.47732</v>
      </c>
      <c r="N30" s="37">
        <f t="shared" si="7"/>
        <v>33359.48896</v>
      </c>
      <c r="O30" s="38">
        <f t="shared" si="7"/>
        <v>32577.04477</v>
      </c>
      <c r="P30" s="39">
        <f t="shared" ref="P30:AI30" si="8">-CUMIPMT($D$5/12,$D$6*12,$D$4,O16*12+1,P15*12,0)</f>
        <v>387789.7842</v>
      </c>
      <c r="Q30" s="39">
        <f t="shared" si="8"/>
        <v>418654.1857</v>
      </c>
      <c r="R30" s="39">
        <f t="shared" si="8"/>
        <v>448582.2515</v>
      </c>
      <c r="S30" s="39">
        <f t="shared" si="8"/>
        <v>477516.2305</v>
      </c>
      <c r="T30" s="39">
        <f t="shared" si="8"/>
        <v>505394.8095</v>
      </c>
      <c r="U30" s="39">
        <f t="shared" si="8"/>
        <v>532152.8937</v>
      </c>
      <c r="V30" s="39">
        <f t="shared" si="8"/>
        <v>557721.3736</v>
      </c>
      <c r="W30" s="39">
        <f t="shared" si="8"/>
        <v>582026.8769</v>
      </c>
      <c r="X30" s="39">
        <f t="shared" si="8"/>
        <v>604991.5059</v>
      </c>
      <c r="Y30" s="39">
        <f t="shared" si="8"/>
        <v>626532.5586</v>
      </c>
      <c r="Z30" s="39">
        <f t="shared" si="8"/>
        <v>646562.2318</v>
      </c>
      <c r="AA30" s="39">
        <f t="shared" si="8"/>
        <v>664987.3069</v>
      </c>
      <c r="AB30" s="39">
        <f t="shared" si="8"/>
        <v>681708.8159</v>
      </c>
      <c r="AC30" s="39">
        <f t="shared" si="8"/>
        <v>696621.6865</v>
      </c>
      <c r="AD30" s="39">
        <f t="shared" si="8"/>
        <v>709614.3658</v>
      </c>
      <c r="AE30" s="39">
        <f t="shared" si="8"/>
        <v>720568.4207</v>
      </c>
      <c r="AF30" s="39">
        <f t="shared" si="8"/>
        <v>729358.1133</v>
      </c>
      <c r="AG30" s="39">
        <f t="shared" si="8"/>
        <v>735849.9504</v>
      </c>
      <c r="AH30" s="39">
        <f t="shared" si="8"/>
        <v>739902.2053</v>
      </c>
      <c r="AI30" s="39">
        <f t="shared" si="8"/>
        <v>741364.41</v>
      </c>
      <c r="AJ30" s="39"/>
      <c r="AK30" s="39"/>
      <c r="AL30" s="40"/>
    </row>
    <row r="31" ht="15.75" customHeight="1">
      <c r="B31" s="35" t="s">
        <v>31</v>
      </c>
      <c r="C31" s="36"/>
      <c r="D31" s="37"/>
      <c r="E31" s="37"/>
      <c r="F31" s="37">
        <f t="shared" ref="F31:AI31" si="9">F20-F30</f>
        <v>7859.274959</v>
      </c>
      <c r="G31" s="37">
        <f t="shared" si="9"/>
        <v>8344.017841</v>
      </c>
      <c r="H31" s="37">
        <f t="shared" si="9"/>
        <v>8858.658603</v>
      </c>
      <c r="I31" s="37">
        <f t="shared" si="9"/>
        <v>9405.041282</v>
      </c>
      <c r="J31" s="37">
        <f t="shared" si="9"/>
        <v>9985.123649</v>
      </c>
      <c r="K31" s="37">
        <f t="shared" si="9"/>
        <v>10600.98423</v>
      </c>
      <c r="L31" s="37">
        <f t="shared" si="9"/>
        <v>11254.82974</v>
      </c>
      <c r="M31" s="37">
        <f t="shared" si="9"/>
        <v>11949.00301</v>
      </c>
      <c r="N31" s="37">
        <f t="shared" si="9"/>
        <v>12685.99137</v>
      </c>
      <c r="O31" s="38">
        <f t="shared" si="9"/>
        <v>13468.43556</v>
      </c>
      <c r="P31" s="39">
        <f t="shared" si="9"/>
        <v>-341744.3039</v>
      </c>
      <c r="Q31" s="39">
        <f t="shared" si="9"/>
        <v>-372608.7054</v>
      </c>
      <c r="R31" s="39">
        <f t="shared" si="9"/>
        <v>-402536.7712</v>
      </c>
      <c r="S31" s="39">
        <f t="shared" si="9"/>
        <v>-431470.7502</v>
      </c>
      <c r="T31" s="39">
        <f t="shared" si="9"/>
        <v>-459349.3291</v>
      </c>
      <c r="U31" s="39">
        <f t="shared" si="9"/>
        <v>-486107.4134</v>
      </c>
      <c r="V31" s="39">
        <f t="shared" si="9"/>
        <v>-511675.8933</v>
      </c>
      <c r="W31" s="39">
        <f t="shared" si="9"/>
        <v>-535981.3965</v>
      </c>
      <c r="X31" s="39">
        <f t="shared" si="9"/>
        <v>-558946.0256</v>
      </c>
      <c r="Y31" s="39">
        <f t="shared" si="9"/>
        <v>-580487.0783</v>
      </c>
      <c r="Z31" s="39">
        <f t="shared" si="9"/>
        <v>-600516.7515</v>
      </c>
      <c r="AA31" s="39">
        <f t="shared" si="9"/>
        <v>-618941.8266</v>
      </c>
      <c r="AB31" s="39">
        <f t="shared" si="9"/>
        <v>-635663.3356</v>
      </c>
      <c r="AC31" s="39">
        <f t="shared" si="9"/>
        <v>-650576.2061</v>
      </c>
      <c r="AD31" s="39">
        <f t="shared" si="9"/>
        <v>-663568.8855</v>
      </c>
      <c r="AE31" s="39">
        <f t="shared" si="9"/>
        <v>-674522.9404</v>
      </c>
      <c r="AF31" s="39">
        <f t="shared" si="9"/>
        <v>-683312.6329</v>
      </c>
      <c r="AG31" s="39">
        <f t="shared" si="9"/>
        <v>-689804.47</v>
      </c>
      <c r="AH31" s="39">
        <f t="shared" si="9"/>
        <v>-693856.725</v>
      </c>
      <c r="AI31" s="39">
        <f t="shared" si="9"/>
        <v>-695318.9296</v>
      </c>
      <c r="AJ31" s="39"/>
      <c r="AK31" s="39"/>
      <c r="AL31" s="40"/>
    </row>
    <row r="32" ht="15.75" customHeight="1">
      <c r="B32" s="35" t="s">
        <v>32</v>
      </c>
      <c r="C32" s="36"/>
      <c r="D32" s="37"/>
      <c r="E32" s="37">
        <f>D2</f>
        <v>800000</v>
      </c>
      <c r="F32" s="37">
        <f t="shared" ref="F32:AI32" si="10">E32*(1+$I$6)</f>
        <v>872000</v>
      </c>
      <c r="G32" s="37">
        <f t="shared" si="10"/>
        <v>950480</v>
      </c>
      <c r="H32" s="37">
        <f t="shared" si="10"/>
        <v>1036023.2</v>
      </c>
      <c r="I32" s="37">
        <f t="shared" si="10"/>
        <v>1129265.288</v>
      </c>
      <c r="J32" s="37">
        <f t="shared" si="10"/>
        <v>1230899.164</v>
      </c>
      <c r="K32" s="37">
        <f t="shared" si="10"/>
        <v>1341680.089</v>
      </c>
      <c r="L32" s="37">
        <f t="shared" si="10"/>
        <v>1462431.297</v>
      </c>
      <c r="M32" s="37">
        <f t="shared" si="10"/>
        <v>1594050.113</v>
      </c>
      <c r="N32" s="37">
        <f t="shared" si="10"/>
        <v>1737514.624</v>
      </c>
      <c r="O32" s="38">
        <f t="shared" si="10"/>
        <v>1893890.94</v>
      </c>
      <c r="P32" s="39">
        <f t="shared" si="10"/>
        <v>2064341.124</v>
      </c>
      <c r="Q32" s="39">
        <f t="shared" si="10"/>
        <v>2250131.825</v>
      </c>
      <c r="R32" s="39">
        <f t="shared" si="10"/>
        <v>2452643.69</v>
      </c>
      <c r="S32" s="39">
        <f t="shared" si="10"/>
        <v>2673381.622</v>
      </c>
      <c r="T32" s="39">
        <f t="shared" si="10"/>
        <v>2913985.968</v>
      </c>
      <c r="U32" s="39">
        <f t="shared" si="10"/>
        <v>3176244.705</v>
      </c>
      <c r="V32" s="39">
        <f t="shared" si="10"/>
        <v>3462106.728</v>
      </c>
      <c r="W32" s="39">
        <f t="shared" si="10"/>
        <v>3773696.334</v>
      </c>
      <c r="X32" s="39">
        <f t="shared" si="10"/>
        <v>4113329.004</v>
      </c>
      <c r="Y32" s="39">
        <f t="shared" si="10"/>
        <v>4483528.614</v>
      </c>
      <c r="Z32" s="39">
        <f t="shared" si="10"/>
        <v>4887046.19</v>
      </c>
      <c r="AA32" s="39">
        <f t="shared" si="10"/>
        <v>5326880.347</v>
      </c>
      <c r="AB32" s="39">
        <f t="shared" si="10"/>
        <v>5806299.578</v>
      </c>
      <c r="AC32" s="39">
        <f t="shared" si="10"/>
        <v>6328866.54</v>
      </c>
      <c r="AD32" s="39">
        <f t="shared" si="10"/>
        <v>6898464.528</v>
      </c>
      <c r="AE32" s="39">
        <f t="shared" si="10"/>
        <v>7519326.336</v>
      </c>
      <c r="AF32" s="39">
        <f t="shared" si="10"/>
        <v>8196065.706</v>
      </c>
      <c r="AG32" s="39">
        <f t="shared" si="10"/>
        <v>8933711.62</v>
      </c>
      <c r="AH32" s="39">
        <f t="shared" si="10"/>
        <v>9737745.665</v>
      </c>
      <c r="AI32" s="39">
        <f t="shared" si="10"/>
        <v>10614142.78</v>
      </c>
      <c r="AJ32" s="39"/>
      <c r="AK32" s="39"/>
      <c r="AL32" s="40"/>
    </row>
    <row r="33" ht="15.75" customHeight="1">
      <c r="B33" s="35" t="s">
        <v>33</v>
      </c>
      <c r="C33" s="36"/>
      <c r="D33" s="37"/>
      <c r="E33" s="37">
        <f>D4</f>
        <v>640000</v>
      </c>
      <c r="F33" s="37">
        <f t="shared" ref="F33:AI33" si="11">E33-F31</f>
        <v>632140.725</v>
      </c>
      <c r="G33" s="37">
        <f t="shared" si="11"/>
        <v>623796.7072</v>
      </c>
      <c r="H33" s="37">
        <f t="shared" si="11"/>
        <v>614938.0486</v>
      </c>
      <c r="I33" s="37">
        <f t="shared" si="11"/>
        <v>605533.0073</v>
      </c>
      <c r="J33" s="37">
        <f t="shared" si="11"/>
        <v>595547.8837</v>
      </c>
      <c r="K33" s="37">
        <f t="shared" si="11"/>
        <v>584946.8994</v>
      </c>
      <c r="L33" s="37">
        <f t="shared" si="11"/>
        <v>573692.0697</v>
      </c>
      <c r="M33" s="37">
        <f t="shared" si="11"/>
        <v>561743.0667</v>
      </c>
      <c r="N33" s="37">
        <f t="shared" si="11"/>
        <v>549057.0753</v>
      </c>
      <c r="O33" s="38">
        <f t="shared" si="11"/>
        <v>535588.6398</v>
      </c>
      <c r="P33" s="39">
        <f t="shared" si="11"/>
        <v>877332.9437</v>
      </c>
      <c r="Q33" s="39">
        <f t="shared" si="11"/>
        <v>1249941.649</v>
      </c>
      <c r="R33" s="39">
        <f t="shared" si="11"/>
        <v>1652478.42</v>
      </c>
      <c r="S33" s="39">
        <f t="shared" si="11"/>
        <v>2083949.17</v>
      </c>
      <c r="T33" s="39">
        <f t="shared" si="11"/>
        <v>2543298.5</v>
      </c>
      <c r="U33" s="39">
        <f t="shared" si="11"/>
        <v>3029405.913</v>
      </c>
      <c r="V33" s="39">
        <f t="shared" si="11"/>
        <v>3541081.806</v>
      </c>
      <c r="W33" s="39">
        <f t="shared" si="11"/>
        <v>4077063.203</v>
      </c>
      <c r="X33" s="39">
        <f t="shared" si="11"/>
        <v>4636009.228</v>
      </c>
      <c r="Y33" s="39">
        <f t="shared" si="11"/>
        <v>5216496.307</v>
      </c>
      <c r="Z33" s="39">
        <f t="shared" si="11"/>
        <v>5817013.058</v>
      </c>
      <c r="AA33" s="39">
        <f t="shared" si="11"/>
        <v>6435954.885</v>
      </c>
      <c r="AB33" s="39">
        <f t="shared" si="11"/>
        <v>7071618.22</v>
      </c>
      <c r="AC33" s="39">
        <f t="shared" si="11"/>
        <v>7722194.426</v>
      </c>
      <c r="AD33" s="39">
        <f t="shared" si="11"/>
        <v>8385763.312</v>
      </c>
      <c r="AE33" s="39">
        <f t="shared" si="11"/>
        <v>9060286.252</v>
      </c>
      <c r="AF33" s="39">
        <f t="shared" si="11"/>
        <v>9743598.885</v>
      </c>
      <c r="AG33" s="39">
        <f t="shared" si="11"/>
        <v>10433403.36</v>
      </c>
      <c r="AH33" s="39">
        <f t="shared" si="11"/>
        <v>11127260.08</v>
      </c>
      <c r="AI33" s="39">
        <f t="shared" si="11"/>
        <v>11822579.01</v>
      </c>
      <c r="AJ33" s="39"/>
      <c r="AK33" s="39"/>
      <c r="AL33" s="40"/>
    </row>
    <row r="34" ht="15.75" customHeight="1">
      <c r="B34" s="35" t="s">
        <v>34</v>
      </c>
      <c r="C34" s="36"/>
      <c r="D34" s="37"/>
      <c r="E34" s="37">
        <f t="shared" ref="E34:AI34" si="12">E32-E33</f>
        <v>160000</v>
      </c>
      <c r="F34" s="37">
        <f t="shared" si="12"/>
        <v>239859.275</v>
      </c>
      <c r="G34" s="37">
        <f t="shared" si="12"/>
        <v>326683.2928</v>
      </c>
      <c r="H34" s="37">
        <f t="shared" si="12"/>
        <v>421085.1514</v>
      </c>
      <c r="I34" s="37">
        <f t="shared" si="12"/>
        <v>523732.2807</v>
      </c>
      <c r="J34" s="37">
        <f t="shared" si="12"/>
        <v>635351.2803</v>
      </c>
      <c r="K34" s="37">
        <f t="shared" si="12"/>
        <v>756733.1892</v>
      </c>
      <c r="L34" s="37">
        <f t="shared" si="12"/>
        <v>888739.227</v>
      </c>
      <c r="M34" s="37">
        <f t="shared" si="12"/>
        <v>1032307.047</v>
      </c>
      <c r="N34" s="37">
        <f t="shared" si="12"/>
        <v>1188457.548</v>
      </c>
      <c r="O34" s="38">
        <f t="shared" si="12"/>
        <v>1358302.3</v>
      </c>
      <c r="P34" s="39">
        <f t="shared" si="12"/>
        <v>1187008.181</v>
      </c>
      <c r="Q34" s="39">
        <f t="shared" si="12"/>
        <v>1000190.176</v>
      </c>
      <c r="R34" s="39">
        <f t="shared" si="12"/>
        <v>800165.2694</v>
      </c>
      <c r="S34" s="39">
        <f t="shared" si="12"/>
        <v>589432.4513</v>
      </c>
      <c r="T34" s="39">
        <f t="shared" si="12"/>
        <v>370687.4682</v>
      </c>
      <c r="U34" s="39">
        <f t="shared" si="12"/>
        <v>146838.7919</v>
      </c>
      <c r="V34" s="39">
        <f t="shared" si="12"/>
        <v>-78975.07794</v>
      </c>
      <c r="W34" s="39">
        <f t="shared" si="12"/>
        <v>-303366.8689</v>
      </c>
      <c r="X34" s="39">
        <f t="shared" si="12"/>
        <v>-522680.2245</v>
      </c>
      <c r="Y34" s="39">
        <f t="shared" si="12"/>
        <v>-732967.6924</v>
      </c>
      <c r="Z34" s="39">
        <f t="shared" si="12"/>
        <v>-929966.8686</v>
      </c>
      <c r="AA34" s="39">
        <f t="shared" si="12"/>
        <v>-1109074.538</v>
      </c>
      <c r="AB34" s="39">
        <f t="shared" si="12"/>
        <v>-1265318.642</v>
      </c>
      <c r="AC34" s="39">
        <f t="shared" si="12"/>
        <v>-1393327.887</v>
      </c>
      <c r="AD34" s="39">
        <f t="shared" si="12"/>
        <v>-1487298.784</v>
      </c>
      <c r="AE34" s="39">
        <f t="shared" si="12"/>
        <v>-1540959.916</v>
      </c>
      <c r="AF34" s="39">
        <f t="shared" si="12"/>
        <v>-1547533.179</v>
      </c>
      <c r="AG34" s="39">
        <f t="shared" si="12"/>
        <v>-1499691.736</v>
      </c>
      <c r="AH34" s="39">
        <f t="shared" si="12"/>
        <v>-1389514.415</v>
      </c>
      <c r="AI34" s="39">
        <f t="shared" si="12"/>
        <v>-1208436.234</v>
      </c>
      <c r="AJ34" s="39"/>
      <c r="AK34" s="39"/>
      <c r="AL34" s="40"/>
    </row>
    <row r="35" ht="15.75" customHeight="1">
      <c r="B35" s="35"/>
      <c r="C35" s="36"/>
      <c r="D35" s="37"/>
      <c r="E35" s="37"/>
      <c r="F35" s="37"/>
      <c r="G35" s="37"/>
      <c r="H35" s="37"/>
      <c r="I35" s="37"/>
      <c r="J35" s="37"/>
      <c r="K35" s="37"/>
      <c r="L35" s="37"/>
      <c r="M35" s="37"/>
      <c r="N35" s="37"/>
      <c r="O35" s="38"/>
      <c r="P35" s="39"/>
      <c r="Q35" s="39"/>
      <c r="R35" s="39"/>
      <c r="S35" s="39"/>
      <c r="T35" s="39"/>
      <c r="U35" s="39"/>
      <c r="V35" s="39"/>
      <c r="W35" s="39"/>
      <c r="X35" s="39"/>
      <c r="Y35" s="39"/>
      <c r="Z35" s="39"/>
      <c r="AA35" s="39"/>
      <c r="AB35" s="39"/>
      <c r="AC35" s="39"/>
      <c r="AD35" s="39"/>
      <c r="AE35" s="39"/>
      <c r="AF35" s="39"/>
      <c r="AG35" s="39"/>
      <c r="AH35" s="39"/>
      <c r="AI35" s="39"/>
      <c r="AJ35" s="39"/>
      <c r="AK35" s="39"/>
      <c r="AL35" s="40"/>
    </row>
    <row r="36" ht="15.75" customHeight="1">
      <c r="B36" s="50" t="s">
        <v>35</v>
      </c>
      <c r="C36" s="51"/>
      <c r="D36" s="52"/>
      <c r="E36" s="52"/>
      <c r="F36" s="52"/>
      <c r="G36" s="52"/>
      <c r="H36" s="52"/>
      <c r="I36" s="52"/>
      <c r="J36" s="53">
        <f t="shared" ref="J36:AI36" si="13">J34-(J32*$D$10)</f>
        <v>524570.3555</v>
      </c>
      <c r="K36" s="53">
        <f t="shared" si="13"/>
        <v>635981.9813</v>
      </c>
      <c r="L36" s="53">
        <f t="shared" si="13"/>
        <v>757120.4103</v>
      </c>
      <c r="M36" s="53">
        <f t="shared" si="13"/>
        <v>888842.5365</v>
      </c>
      <c r="N36" s="53">
        <f t="shared" si="13"/>
        <v>1032081.232</v>
      </c>
      <c r="O36" s="54">
        <f t="shared" si="13"/>
        <v>1187852.115</v>
      </c>
      <c r="P36" s="55">
        <f t="shared" si="13"/>
        <v>1001217.479</v>
      </c>
      <c r="Q36" s="55">
        <f t="shared" si="13"/>
        <v>797678.3121</v>
      </c>
      <c r="R36" s="55">
        <f t="shared" si="13"/>
        <v>579427.3373</v>
      </c>
      <c r="S36" s="55">
        <f t="shared" si="13"/>
        <v>348828.1054</v>
      </c>
      <c r="T36" s="55">
        <f t="shared" si="13"/>
        <v>108428.7311</v>
      </c>
      <c r="U36" s="55">
        <f t="shared" si="13"/>
        <v>-139023.2316</v>
      </c>
      <c r="V36" s="55">
        <f t="shared" si="13"/>
        <v>-390564.6835</v>
      </c>
      <c r="W36" s="55">
        <f t="shared" si="13"/>
        <v>-642999.539</v>
      </c>
      <c r="X36" s="55">
        <f t="shared" si="13"/>
        <v>-892879.8348</v>
      </c>
      <c r="Y36" s="55">
        <f t="shared" si="13"/>
        <v>-1136485.268</v>
      </c>
      <c r="Z36" s="55">
        <f t="shared" si="13"/>
        <v>-1369801.026</v>
      </c>
      <c r="AA36" s="55">
        <f t="shared" si="13"/>
        <v>-1588493.769</v>
      </c>
      <c r="AB36" s="55">
        <f t="shared" si="13"/>
        <v>-1787885.604</v>
      </c>
      <c r="AC36" s="55">
        <f t="shared" si="13"/>
        <v>-1962925.875</v>
      </c>
      <c r="AD36" s="55">
        <f t="shared" si="13"/>
        <v>-2108160.591</v>
      </c>
      <c r="AE36" s="55">
        <f t="shared" si="13"/>
        <v>-2217699.287</v>
      </c>
      <c r="AF36" s="55">
        <f t="shared" si="13"/>
        <v>-2285179.093</v>
      </c>
      <c r="AG36" s="55">
        <f t="shared" si="13"/>
        <v>-2303725.781</v>
      </c>
      <c r="AH36" s="55">
        <f t="shared" si="13"/>
        <v>-2265911.525</v>
      </c>
      <c r="AI36" s="55">
        <f t="shared" si="13"/>
        <v>-2163709.084</v>
      </c>
      <c r="AJ36" s="55"/>
      <c r="AK36" s="55"/>
      <c r="AL36" s="56"/>
    </row>
    <row r="37" ht="15.75" customHeight="1">
      <c r="B37" s="3"/>
      <c r="C37" s="3"/>
      <c r="D37" s="27"/>
      <c r="E37" s="27"/>
      <c r="F37" s="27"/>
      <c r="G37" s="27"/>
      <c r="H37" s="27"/>
      <c r="I37" s="27"/>
      <c r="J37" s="27"/>
      <c r="AL37" s="57"/>
    </row>
    <row r="38" ht="15.75" customHeight="1">
      <c r="B38" s="58" t="s">
        <v>36</v>
      </c>
      <c r="C38" s="59"/>
      <c r="D38" s="60"/>
      <c r="E38" s="60"/>
      <c r="F38" s="60"/>
      <c r="G38" s="60"/>
      <c r="H38" s="60"/>
      <c r="I38" s="60"/>
      <c r="J38" s="60"/>
      <c r="K38" s="60"/>
      <c r="L38" s="60"/>
      <c r="M38" s="60"/>
      <c r="N38" s="60"/>
      <c r="O38" s="61"/>
      <c r="P38" s="62"/>
      <c r="Q38" s="62"/>
      <c r="R38" s="62"/>
      <c r="S38" s="62"/>
      <c r="T38" s="62"/>
      <c r="U38" s="62"/>
      <c r="V38" s="62"/>
      <c r="W38" s="62"/>
      <c r="X38" s="62"/>
      <c r="Y38" s="62"/>
      <c r="Z38" s="62"/>
      <c r="AA38" s="62"/>
      <c r="AB38" s="62"/>
      <c r="AC38" s="62"/>
      <c r="AD38" s="62"/>
      <c r="AE38" s="62"/>
      <c r="AF38" s="62"/>
      <c r="AG38" s="62"/>
      <c r="AH38" s="62"/>
      <c r="AI38" s="62"/>
      <c r="AJ38" s="62"/>
      <c r="AK38" s="62"/>
      <c r="AL38" s="63"/>
    </row>
    <row r="39" ht="15.75" customHeight="1">
      <c r="B39" s="64" t="s">
        <v>37</v>
      </c>
      <c r="C39" s="65"/>
      <c r="D39" s="66"/>
      <c r="E39" s="66">
        <f>I5*2</f>
        <v>3400</v>
      </c>
      <c r="F39" s="66">
        <f>$I$5*12</f>
        <v>20400</v>
      </c>
      <c r="G39" s="66">
        <f t="shared" ref="G39:AI39" si="14">F39*(1+$I$8)</f>
        <v>21012</v>
      </c>
      <c r="H39" s="66">
        <f t="shared" si="14"/>
        <v>21642.36</v>
      </c>
      <c r="I39" s="66">
        <f t="shared" si="14"/>
        <v>22291.6308</v>
      </c>
      <c r="J39" s="66">
        <f t="shared" si="14"/>
        <v>22960.37972</v>
      </c>
      <c r="K39" s="66">
        <f t="shared" si="14"/>
        <v>23649.19112</v>
      </c>
      <c r="L39" s="66">
        <f t="shared" si="14"/>
        <v>24358.66685</v>
      </c>
      <c r="M39" s="66">
        <f t="shared" si="14"/>
        <v>25089.42685</v>
      </c>
      <c r="N39" s="66">
        <f t="shared" si="14"/>
        <v>25842.10966</v>
      </c>
      <c r="O39" s="67">
        <f t="shared" si="14"/>
        <v>26617.37295</v>
      </c>
      <c r="P39" s="62">
        <f t="shared" si="14"/>
        <v>27415.89414</v>
      </c>
      <c r="Q39" s="62">
        <f t="shared" si="14"/>
        <v>28238.37096</v>
      </c>
      <c r="R39" s="62">
        <f t="shared" si="14"/>
        <v>29085.52209</v>
      </c>
      <c r="S39" s="62">
        <f t="shared" si="14"/>
        <v>29958.08775</v>
      </c>
      <c r="T39" s="62">
        <f t="shared" si="14"/>
        <v>30856.83039</v>
      </c>
      <c r="U39" s="62">
        <f t="shared" si="14"/>
        <v>31782.5353</v>
      </c>
      <c r="V39" s="62">
        <f t="shared" si="14"/>
        <v>32736.01136</v>
      </c>
      <c r="W39" s="62">
        <f t="shared" si="14"/>
        <v>33718.0917</v>
      </c>
      <c r="X39" s="62">
        <f t="shared" si="14"/>
        <v>34729.63445</v>
      </c>
      <c r="Y39" s="62">
        <f t="shared" si="14"/>
        <v>35771.52348</v>
      </c>
      <c r="Z39" s="62">
        <f t="shared" si="14"/>
        <v>36844.66919</v>
      </c>
      <c r="AA39" s="62">
        <f t="shared" si="14"/>
        <v>37950.00926</v>
      </c>
      <c r="AB39" s="62">
        <f t="shared" si="14"/>
        <v>39088.50954</v>
      </c>
      <c r="AC39" s="62">
        <f t="shared" si="14"/>
        <v>40261.16483</v>
      </c>
      <c r="AD39" s="62">
        <f t="shared" si="14"/>
        <v>41468.99977</v>
      </c>
      <c r="AE39" s="62">
        <f t="shared" si="14"/>
        <v>42713.06976</v>
      </c>
      <c r="AF39" s="62">
        <f t="shared" si="14"/>
        <v>43994.46186</v>
      </c>
      <c r="AG39" s="62">
        <f t="shared" si="14"/>
        <v>45314.29571</v>
      </c>
      <c r="AH39" s="62">
        <f t="shared" si="14"/>
        <v>46673.72459</v>
      </c>
      <c r="AI39" s="62">
        <f t="shared" si="14"/>
        <v>48073.93632</v>
      </c>
      <c r="AJ39" s="62"/>
      <c r="AK39" s="62"/>
      <c r="AL39" s="63"/>
    </row>
    <row r="40" ht="15.75" customHeight="1">
      <c r="B40" s="64"/>
      <c r="C40" s="65"/>
      <c r="D40" s="66"/>
      <c r="E40" s="66"/>
      <c r="F40" s="66"/>
      <c r="G40" s="66"/>
      <c r="H40" s="66"/>
      <c r="I40" s="66"/>
      <c r="J40" s="66"/>
      <c r="K40" s="66"/>
      <c r="L40" s="66"/>
      <c r="M40" s="66"/>
      <c r="N40" s="66"/>
      <c r="O40" s="67"/>
      <c r="P40" s="62"/>
      <c r="Q40" s="62"/>
      <c r="R40" s="62"/>
      <c r="S40" s="62"/>
      <c r="T40" s="62"/>
      <c r="U40" s="62"/>
      <c r="V40" s="62"/>
      <c r="W40" s="62"/>
      <c r="X40" s="62"/>
      <c r="Y40" s="62"/>
      <c r="Z40" s="62"/>
      <c r="AA40" s="62"/>
      <c r="AB40" s="62"/>
      <c r="AC40" s="62"/>
      <c r="AD40" s="62"/>
      <c r="AE40" s="62"/>
      <c r="AF40" s="62"/>
      <c r="AG40" s="62"/>
      <c r="AH40" s="62"/>
      <c r="AI40" s="62"/>
      <c r="AJ40" s="62"/>
      <c r="AK40" s="62"/>
      <c r="AL40" s="63"/>
    </row>
    <row r="41" ht="15.75" customHeight="1">
      <c r="B41" s="64" t="s">
        <v>38</v>
      </c>
      <c r="C41" s="65"/>
      <c r="D41" s="66"/>
      <c r="E41" s="66">
        <v>0.0</v>
      </c>
      <c r="F41" s="66">
        <f t="shared" ref="F41:AI41" si="15">F27-F39</f>
        <v>40040.51515</v>
      </c>
      <c r="G41" s="66">
        <f t="shared" si="15"/>
        <v>40625.23858</v>
      </c>
      <c r="H41" s="66">
        <f t="shared" si="15"/>
        <v>41274.68675</v>
      </c>
      <c r="I41" s="66">
        <f t="shared" si="15"/>
        <v>41994.95219</v>
      </c>
      <c r="J41" s="66">
        <f t="shared" si="15"/>
        <v>42792.67788</v>
      </c>
      <c r="K41" s="66">
        <f t="shared" si="15"/>
        <v>43675.10649</v>
      </c>
      <c r="L41" s="66">
        <f t="shared" si="15"/>
        <v>44650.13401</v>
      </c>
      <c r="M41" s="66">
        <f t="shared" si="15"/>
        <v>45726.3682</v>
      </c>
      <c r="N41" s="66">
        <f t="shared" si="15"/>
        <v>46913.19223</v>
      </c>
      <c r="O41" s="67">
        <f t="shared" si="15"/>
        <v>48220.83402</v>
      </c>
      <c r="P41" s="62">
        <f t="shared" si="15"/>
        <v>-28669.11566</v>
      </c>
      <c r="Q41" s="62">
        <f t="shared" si="15"/>
        <v>-34069.58605</v>
      </c>
      <c r="R41" s="62">
        <f t="shared" si="15"/>
        <v>-39118.66975</v>
      </c>
      <c r="S41" s="62">
        <f t="shared" si="15"/>
        <v>-43789.96656</v>
      </c>
      <c r="T41" s="62">
        <f t="shared" si="15"/>
        <v>-48055.04179</v>
      </c>
      <c r="U41" s="62">
        <f t="shared" si="15"/>
        <v>-51883.26487</v>
      </c>
      <c r="V41" s="62">
        <f t="shared" si="15"/>
        <v>-55241.63464</v>
      </c>
      <c r="W41" s="62">
        <f t="shared" si="15"/>
        <v>-58094.59046</v>
      </c>
      <c r="X41" s="62">
        <f t="shared" si="15"/>
        <v>-60403.80786</v>
      </c>
      <c r="Y41" s="62">
        <f t="shared" si="15"/>
        <v>-62127.97731</v>
      </c>
      <c r="Z41" s="62">
        <f t="shared" si="15"/>
        <v>-63222.56488</v>
      </c>
      <c r="AA41" s="62">
        <f t="shared" si="15"/>
        <v>-63639.55323</v>
      </c>
      <c r="AB41" s="62">
        <f t="shared" si="15"/>
        <v>-63327.16108</v>
      </c>
      <c r="AC41" s="62">
        <f t="shared" si="15"/>
        <v>-62229.53967</v>
      </c>
      <c r="AD41" s="62">
        <f t="shared" si="15"/>
        <v>-60286.44393</v>
      </c>
      <c r="AE41" s="62">
        <f t="shared" si="15"/>
        <v>-57432.87652</v>
      </c>
      <c r="AF41" s="62">
        <f t="shared" si="15"/>
        <v>-53598.70219</v>
      </c>
      <c r="AG41" s="62">
        <f t="shared" si="15"/>
        <v>-48708.23013</v>
      </c>
      <c r="AH41" s="62">
        <f t="shared" si="15"/>
        <v>-42679.76148</v>
      </c>
      <c r="AI41" s="62">
        <f t="shared" si="15"/>
        <v>-35425.09906</v>
      </c>
      <c r="AJ41" s="62"/>
      <c r="AK41" s="62"/>
      <c r="AL41" s="63"/>
    </row>
    <row r="42" ht="15.75" customHeight="1">
      <c r="B42" s="64"/>
      <c r="C42" s="65"/>
      <c r="D42" s="66"/>
      <c r="E42" s="66"/>
      <c r="F42" s="66"/>
      <c r="G42" s="66"/>
      <c r="H42" s="66"/>
      <c r="I42" s="66"/>
      <c r="J42" s="66"/>
      <c r="K42" s="66"/>
      <c r="L42" s="66"/>
      <c r="M42" s="66"/>
      <c r="N42" s="66"/>
      <c r="O42" s="67"/>
      <c r="P42" s="62"/>
      <c r="Q42" s="62"/>
      <c r="R42" s="62"/>
      <c r="S42" s="62"/>
      <c r="T42" s="62"/>
      <c r="U42" s="62"/>
      <c r="V42" s="62"/>
      <c r="W42" s="62"/>
      <c r="X42" s="62"/>
      <c r="Y42" s="62"/>
      <c r="Z42" s="62"/>
      <c r="AA42" s="62"/>
      <c r="AB42" s="62"/>
      <c r="AC42" s="62"/>
      <c r="AD42" s="62"/>
      <c r="AE42" s="62"/>
      <c r="AF42" s="62"/>
      <c r="AG42" s="62"/>
      <c r="AH42" s="62"/>
      <c r="AI42" s="62"/>
      <c r="AJ42" s="62"/>
      <c r="AK42" s="62"/>
      <c r="AL42" s="63"/>
    </row>
    <row r="43" ht="15.75" customHeight="1">
      <c r="B43" s="68" t="s">
        <v>39</v>
      </c>
      <c r="C43" s="69"/>
      <c r="D43" s="70"/>
      <c r="E43" s="70">
        <f>E17-E39</f>
        <v>180600</v>
      </c>
      <c r="F43" s="70">
        <f t="shared" ref="F43:AI43" si="16">E43*(1+$I$9)+F41</f>
        <v>233282.5151</v>
      </c>
      <c r="G43" s="70">
        <f t="shared" si="16"/>
        <v>290237.5298</v>
      </c>
      <c r="H43" s="70">
        <f t="shared" si="16"/>
        <v>351828.8436</v>
      </c>
      <c r="I43" s="70">
        <f t="shared" si="16"/>
        <v>418451.8149</v>
      </c>
      <c r="J43" s="53">
        <f t="shared" si="16"/>
        <v>490536.1198</v>
      </c>
      <c r="K43" s="53">
        <f t="shared" si="16"/>
        <v>568548.7547</v>
      </c>
      <c r="L43" s="53">
        <f t="shared" si="16"/>
        <v>652997.3015</v>
      </c>
      <c r="M43" s="53">
        <f t="shared" si="16"/>
        <v>744433.4808</v>
      </c>
      <c r="N43" s="53">
        <f t="shared" si="16"/>
        <v>843457.0167</v>
      </c>
      <c r="O43" s="54">
        <f t="shared" si="16"/>
        <v>950719.8419</v>
      </c>
      <c r="P43" s="71">
        <f t="shared" si="16"/>
        <v>988601.1152</v>
      </c>
      <c r="Q43" s="71">
        <f t="shared" si="16"/>
        <v>1023733.607</v>
      </c>
      <c r="R43" s="71">
        <f t="shared" si="16"/>
        <v>1056276.29</v>
      </c>
      <c r="S43" s="71">
        <f t="shared" si="16"/>
        <v>1086425.664</v>
      </c>
      <c r="T43" s="71">
        <f t="shared" si="16"/>
        <v>1114420.418</v>
      </c>
      <c r="U43" s="71">
        <f t="shared" si="16"/>
        <v>1140546.583</v>
      </c>
      <c r="V43" s="71">
        <f t="shared" si="16"/>
        <v>1165143.209</v>
      </c>
      <c r="W43" s="71">
        <f t="shared" si="16"/>
        <v>1188608.643</v>
      </c>
      <c r="X43" s="71">
        <f t="shared" si="16"/>
        <v>1211407.44</v>
      </c>
      <c r="Y43" s="71">
        <f t="shared" si="16"/>
        <v>1234077.984</v>
      </c>
      <c r="Z43" s="71">
        <f t="shared" si="16"/>
        <v>1257240.878</v>
      </c>
      <c r="AA43" s="71">
        <f t="shared" si="16"/>
        <v>1281608.186</v>
      </c>
      <c r="AB43" s="71">
        <f t="shared" si="16"/>
        <v>1307993.598</v>
      </c>
      <c r="AC43" s="71">
        <f t="shared" si="16"/>
        <v>1337323.61</v>
      </c>
      <c r="AD43" s="71">
        <f t="shared" si="16"/>
        <v>1370649.819</v>
      </c>
      <c r="AE43" s="71">
        <f t="shared" si="16"/>
        <v>1409162.43</v>
      </c>
      <c r="AF43" s="71">
        <f t="shared" si="16"/>
        <v>1454205.097</v>
      </c>
      <c r="AG43" s="71">
        <f t="shared" si="16"/>
        <v>1507291.224</v>
      </c>
      <c r="AH43" s="71">
        <f t="shared" si="16"/>
        <v>1570121.848</v>
      </c>
      <c r="AI43" s="71">
        <f t="shared" si="16"/>
        <v>1644605.279</v>
      </c>
      <c r="AJ43" s="71"/>
      <c r="AK43" s="71"/>
      <c r="AL43" s="72"/>
    </row>
    <row r="44" ht="15.75" customHeight="1">
      <c r="F44" s="27"/>
      <c r="G44" s="27"/>
      <c r="H44" s="27"/>
      <c r="I44" s="27"/>
    </row>
    <row r="45" ht="15.75" customHeight="1">
      <c r="J45" s="73"/>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G4:H4"/>
    <mergeCell ref="G5:H5"/>
    <mergeCell ref="B1:C1"/>
    <mergeCell ref="B2:C2"/>
    <mergeCell ref="G2:H2"/>
    <mergeCell ref="B3:C3"/>
    <mergeCell ref="G3:H3"/>
    <mergeCell ref="B4:C4"/>
    <mergeCell ref="B5:C5"/>
    <mergeCell ref="B9:C9"/>
    <mergeCell ref="B10:C10"/>
    <mergeCell ref="B6:C6"/>
    <mergeCell ref="G6:H6"/>
    <mergeCell ref="B7:C7"/>
    <mergeCell ref="G7:H7"/>
    <mergeCell ref="B8:C8"/>
    <mergeCell ref="G8:H8"/>
    <mergeCell ref="G9:H9"/>
    <mergeCell ref="G10:H1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4.75"/>
    <col customWidth="1" min="2" max="2" width="12.5"/>
    <col customWidth="1" min="3" max="3" width="12.38"/>
    <col customWidth="1" min="4" max="4" width="12.0"/>
    <col customWidth="1" min="5" max="5" width="15.13"/>
    <col customWidth="1" min="6" max="6" width="4.63"/>
    <col customWidth="1" min="7" max="7" width="20.25"/>
    <col customWidth="1" min="8" max="8" width="15.13"/>
    <col customWidth="1" min="9" max="9" width="12.88"/>
    <col customWidth="1" min="10" max="10" width="13.38"/>
    <col customWidth="1" min="11" max="15" width="15.13"/>
    <col customWidth="1" min="16" max="16" width="15.88"/>
    <col customWidth="1" min="17" max="17" width="12.25"/>
    <col customWidth="1" min="18" max="18" width="16.38"/>
    <col customWidth="1" min="19" max="19" width="15.13"/>
  </cols>
  <sheetData>
    <row r="1" ht="18.0" customHeight="1">
      <c r="B1" s="156" t="s">
        <v>100</v>
      </c>
      <c r="G1" s="157" t="s">
        <v>101</v>
      </c>
      <c r="Q1" s="158" t="s">
        <v>102</v>
      </c>
    </row>
    <row r="2">
      <c r="A2" s="159" t="s">
        <v>103</v>
      </c>
      <c r="B2" s="160"/>
      <c r="C2" s="160"/>
      <c r="D2" s="160"/>
      <c r="E2" s="160"/>
      <c r="G2" s="161"/>
      <c r="H2" s="161"/>
      <c r="I2" s="161"/>
      <c r="J2" s="161"/>
      <c r="K2" s="161"/>
      <c r="L2" s="161"/>
      <c r="M2" s="161"/>
      <c r="N2" s="161"/>
      <c r="O2" s="161"/>
      <c r="Q2" s="162"/>
      <c r="R2" s="162"/>
    </row>
    <row r="3">
      <c r="B3" s="160"/>
      <c r="C3" s="163"/>
      <c r="D3" s="163"/>
      <c r="E3" s="160"/>
      <c r="G3" s="164"/>
      <c r="H3" s="164"/>
      <c r="I3" s="161"/>
      <c r="J3" s="161"/>
      <c r="K3" s="161"/>
      <c r="L3" s="164"/>
      <c r="M3" s="164"/>
      <c r="N3" s="164"/>
      <c r="O3" s="164"/>
      <c r="Q3" s="162"/>
      <c r="R3" s="162"/>
    </row>
    <row r="4">
      <c r="B4" s="165"/>
      <c r="C4" s="166" t="s">
        <v>104</v>
      </c>
      <c r="D4" s="167"/>
      <c r="E4" s="168"/>
      <c r="F4" s="169"/>
      <c r="G4" s="170" t="s">
        <v>105</v>
      </c>
      <c r="H4" s="167"/>
      <c r="I4" s="171"/>
      <c r="J4" s="164"/>
      <c r="K4" s="330"/>
      <c r="L4" s="173" t="s">
        <v>107</v>
      </c>
      <c r="M4" s="174"/>
      <c r="N4" s="174"/>
      <c r="O4" s="167"/>
      <c r="P4" s="175"/>
      <c r="Q4" s="176"/>
      <c r="R4" s="176"/>
    </row>
    <row r="5" ht="25.5" customHeight="1">
      <c r="A5" s="177" t="str">
        <f>HYPERLINK("http://www.holypotato.net/?p=1073","Or, download to excel with File -&gt; Download as (or directly from the about page -- click here)")</f>
        <v>Or, download to excel with File -&gt; Download as (or directly from the about page -- click here)</v>
      </c>
      <c r="B5" s="165"/>
      <c r="C5" s="178" t="s">
        <v>108</v>
      </c>
      <c r="D5" s="179">
        <v>2100.0</v>
      </c>
      <c r="E5" s="168"/>
      <c r="F5" s="169"/>
      <c r="G5" s="180" t="s">
        <v>109</v>
      </c>
      <c r="H5" s="181">
        <v>510000.0</v>
      </c>
      <c r="I5" s="182"/>
      <c r="J5" s="183"/>
      <c r="K5" s="184" t="s">
        <v>110</v>
      </c>
      <c r="L5" s="185" t="s">
        <v>111</v>
      </c>
      <c r="M5" s="186" t="s">
        <v>112</v>
      </c>
      <c r="N5" s="186" t="s">
        <v>113</v>
      </c>
      <c r="O5" s="187" t="s">
        <v>114</v>
      </c>
      <c r="P5" s="188"/>
      <c r="Q5" s="189" t="s">
        <v>115</v>
      </c>
      <c r="R5" s="190" t="s">
        <v>116</v>
      </c>
      <c r="S5" s="175"/>
    </row>
    <row r="6" ht="25.5" customHeight="1">
      <c r="A6" s="191" t="s">
        <v>117</v>
      </c>
      <c r="B6" s="160"/>
      <c r="C6" s="192"/>
      <c r="D6" s="192"/>
      <c r="E6" s="160"/>
      <c r="F6" s="169"/>
      <c r="G6" s="193" t="s">
        <v>118</v>
      </c>
      <c r="H6" s="194">
        <v>0.1</v>
      </c>
      <c r="I6" s="182"/>
      <c r="J6" s="196" t="s">
        <v>119</v>
      </c>
      <c r="K6" s="197">
        <v>0.0349</v>
      </c>
      <c r="L6" s="198">
        <v>0.011</v>
      </c>
      <c r="M6" s="199">
        <v>0.008631935172362</v>
      </c>
      <c r="N6" s="199">
        <v>0.00226</v>
      </c>
      <c r="O6" s="200">
        <v>0.02</v>
      </c>
      <c r="P6" s="188"/>
      <c r="Q6" s="201" t="s">
        <v>120</v>
      </c>
      <c r="R6" s="202" t="str">
        <f>IF((R22&gt;0),concatenate("Renting by $",round(R22,0)),concatenate("Buying by $",-round(R22,0)))</f>
        <v>Renting by $229229</v>
      </c>
      <c r="S6" s="175"/>
    </row>
    <row r="7">
      <c r="B7" s="160"/>
      <c r="C7" s="160"/>
      <c r="D7" s="160"/>
      <c r="E7" s="160"/>
      <c r="F7" s="169"/>
      <c r="G7" s="193" t="s">
        <v>265</v>
      </c>
      <c r="H7" s="239">
        <v>25.0</v>
      </c>
      <c r="I7" s="182"/>
      <c r="J7" s="205" t="s">
        <v>122</v>
      </c>
      <c r="K7" s="206">
        <v>0.045</v>
      </c>
      <c r="L7" s="207">
        <v>0.011</v>
      </c>
      <c r="M7" s="208">
        <v>0.009512047442854</v>
      </c>
      <c r="N7" s="208">
        <v>0.0024</v>
      </c>
      <c r="O7" s="194">
        <v>0.02</v>
      </c>
      <c r="P7" s="188"/>
      <c r="Q7" s="209" t="s">
        <v>123</v>
      </c>
      <c r="R7" s="210" t="str">
        <f>IF((R26&gt;0),concatenate("Renting by $",round(R26,0)),concatenate("Buying by $",-round(R26,0)))</f>
        <v>Renting by $248212</v>
      </c>
      <c r="S7" s="175"/>
    </row>
    <row r="8">
      <c r="A8" s="191" t="s">
        <v>124</v>
      </c>
      <c r="B8" s="163"/>
      <c r="C8" s="163"/>
      <c r="D8" s="163"/>
      <c r="E8" s="163"/>
      <c r="F8" s="169"/>
      <c r="G8" s="193" t="s">
        <v>266</v>
      </c>
      <c r="H8" s="212">
        <f>IF((H5&gt;400000),(4475+((H5-400000)*0.02)),IF((H5&gt;250000),(2225+((H5-250000)*0.015)),IF((H5&gt;55000),(275+((H5-55000)*0.01)),(H5*0.005))))</f>
        <v>6675</v>
      </c>
      <c r="I8" s="182"/>
      <c r="J8" s="213" t="str">
        <f>("Final "&amp;(H7-10))&amp;" Years"</f>
        <v>Final 15 Years</v>
      </c>
      <c r="K8" s="214">
        <v>0.055</v>
      </c>
      <c r="L8" s="215">
        <v>0.011</v>
      </c>
      <c r="M8" s="216">
        <v>0.012196743208596</v>
      </c>
      <c r="N8" s="216">
        <v>0.0025</v>
      </c>
      <c r="O8" s="217">
        <v>0.02</v>
      </c>
      <c r="P8" s="188"/>
      <c r="Q8" s="209" t="s">
        <v>126</v>
      </c>
      <c r="R8" s="210" t="str">
        <f>IF((R31&gt;0),concatenate("Renting by $",round(R31,0)),concatenate("Buying by $",-round(R31,0)))</f>
        <v>Renting by $329322</v>
      </c>
      <c r="S8" s="175"/>
    </row>
    <row r="9" ht="25.5" customHeight="1">
      <c r="A9" s="218" t="s">
        <v>127</v>
      </c>
      <c r="B9" s="219"/>
      <c r="C9" s="221" t="s">
        <v>267</v>
      </c>
      <c r="D9" s="221" t="s">
        <v>129</v>
      </c>
      <c r="E9" s="222" t="s">
        <v>130</v>
      </c>
      <c r="F9" s="188"/>
      <c r="G9" s="193" t="s">
        <v>268</v>
      </c>
      <c r="H9" s="212">
        <f>IF((H18="YES"),IF((H5&gt;400000),(3725+((H5-400000)*0.02)),IF((H5&gt;55000),(275+((H5-55000)*0.01)),(H5*0.005))),0)</f>
        <v>5925</v>
      </c>
      <c r="I9" s="171"/>
      <c r="J9" s="224"/>
      <c r="K9" s="224"/>
      <c r="L9" s="225"/>
      <c r="M9" s="224"/>
      <c r="N9" s="224"/>
      <c r="O9" s="225"/>
      <c r="P9" s="169"/>
      <c r="Q9" s="209" t="s">
        <v>131</v>
      </c>
      <c r="R9" s="210" t="str">
        <f>IF((R41&gt;0),concatenate("Renting by $",round(R41,0)),concatenate("Buying by $",-round(R41,0)))</f>
        <v>Renting by $733691</v>
      </c>
      <c r="S9" s="175"/>
    </row>
    <row r="10" ht="25.5" customHeight="1">
      <c r="A10" s="226" t="s">
        <v>132</v>
      </c>
      <c r="B10" s="227" t="s">
        <v>119</v>
      </c>
      <c r="C10" s="228">
        <v>0.02</v>
      </c>
      <c r="D10" s="228">
        <v>0.07</v>
      </c>
      <c r="E10" s="229">
        <v>0.01</v>
      </c>
      <c r="F10" s="188"/>
      <c r="G10" s="193" t="s">
        <v>269</v>
      </c>
      <c r="H10" s="239">
        <v>250.0</v>
      </c>
      <c r="I10" s="182"/>
      <c r="J10" s="230"/>
      <c r="K10" s="187" t="s">
        <v>133</v>
      </c>
      <c r="L10" s="182"/>
      <c r="M10" s="173" t="s">
        <v>270</v>
      </c>
      <c r="N10" s="167"/>
      <c r="O10" s="171"/>
      <c r="P10" s="169"/>
      <c r="Q10" s="231" t="s">
        <v>134</v>
      </c>
      <c r="R10" s="232" t="str">
        <f>IF((R51&gt;0),concatenate("Renting by $",round(R51,0)),concatenate("Buying by $",-round(R51,0)))</f>
        <v>Renting by $1391583</v>
      </c>
      <c r="S10" s="175"/>
    </row>
    <row r="11" ht="25.5" customHeight="1">
      <c r="A11" s="238" t="s">
        <v>136</v>
      </c>
      <c r="B11" s="233" t="s">
        <v>122</v>
      </c>
      <c r="C11" s="234">
        <v>0.02</v>
      </c>
      <c r="D11" s="234">
        <v>0.07</v>
      </c>
      <c r="E11" s="235">
        <v>0.01</v>
      </c>
      <c r="F11" s="188"/>
      <c r="G11" s="193" t="s">
        <v>271</v>
      </c>
      <c r="H11" s="239">
        <v>1500.0</v>
      </c>
      <c r="I11" s="182"/>
      <c r="J11" s="180" t="s">
        <v>119</v>
      </c>
      <c r="K11" s="237">
        <f>'Monthly  Mortgage Calculation'!I13</f>
        <v>2861.358239</v>
      </c>
      <c r="L11" s="182"/>
      <c r="M11" s="180" t="s">
        <v>272</v>
      </c>
      <c r="N11" s="240"/>
      <c r="O11" s="171"/>
      <c r="Q11" s="241"/>
      <c r="R11" s="241"/>
    </row>
    <row r="12">
      <c r="A12" s="169"/>
      <c r="B12" s="242" t="str">
        <f>("Final "&amp;(H7-10))&amp;" Years"</f>
        <v>Final 15 Years</v>
      </c>
      <c r="C12" s="243">
        <v>0.02</v>
      </c>
      <c r="D12" s="243">
        <v>0.07</v>
      </c>
      <c r="E12" s="244">
        <v>0.01</v>
      </c>
      <c r="F12" s="188"/>
      <c r="G12" s="193" t="s">
        <v>273</v>
      </c>
      <c r="H12" s="239">
        <v>400.0</v>
      </c>
      <c r="I12" s="182"/>
      <c r="J12" s="193" t="s">
        <v>122</v>
      </c>
      <c r="K12" s="245">
        <f>'Monthly  Mortgage Calculation'!I14</f>
        <v>3175.3538</v>
      </c>
      <c r="L12" s="182"/>
      <c r="M12" s="193" t="s">
        <v>274</v>
      </c>
      <c r="N12" s="57"/>
      <c r="O12" s="171"/>
      <c r="Q12" s="162"/>
      <c r="R12" s="162"/>
    </row>
    <row r="13">
      <c r="A13" s="246" t="s">
        <v>137</v>
      </c>
      <c r="B13" s="192"/>
      <c r="C13" s="247"/>
      <c r="D13" s="247"/>
      <c r="E13" s="192"/>
      <c r="F13" s="169"/>
      <c r="G13" s="193" t="s">
        <v>275</v>
      </c>
      <c r="H13" s="248">
        <f>IF((H7&gt;25),(IF((H6&gt;=(20/100)),0,IF((H6&gt;=(15/100)),(1.95/100),IF((H6&gt;=(10/100)),(2.2/100),IF((H6&gt;=(5/100)),(2.95/100),(100/100)))))),IF((H6&gt;=(20/100)),0,IF((H6&gt;=(15/100)),(1.8/100),IF((H6&gt;=(10/100)),(2.4/100),IF((H6&gt;=(5/100)),(3.15/100),(100/100))))))</f>
        <v>0.024</v>
      </c>
      <c r="I13" s="182"/>
      <c r="J13" s="249" t="str">
        <f>("Final "&amp;(H7-10))&amp;" Years"</f>
        <v>Final 15 Years</v>
      </c>
      <c r="K13" s="250">
        <f>'Monthly  Mortgage Calculation'!I15</f>
        <v>3447.282211</v>
      </c>
      <c r="L13" s="182"/>
      <c r="M13" s="193" t="s">
        <v>276</v>
      </c>
      <c r="N13" s="57"/>
      <c r="O13" s="171"/>
      <c r="Q13" s="251"/>
      <c r="R13" s="162"/>
    </row>
    <row r="14" ht="25.5" customHeight="1">
      <c r="A14" s="246" t="s">
        <v>138</v>
      </c>
      <c r="B14" s="165"/>
      <c r="C14" s="178" t="s">
        <v>139</v>
      </c>
      <c r="D14" s="252">
        <v>0.1</v>
      </c>
      <c r="E14" s="253"/>
      <c r="F14" s="169"/>
      <c r="G14" s="254" t="s">
        <v>140</v>
      </c>
      <c r="H14" s="255">
        <f>(((((H6*H5)+H8)+H9)+H10)+H11)+H12</f>
        <v>65750</v>
      </c>
      <c r="I14" s="171"/>
      <c r="J14" s="225"/>
      <c r="K14" s="225"/>
      <c r="L14" s="256"/>
      <c r="M14" s="254" t="s">
        <v>277</v>
      </c>
      <c r="N14" s="257"/>
      <c r="O14" s="171"/>
      <c r="Q14" s="162"/>
      <c r="R14" s="162"/>
    </row>
    <row r="15">
      <c r="A15" s="246" t="s">
        <v>141</v>
      </c>
      <c r="B15" s="160"/>
      <c r="C15" s="258" t="s">
        <v>142</v>
      </c>
      <c r="D15" s="259"/>
      <c r="E15" s="259"/>
      <c r="G15" s="224"/>
      <c r="H15" s="224"/>
      <c r="I15" s="161"/>
      <c r="J15" s="161"/>
      <c r="K15" s="161"/>
      <c r="L15" s="161"/>
      <c r="M15" s="225"/>
      <c r="N15" s="225"/>
      <c r="O15" s="161"/>
      <c r="Q15" s="251"/>
      <c r="R15" s="162"/>
    </row>
    <row r="16">
      <c r="A16" s="268" t="s">
        <v>144</v>
      </c>
      <c r="B16" s="160"/>
      <c r="C16" s="269"/>
      <c r="D16" s="269"/>
      <c r="E16" s="269"/>
      <c r="F16" s="169"/>
      <c r="G16" s="170" t="s">
        <v>145</v>
      </c>
      <c r="H16" s="167"/>
      <c r="I16" s="171"/>
      <c r="J16" s="161"/>
      <c r="K16" s="161"/>
      <c r="L16" s="161"/>
      <c r="M16" s="161"/>
      <c r="N16" s="161"/>
      <c r="O16" s="161"/>
      <c r="Q16" s="251"/>
      <c r="R16" s="162"/>
    </row>
    <row r="17" ht="25.5" customHeight="1">
      <c r="A17" s="246" t="s">
        <v>146</v>
      </c>
      <c r="B17" s="160"/>
      <c r="C17" s="192"/>
      <c r="D17" s="192"/>
      <c r="E17" s="192"/>
      <c r="F17" s="169"/>
      <c r="G17" s="180" t="s">
        <v>278</v>
      </c>
      <c r="H17" s="200">
        <v>0.06</v>
      </c>
      <c r="I17" s="171"/>
      <c r="J17" s="161"/>
      <c r="K17" s="161"/>
      <c r="L17" s="161"/>
      <c r="M17" s="161"/>
      <c r="N17" s="161"/>
      <c r="O17" s="161"/>
      <c r="Q17" s="251"/>
      <c r="R17" s="162"/>
    </row>
    <row r="18">
      <c r="A18" s="271" t="s">
        <v>148</v>
      </c>
      <c r="B18" s="160"/>
      <c r="C18" s="160"/>
      <c r="D18" s="160"/>
      <c r="E18" s="160"/>
      <c r="F18" s="169"/>
      <c r="G18" s="254" t="s">
        <v>279</v>
      </c>
      <c r="H18" s="272" t="s">
        <v>280</v>
      </c>
      <c r="I18" s="171"/>
      <c r="J18" s="161"/>
      <c r="K18" s="161"/>
      <c r="L18" s="161"/>
      <c r="M18" s="161"/>
      <c r="N18" s="161"/>
      <c r="O18" s="161"/>
      <c r="Q18" s="251"/>
    </row>
    <row r="19" ht="63.75" customHeight="1">
      <c r="B19" s="160"/>
      <c r="C19" s="160"/>
      <c r="D19" s="160"/>
      <c r="E19" s="160"/>
      <c r="G19" s="225"/>
      <c r="H19" s="225"/>
      <c r="I19" s="161"/>
      <c r="J19" s="161"/>
      <c r="K19" s="161"/>
      <c r="L19" s="161"/>
      <c r="M19" s="161"/>
      <c r="N19" s="161"/>
      <c r="O19" s="161"/>
      <c r="Q19" s="273" t="s">
        <v>149</v>
      </c>
      <c r="R19" s="273" t="s">
        <v>150</v>
      </c>
      <c r="S19" s="274"/>
    </row>
    <row r="20" ht="38.25" customHeight="1">
      <c r="B20" s="275" t="s">
        <v>20</v>
      </c>
      <c r="C20" s="275" t="s">
        <v>151</v>
      </c>
      <c r="D20" s="275" t="s">
        <v>152</v>
      </c>
      <c r="E20" s="276" t="s">
        <v>153</v>
      </c>
      <c r="G20" s="277" t="s">
        <v>154</v>
      </c>
      <c r="H20" s="277" t="s">
        <v>155</v>
      </c>
      <c r="I20" s="277" t="s">
        <v>156</v>
      </c>
      <c r="J20" s="277" t="s">
        <v>2</v>
      </c>
      <c r="K20" s="277" t="s">
        <v>157</v>
      </c>
      <c r="L20" s="277" t="s">
        <v>158</v>
      </c>
      <c r="M20" s="277" t="s">
        <v>159</v>
      </c>
      <c r="N20" s="278" t="s">
        <v>160</v>
      </c>
      <c r="O20" s="161"/>
      <c r="P20" s="279" t="s">
        <v>161</v>
      </c>
      <c r="Q20" s="280" t="s">
        <v>162</v>
      </c>
      <c r="R20" s="280" t="s">
        <v>162</v>
      </c>
      <c r="S20" s="281"/>
    </row>
    <row r="21">
      <c r="B21" s="282">
        <v>2015.0</v>
      </c>
      <c r="C21" s="283">
        <f>($D$5*12)*(1+$E$10)</f>
        <v>25452</v>
      </c>
      <c r="D21" s="283">
        <f t="shared" ref="D21:D51" si="2">K21-C21</f>
        <v>20049.1858</v>
      </c>
      <c r="E21" s="283">
        <f>H14</f>
        <v>65750</v>
      </c>
      <c r="G21" s="284">
        <f t="shared" ref="G21:G25" si="3">$K$11*12</f>
        <v>34336.29886</v>
      </c>
      <c r="H21" s="285">
        <f t="shared" ref="H21:J21" si="1">$M21*L$6</f>
        <v>5610</v>
      </c>
      <c r="I21" s="285">
        <f t="shared" si="1"/>
        <v>4402.286938</v>
      </c>
      <c r="J21" s="285">
        <f t="shared" si="1"/>
        <v>1152.6</v>
      </c>
      <c r="K21" s="284">
        <f t="shared" ref="K21:K51" si="5">((G21+H21)+I21)+J21</f>
        <v>45501.1858</v>
      </c>
      <c r="L21" s="284">
        <f>'Monthly  Mortgage Calculation'!H2</f>
        <v>640000</v>
      </c>
      <c r="M21" s="284">
        <f>H5</f>
        <v>510000</v>
      </c>
      <c r="N21" s="284">
        <f t="shared" ref="N21:N51" si="6">M21-L21</f>
        <v>-130000</v>
      </c>
      <c r="O21" s="161"/>
      <c r="P21" s="286" t="s">
        <v>163</v>
      </c>
      <c r="Q21" s="287">
        <f t="shared" ref="Q21:Q51" si="7">E21-N21</f>
        <v>195750</v>
      </c>
      <c r="R21" s="288">
        <f>(E21)-((M21-($H$17*M21))-L21)</f>
        <v>226350</v>
      </c>
      <c r="S21" s="289"/>
    </row>
    <row r="22">
      <c r="B22" s="290">
        <f t="shared" ref="B22:B51" si="8">B21+1</f>
        <v>2016</v>
      </c>
      <c r="C22" s="283">
        <f t="shared" ref="C22:C25" si="9">C21*(1+C$10)</f>
        <v>25961.04</v>
      </c>
      <c r="D22" s="283">
        <f t="shared" si="2"/>
        <v>19763.44354</v>
      </c>
      <c r="E22" s="283">
        <f t="shared" ref="E22:E25" si="10">(E21)*(1+$D$10)+(1+$D$10/2)*D21</f>
        <v>91103.4073</v>
      </c>
      <c r="G22" s="284">
        <f t="shared" si="3"/>
        <v>34336.29886</v>
      </c>
      <c r="H22" s="285">
        <f t="shared" ref="H22:J22" si="4">$M22*L$6</f>
        <v>5722.2</v>
      </c>
      <c r="I22" s="285">
        <f t="shared" si="4"/>
        <v>4490.332677</v>
      </c>
      <c r="J22" s="285">
        <f t="shared" si="4"/>
        <v>1175.652</v>
      </c>
      <c r="K22" s="284">
        <f t="shared" si="5"/>
        <v>45724.48354</v>
      </c>
      <c r="L22" s="284">
        <f>'Monthly  Mortgage Calculation'!E13</f>
        <v>627644.0139</v>
      </c>
      <c r="M22" s="284">
        <f t="shared" ref="M22:M26" si="12">M21*(1+O$6)</f>
        <v>520200</v>
      </c>
      <c r="N22" s="284">
        <f t="shared" si="6"/>
        <v>-107444.0139</v>
      </c>
      <c r="O22" s="161"/>
      <c r="P22" s="286" t="s">
        <v>164</v>
      </c>
      <c r="Q22" s="287">
        <f t="shared" si="7"/>
        <v>198547.4212</v>
      </c>
      <c r="R22" s="288">
        <f t="shared" ref="R22:R51" si="13">(-(E22-E$21-sum(D$21:D21))*($D$14))+E22-((M22-($H$17*M22))-L22)</f>
        <v>229228.9991</v>
      </c>
      <c r="S22" s="289"/>
    </row>
    <row r="23">
      <c r="B23" s="290">
        <f t="shared" si="8"/>
        <v>2017</v>
      </c>
      <c r="C23" s="283">
        <f t="shared" si="9"/>
        <v>26480.2608</v>
      </c>
      <c r="D23" s="283">
        <f t="shared" si="2"/>
        <v>19471.98643</v>
      </c>
      <c r="E23" s="283">
        <f t="shared" si="10"/>
        <v>117935.8099</v>
      </c>
      <c r="G23" s="284">
        <f t="shared" si="3"/>
        <v>34336.29886</v>
      </c>
      <c r="H23" s="285">
        <f t="shared" ref="H23:J23" si="11">$M23*L$6</f>
        <v>5836.644</v>
      </c>
      <c r="I23" s="285">
        <f t="shared" si="11"/>
        <v>4580.13933</v>
      </c>
      <c r="J23" s="285">
        <f t="shared" si="11"/>
        <v>1199.16504</v>
      </c>
      <c r="K23" s="284">
        <f t="shared" si="5"/>
        <v>45952.24723</v>
      </c>
      <c r="L23" s="284">
        <f>'Monthly  Mortgage Calculation'!E25</f>
        <v>614853.0415</v>
      </c>
      <c r="M23" s="284">
        <f t="shared" si="12"/>
        <v>530604</v>
      </c>
      <c r="N23" s="284">
        <f t="shared" si="6"/>
        <v>-84249.04146</v>
      </c>
      <c r="O23" s="161"/>
      <c r="P23" s="286" t="s">
        <v>165</v>
      </c>
      <c r="Q23" s="287">
        <f t="shared" si="7"/>
        <v>202184.8513</v>
      </c>
      <c r="R23" s="288">
        <f t="shared" si="13"/>
        <v>232783.7733</v>
      </c>
      <c r="S23" s="289"/>
    </row>
    <row r="24">
      <c r="B24" s="290">
        <f t="shared" si="8"/>
        <v>2018</v>
      </c>
      <c r="C24" s="283">
        <f t="shared" si="9"/>
        <v>27009.86602</v>
      </c>
      <c r="D24" s="283">
        <f t="shared" si="2"/>
        <v>19174.70018</v>
      </c>
      <c r="E24" s="283">
        <f t="shared" si="10"/>
        <v>146344.8225</v>
      </c>
      <c r="G24" s="284">
        <f t="shared" si="3"/>
        <v>34336.29886</v>
      </c>
      <c r="H24" s="285">
        <f t="shared" ref="H24:J24" si="14">$M24*L$6</f>
        <v>5953.37688</v>
      </c>
      <c r="I24" s="285">
        <f t="shared" si="14"/>
        <v>4671.742117</v>
      </c>
      <c r="J24" s="285">
        <f t="shared" si="14"/>
        <v>1223.148341</v>
      </c>
      <c r="K24" s="284">
        <f t="shared" si="5"/>
        <v>46184.5662</v>
      </c>
      <c r="L24" s="284">
        <f>'Monthly  Mortgage Calculation'!E37</f>
        <v>601611.7692</v>
      </c>
      <c r="M24" s="284">
        <f t="shared" si="12"/>
        <v>541216.08</v>
      </c>
      <c r="N24" s="284">
        <f t="shared" si="6"/>
        <v>-60395.68919</v>
      </c>
      <c r="O24" s="161"/>
      <c r="P24" s="286" t="s">
        <v>166</v>
      </c>
      <c r="Q24" s="287">
        <f t="shared" si="7"/>
        <v>206740.5117</v>
      </c>
      <c r="R24" s="288">
        <f t="shared" si="13"/>
        <v>237082.4558</v>
      </c>
      <c r="S24" s="289"/>
    </row>
    <row r="25">
      <c r="B25" s="290">
        <f t="shared" si="8"/>
        <v>2019</v>
      </c>
      <c r="C25" s="283">
        <f t="shared" si="9"/>
        <v>27550.06334</v>
      </c>
      <c r="D25" s="283">
        <f t="shared" si="2"/>
        <v>18871.46821</v>
      </c>
      <c r="E25" s="283">
        <f t="shared" si="10"/>
        <v>176434.7748</v>
      </c>
      <c r="G25" s="284">
        <f t="shared" si="3"/>
        <v>34336.29886</v>
      </c>
      <c r="H25" s="285">
        <f t="shared" ref="H25:J25" si="15">$M25*L$6</f>
        <v>6072.444418</v>
      </c>
      <c r="I25" s="285">
        <f t="shared" si="15"/>
        <v>4765.176959</v>
      </c>
      <c r="J25" s="285">
        <f t="shared" si="15"/>
        <v>1247.611308</v>
      </c>
      <c r="K25" s="284">
        <f t="shared" si="5"/>
        <v>46421.53155</v>
      </c>
      <c r="L25" s="284">
        <f>'Monthly  Mortgage Calculation'!E49</f>
        <v>587904.3445</v>
      </c>
      <c r="M25" s="284">
        <f t="shared" si="12"/>
        <v>552040.4016</v>
      </c>
      <c r="N25" s="284">
        <f t="shared" si="6"/>
        <v>-35863.94293</v>
      </c>
      <c r="O25" s="161"/>
      <c r="P25" s="286" t="s">
        <v>167</v>
      </c>
      <c r="Q25" s="287">
        <f t="shared" si="7"/>
        <v>212298.7177</v>
      </c>
      <c r="R25" s="288">
        <f t="shared" si="13"/>
        <v>242198.5959</v>
      </c>
      <c r="S25" s="289"/>
    </row>
    <row r="26">
      <c r="B26" s="290">
        <f t="shared" si="8"/>
        <v>2020</v>
      </c>
      <c r="C26" s="283">
        <f>((C25*(1+C$10)))*(1+E11)/(1+E10)</f>
        <v>28101.0646</v>
      </c>
      <c r="D26" s="283">
        <f t="shared" si="2"/>
        <v>22904.52438</v>
      </c>
      <c r="E26" s="283">
        <f t="shared" ref="E26:E30" si="17">(E25)*(1+$D$11)+(1+$D$11/2)*D25</f>
        <v>208317.1786</v>
      </c>
      <c r="G26" s="284">
        <f t="shared" ref="G26:G30" si="18">$K$12*12</f>
        <v>38104.2456</v>
      </c>
      <c r="H26" s="285">
        <f t="shared" ref="H26:J26" si="16">$M26*L$7</f>
        <v>6193.893306</v>
      </c>
      <c r="I26" s="285">
        <f t="shared" si="16"/>
        <v>5356.05518</v>
      </c>
      <c r="J26" s="285">
        <f t="shared" si="16"/>
        <v>1351.394903</v>
      </c>
      <c r="K26" s="284">
        <f t="shared" si="5"/>
        <v>51005.58899</v>
      </c>
      <c r="L26" s="284">
        <f>'Monthly  Mortgage Calculation'!E61</f>
        <v>573714.3568</v>
      </c>
      <c r="M26" s="284">
        <f t="shared" si="12"/>
        <v>563081.2096</v>
      </c>
      <c r="N26" s="284">
        <f t="shared" si="6"/>
        <v>-10633.14716</v>
      </c>
      <c r="O26" s="161"/>
      <c r="P26" s="286" t="s">
        <v>168</v>
      </c>
      <c r="Q26" s="287">
        <f t="shared" si="7"/>
        <v>218950.3258</v>
      </c>
      <c r="R26" s="288">
        <f t="shared" si="13"/>
        <v>248211.5589</v>
      </c>
      <c r="S26" s="289"/>
    </row>
    <row r="27">
      <c r="B27" s="290">
        <f t="shared" si="8"/>
        <v>2021</v>
      </c>
      <c r="C27" s="283">
        <f t="shared" ref="C27:C31" si="20">C26*(1+C$11)</f>
        <v>28663.0859</v>
      </c>
      <c r="D27" s="283">
        <f t="shared" si="2"/>
        <v>22600.52996</v>
      </c>
      <c r="E27" s="283">
        <f t="shared" si="17"/>
        <v>246605.5639</v>
      </c>
      <c r="G27" s="284">
        <f t="shared" si="18"/>
        <v>38104.2456</v>
      </c>
      <c r="H27" s="285">
        <f t="shared" ref="H27:J27" si="19">$M27*L$7</f>
        <v>6317.771172</v>
      </c>
      <c r="I27" s="285">
        <f t="shared" si="19"/>
        <v>5463.176284</v>
      </c>
      <c r="J27" s="285">
        <f t="shared" si="19"/>
        <v>1378.422801</v>
      </c>
      <c r="K27" s="284">
        <f t="shared" si="5"/>
        <v>51263.61585</v>
      </c>
      <c r="L27" s="284">
        <f>'Monthly  Mortgage Calculation'!E73</f>
        <v>560929.3442</v>
      </c>
      <c r="M27" s="284">
        <f t="shared" ref="M27:M31" si="22">M26*(1+O$7)</f>
        <v>574342.8338</v>
      </c>
      <c r="N27" s="284">
        <f t="shared" si="6"/>
        <v>13413.48963</v>
      </c>
      <c r="O27" s="161"/>
      <c r="P27" s="286" t="s">
        <v>169</v>
      </c>
      <c r="Q27" s="287">
        <f t="shared" si="7"/>
        <v>233192.0742</v>
      </c>
      <c r="R27" s="288">
        <f t="shared" si="13"/>
        <v>261590.6187</v>
      </c>
      <c r="S27" s="289"/>
    </row>
    <row r="28">
      <c r="B28" s="290">
        <f t="shared" si="8"/>
        <v>2022</v>
      </c>
      <c r="C28" s="283">
        <f t="shared" si="20"/>
        <v>29236.34761</v>
      </c>
      <c r="D28" s="283">
        <f t="shared" si="2"/>
        <v>22290.45565</v>
      </c>
      <c r="E28" s="283">
        <f t="shared" si="17"/>
        <v>287259.5019</v>
      </c>
      <c r="G28" s="284">
        <f t="shared" si="18"/>
        <v>38104.2456</v>
      </c>
      <c r="H28" s="285">
        <f t="shared" ref="H28:J28" si="21">$M28*L$7</f>
        <v>6444.126596</v>
      </c>
      <c r="I28" s="285">
        <f t="shared" si="21"/>
        <v>5572.439809</v>
      </c>
      <c r="J28" s="285">
        <f t="shared" si="21"/>
        <v>1405.991257</v>
      </c>
      <c r="K28" s="284">
        <f t="shared" si="5"/>
        <v>51526.80326</v>
      </c>
      <c r="L28" s="284">
        <f>'Monthly  Mortgage Calculation'!E85</f>
        <v>547562.5336</v>
      </c>
      <c r="M28" s="284">
        <f t="shared" si="22"/>
        <v>585829.6905</v>
      </c>
      <c r="N28" s="284">
        <f t="shared" si="6"/>
        <v>38267.15688</v>
      </c>
      <c r="O28" s="161"/>
      <c r="P28" s="286" t="s">
        <v>170</v>
      </c>
      <c r="Q28" s="287">
        <f t="shared" si="7"/>
        <v>248992.345</v>
      </c>
      <c r="R28" s="288">
        <f t="shared" si="13"/>
        <v>276274.7601</v>
      </c>
      <c r="S28" s="289"/>
    </row>
    <row r="29">
      <c r="B29" s="290">
        <f t="shared" si="8"/>
        <v>2023</v>
      </c>
      <c r="C29" s="283">
        <f t="shared" si="20"/>
        <v>29821.07457</v>
      </c>
      <c r="D29" s="283">
        <f t="shared" si="2"/>
        <v>21974.17985</v>
      </c>
      <c r="E29" s="283">
        <f t="shared" si="17"/>
        <v>330438.2886</v>
      </c>
      <c r="G29" s="284">
        <f t="shared" si="18"/>
        <v>38104.2456</v>
      </c>
      <c r="H29" s="285">
        <f t="shared" ref="H29:J29" si="23">$M29*L$7</f>
        <v>6573.009127</v>
      </c>
      <c r="I29" s="285">
        <f t="shared" si="23"/>
        <v>5683.888606</v>
      </c>
      <c r="J29" s="285">
        <f t="shared" si="23"/>
        <v>1434.111082</v>
      </c>
      <c r="K29" s="284">
        <f t="shared" si="5"/>
        <v>51795.25441</v>
      </c>
      <c r="L29" s="284">
        <f>'Monthly  Mortgage Calculation'!E97</f>
        <v>533587.4496</v>
      </c>
      <c r="M29" s="284">
        <f t="shared" si="22"/>
        <v>597546.2843</v>
      </c>
      <c r="N29" s="284">
        <f t="shared" si="6"/>
        <v>63958.8347</v>
      </c>
      <c r="O29" s="161"/>
      <c r="P29" s="286" t="s">
        <v>171</v>
      </c>
      <c r="Q29" s="287">
        <f t="shared" si="7"/>
        <v>266479.4539</v>
      </c>
      <c r="R29" s="288">
        <f t="shared" si="13"/>
        <v>292376.0315</v>
      </c>
      <c r="S29" s="289"/>
    </row>
    <row r="30">
      <c r="B30" s="290">
        <f t="shared" si="8"/>
        <v>2024</v>
      </c>
      <c r="C30" s="283">
        <f t="shared" si="20"/>
        <v>30417.49606</v>
      </c>
      <c r="D30" s="283">
        <f t="shared" si="2"/>
        <v>21651.57853</v>
      </c>
      <c r="E30" s="283">
        <f t="shared" si="17"/>
        <v>376312.2449</v>
      </c>
      <c r="G30" s="284">
        <f t="shared" si="18"/>
        <v>38104.2456</v>
      </c>
      <c r="H30" s="285">
        <f t="shared" ref="H30:J30" si="24">$M30*L$7</f>
        <v>6704.46931</v>
      </c>
      <c r="I30" s="285">
        <f t="shared" si="24"/>
        <v>5797.566378</v>
      </c>
      <c r="J30" s="285">
        <f t="shared" si="24"/>
        <v>1462.793304</v>
      </c>
      <c r="K30" s="284">
        <f t="shared" si="5"/>
        <v>52069.07459</v>
      </c>
      <c r="L30" s="284">
        <f>'Monthly  Mortgage Calculation'!E109</f>
        <v>518976.4119</v>
      </c>
      <c r="M30" s="284">
        <f t="shared" si="22"/>
        <v>609497.21</v>
      </c>
      <c r="N30" s="284">
        <f t="shared" si="6"/>
        <v>90520.79805</v>
      </c>
      <c r="O30" s="161"/>
      <c r="P30" s="286" t="s">
        <v>172</v>
      </c>
      <c r="Q30" s="287">
        <f t="shared" si="7"/>
        <v>285791.4469</v>
      </c>
      <c r="R30" s="288">
        <f t="shared" si="13"/>
        <v>310015.1024</v>
      </c>
      <c r="S30" s="289"/>
    </row>
    <row r="31">
      <c r="B31" s="290">
        <f t="shared" si="8"/>
        <v>2025</v>
      </c>
      <c r="C31" s="283">
        <f t="shared" si="20"/>
        <v>31025.84598</v>
      </c>
      <c r="D31" s="283">
        <f t="shared" si="2"/>
        <v>26316.87571</v>
      </c>
      <c r="E31" s="283">
        <f t="shared" ref="E31:E51" si="26">(E30)*(1+$D$12)+(1+$D$12/2)*D30</f>
        <v>425063.4858</v>
      </c>
      <c r="G31" s="284">
        <f t="shared" ref="G31:G51" si="27">IF((((B31-$B$21)+1)&gt;$H$7),0,($K$13*12))</f>
        <v>41367.38653</v>
      </c>
      <c r="H31" s="285">
        <f t="shared" ref="H31:J31" si="25">$M31*L$8</f>
        <v>6838.558696</v>
      </c>
      <c r="I31" s="285">
        <f t="shared" si="25"/>
        <v>7582.558576</v>
      </c>
      <c r="J31" s="285">
        <f t="shared" si="25"/>
        <v>1554.217885</v>
      </c>
      <c r="K31" s="284">
        <f t="shared" si="5"/>
        <v>57342.72169</v>
      </c>
      <c r="L31" s="284">
        <f>'Monthly  Mortgage Calculation'!E121</f>
        <v>503700.4807</v>
      </c>
      <c r="M31" s="284">
        <f t="shared" si="22"/>
        <v>621687.1542</v>
      </c>
      <c r="N31" s="284">
        <f t="shared" si="6"/>
        <v>117986.6735</v>
      </c>
      <c r="O31" s="161"/>
      <c r="P31" s="286" t="s">
        <v>173</v>
      </c>
      <c r="Q31" s="287">
        <f t="shared" si="7"/>
        <v>307076.8124</v>
      </c>
      <c r="R31" s="288">
        <f t="shared" si="13"/>
        <v>329321.8983</v>
      </c>
      <c r="S31" s="289"/>
    </row>
    <row r="32">
      <c r="B32" s="290">
        <f t="shared" si="8"/>
        <v>2026</v>
      </c>
      <c r="C32" s="283">
        <f>((C31*(1+C$12)))</f>
        <v>31646.3629</v>
      </c>
      <c r="D32" s="283">
        <f t="shared" si="2"/>
        <v>26015.86549</v>
      </c>
      <c r="E32" s="283">
        <f t="shared" si="26"/>
        <v>482055.8962</v>
      </c>
      <c r="G32" s="284">
        <f t="shared" si="27"/>
        <v>41367.38653</v>
      </c>
      <c r="H32" s="285">
        <f t="shared" ref="H32:J32" si="28">$M32*L$8</f>
        <v>6975.32987</v>
      </c>
      <c r="I32" s="285">
        <f t="shared" si="28"/>
        <v>7734.209747</v>
      </c>
      <c r="J32" s="285">
        <f t="shared" si="28"/>
        <v>1585.302243</v>
      </c>
      <c r="K32" s="284">
        <f t="shared" si="5"/>
        <v>57662.22839</v>
      </c>
      <c r="L32" s="284">
        <f>'Monthly  Mortgage Calculation'!E133</f>
        <v>489370.7585</v>
      </c>
      <c r="M32" s="284">
        <f t="shared" ref="M32:M51" si="30">M31*(1+O$8)</f>
        <v>634120.8973</v>
      </c>
      <c r="N32" s="284">
        <f t="shared" si="6"/>
        <v>144750.1388</v>
      </c>
      <c r="O32" s="161"/>
      <c r="P32" s="286" t="s">
        <v>174</v>
      </c>
      <c r="Q32" s="287">
        <f t="shared" si="7"/>
        <v>337305.7574</v>
      </c>
      <c r="R32" s="288">
        <f t="shared" si="13"/>
        <v>357229.3144</v>
      </c>
      <c r="S32" s="289"/>
    </row>
    <row r="33">
      <c r="B33" s="290">
        <f t="shared" si="8"/>
        <v>2027</v>
      </c>
      <c r="C33" s="283">
        <f t="shared" ref="C33:C51" si="31">C32*(1+C$12)</f>
        <v>32279.29016</v>
      </c>
      <c r="D33" s="283">
        <f t="shared" si="2"/>
        <v>25708.83507</v>
      </c>
      <c r="E33" s="283">
        <f t="shared" si="26"/>
        <v>542726.2297</v>
      </c>
      <c r="G33" s="284">
        <f t="shared" si="27"/>
        <v>41367.38653</v>
      </c>
      <c r="H33" s="285">
        <f t="shared" ref="H33:J33" si="29">$M33*L$8</f>
        <v>7114.836467</v>
      </c>
      <c r="I33" s="285">
        <f t="shared" si="29"/>
        <v>7888.893942</v>
      </c>
      <c r="J33" s="285">
        <f t="shared" si="29"/>
        <v>1617.008288</v>
      </c>
      <c r="K33" s="284">
        <f t="shared" si="5"/>
        <v>57988.12523</v>
      </c>
      <c r="L33" s="284">
        <f>'Monthly  Mortgage Calculation'!E145</f>
        <v>474242.0646</v>
      </c>
      <c r="M33" s="284">
        <f t="shared" si="30"/>
        <v>646803.3152</v>
      </c>
      <c r="N33" s="284">
        <f t="shared" si="6"/>
        <v>172561.2506</v>
      </c>
      <c r="O33" s="161"/>
      <c r="P33" s="286" t="s">
        <v>175</v>
      </c>
      <c r="Q33" s="287">
        <f t="shared" si="7"/>
        <v>370164.9791</v>
      </c>
      <c r="R33" s="288">
        <f t="shared" si="13"/>
        <v>387384.0344</v>
      </c>
      <c r="S33" s="289"/>
    </row>
    <row r="34">
      <c r="B34" s="290">
        <f t="shared" si="8"/>
        <v>2028</v>
      </c>
      <c r="C34" s="283">
        <f t="shared" si="31"/>
        <v>32924.87596</v>
      </c>
      <c r="D34" s="283">
        <f t="shared" si="2"/>
        <v>25395.66404</v>
      </c>
      <c r="E34" s="283">
        <f t="shared" si="26"/>
        <v>607325.7101</v>
      </c>
      <c r="G34" s="284">
        <f t="shared" si="27"/>
        <v>41367.38653</v>
      </c>
      <c r="H34" s="285">
        <f t="shared" ref="H34:J34" si="32">$M34*L$8</f>
        <v>7257.133197</v>
      </c>
      <c r="I34" s="285">
        <f t="shared" si="32"/>
        <v>8046.671821</v>
      </c>
      <c r="J34" s="285">
        <f t="shared" si="32"/>
        <v>1649.348454</v>
      </c>
      <c r="K34" s="284">
        <f t="shared" si="5"/>
        <v>58320.54</v>
      </c>
      <c r="L34" s="284">
        <f>'Monthly  Mortgage Calculation'!E157</f>
        <v>458269.8515</v>
      </c>
      <c r="M34" s="284">
        <f t="shared" si="30"/>
        <v>659739.3815</v>
      </c>
      <c r="N34" s="284">
        <f t="shared" si="6"/>
        <v>201469.53</v>
      </c>
      <c r="O34" s="161"/>
      <c r="P34" s="286" t="s">
        <v>176</v>
      </c>
      <c r="Q34" s="287">
        <f t="shared" si="7"/>
        <v>405856.1801</v>
      </c>
      <c r="R34" s="288">
        <f t="shared" si="13"/>
        <v>419962.3349</v>
      </c>
      <c r="S34" s="289"/>
    </row>
    <row r="35">
      <c r="B35" s="290">
        <f t="shared" si="8"/>
        <v>2029</v>
      </c>
      <c r="C35" s="283">
        <f t="shared" si="31"/>
        <v>33583.37348</v>
      </c>
      <c r="D35" s="283">
        <f t="shared" si="2"/>
        <v>25076.22959</v>
      </c>
      <c r="E35" s="283">
        <f t="shared" si="26"/>
        <v>676123.0221</v>
      </c>
      <c r="G35" s="284">
        <f t="shared" si="27"/>
        <v>41367.38653</v>
      </c>
      <c r="H35" s="285">
        <f t="shared" ref="H35:J35" si="33">$M35*L$8</f>
        <v>7402.275861</v>
      </c>
      <c r="I35" s="285">
        <f t="shared" si="33"/>
        <v>8207.605258</v>
      </c>
      <c r="J35" s="285">
        <f t="shared" si="33"/>
        <v>1682.335423</v>
      </c>
      <c r="K35" s="284">
        <f t="shared" si="5"/>
        <v>58659.60307</v>
      </c>
      <c r="L35" s="284">
        <f>'Monthly  Mortgage Calculation'!E169</f>
        <v>441407.0877</v>
      </c>
      <c r="M35" s="284">
        <f t="shared" si="30"/>
        <v>672934.1692</v>
      </c>
      <c r="N35" s="284">
        <f t="shared" si="6"/>
        <v>231527.0814</v>
      </c>
      <c r="O35" s="161"/>
      <c r="P35" s="286" t="s">
        <v>177</v>
      </c>
      <c r="Q35" s="287">
        <f t="shared" si="7"/>
        <v>444595.9407</v>
      </c>
      <c r="R35" s="288">
        <f t="shared" si="13"/>
        <v>455153.6179</v>
      </c>
      <c r="S35" s="289"/>
    </row>
    <row r="36">
      <c r="B36" s="290">
        <f t="shared" si="8"/>
        <v>2030</v>
      </c>
      <c r="C36" s="283">
        <f t="shared" si="31"/>
        <v>34255.04095</v>
      </c>
      <c r="D36" s="283">
        <f t="shared" si="2"/>
        <v>24750.40646</v>
      </c>
      <c r="E36" s="283">
        <f t="shared" si="26"/>
        <v>749405.5313</v>
      </c>
      <c r="G36" s="284">
        <f t="shared" si="27"/>
        <v>41367.38653</v>
      </c>
      <c r="H36" s="285">
        <f t="shared" ref="H36:J36" si="34">$M36*L$8</f>
        <v>7550.321378</v>
      </c>
      <c r="I36" s="285">
        <f t="shared" si="34"/>
        <v>8371.757363</v>
      </c>
      <c r="J36" s="285">
        <f t="shared" si="34"/>
        <v>1715.982131</v>
      </c>
      <c r="K36" s="284">
        <f t="shared" si="5"/>
        <v>59005.4474</v>
      </c>
      <c r="L36" s="284">
        <f>'Monthly  Mortgage Calculation'!E181</f>
        <v>423604.1195</v>
      </c>
      <c r="M36" s="284">
        <f t="shared" si="30"/>
        <v>686392.8525</v>
      </c>
      <c r="N36" s="284">
        <f t="shared" si="6"/>
        <v>262788.7331</v>
      </c>
      <c r="O36" s="161"/>
      <c r="P36" s="286" t="s">
        <v>178</v>
      </c>
      <c r="Q36" s="287">
        <f t="shared" si="7"/>
        <v>486616.7982</v>
      </c>
      <c r="R36" s="288">
        <f t="shared" si="13"/>
        <v>493161.3685</v>
      </c>
      <c r="S36" s="289"/>
    </row>
    <row r="37">
      <c r="B37" s="290">
        <f t="shared" si="8"/>
        <v>2031</v>
      </c>
      <c r="C37" s="283">
        <f t="shared" si="31"/>
        <v>34940.14177</v>
      </c>
      <c r="D37" s="283">
        <f t="shared" si="2"/>
        <v>24418.06685</v>
      </c>
      <c r="E37" s="283">
        <f t="shared" si="26"/>
        <v>827480.5892</v>
      </c>
      <c r="G37" s="284">
        <f t="shared" si="27"/>
        <v>41367.38653</v>
      </c>
      <c r="H37" s="285">
        <f t="shared" ref="H37:J37" si="35">$M37*L$8</f>
        <v>7701.327806</v>
      </c>
      <c r="I37" s="285">
        <f t="shared" si="35"/>
        <v>8539.19251</v>
      </c>
      <c r="J37" s="285">
        <f t="shared" si="35"/>
        <v>1750.301774</v>
      </c>
      <c r="K37" s="284">
        <f t="shared" si="5"/>
        <v>59358.20862</v>
      </c>
      <c r="L37" s="284">
        <f>'Monthly  Mortgage Calculation'!E193</f>
        <v>404808.5244</v>
      </c>
      <c r="M37" s="284">
        <f t="shared" si="30"/>
        <v>700120.7096</v>
      </c>
      <c r="N37" s="284">
        <f t="shared" si="6"/>
        <v>295312.1852</v>
      </c>
      <c r="O37" s="161"/>
      <c r="P37" s="286" t="s">
        <v>179</v>
      </c>
      <c r="Q37" s="287">
        <f t="shared" si="7"/>
        <v>532168.404</v>
      </c>
      <c r="R37" s="288">
        <f t="shared" si="13"/>
        <v>534204.1806</v>
      </c>
      <c r="S37" s="289"/>
    </row>
    <row r="38">
      <c r="B38" s="290">
        <f t="shared" si="8"/>
        <v>2032</v>
      </c>
      <c r="C38" s="283">
        <f t="shared" si="31"/>
        <v>35638.9446</v>
      </c>
      <c r="D38" s="283">
        <f t="shared" si="2"/>
        <v>24079.08046</v>
      </c>
      <c r="E38" s="283">
        <f t="shared" si="26"/>
        <v>910676.9296</v>
      </c>
      <c r="G38" s="284">
        <f t="shared" si="27"/>
        <v>41367.38653</v>
      </c>
      <c r="H38" s="285">
        <f t="shared" ref="H38:J38" si="36">$M38*L$8</f>
        <v>7855.354362</v>
      </c>
      <c r="I38" s="285">
        <f t="shared" si="36"/>
        <v>8709.97636</v>
      </c>
      <c r="J38" s="285">
        <f t="shared" si="36"/>
        <v>1785.307809</v>
      </c>
      <c r="K38" s="284">
        <f t="shared" si="5"/>
        <v>59718.02506</v>
      </c>
      <c r="L38" s="284">
        <f>'Monthly  Mortgage Calculation'!E205</f>
        <v>384964.9575</v>
      </c>
      <c r="M38" s="284">
        <f t="shared" si="30"/>
        <v>714123.1238</v>
      </c>
      <c r="N38" s="284">
        <f t="shared" si="6"/>
        <v>329158.1663</v>
      </c>
      <c r="O38" s="161"/>
      <c r="P38" s="286" t="s">
        <v>180</v>
      </c>
      <c r="Q38" s="287">
        <f t="shared" si="7"/>
        <v>581518.7633</v>
      </c>
      <c r="R38" s="288">
        <f t="shared" si="13"/>
        <v>578516.8574</v>
      </c>
      <c r="S38" s="289"/>
    </row>
    <row r="39">
      <c r="B39" s="290">
        <f t="shared" si="8"/>
        <v>2033</v>
      </c>
      <c r="C39" s="283">
        <f t="shared" si="31"/>
        <v>36351.72349</v>
      </c>
      <c r="D39" s="283">
        <f t="shared" si="2"/>
        <v>23733.31434</v>
      </c>
      <c r="E39" s="283">
        <f t="shared" si="26"/>
        <v>999346.1629</v>
      </c>
      <c r="G39" s="284">
        <f t="shared" si="27"/>
        <v>41367.38653</v>
      </c>
      <c r="H39" s="285">
        <f t="shared" ref="H39:J39" si="37">$M39*L$8</f>
        <v>8012.461449</v>
      </c>
      <c r="I39" s="285">
        <f t="shared" si="37"/>
        <v>8884.175887</v>
      </c>
      <c r="J39" s="285">
        <f t="shared" si="37"/>
        <v>1821.013966</v>
      </c>
      <c r="K39" s="284">
        <f t="shared" si="5"/>
        <v>60085.03783</v>
      </c>
      <c r="L39" s="284">
        <f>'Monthly  Mortgage Calculation'!E217</f>
        <v>364014.9877</v>
      </c>
      <c r="M39" s="284">
        <f t="shared" si="30"/>
        <v>728405.5863</v>
      </c>
      <c r="N39" s="284">
        <f t="shared" si="6"/>
        <v>364390.5985</v>
      </c>
      <c r="O39" s="161"/>
      <c r="P39" s="286" t="s">
        <v>181</v>
      </c>
      <c r="Q39" s="287">
        <f t="shared" si="7"/>
        <v>634955.5644</v>
      </c>
      <c r="R39" s="288">
        <f t="shared" si="13"/>
        <v>626351.5909</v>
      </c>
      <c r="S39" s="289"/>
    </row>
    <row r="40">
      <c r="B40" s="290">
        <f t="shared" si="8"/>
        <v>2034</v>
      </c>
      <c r="C40" s="283">
        <f t="shared" si="31"/>
        <v>37078.75796</v>
      </c>
      <c r="D40" s="283">
        <f t="shared" si="2"/>
        <v>23380.6329</v>
      </c>
      <c r="E40" s="283">
        <f t="shared" si="26"/>
        <v>1093864.375</v>
      </c>
      <c r="G40" s="284">
        <f t="shared" si="27"/>
        <v>41367.38653</v>
      </c>
      <c r="H40" s="285">
        <f t="shared" ref="H40:J40" si="38">$M40*L$8</f>
        <v>8172.710678</v>
      </c>
      <c r="I40" s="285">
        <f t="shared" si="38"/>
        <v>9061.859405</v>
      </c>
      <c r="J40" s="285">
        <f t="shared" si="38"/>
        <v>1857.434245</v>
      </c>
      <c r="K40" s="284">
        <f t="shared" si="5"/>
        <v>60459.39086</v>
      </c>
      <c r="L40" s="284">
        <f>'Monthly  Mortgage Calculation'!E229</f>
        <v>341896.9262</v>
      </c>
      <c r="M40" s="284">
        <f t="shared" si="30"/>
        <v>742973.698</v>
      </c>
      <c r="N40" s="284">
        <f t="shared" si="6"/>
        <v>401076.7718</v>
      </c>
      <c r="O40" s="161"/>
      <c r="P40" s="286" t="s">
        <v>182</v>
      </c>
      <c r="Q40" s="287">
        <f t="shared" si="7"/>
        <v>692787.6029</v>
      </c>
      <c r="R40" s="288">
        <f t="shared" si="13"/>
        <v>677979.2264</v>
      </c>
      <c r="S40" s="289"/>
    </row>
    <row r="41">
      <c r="B41" s="290">
        <f t="shared" si="8"/>
        <v>2035</v>
      </c>
      <c r="C41" s="283">
        <f t="shared" si="31"/>
        <v>37820.33312</v>
      </c>
      <c r="D41" s="283">
        <f t="shared" si="2"/>
        <v>23020.89782</v>
      </c>
      <c r="E41" s="283">
        <f t="shared" si="26"/>
        <v>1194633.836</v>
      </c>
      <c r="G41" s="284">
        <f t="shared" si="27"/>
        <v>41367.38653</v>
      </c>
      <c r="H41" s="285">
        <f t="shared" ref="H41:J41" si="39">$M41*L$8</f>
        <v>8336.164891</v>
      </c>
      <c r="I41" s="285">
        <f t="shared" si="39"/>
        <v>9243.096593</v>
      </c>
      <c r="J41" s="285">
        <f t="shared" si="39"/>
        <v>1894.58293</v>
      </c>
      <c r="K41" s="284">
        <f t="shared" si="5"/>
        <v>60841.23095</v>
      </c>
      <c r="L41" s="284">
        <f>'Monthly  Mortgage Calculation'!E241</f>
        <v>318545.6445</v>
      </c>
      <c r="M41" s="284">
        <f t="shared" si="30"/>
        <v>757833.1719</v>
      </c>
      <c r="N41" s="284">
        <f t="shared" si="6"/>
        <v>439287.5275</v>
      </c>
      <c r="O41" s="161"/>
      <c r="P41" s="286" t="s">
        <v>183</v>
      </c>
      <c r="Q41" s="287">
        <f t="shared" si="7"/>
        <v>755346.3085</v>
      </c>
      <c r="R41" s="288">
        <f t="shared" si="13"/>
        <v>733690.6176</v>
      </c>
      <c r="S41" s="289"/>
    </row>
    <row r="42">
      <c r="B42" s="290">
        <f t="shared" si="8"/>
        <v>2036</v>
      </c>
      <c r="C42" s="283">
        <f t="shared" si="31"/>
        <v>38576.73978</v>
      </c>
      <c r="D42" s="283">
        <f t="shared" si="2"/>
        <v>22653.96805</v>
      </c>
      <c r="E42" s="283">
        <f t="shared" si="26"/>
        <v>1302084.834</v>
      </c>
      <c r="G42" s="284">
        <f t="shared" si="27"/>
        <v>41367.38653</v>
      </c>
      <c r="H42" s="285">
        <f t="shared" ref="H42:J42" si="40">$M42*L$8</f>
        <v>8502.888189</v>
      </c>
      <c r="I42" s="285">
        <f t="shared" si="40"/>
        <v>9427.958525</v>
      </c>
      <c r="J42" s="285">
        <f t="shared" si="40"/>
        <v>1932.474588</v>
      </c>
      <c r="K42" s="284">
        <f t="shared" si="5"/>
        <v>61230.70783</v>
      </c>
      <c r="L42" s="284">
        <f>'Monthly  Mortgage Calculation'!E253</f>
        <v>293892.3829</v>
      </c>
      <c r="M42" s="284">
        <f t="shared" si="30"/>
        <v>772989.8354</v>
      </c>
      <c r="N42" s="284">
        <f t="shared" si="6"/>
        <v>479097.4525</v>
      </c>
      <c r="O42" s="161"/>
      <c r="P42" s="286" t="s">
        <v>184</v>
      </c>
      <c r="Q42" s="287">
        <f t="shared" si="7"/>
        <v>822987.3812</v>
      </c>
      <c r="R42" s="288">
        <f t="shared" si="13"/>
        <v>793798.0801</v>
      </c>
      <c r="S42" s="289"/>
    </row>
    <row r="43">
      <c r="B43" s="290">
        <f t="shared" si="8"/>
        <v>2037</v>
      </c>
      <c r="C43" s="283">
        <f t="shared" si="31"/>
        <v>39348.27458</v>
      </c>
      <c r="D43" s="283">
        <f t="shared" si="2"/>
        <v>22279.69968</v>
      </c>
      <c r="E43" s="283">
        <f t="shared" si="26"/>
        <v>1416677.629</v>
      </c>
      <c r="G43" s="284">
        <f t="shared" si="27"/>
        <v>41367.38653</v>
      </c>
      <c r="H43" s="285">
        <f t="shared" ref="H43:J43" si="41">$M43*L$8</f>
        <v>8672.945953</v>
      </c>
      <c r="I43" s="285">
        <f t="shared" si="41"/>
        <v>9616.517696</v>
      </c>
      <c r="J43" s="285">
        <f t="shared" si="41"/>
        <v>1971.12408</v>
      </c>
      <c r="K43" s="284">
        <f t="shared" si="5"/>
        <v>61627.97426</v>
      </c>
      <c r="L43" s="284">
        <f>'Monthly  Mortgage Calculation'!E265</f>
        <v>267864.5478</v>
      </c>
      <c r="M43" s="284">
        <f t="shared" si="30"/>
        <v>788449.6321</v>
      </c>
      <c r="N43" s="284">
        <f t="shared" si="6"/>
        <v>520585.0843</v>
      </c>
      <c r="O43" s="161"/>
      <c r="P43" s="286" t="s">
        <v>185</v>
      </c>
      <c r="Q43" s="287">
        <f t="shared" si="7"/>
        <v>896092.5448</v>
      </c>
      <c r="R43" s="288">
        <f t="shared" si="13"/>
        <v>858636.9487</v>
      </c>
      <c r="S43" s="289"/>
    </row>
    <row r="44">
      <c r="B44" s="290">
        <f t="shared" si="8"/>
        <v>2038</v>
      </c>
      <c r="C44" s="283">
        <f t="shared" si="31"/>
        <v>40135.24007</v>
      </c>
      <c r="D44" s="283">
        <f t="shared" si="2"/>
        <v>21897.94594</v>
      </c>
      <c r="E44" s="283">
        <f t="shared" si="26"/>
        <v>1538904.552</v>
      </c>
      <c r="G44" s="284">
        <f t="shared" si="27"/>
        <v>41367.38653</v>
      </c>
      <c r="H44" s="285">
        <f t="shared" ref="H44:J44" si="42">$M44*L$8</f>
        <v>8846.404872</v>
      </c>
      <c r="I44" s="285">
        <f t="shared" si="42"/>
        <v>9808.848049</v>
      </c>
      <c r="J44" s="285">
        <f t="shared" si="42"/>
        <v>2010.546562</v>
      </c>
      <c r="K44" s="284">
        <f t="shared" si="5"/>
        <v>62033.18601</v>
      </c>
      <c r="L44" s="284">
        <f>'Monthly  Mortgage Calculation'!E277</f>
        <v>240385.4983</v>
      </c>
      <c r="M44" s="284">
        <f t="shared" si="30"/>
        <v>804218.6247</v>
      </c>
      <c r="N44" s="284">
        <f t="shared" si="6"/>
        <v>563833.1264</v>
      </c>
      <c r="O44" s="161"/>
      <c r="P44" s="286" t="s">
        <v>186</v>
      </c>
      <c r="Q44" s="287">
        <f t="shared" si="7"/>
        <v>975071.4258</v>
      </c>
      <c r="R44" s="288">
        <f t="shared" si="13"/>
        <v>928567.247</v>
      </c>
      <c r="S44" s="289"/>
    </row>
    <row r="45">
      <c r="B45" s="290">
        <f t="shared" si="8"/>
        <v>2039</v>
      </c>
      <c r="C45" s="283">
        <f t="shared" si="31"/>
        <v>40937.94487</v>
      </c>
      <c r="D45" s="283">
        <f t="shared" si="2"/>
        <v>21508.55713</v>
      </c>
      <c r="E45" s="283">
        <f t="shared" si="26"/>
        <v>1669292.245</v>
      </c>
      <c r="G45" s="284">
        <f t="shared" si="27"/>
        <v>41367.38653</v>
      </c>
      <c r="H45" s="285">
        <f t="shared" ref="H45:J45" si="43">$M45*L$8</f>
        <v>9023.33297</v>
      </c>
      <c r="I45" s="285">
        <f t="shared" si="43"/>
        <v>10005.02501</v>
      </c>
      <c r="J45" s="285">
        <f t="shared" si="43"/>
        <v>2050.757493</v>
      </c>
      <c r="K45" s="284">
        <f t="shared" si="5"/>
        <v>62446.502</v>
      </c>
      <c r="L45" s="284">
        <f>'Monthly  Mortgage Calculation'!E289</f>
        <v>211374.3201</v>
      </c>
      <c r="M45" s="284">
        <f t="shared" si="30"/>
        <v>820302.9972</v>
      </c>
      <c r="N45" s="284">
        <f t="shared" si="6"/>
        <v>608928.6772</v>
      </c>
      <c r="O45" s="161"/>
      <c r="P45" s="286" t="s">
        <v>187</v>
      </c>
      <c r="Q45" s="287">
        <f t="shared" si="7"/>
        <v>1060363.568</v>
      </c>
      <c r="R45" s="288">
        <f t="shared" si="13"/>
        <v>1003975.477</v>
      </c>
      <c r="S45" s="289"/>
    </row>
    <row r="46">
      <c r="B46" s="290">
        <f t="shared" si="8"/>
        <v>2040</v>
      </c>
      <c r="C46" s="283">
        <f t="shared" si="31"/>
        <v>41756.70377</v>
      </c>
      <c r="D46" s="283">
        <f t="shared" si="2"/>
        <v>-20256.00599</v>
      </c>
      <c r="E46" s="283">
        <f t="shared" si="26"/>
        <v>1808404.059</v>
      </c>
      <c r="G46" s="284">
        <f t="shared" si="27"/>
        <v>0</v>
      </c>
      <c r="H46" s="285">
        <f t="shared" ref="H46:J46" si="44">$M46*L$8</f>
        <v>9203.799629</v>
      </c>
      <c r="I46" s="285">
        <f t="shared" si="44"/>
        <v>10205.12551</v>
      </c>
      <c r="J46" s="285">
        <f t="shared" si="44"/>
        <v>2091.772643</v>
      </c>
      <c r="K46" s="284">
        <f t="shared" si="5"/>
        <v>21500.69778</v>
      </c>
      <c r="L46" s="284">
        <f>'Monthly  Mortgage Calculation'!E301</f>
        <v>180745.5873</v>
      </c>
      <c r="M46" s="284">
        <f t="shared" si="30"/>
        <v>836709.0572</v>
      </c>
      <c r="N46" s="284">
        <f t="shared" si="6"/>
        <v>655963.4699</v>
      </c>
      <c r="O46" s="161"/>
      <c r="P46" s="286" t="s">
        <v>188</v>
      </c>
      <c r="Q46" s="287">
        <f t="shared" si="7"/>
        <v>1152440.589</v>
      </c>
      <c r="R46" s="288">
        <f t="shared" si="13"/>
        <v>1085276.536</v>
      </c>
      <c r="S46" s="289"/>
    </row>
    <row r="47">
      <c r="B47" s="290">
        <f t="shared" si="8"/>
        <v>2041</v>
      </c>
      <c r="C47" s="283">
        <f t="shared" si="31"/>
        <v>42591.83785</v>
      </c>
      <c r="D47" s="283">
        <f t="shared" si="2"/>
        <v>-20661.12611</v>
      </c>
      <c r="E47" s="283">
        <f t="shared" si="26"/>
        <v>1914027.377</v>
      </c>
      <c r="G47" s="284">
        <f t="shared" si="27"/>
        <v>0</v>
      </c>
      <c r="H47" s="285">
        <f t="shared" ref="H47:J47" si="45">$M47*L$8</f>
        <v>9387.875622</v>
      </c>
      <c r="I47" s="285">
        <f t="shared" si="45"/>
        <v>10409.22802</v>
      </c>
      <c r="J47" s="285">
        <f t="shared" si="45"/>
        <v>2133.608096</v>
      </c>
      <c r="K47" s="284">
        <f t="shared" si="5"/>
        <v>21930.71174</v>
      </c>
      <c r="L47" s="284">
        <f>'Monthly  Mortgage Calculation'!E313</f>
        <v>148409.1112</v>
      </c>
      <c r="M47" s="284">
        <f t="shared" si="30"/>
        <v>853443.2383</v>
      </c>
      <c r="N47" s="284">
        <f t="shared" si="6"/>
        <v>705034.1271</v>
      </c>
      <c r="O47" s="161"/>
      <c r="P47" s="286" t="s">
        <v>189</v>
      </c>
      <c r="Q47" s="287">
        <f t="shared" si="7"/>
        <v>1208993.25</v>
      </c>
      <c r="R47" s="288">
        <f t="shared" si="13"/>
        <v>1130245.315</v>
      </c>
      <c r="S47" s="289"/>
    </row>
    <row r="48">
      <c r="B48" s="290">
        <f t="shared" si="8"/>
        <v>2042</v>
      </c>
      <c r="C48" s="283">
        <f t="shared" si="31"/>
        <v>43443.6746</v>
      </c>
      <c r="D48" s="283">
        <f t="shared" si="2"/>
        <v>-21074.34863</v>
      </c>
      <c r="E48" s="283">
        <f t="shared" si="26"/>
        <v>2026625.027</v>
      </c>
      <c r="G48" s="284">
        <f t="shared" si="27"/>
        <v>0</v>
      </c>
      <c r="H48" s="285">
        <f t="shared" ref="H48:J48" si="46">$M48*L$8</f>
        <v>9575.633134</v>
      </c>
      <c r="I48" s="285">
        <f t="shared" si="46"/>
        <v>10617.41258</v>
      </c>
      <c r="J48" s="285">
        <f t="shared" si="46"/>
        <v>2176.280258</v>
      </c>
      <c r="K48" s="284">
        <f t="shared" si="5"/>
        <v>22369.32597</v>
      </c>
      <c r="L48" s="284">
        <f>'Monthly  Mortgage Calculation'!E325</f>
        <v>114269.6746</v>
      </c>
      <c r="M48" s="284">
        <f t="shared" si="30"/>
        <v>870512.1031</v>
      </c>
      <c r="N48" s="284">
        <f t="shared" si="6"/>
        <v>756242.4285</v>
      </c>
      <c r="O48" s="161"/>
      <c r="P48" s="286" t="s">
        <v>190</v>
      </c>
      <c r="Q48" s="287">
        <f t="shared" si="7"/>
        <v>1270382.599</v>
      </c>
      <c r="R48" s="288">
        <f t="shared" si="13"/>
        <v>1179332.918</v>
      </c>
      <c r="S48" s="289"/>
    </row>
    <row r="49">
      <c r="B49" s="290">
        <f t="shared" si="8"/>
        <v>2043</v>
      </c>
      <c r="C49" s="283">
        <f t="shared" si="31"/>
        <v>44312.5481</v>
      </c>
      <c r="D49" s="283">
        <f t="shared" si="2"/>
        <v>-21495.8356</v>
      </c>
      <c r="E49" s="283">
        <f t="shared" si="26"/>
        <v>2146676.829</v>
      </c>
      <c r="G49" s="284">
        <f t="shared" si="27"/>
        <v>0</v>
      </c>
      <c r="H49" s="285">
        <f t="shared" ref="H49:J49" si="47">$M49*L$8</f>
        <v>9767.145797</v>
      </c>
      <c r="I49" s="285">
        <f t="shared" si="47"/>
        <v>10829.76083</v>
      </c>
      <c r="J49" s="285">
        <f t="shared" si="47"/>
        <v>2219.805863</v>
      </c>
      <c r="K49" s="284">
        <f t="shared" si="5"/>
        <v>22816.71249</v>
      </c>
      <c r="L49" s="284">
        <f>'Monthly  Mortgage Calculation'!E337</f>
        <v>78226.75089</v>
      </c>
      <c r="M49" s="284">
        <f t="shared" si="30"/>
        <v>887922.3451</v>
      </c>
      <c r="N49" s="284">
        <f t="shared" si="6"/>
        <v>809695.5943</v>
      </c>
      <c r="O49" s="161"/>
      <c r="P49" s="286" t="s">
        <v>191</v>
      </c>
      <c r="Q49" s="287">
        <f t="shared" si="7"/>
        <v>1336981.234</v>
      </c>
      <c r="R49" s="288">
        <f t="shared" si="13"/>
        <v>1232863.553</v>
      </c>
      <c r="S49" s="289"/>
    </row>
    <row r="50">
      <c r="B50" s="290">
        <f t="shared" si="8"/>
        <v>2044</v>
      </c>
      <c r="C50" s="283">
        <f t="shared" si="31"/>
        <v>45198.79906</v>
      </c>
      <c r="D50" s="283">
        <f t="shared" si="2"/>
        <v>-21925.75232</v>
      </c>
      <c r="E50" s="283">
        <f t="shared" si="26"/>
        <v>2274696.017</v>
      </c>
      <c r="G50" s="284">
        <f t="shared" si="27"/>
        <v>0</v>
      </c>
      <c r="H50" s="285">
        <f t="shared" ref="H50:J50" si="48">$M50*L$8</f>
        <v>9962.488713</v>
      </c>
      <c r="I50" s="285">
        <f t="shared" si="48"/>
        <v>11046.35605</v>
      </c>
      <c r="J50" s="285">
        <f t="shared" si="48"/>
        <v>2264.20198</v>
      </c>
      <c r="K50" s="284">
        <f t="shared" si="5"/>
        <v>23273.04674</v>
      </c>
      <c r="L50" s="284">
        <f>'Monthly  Mortgage Calculation'!E349</f>
        <v>40174.20897</v>
      </c>
      <c r="M50" s="284">
        <f t="shared" si="30"/>
        <v>905680.7921</v>
      </c>
      <c r="N50" s="284">
        <f t="shared" si="6"/>
        <v>865506.5831</v>
      </c>
      <c r="O50" s="161"/>
      <c r="P50" s="286" t="s">
        <v>192</v>
      </c>
      <c r="Q50" s="287">
        <f t="shared" si="7"/>
        <v>1409189.434</v>
      </c>
      <c r="R50" s="288">
        <f t="shared" si="13"/>
        <v>1291185.757</v>
      </c>
      <c r="S50" s="289"/>
    </row>
    <row r="51">
      <c r="B51" s="290">
        <f t="shared" si="8"/>
        <v>2045</v>
      </c>
      <c r="C51" s="283">
        <f t="shared" si="31"/>
        <v>46102.77504</v>
      </c>
      <c r="D51" s="283">
        <f t="shared" si="2"/>
        <v>-22364.26736</v>
      </c>
      <c r="E51" s="291">
        <f t="shared" si="26"/>
        <v>2411231.584</v>
      </c>
      <c r="G51" s="284">
        <f t="shared" si="27"/>
        <v>0</v>
      </c>
      <c r="H51" s="285">
        <f t="shared" ref="H51:J51" si="49">$M51*L$8</f>
        <v>10161.73849</v>
      </c>
      <c r="I51" s="285">
        <f t="shared" si="49"/>
        <v>11267.28317</v>
      </c>
      <c r="J51" s="285">
        <f t="shared" si="49"/>
        <v>2309.48602</v>
      </c>
      <c r="K51" s="284">
        <f t="shared" si="5"/>
        <v>23738.50768</v>
      </c>
      <c r="L51" s="284">
        <f>'Monthly  Mortgage Calculation'!E350</f>
        <v>36908.98348</v>
      </c>
      <c r="M51" s="284">
        <f t="shared" si="30"/>
        <v>923794.4079</v>
      </c>
      <c r="N51" s="292">
        <f t="shared" si="6"/>
        <v>886885.4244</v>
      </c>
      <c r="O51" s="161"/>
      <c r="P51" s="286" t="s">
        <v>193</v>
      </c>
      <c r="Q51" s="287">
        <f t="shared" si="7"/>
        <v>1524346.16</v>
      </c>
      <c r="R51" s="288">
        <f t="shared" si="13"/>
        <v>1391583.168</v>
      </c>
      <c r="S51" s="289"/>
    </row>
    <row r="52">
      <c r="B52" s="160"/>
      <c r="C52" s="160"/>
      <c r="D52" s="160"/>
      <c r="E52" s="160"/>
      <c r="G52" s="161"/>
      <c r="H52" s="161"/>
      <c r="I52" s="161"/>
      <c r="J52" s="161"/>
      <c r="K52" s="161"/>
      <c r="L52" s="161"/>
      <c r="M52" s="161"/>
      <c r="N52" s="161"/>
      <c r="O52" s="161"/>
      <c r="Q52" s="274"/>
      <c r="R52" s="274"/>
    </row>
    <row r="53">
      <c r="B53" s="331" t="s">
        <v>281</v>
      </c>
      <c r="G53" s="161"/>
      <c r="H53" s="161"/>
      <c r="I53" s="161"/>
      <c r="J53" s="161"/>
      <c r="K53" s="161"/>
      <c r="L53" s="161"/>
      <c r="M53" s="161"/>
      <c r="N53" s="161"/>
      <c r="O53" s="161"/>
      <c r="Q53" s="274"/>
      <c r="R53" s="274"/>
    </row>
    <row r="54">
      <c r="B54" s="331" t="s">
        <v>282</v>
      </c>
      <c r="G54" s="161"/>
      <c r="H54" s="161"/>
      <c r="I54" s="161"/>
      <c r="J54" s="161"/>
      <c r="K54" s="161"/>
      <c r="L54" s="161"/>
      <c r="M54" s="161"/>
      <c r="N54" s="161"/>
      <c r="O54" s="161"/>
      <c r="Q54" s="274"/>
      <c r="R54" s="274"/>
    </row>
  </sheetData>
  <mergeCells count="18">
    <mergeCell ref="B1:E1"/>
    <mergeCell ref="G1:O1"/>
    <mergeCell ref="Q1:R1"/>
    <mergeCell ref="A2:A4"/>
    <mergeCell ref="C4:D4"/>
    <mergeCell ref="G4:H4"/>
    <mergeCell ref="A6:A7"/>
    <mergeCell ref="M14:N14"/>
    <mergeCell ref="Q18:R18"/>
    <mergeCell ref="B53:E53"/>
    <mergeCell ref="B54:E54"/>
    <mergeCell ref="L4:O4"/>
    <mergeCell ref="M10:N10"/>
    <mergeCell ref="M11:N11"/>
    <mergeCell ref="M12:N12"/>
    <mergeCell ref="M13:N13"/>
    <mergeCell ref="C15:E16"/>
    <mergeCell ref="G16:H16"/>
  </mergeCells>
  <hyperlinks>
    <hyperlink r:id="rId1" ref="A11"/>
    <hyperlink r:id="rId2" ref="A16"/>
    <hyperlink r:id="rId3" ref="A1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2" width="17.5"/>
    <col customWidth="1" min="3" max="3" width="9.13"/>
    <col customWidth="1" min="5" max="5" width="15.25"/>
    <col customWidth="1" min="6" max="6" width="9.5"/>
    <col customWidth="1" min="7" max="7" width="15.25"/>
  </cols>
  <sheetData>
    <row r="1">
      <c r="B1" s="74" t="s">
        <v>40</v>
      </c>
      <c r="C1" s="75"/>
      <c r="D1" s="76"/>
      <c r="E1" s="76"/>
      <c r="F1" s="76"/>
      <c r="G1" s="77" t="s">
        <v>41</v>
      </c>
      <c r="H1" s="78"/>
    </row>
    <row r="2">
      <c r="B2" s="79" t="s">
        <v>1</v>
      </c>
      <c r="C2" s="80">
        <v>800000.0</v>
      </c>
      <c r="D2" s="81"/>
      <c r="E2" s="81"/>
      <c r="F2" s="81"/>
      <c r="G2" s="82" t="s">
        <v>8</v>
      </c>
      <c r="H2" s="83">
        <v>1700.0</v>
      </c>
    </row>
    <row r="3">
      <c r="B3" s="79" t="s">
        <v>3</v>
      </c>
      <c r="C3" s="84">
        <v>0.2</v>
      </c>
      <c r="D3" s="81"/>
      <c r="E3" s="81"/>
      <c r="F3" s="81"/>
      <c r="G3" s="85" t="s">
        <v>14</v>
      </c>
      <c r="H3" s="86">
        <v>0.03</v>
      </c>
    </row>
    <row r="4">
      <c r="B4" s="79" t="s">
        <v>5</v>
      </c>
      <c r="C4" s="87">
        <f>C2*(1-C3)</f>
        <v>640000</v>
      </c>
      <c r="D4" s="81"/>
      <c r="E4" s="81"/>
      <c r="F4" s="81"/>
      <c r="G4" s="85" t="s">
        <v>16</v>
      </c>
      <c r="H4" s="88">
        <v>0.07</v>
      </c>
    </row>
    <row r="5">
      <c r="B5" s="79" t="s">
        <v>7</v>
      </c>
      <c r="C5" s="89">
        <v>0.06</v>
      </c>
      <c r="D5" s="81"/>
      <c r="E5" s="81"/>
      <c r="F5" s="81"/>
      <c r="G5" s="81"/>
      <c r="H5" s="90"/>
    </row>
    <row r="6">
      <c r="B6" s="79" t="s">
        <v>9</v>
      </c>
      <c r="C6" s="91">
        <v>30.0</v>
      </c>
      <c r="D6" s="81"/>
      <c r="E6" s="81"/>
      <c r="F6" s="81"/>
      <c r="G6" s="81"/>
      <c r="H6" s="90"/>
    </row>
    <row r="7">
      <c r="B7" s="79" t="s">
        <v>11</v>
      </c>
      <c r="C7" s="87">
        <f>-PMT(C5/12,C6*12,C4,0)</f>
        <v>3837.123361</v>
      </c>
      <c r="D7" s="81"/>
      <c r="E7" s="81"/>
      <c r="F7" s="81"/>
      <c r="G7" s="81"/>
      <c r="H7" s="90"/>
    </row>
    <row r="8">
      <c r="B8" s="92" t="s">
        <v>13</v>
      </c>
      <c r="C8" s="93">
        <v>48000.0</v>
      </c>
      <c r="D8" s="81"/>
      <c r="E8" s="81"/>
      <c r="F8" s="81"/>
      <c r="G8" s="81"/>
      <c r="H8" s="90"/>
    </row>
    <row r="9">
      <c r="B9" s="79" t="s">
        <v>15</v>
      </c>
      <c r="C9" s="94">
        <v>30.0</v>
      </c>
      <c r="D9" s="81"/>
      <c r="E9" s="81"/>
      <c r="F9" s="81"/>
      <c r="G9" s="81"/>
      <c r="H9" s="90"/>
    </row>
    <row r="10">
      <c r="B10" s="79" t="s">
        <v>17</v>
      </c>
      <c r="C10" s="89">
        <v>0.09</v>
      </c>
      <c r="D10" s="81"/>
      <c r="E10" s="81"/>
      <c r="F10" s="81"/>
      <c r="G10" s="81"/>
      <c r="H10" s="90"/>
    </row>
    <row r="11">
      <c r="B11" s="95" t="s">
        <v>2</v>
      </c>
      <c r="C11" s="96">
        <f>C2*0.5%</f>
        <v>4000</v>
      </c>
      <c r="D11" s="81"/>
      <c r="E11" s="81"/>
      <c r="F11" s="81"/>
      <c r="G11" s="81"/>
      <c r="H11" s="90"/>
    </row>
    <row r="12">
      <c r="B12" s="95" t="s">
        <v>4</v>
      </c>
      <c r="C12" s="85">
        <f>C2*1%</f>
        <v>8000</v>
      </c>
      <c r="D12" s="81"/>
      <c r="E12" s="81"/>
      <c r="F12" s="81"/>
      <c r="G12" s="81"/>
      <c r="H12" s="90"/>
    </row>
    <row r="13">
      <c r="B13" s="95" t="s">
        <v>6</v>
      </c>
      <c r="C13" s="85">
        <f>C2*1.3%</f>
        <v>10400</v>
      </c>
      <c r="D13" s="81"/>
      <c r="E13" s="81"/>
      <c r="F13" s="81"/>
      <c r="G13" s="81"/>
      <c r="H13" s="90"/>
    </row>
    <row r="14">
      <c r="B14" s="95" t="s">
        <v>10</v>
      </c>
      <c r="C14" s="97">
        <v>0.09</v>
      </c>
      <c r="D14" s="81"/>
      <c r="E14" s="81"/>
      <c r="F14" s="81"/>
      <c r="G14" s="81"/>
      <c r="H14" s="90"/>
    </row>
    <row r="15">
      <c r="B15" s="95" t="s">
        <v>18</v>
      </c>
      <c r="C15" s="98">
        <v>0.22</v>
      </c>
      <c r="D15" s="81"/>
      <c r="E15" s="81"/>
      <c r="F15" s="81"/>
      <c r="G15" s="81"/>
      <c r="H15" s="90"/>
    </row>
    <row r="16">
      <c r="B16" s="99" t="s">
        <v>42</v>
      </c>
      <c r="C16" s="100">
        <v>0.03</v>
      </c>
      <c r="D16" s="101"/>
      <c r="E16" s="101"/>
      <c r="F16" s="101"/>
      <c r="G16" s="101"/>
      <c r="H16" s="102"/>
    </row>
    <row r="18">
      <c r="A18" s="103" t="s">
        <v>19</v>
      </c>
      <c r="B18" s="104"/>
      <c r="C18" s="105"/>
      <c r="D18" s="105"/>
      <c r="E18" s="105"/>
      <c r="F18" s="105"/>
      <c r="G18" s="105"/>
      <c r="H18" s="105"/>
      <c r="I18" s="105"/>
      <c r="J18" s="105"/>
      <c r="K18" s="105"/>
      <c r="L18" s="105"/>
      <c r="M18" s="105"/>
      <c r="N18" s="105"/>
      <c r="O18" s="105"/>
      <c r="P18" s="105"/>
      <c r="Q18" s="106"/>
      <c r="R18" s="105"/>
      <c r="S18" s="105"/>
      <c r="T18" s="105"/>
      <c r="U18" s="105"/>
      <c r="V18" s="105"/>
      <c r="W18" s="105"/>
      <c r="X18" s="105"/>
      <c r="Y18" s="105"/>
      <c r="Z18" s="105"/>
      <c r="AA18" s="105"/>
      <c r="AB18" s="105"/>
      <c r="AC18" s="105"/>
      <c r="AD18" s="105"/>
      <c r="AE18" s="105"/>
      <c r="AF18" s="105"/>
      <c r="AG18" s="105"/>
      <c r="AH18" s="107"/>
    </row>
    <row r="19">
      <c r="A19" s="108" t="s">
        <v>43</v>
      </c>
      <c r="B19" s="109"/>
      <c r="C19" s="39"/>
      <c r="D19" s="42">
        <v>2023.0</v>
      </c>
      <c r="E19" s="42">
        <f t="shared" ref="E19:AH19" si="1">D19+1</f>
        <v>2024</v>
      </c>
      <c r="F19" s="42">
        <f t="shared" si="1"/>
        <v>2025</v>
      </c>
      <c r="G19" s="42">
        <f t="shared" si="1"/>
        <v>2026</v>
      </c>
      <c r="H19" s="42">
        <f t="shared" si="1"/>
        <v>2027</v>
      </c>
      <c r="I19" s="42">
        <f t="shared" si="1"/>
        <v>2028</v>
      </c>
      <c r="J19" s="42">
        <f t="shared" si="1"/>
        <v>2029</v>
      </c>
      <c r="K19" s="42">
        <f t="shared" si="1"/>
        <v>2030</v>
      </c>
      <c r="L19" s="42">
        <f t="shared" si="1"/>
        <v>2031</v>
      </c>
      <c r="M19" s="42">
        <f t="shared" si="1"/>
        <v>2032</v>
      </c>
      <c r="N19" s="42">
        <f t="shared" si="1"/>
        <v>2033</v>
      </c>
      <c r="O19" s="42">
        <f t="shared" si="1"/>
        <v>2034</v>
      </c>
      <c r="P19" s="42">
        <f t="shared" si="1"/>
        <v>2035</v>
      </c>
      <c r="Q19" s="42">
        <f t="shared" si="1"/>
        <v>2036</v>
      </c>
      <c r="R19" s="42">
        <f t="shared" si="1"/>
        <v>2037</v>
      </c>
      <c r="S19" s="42">
        <f t="shared" si="1"/>
        <v>2038</v>
      </c>
      <c r="T19" s="42">
        <f t="shared" si="1"/>
        <v>2039</v>
      </c>
      <c r="U19" s="42">
        <f t="shared" si="1"/>
        <v>2040</v>
      </c>
      <c r="V19" s="42">
        <f t="shared" si="1"/>
        <v>2041</v>
      </c>
      <c r="W19" s="42">
        <f t="shared" si="1"/>
        <v>2042</v>
      </c>
      <c r="X19" s="42">
        <f t="shared" si="1"/>
        <v>2043</v>
      </c>
      <c r="Y19" s="42">
        <f t="shared" si="1"/>
        <v>2044</v>
      </c>
      <c r="Z19" s="42">
        <f t="shared" si="1"/>
        <v>2045</v>
      </c>
      <c r="AA19" s="42">
        <f t="shared" si="1"/>
        <v>2046</v>
      </c>
      <c r="AB19" s="42">
        <f t="shared" si="1"/>
        <v>2047</v>
      </c>
      <c r="AC19" s="42">
        <f t="shared" si="1"/>
        <v>2048</v>
      </c>
      <c r="AD19" s="42">
        <f t="shared" si="1"/>
        <v>2049</v>
      </c>
      <c r="AE19" s="42">
        <f t="shared" si="1"/>
        <v>2050</v>
      </c>
      <c r="AF19" s="42">
        <f t="shared" si="1"/>
        <v>2051</v>
      </c>
      <c r="AG19" s="42">
        <f t="shared" si="1"/>
        <v>2052</v>
      </c>
      <c r="AH19" s="110">
        <f t="shared" si="1"/>
        <v>2053</v>
      </c>
    </row>
    <row r="20">
      <c r="A20" s="111" t="s">
        <v>20</v>
      </c>
      <c r="B20" s="109"/>
      <c r="C20" s="39"/>
      <c r="D20" s="109">
        <v>0.0</v>
      </c>
      <c r="E20" s="109">
        <v>1.0</v>
      </c>
      <c r="F20" s="109">
        <v>2.0</v>
      </c>
      <c r="G20" s="109">
        <v>3.0</v>
      </c>
      <c r="H20" s="109">
        <v>4.0</v>
      </c>
      <c r="I20" s="109">
        <v>5.0</v>
      </c>
      <c r="J20" s="109">
        <v>6.0</v>
      </c>
      <c r="K20" s="109">
        <v>7.0</v>
      </c>
      <c r="L20" s="109">
        <v>8.0</v>
      </c>
      <c r="M20" s="109">
        <v>9.0</v>
      </c>
      <c r="N20" s="109">
        <v>10.0</v>
      </c>
      <c r="O20" s="42">
        <v>11.0</v>
      </c>
      <c r="P20" s="42">
        <v>12.0</v>
      </c>
      <c r="Q20" s="42">
        <v>13.0</v>
      </c>
      <c r="R20" s="42">
        <v>14.0</v>
      </c>
      <c r="S20" s="42">
        <v>15.0</v>
      </c>
      <c r="T20" s="42">
        <v>16.0</v>
      </c>
      <c r="U20" s="42">
        <v>17.0</v>
      </c>
      <c r="V20" s="42">
        <v>18.0</v>
      </c>
      <c r="W20" s="42">
        <v>19.0</v>
      </c>
      <c r="X20" s="42">
        <v>20.0</v>
      </c>
      <c r="Y20" s="42">
        <v>21.0</v>
      </c>
      <c r="Z20" s="42">
        <v>22.0</v>
      </c>
      <c r="AA20" s="42">
        <v>23.0</v>
      </c>
      <c r="AB20" s="42">
        <v>24.0</v>
      </c>
      <c r="AC20" s="42">
        <v>25.0</v>
      </c>
      <c r="AD20" s="42">
        <v>26.0</v>
      </c>
      <c r="AE20" s="42">
        <v>27.0</v>
      </c>
      <c r="AF20" s="42">
        <v>28.0</v>
      </c>
      <c r="AG20" s="42">
        <v>29.0</v>
      </c>
      <c r="AH20" s="112">
        <v>30.0</v>
      </c>
    </row>
    <row r="21">
      <c r="A21" s="113" t="s">
        <v>21</v>
      </c>
      <c r="B21" s="10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114"/>
    </row>
    <row r="22">
      <c r="A22" s="111" t="s">
        <v>22</v>
      </c>
      <c r="B22" s="109"/>
      <c r="C22" s="39"/>
      <c r="D22" s="115">
        <f>(C3*C2)+C8</f>
        <v>208000</v>
      </c>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114"/>
    </row>
    <row r="23">
      <c r="A23" s="111" t="s">
        <v>23</v>
      </c>
      <c r="B23" s="109"/>
      <c r="C23" s="39"/>
      <c r="D23" s="39"/>
      <c r="E23" s="39">
        <f>C11+C12</f>
        <v>12000</v>
      </c>
      <c r="F23" s="39">
        <f t="shared" ref="F23:AH23" si="2">E23*(1+$C$16)</f>
        <v>12360</v>
      </c>
      <c r="G23" s="39">
        <f t="shared" si="2"/>
        <v>12730.8</v>
      </c>
      <c r="H23" s="39">
        <f t="shared" si="2"/>
        <v>13112.724</v>
      </c>
      <c r="I23" s="39">
        <f t="shared" si="2"/>
        <v>13506.10572</v>
      </c>
      <c r="J23" s="39">
        <f t="shared" si="2"/>
        <v>13911.28889</v>
      </c>
      <c r="K23" s="39">
        <f t="shared" si="2"/>
        <v>14328.62756</v>
      </c>
      <c r="L23" s="39">
        <f t="shared" si="2"/>
        <v>14758.48639</v>
      </c>
      <c r="M23" s="39">
        <f t="shared" si="2"/>
        <v>15201.24098</v>
      </c>
      <c r="N23" s="39">
        <f t="shared" si="2"/>
        <v>15657.27821</v>
      </c>
      <c r="O23" s="39">
        <f t="shared" si="2"/>
        <v>16126.99655</v>
      </c>
      <c r="P23" s="39">
        <f t="shared" si="2"/>
        <v>16610.80645</v>
      </c>
      <c r="Q23" s="39">
        <f t="shared" si="2"/>
        <v>17109.13064</v>
      </c>
      <c r="R23" s="39">
        <f t="shared" si="2"/>
        <v>17622.40456</v>
      </c>
      <c r="S23" s="39">
        <f t="shared" si="2"/>
        <v>18151.0767</v>
      </c>
      <c r="T23" s="39">
        <f t="shared" si="2"/>
        <v>18695.609</v>
      </c>
      <c r="U23" s="39">
        <f t="shared" si="2"/>
        <v>19256.47727</v>
      </c>
      <c r="V23" s="39">
        <f t="shared" si="2"/>
        <v>19834.17159</v>
      </c>
      <c r="W23" s="39">
        <f t="shared" si="2"/>
        <v>20429.19673</v>
      </c>
      <c r="X23" s="39">
        <f t="shared" si="2"/>
        <v>21042.07264</v>
      </c>
      <c r="Y23" s="39">
        <f t="shared" si="2"/>
        <v>21673.33482</v>
      </c>
      <c r="Z23" s="39">
        <f t="shared" si="2"/>
        <v>22323.53486</v>
      </c>
      <c r="AA23" s="39">
        <f t="shared" si="2"/>
        <v>22993.24091</v>
      </c>
      <c r="AB23" s="39">
        <f t="shared" si="2"/>
        <v>23683.03813</v>
      </c>
      <c r="AC23" s="39">
        <f t="shared" si="2"/>
        <v>24393.52928</v>
      </c>
      <c r="AD23" s="39">
        <f t="shared" si="2"/>
        <v>25125.33516</v>
      </c>
      <c r="AE23" s="39">
        <f t="shared" si="2"/>
        <v>25879.09521</v>
      </c>
      <c r="AF23" s="39">
        <f t="shared" si="2"/>
        <v>26655.46807</v>
      </c>
      <c r="AG23" s="39">
        <f t="shared" si="2"/>
        <v>27455.13211</v>
      </c>
      <c r="AH23" s="114">
        <f t="shared" si="2"/>
        <v>28278.78607</v>
      </c>
    </row>
    <row r="24">
      <c r="A24" s="111" t="s">
        <v>6</v>
      </c>
      <c r="B24" s="109"/>
      <c r="C24" s="39"/>
      <c r="D24" s="39"/>
      <c r="E24" s="39">
        <f>$C$13</f>
        <v>10400</v>
      </c>
      <c r="F24" s="39">
        <f t="shared" ref="F24:AH24" si="3">E24*(1+$C$14)</f>
        <v>11336</v>
      </c>
      <c r="G24" s="39">
        <f t="shared" si="3"/>
        <v>12356.24</v>
      </c>
      <c r="H24" s="39">
        <f t="shared" si="3"/>
        <v>13468.3016</v>
      </c>
      <c r="I24" s="39">
        <f t="shared" si="3"/>
        <v>14680.44874</v>
      </c>
      <c r="J24" s="39">
        <f t="shared" si="3"/>
        <v>16001.68913</v>
      </c>
      <c r="K24" s="39">
        <f t="shared" si="3"/>
        <v>17441.84115</v>
      </c>
      <c r="L24" s="39">
        <f t="shared" si="3"/>
        <v>19011.60686</v>
      </c>
      <c r="M24" s="39">
        <f t="shared" si="3"/>
        <v>20722.65147</v>
      </c>
      <c r="N24" s="39">
        <f t="shared" si="3"/>
        <v>22587.69011</v>
      </c>
      <c r="O24" s="39">
        <f t="shared" si="3"/>
        <v>24620.58222</v>
      </c>
      <c r="P24" s="39">
        <f t="shared" si="3"/>
        <v>26836.43462</v>
      </c>
      <c r="Q24" s="39">
        <f t="shared" si="3"/>
        <v>29251.71373</v>
      </c>
      <c r="R24" s="39">
        <f t="shared" si="3"/>
        <v>31884.36797</v>
      </c>
      <c r="S24" s="39">
        <f t="shared" si="3"/>
        <v>34753.96108</v>
      </c>
      <c r="T24" s="39">
        <f t="shared" si="3"/>
        <v>37881.81758</v>
      </c>
      <c r="U24" s="39">
        <f t="shared" si="3"/>
        <v>41291.18116</v>
      </c>
      <c r="V24" s="39">
        <f t="shared" si="3"/>
        <v>45007.38747</v>
      </c>
      <c r="W24" s="39">
        <f t="shared" si="3"/>
        <v>49058.05234</v>
      </c>
      <c r="X24" s="39">
        <f t="shared" si="3"/>
        <v>53473.27705</v>
      </c>
      <c r="Y24" s="39">
        <f t="shared" si="3"/>
        <v>58285.87198</v>
      </c>
      <c r="Z24" s="39">
        <f t="shared" si="3"/>
        <v>63531.60046</v>
      </c>
      <c r="AA24" s="39">
        <f t="shared" si="3"/>
        <v>69249.44451</v>
      </c>
      <c r="AB24" s="39">
        <f t="shared" si="3"/>
        <v>75481.89451</v>
      </c>
      <c r="AC24" s="39">
        <f t="shared" si="3"/>
        <v>82275.26502</v>
      </c>
      <c r="AD24" s="39">
        <f t="shared" si="3"/>
        <v>89680.03887</v>
      </c>
      <c r="AE24" s="39">
        <f t="shared" si="3"/>
        <v>97751.24237</v>
      </c>
      <c r="AF24" s="39">
        <f t="shared" si="3"/>
        <v>106548.8542</v>
      </c>
      <c r="AG24" s="39">
        <f t="shared" si="3"/>
        <v>116138.2511</v>
      </c>
      <c r="AH24" s="114">
        <f t="shared" si="3"/>
        <v>126590.6937</v>
      </c>
    </row>
    <row r="25">
      <c r="A25" s="111" t="s">
        <v>24</v>
      </c>
      <c r="B25" s="109"/>
      <c r="C25" s="39"/>
      <c r="D25" s="39"/>
      <c r="E25" s="39">
        <f t="shared" ref="E25:AH25" si="4">$C$7*12</f>
        <v>46045.48033</v>
      </c>
      <c r="F25" s="39">
        <f t="shared" si="4"/>
        <v>46045.48033</v>
      </c>
      <c r="G25" s="39">
        <f t="shared" si="4"/>
        <v>46045.48033</v>
      </c>
      <c r="H25" s="39">
        <f t="shared" si="4"/>
        <v>46045.48033</v>
      </c>
      <c r="I25" s="39">
        <f t="shared" si="4"/>
        <v>46045.48033</v>
      </c>
      <c r="J25" s="39">
        <f t="shared" si="4"/>
        <v>46045.48033</v>
      </c>
      <c r="K25" s="39">
        <f t="shared" si="4"/>
        <v>46045.48033</v>
      </c>
      <c r="L25" s="39">
        <f t="shared" si="4"/>
        <v>46045.48033</v>
      </c>
      <c r="M25" s="39">
        <f t="shared" si="4"/>
        <v>46045.48033</v>
      </c>
      <c r="N25" s="39">
        <f t="shared" si="4"/>
        <v>46045.48033</v>
      </c>
      <c r="O25" s="39">
        <f t="shared" si="4"/>
        <v>46045.48033</v>
      </c>
      <c r="P25" s="39">
        <f t="shared" si="4"/>
        <v>46045.48033</v>
      </c>
      <c r="Q25" s="39">
        <f t="shared" si="4"/>
        <v>46045.48033</v>
      </c>
      <c r="R25" s="39">
        <f t="shared" si="4"/>
        <v>46045.48033</v>
      </c>
      <c r="S25" s="39">
        <f t="shared" si="4"/>
        <v>46045.48033</v>
      </c>
      <c r="T25" s="39">
        <f t="shared" si="4"/>
        <v>46045.48033</v>
      </c>
      <c r="U25" s="39">
        <f t="shared" si="4"/>
        <v>46045.48033</v>
      </c>
      <c r="V25" s="39">
        <f t="shared" si="4"/>
        <v>46045.48033</v>
      </c>
      <c r="W25" s="39">
        <f t="shared" si="4"/>
        <v>46045.48033</v>
      </c>
      <c r="X25" s="39">
        <f t="shared" si="4"/>
        <v>46045.48033</v>
      </c>
      <c r="Y25" s="39">
        <f t="shared" si="4"/>
        <v>46045.48033</v>
      </c>
      <c r="Z25" s="39">
        <f t="shared" si="4"/>
        <v>46045.48033</v>
      </c>
      <c r="AA25" s="39">
        <f t="shared" si="4"/>
        <v>46045.48033</v>
      </c>
      <c r="AB25" s="39">
        <f t="shared" si="4"/>
        <v>46045.48033</v>
      </c>
      <c r="AC25" s="39">
        <f t="shared" si="4"/>
        <v>46045.48033</v>
      </c>
      <c r="AD25" s="39">
        <f t="shared" si="4"/>
        <v>46045.48033</v>
      </c>
      <c r="AE25" s="39">
        <f t="shared" si="4"/>
        <v>46045.48033</v>
      </c>
      <c r="AF25" s="39">
        <f t="shared" si="4"/>
        <v>46045.48033</v>
      </c>
      <c r="AG25" s="39">
        <f t="shared" si="4"/>
        <v>46045.48033</v>
      </c>
      <c r="AH25" s="114">
        <f t="shared" si="4"/>
        <v>46045.48033</v>
      </c>
    </row>
    <row r="26">
      <c r="A26" s="111"/>
      <c r="B26" s="10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14"/>
    </row>
    <row r="27">
      <c r="A27" s="111" t="s">
        <v>25</v>
      </c>
      <c r="B27" s="109"/>
      <c r="C27" s="39"/>
      <c r="D27" s="39">
        <f t="shared" ref="D27:AH27" si="5">SUM(D22:D25)</f>
        <v>208000</v>
      </c>
      <c r="E27" s="39">
        <f t="shared" si="5"/>
        <v>68445.48033</v>
      </c>
      <c r="F27" s="39">
        <f t="shared" si="5"/>
        <v>69741.48033</v>
      </c>
      <c r="G27" s="39">
        <f t="shared" si="5"/>
        <v>71132.52033</v>
      </c>
      <c r="H27" s="39">
        <f t="shared" si="5"/>
        <v>72626.50593</v>
      </c>
      <c r="I27" s="39">
        <f t="shared" si="5"/>
        <v>74232.0348</v>
      </c>
      <c r="J27" s="39">
        <f t="shared" si="5"/>
        <v>75958.45835</v>
      </c>
      <c r="K27" s="39">
        <f t="shared" si="5"/>
        <v>77815.94904</v>
      </c>
      <c r="L27" s="39">
        <f t="shared" si="5"/>
        <v>79815.57357</v>
      </c>
      <c r="M27" s="39">
        <f t="shared" si="5"/>
        <v>81969.37278</v>
      </c>
      <c r="N27" s="39">
        <f t="shared" si="5"/>
        <v>84290.44864</v>
      </c>
      <c r="O27" s="39">
        <f t="shared" si="5"/>
        <v>86793.0591</v>
      </c>
      <c r="P27" s="39">
        <f t="shared" si="5"/>
        <v>89492.7214</v>
      </c>
      <c r="Q27" s="39">
        <f t="shared" si="5"/>
        <v>92406.3247</v>
      </c>
      <c r="R27" s="39">
        <f t="shared" si="5"/>
        <v>95552.25286</v>
      </c>
      <c r="S27" s="39">
        <f t="shared" si="5"/>
        <v>98950.51811</v>
      </c>
      <c r="T27" s="39">
        <f t="shared" si="5"/>
        <v>102622.9069</v>
      </c>
      <c r="U27" s="39">
        <f t="shared" si="5"/>
        <v>106593.1388</v>
      </c>
      <c r="V27" s="39">
        <f t="shared" si="5"/>
        <v>110887.0394</v>
      </c>
      <c r="W27" s="39">
        <f t="shared" si="5"/>
        <v>115532.7294</v>
      </c>
      <c r="X27" s="39">
        <f t="shared" si="5"/>
        <v>120560.83</v>
      </c>
      <c r="Y27" s="39">
        <f t="shared" si="5"/>
        <v>126004.6871</v>
      </c>
      <c r="Z27" s="39">
        <f t="shared" si="5"/>
        <v>131900.6157</v>
      </c>
      <c r="AA27" s="39">
        <f t="shared" si="5"/>
        <v>138288.1657</v>
      </c>
      <c r="AB27" s="39">
        <f t="shared" si="5"/>
        <v>145210.413</v>
      </c>
      <c r="AC27" s="39">
        <f t="shared" si="5"/>
        <v>152714.2746</v>
      </c>
      <c r="AD27" s="39">
        <f t="shared" si="5"/>
        <v>160850.8544</v>
      </c>
      <c r="AE27" s="39">
        <f t="shared" si="5"/>
        <v>169675.8179</v>
      </c>
      <c r="AF27" s="39">
        <f t="shared" si="5"/>
        <v>179249.8026</v>
      </c>
      <c r="AG27" s="39">
        <f t="shared" si="5"/>
        <v>189638.8635</v>
      </c>
      <c r="AH27" s="114">
        <f t="shared" si="5"/>
        <v>200914.9601</v>
      </c>
    </row>
    <row r="28">
      <c r="A28" s="111"/>
      <c r="B28" s="10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14"/>
    </row>
    <row r="29">
      <c r="A29" s="113" t="s">
        <v>26</v>
      </c>
      <c r="B29" s="10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114"/>
    </row>
    <row r="30">
      <c r="A30" s="111" t="s">
        <v>27</v>
      </c>
      <c r="B30" s="116"/>
      <c r="C30" s="39"/>
      <c r="D30" s="47">
        <f>IF($H$10*(D35+D24-12200)&gt;0,$H$10*(D35+D24-12200),0)</f>
        <v>0</v>
      </c>
      <c r="E30" s="47">
        <f t="shared" ref="E30:AH30" si="6">IF($C$15*(E35+E24-12200)&gt;0,$C$15*(E35+E24-12200),0)</f>
        <v>8004.965182</v>
      </c>
      <c r="F30" s="47">
        <f t="shared" si="6"/>
        <v>8104.241748</v>
      </c>
      <c r="G30" s="47">
        <f t="shared" si="6"/>
        <v>8215.47358</v>
      </c>
      <c r="H30" s="47">
        <f t="shared" si="6"/>
        <v>8339.922943</v>
      </c>
      <c r="I30" s="47">
        <f t="shared" si="6"/>
        <v>8478.977194</v>
      </c>
      <c r="J30" s="47">
        <f t="shared" si="6"/>
        <v>8634.160752</v>
      </c>
      <c r="K30" s="47">
        <f t="shared" si="6"/>
        <v>8807.148184</v>
      </c>
      <c r="L30" s="47">
        <f t="shared" si="6"/>
        <v>8999.77852</v>
      </c>
      <c r="M30" s="47">
        <f t="shared" si="6"/>
        <v>9214.070896</v>
      </c>
      <c r="N30" s="47">
        <f t="shared" si="6"/>
        <v>9452.241674</v>
      </c>
      <c r="O30" s="47">
        <f t="shared" si="6"/>
        <v>9716.723138</v>
      </c>
      <c r="P30" s="47">
        <f t="shared" si="6"/>
        <v>10010.18395</v>
      </c>
      <c r="Q30" s="47">
        <f t="shared" si="6"/>
        <v>10335.5515</v>
      </c>
      <c r="R30" s="47">
        <f t="shared" si="6"/>
        <v>10696.03632</v>
      </c>
      <c r="S30" s="47">
        <f t="shared" si="6"/>
        <v>11095.15881</v>
      </c>
      <c r="T30" s="47">
        <f t="shared" si="6"/>
        <v>11536.7784</v>
      </c>
      <c r="U30" s="47">
        <f t="shared" si="6"/>
        <v>12025.12543</v>
      </c>
      <c r="V30" s="47">
        <f t="shared" si="6"/>
        <v>12564.83597</v>
      </c>
      <c r="W30" s="47">
        <f t="shared" si="6"/>
        <v>13160.98991</v>
      </c>
      <c r="X30" s="47">
        <f t="shared" si="6"/>
        <v>13819.15254</v>
      </c>
      <c r="Y30" s="47">
        <f t="shared" si="6"/>
        <v>14545.41994</v>
      </c>
      <c r="Z30" s="47">
        <f t="shared" si="6"/>
        <v>15346.46863</v>
      </c>
      <c r="AA30" s="47">
        <f t="shared" si="6"/>
        <v>16229.60977</v>
      </c>
      <c r="AB30" s="47">
        <f t="shared" si="6"/>
        <v>17202.84832</v>
      </c>
      <c r="AC30" s="47">
        <f t="shared" si="6"/>
        <v>18274.94776</v>
      </c>
      <c r="AD30" s="47">
        <f t="shared" si="6"/>
        <v>19455.50063</v>
      </c>
      <c r="AE30" s="47">
        <f t="shared" si="6"/>
        <v>20755.00568</v>
      </c>
      <c r="AF30" s="47">
        <f t="shared" si="6"/>
        <v>22184.95208</v>
      </c>
      <c r="AG30" s="47">
        <f t="shared" si="6"/>
        <v>23757.91132</v>
      </c>
      <c r="AH30" s="117">
        <f t="shared" si="6"/>
        <v>25487.63763</v>
      </c>
    </row>
    <row r="31">
      <c r="A31" s="111"/>
      <c r="B31" s="10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114"/>
    </row>
    <row r="32">
      <c r="A32" s="118" t="s">
        <v>28</v>
      </c>
      <c r="B32" s="109"/>
      <c r="C32" s="39"/>
      <c r="D32" s="39">
        <f t="shared" ref="D32:AH32" si="7">D27-D30</f>
        <v>208000</v>
      </c>
      <c r="E32" s="39">
        <f t="shared" si="7"/>
        <v>60440.51515</v>
      </c>
      <c r="F32" s="39">
        <f t="shared" si="7"/>
        <v>61637.23858</v>
      </c>
      <c r="G32" s="39">
        <f t="shared" si="7"/>
        <v>62917.04675</v>
      </c>
      <c r="H32" s="39">
        <f t="shared" si="7"/>
        <v>64286.58299</v>
      </c>
      <c r="I32" s="39">
        <f t="shared" si="7"/>
        <v>65753.0576</v>
      </c>
      <c r="J32" s="39">
        <f t="shared" si="7"/>
        <v>67324.2976</v>
      </c>
      <c r="K32" s="39">
        <f t="shared" si="7"/>
        <v>69008.80086</v>
      </c>
      <c r="L32" s="39">
        <f t="shared" si="7"/>
        <v>70815.79505</v>
      </c>
      <c r="M32" s="39">
        <f t="shared" si="7"/>
        <v>72755.30189</v>
      </c>
      <c r="N32" s="39">
        <f t="shared" si="7"/>
        <v>74838.20697</v>
      </c>
      <c r="O32" s="39">
        <f t="shared" si="7"/>
        <v>77076.33596</v>
      </c>
      <c r="P32" s="39">
        <f t="shared" si="7"/>
        <v>79482.53745</v>
      </c>
      <c r="Q32" s="39">
        <f t="shared" si="7"/>
        <v>82070.77321</v>
      </c>
      <c r="R32" s="39">
        <f t="shared" si="7"/>
        <v>84856.21654</v>
      </c>
      <c r="S32" s="39">
        <f t="shared" si="7"/>
        <v>87855.3593</v>
      </c>
      <c r="T32" s="39">
        <f t="shared" si="7"/>
        <v>91086.12851</v>
      </c>
      <c r="U32" s="39">
        <f t="shared" si="7"/>
        <v>94568.01334</v>
      </c>
      <c r="V32" s="39">
        <f t="shared" si="7"/>
        <v>98322.20342</v>
      </c>
      <c r="W32" s="39">
        <f t="shared" si="7"/>
        <v>102371.7395</v>
      </c>
      <c r="X32" s="39">
        <f t="shared" si="7"/>
        <v>106741.6775</v>
      </c>
      <c r="Y32" s="39">
        <f t="shared" si="7"/>
        <v>111459.2672</v>
      </c>
      <c r="Z32" s="39">
        <f t="shared" si="7"/>
        <v>116554.147</v>
      </c>
      <c r="AA32" s="39">
        <f t="shared" si="7"/>
        <v>122058.556</v>
      </c>
      <c r="AB32" s="39">
        <f t="shared" si="7"/>
        <v>128007.5647</v>
      </c>
      <c r="AC32" s="39">
        <f t="shared" si="7"/>
        <v>134439.3269</v>
      </c>
      <c r="AD32" s="39">
        <f t="shared" si="7"/>
        <v>141395.3537</v>
      </c>
      <c r="AE32" s="39">
        <f t="shared" si="7"/>
        <v>148920.8122</v>
      </c>
      <c r="AF32" s="39">
        <f t="shared" si="7"/>
        <v>157064.8505</v>
      </c>
      <c r="AG32" s="39">
        <f t="shared" si="7"/>
        <v>165880.9522</v>
      </c>
      <c r="AH32" s="114">
        <f t="shared" si="7"/>
        <v>175427.3224</v>
      </c>
    </row>
    <row r="33">
      <c r="A33" s="111"/>
      <c r="B33" s="10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114"/>
    </row>
    <row r="34">
      <c r="A34" s="119" t="s">
        <v>44</v>
      </c>
      <c r="B34" s="10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14"/>
    </row>
    <row r="35">
      <c r="A35" s="111" t="s">
        <v>30</v>
      </c>
      <c r="B35" s="109"/>
      <c r="C35" s="39"/>
      <c r="D35" s="39"/>
      <c r="E35" s="39">
        <f t="shared" ref="E35:N35" si="8">-CUMIPMT($C$5/12,$C$6*12,$C$4,D20*12+1,E20*12,0)</f>
        <v>38186.20537</v>
      </c>
      <c r="F35" s="39">
        <f t="shared" si="8"/>
        <v>37701.46249</v>
      </c>
      <c r="G35" s="39">
        <f t="shared" si="8"/>
        <v>37186.82173</v>
      </c>
      <c r="H35" s="39">
        <f t="shared" si="8"/>
        <v>36640.43905</v>
      </c>
      <c r="I35" s="39">
        <f t="shared" si="8"/>
        <v>36060.35668</v>
      </c>
      <c r="J35" s="39">
        <f t="shared" si="8"/>
        <v>35444.4961</v>
      </c>
      <c r="K35" s="39">
        <f t="shared" si="8"/>
        <v>34790.65059</v>
      </c>
      <c r="L35" s="39">
        <f t="shared" si="8"/>
        <v>34096.47732</v>
      </c>
      <c r="M35" s="39">
        <f t="shared" si="8"/>
        <v>33359.48896</v>
      </c>
      <c r="N35" s="39">
        <f t="shared" si="8"/>
        <v>32577.04477</v>
      </c>
      <c r="O35" s="39">
        <f t="shared" ref="O35:AH35" si="9">-CUMIPMT($C$5/12,$C$6*12,$C$4,N20*12+1,O20*12,0)</f>
        <v>31746.34114</v>
      </c>
      <c r="P35" s="39">
        <f t="shared" si="9"/>
        <v>30864.40152</v>
      </c>
      <c r="Q35" s="39">
        <f t="shared" si="9"/>
        <v>29928.0658</v>
      </c>
      <c r="R35" s="39">
        <f t="shared" si="9"/>
        <v>28933.97894</v>
      </c>
      <c r="S35" s="39">
        <f t="shared" si="9"/>
        <v>27878.57898</v>
      </c>
      <c r="T35" s="39">
        <f t="shared" si="9"/>
        <v>26758.08425</v>
      </c>
      <c r="U35" s="39">
        <f t="shared" si="9"/>
        <v>25568.47987</v>
      </c>
      <c r="V35" s="39">
        <f t="shared" si="9"/>
        <v>24305.50328</v>
      </c>
      <c r="W35" s="39">
        <f t="shared" si="9"/>
        <v>22964.62907</v>
      </c>
      <c r="X35" s="39">
        <f t="shared" si="9"/>
        <v>21541.05267</v>
      </c>
      <c r="Y35" s="39">
        <f t="shared" si="9"/>
        <v>20029.67319</v>
      </c>
      <c r="Z35" s="39">
        <f t="shared" si="9"/>
        <v>18425.07513</v>
      </c>
      <c r="AA35" s="39">
        <f t="shared" si="9"/>
        <v>16721.50897</v>
      </c>
      <c r="AB35" s="39">
        <f t="shared" si="9"/>
        <v>14912.87058</v>
      </c>
      <c r="AC35" s="39">
        <f t="shared" si="9"/>
        <v>12992.67934</v>
      </c>
      <c r="AD35" s="39">
        <f t="shared" si="9"/>
        <v>10954.0549</v>
      </c>
      <c r="AE35" s="39">
        <f t="shared" si="9"/>
        <v>8789.69256</v>
      </c>
      <c r="AF35" s="39">
        <f t="shared" si="9"/>
        <v>6491.837091</v>
      </c>
      <c r="AG35" s="39">
        <f t="shared" si="9"/>
        <v>4052.254925</v>
      </c>
      <c r="AH35" s="114">
        <f t="shared" si="9"/>
        <v>1462.204669</v>
      </c>
    </row>
    <row r="36">
      <c r="A36" s="111" t="s">
        <v>31</v>
      </c>
      <c r="B36" s="109"/>
      <c r="C36" s="39"/>
      <c r="D36" s="39"/>
      <c r="E36" s="39">
        <f t="shared" ref="E36:AH36" si="10">E25-E35</f>
        <v>7859.274959</v>
      </c>
      <c r="F36" s="39">
        <f t="shared" si="10"/>
        <v>8344.017841</v>
      </c>
      <c r="G36" s="39">
        <f t="shared" si="10"/>
        <v>8858.658603</v>
      </c>
      <c r="H36" s="39">
        <f t="shared" si="10"/>
        <v>9405.041282</v>
      </c>
      <c r="I36" s="39">
        <f t="shared" si="10"/>
        <v>9985.123649</v>
      </c>
      <c r="J36" s="39">
        <f t="shared" si="10"/>
        <v>10600.98423</v>
      </c>
      <c r="K36" s="39">
        <f t="shared" si="10"/>
        <v>11254.82974</v>
      </c>
      <c r="L36" s="39">
        <f t="shared" si="10"/>
        <v>11949.00301</v>
      </c>
      <c r="M36" s="39">
        <f t="shared" si="10"/>
        <v>12685.99137</v>
      </c>
      <c r="N36" s="39">
        <f t="shared" si="10"/>
        <v>13468.43556</v>
      </c>
      <c r="O36" s="39">
        <f t="shared" si="10"/>
        <v>14299.13919</v>
      </c>
      <c r="P36" s="39">
        <f t="shared" si="10"/>
        <v>15181.07881</v>
      </c>
      <c r="Q36" s="39">
        <f t="shared" si="10"/>
        <v>16117.41453</v>
      </c>
      <c r="R36" s="39">
        <f t="shared" si="10"/>
        <v>17111.50139</v>
      </c>
      <c r="S36" s="39">
        <f t="shared" si="10"/>
        <v>18166.90136</v>
      </c>
      <c r="T36" s="39">
        <f t="shared" si="10"/>
        <v>19287.39608</v>
      </c>
      <c r="U36" s="39">
        <f t="shared" si="10"/>
        <v>20477.00047</v>
      </c>
      <c r="V36" s="39">
        <f t="shared" si="10"/>
        <v>21739.97705</v>
      </c>
      <c r="W36" s="39">
        <f t="shared" si="10"/>
        <v>23080.85126</v>
      </c>
      <c r="X36" s="39">
        <f t="shared" si="10"/>
        <v>24504.42767</v>
      </c>
      <c r="Y36" s="39">
        <f t="shared" si="10"/>
        <v>26015.80714</v>
      </c>
      <c r="Z36" s="39">
        <f t="shared" si="10"/>
        <v>27620.4052</v>
      </c>
      <c r="AA36" s="39">
        <f t="shared" si="10"/>
        <v>29323.97136</v>
      </c>
      <c r="AB36" s="39">
        <f t="shared" si="10"/>
        <v>31132.60975</v>
      </c>
      <c r="AC36" s="39">
        <f t="shared" si="10"/>
        <v>33052.80099</v>
      </c>
      <c r="AD36" s="39">
        <f t="shared" si="10"/>
        <v>35091.42544</v>
      </c>
      <c r="AE36" s="39">
        <f t="shared" si="10"/>
        <v>37255.78777</v>
      </c>
      <c r="AF36" s="39">
        <f t="shared" si="10"/>
        <v>39553.64324</v>
      </c>
      <c r="AG36" s="39">
        <f t="shared" si="10"/>
        <v>41993.22541</v>
      </c>
      <c r="AH36" s="114">
        <f t="shared" si="10"/>
        <v>44583.27566</v>
      </c>
    </row>
    <row r="37">
      <c r="A37" s="111" t="s">
        <v>32</v>
      </c>
      <c r="B37" s="109"/>
      <c r="C37" s="39"/>
      <c r="D37" s="39">
        <f>C2</f>
        <v>800000</v>
      </c>
      <c r="E37" s="39">
        <f t="shared" ref="E37:AH37" si="11">D37*(1+$C$14)</f>
        <v>872000</v>
      </c>
      <c r="F37" s="39">
        <f t="shared" si="11"/>
        <v>950480</v>
      </c>
      <c r="G37" s="39">
        <f t="shared" si="11"/>
        <v>1036023.2</v>
      </c>
      <c r="H37" s="39">
        <f t="shared" si="11"/>
        <v>1129265.288</v>
      </c>
      <c r="I37" s="39">
        <f t="shared" si="11"/>
        <v>1230899.164</v>
      </c>
      <c r="J37" s="39">
        <f t="shared" si="11"/>
        <v>1341680.089</v>
      </c>
      <c r="K37" s="39">
        <f t="shared" si="11"/>
        <v>1462431.297</v>
      </c>
      <c r="L37" s="39">
        <f t="shared" si="11"/>
        <v>1594050.113</v>
      </c>
      <c r="M37" s="39">
        <f t="shared" si="11"/>
        <v>1737514.624</v>
      </c>
      <c r="N37" s="39">
        <f t="shared" si="11"/>
        <v>1893890.94</v>
      </c>
      <c r="O37" s="39">
        <f t="shared" si="11"/>
        <v>2064341.124</v>
      </c>
      <c r="P37" s="39">
        <f t="shared" si="11"/>
        <v>2250131.825</v>
      </c>
      <c r="Q37" s="39">
        <f t="shared" si="11"/>
        <v>2452643.69</v>
      </c>
      <c r="R37" s="39">
        <f t="shared" si="11"/>
        <v>2673381.622</v>
      </c>
      <c r="S37" s="39">
        <f t="shared" si="11"/>
        <v>2913985.968</v>
      </c>
      <c r="T37" s="39">
        <f t="shared" si="11"/>
        <v>3176244.705</v>
      </c>
      <c r="U37" s="39">
        <f t="shared" si="11"/>
        <v>3462106.728</v>
      </c>
      <c r="V37" s="39">
        <f t="shared" si="11"/>
        <v>3773696.334</v>
      </c>
      <c r="W37" s="39">
        <f t="shared" si="11"/>
        <v>4113329.004</v>
      </c>
      <c r="X37" s="39">
        <f t="shared" si="11"/>
        <v>4483528.614</v>
      </c>
      <c r="Y37" s="39">
        <f t="shared" si="11"/>
        <v>4887046.19</v>
      </c>
      <c r="Z37" s="39">
        <f t="shared" si="11"/>
        <v>5326880.347</v>
      </c>
      <c r="AA37" s="39">
        <f t="shared" si="11"/>
        <v>5806299.578</v>
      </c>
      <c r="AB37" s="39">
        <f t="shared" si="11"/>
        <v>6328866.54</v>
      </c>
      <c r="AC37" s="39">
        <f t="shared" si="11"/>
        <v>6898464.528</v>
      </c>
      <c r="AD37" s="39">
        <f t="shared" si="11"/>
        <v>7519326.336</v>
      </c>
      <c r="AE37" s="39">
        <f t="shared" si="11"/>
        <v>8196065.706</v>
      </c>
      <c r="AF37" s="39">
        <f t="shared" si="11"/>
        <v>8933711.62</v>
      </c>
      <c r="AG37" s="39">
        <f t="shared" si="11"/>
        <v>9737745.665</v>
      </c>
      <c r="AH37" s="114">
        <f t="shared" si="11"/>
        <v>10614142.78</v>
      </c>
    </row>
    <row r="38">
      <c r="A38" s="111" t="s">
        <v>33</v>
      </c>
      <c r="B38" s="109"/>
      <c r="C38" s="39"/>
      <c r="D38" s="39">
        <f>C4</f>
        <v>640000</v>
      </c>
      <c r="E38" s="39">
        <f t="shared" ref="E38:AH38" si="12">D38-E36</f>
        <v>632140.725</v>
      </c>
      <c r="F38" s="39">
        <f t="shared" si="12"/>
        <v>623796.7072</v>
      </c>
      <c r="G38" s="39">
        <f t="shared" si="12"/>
        <v>614938.0486</v>
      </c>
      <c r="H38" s="39">
        <f t="shared" si="12"/>
        <v>605533.0073</v>
      </c>
      <c r="I38" s="39">
        <f t="shared" si="12"/>
        <v>595547.8837</v>
      </c>
      <c r="J38" s="39">
        <f t="shared" si="12"/>
        <v>584946.8994</v>
      </c>
      <c r="K38" s="39">
        <f t="shared" si="12"/>
        <v>573692.0697</v>
      </c>
      <c r="L38" s="39">
        <f t="shared" si="12"/>
        <v>561743.0667</v>
      </c>
      <c r="M38" s="39">
        <f t="shared" si="12"/>
        <v>549057.0753</v>
      </c>
      <c r="N38" s="39">
        <f t="shared" si="12"/>
        <v>535588.6398</v>
      </c>
      <c r="O38" s="39">
        <f t="shared" si="12"/>
        <v>521289.5006</v>
      </c>
      <c r="P38" s="39">
        <f t="shared" si="12"/>
        <v>506108.4218</v>
      </c>
      <c r="Q38" s="39">
        <f t="shared" si="12"/>
        <v>489991.0072</v>
      </c>
      <c r="R38" s="39">
        <f t="shared" si="12"/>
        <v>472879.5058</v>
      </c>
      <c r="S38" s="39">
        <f t="shared" si="12"/>
        <v>454712.6045</v>
      </c>
      <c r="T38" s="39">
        <f t="shared" si="12"/>
        <v>435425.2084</v>
      </c>
      <c r="U38" s="39">
        <f t="shared" si="12"/>
        <v>414948.2079</v>
      </c>
      <c r="V38" s="39">
        <f t="shared" si="12"/>
        <v>393208.2309</v>
      </c>
      <c r="W38" s="39">
        <f t="shared" si="12"/>
        <v>370127.3796</v>
      </c>
      <c r="X38" s="39">
        <f t="shared" si="12"/>
        <v>345622.952</v>
      </c>
      <c r="Y38" s="39">
        <f t="shared" si="12"/>
        <v>319607.1448</v>
      </c>
      <c r="Z38" s="39">
        <f t="shared" si="12"/>
        <v>291986.7396</v>
      </c>
      <c r="AA38" s="39">
        <f t="shared" si="12"/>
        <v>262662.7683</v>
      </c>
      <c r="AB38" s="39">
        <f t="shared" si="12"/>
        <v>231530.1585</v>
      </c>
      <c r="AC38" s="39">
        <f t="shared" si="12"/>
        <v>198477.3575</v>
      </c>
      <c r="AD38" s="39">
        <f t="shared" si="12"/>
        <v>163385.9321</v>
      </c>
      <c r="AE38" s="39">
        <f t="shared" si="12"/>
        <v>126130.1443</v>
      </c>
      <c r="AF38" s="39">
        <f t="shared" si="12"/>
        <v>86576.50107</v>
      </c>
      <c r="AG38" s="39">
        <f t="shared" si="12"/>
        <v>44583.27566</v>
      </c>
      <c r="AH38" s="114">
        <f t="shared" si="12"/>
        <v>-0.0000000135260052</v>
      </c>
    </row>
    <row r="39">
      <c r="A39" s="111" t="s">
        <v>34</v>
      </c>
      <c r="B39" s="109"/>
      <c r="C39" s="39"/>
      <c r="D39" s="39">
        <f t="shared" ref="D39:AH39" si="13">D37-D38</f>
        <v>160000</v>
      </c>
      <c r="E39" s="39">
        <f t="shared" si="13"/>
        <v>239859.275</v>
      </c>
      <c r="F39" s="39">
        <f t="shared" si="13"/>
        <v>326683.2928</v>
      </c>
      <c r="G39" s="39">
        <f t="shared" si="13"/>
        <v>421085.1514</v>
      </c>
      <c r="H39" s="39">
        <f t="shared" si="13"/>
        <v>523732.2807</v>
      </c>
      <c r="I39" s="39">
        <f t="shared" si="13"/>
        <v>635351.2803</v>
      </c>
      <c r="J39" s="39">
        <f t="shared" si="13"/>
        <v>756733.1892</v>
      </c>
      <c r="K39" s="39">
        <f t="shared" si="13"/>
        <v>888739.227</v>
      </c>
      <c r="L39" s="39">
        <f t="shared" si="13"/>
        <v>1032307.047</v>
      </c>
      <c r="M39" s="39">
        <f t="shared" si="13"/>
        <v>1188457.548</v>
      </c>
      <c r="N39" s="39">
        <f t="shared" si="13"/>
        <v>1358302.3</v>
      </c>
      <c r="O39" s="39">
        <f t="shared" si="13"/>
        <v>1543051.624</v>
      </c>
      <c r="P39" s="39">
        <f t="shared" si="13"/>
        <v>1744023.404</v>
      </c>
      <c r="Q39" s="39">
        <f t="shared" si="13"/>
        <v>1962652.682</v>
      </c>
      <c r="R39" s="39">
        <f t="shared" si="13"/>
        <v>2200502.116</v>
      </c>
      <c r="S39" s="39">
        <f t="shared" si="13"/>
        <v>2459273.363</v>
      </c>
      <c r="T39" s="39">
        <f t="shared" si="13"/>
        <v>2740819.496</v>
      </c>
      <c r="U39" s="39">
        <f t="shared" si="13"/>
        <v>3047158.52</v>
      </c>
      <c r="V39" s="39">
        <f t="shared" si="13"/>
        <v>3380488.103</v>
      </c>
      <c r="W39" s="39">
        <f t="shared" si="13"/>
        <v>3743201.624</v>
      </c>
      <c r="X39" s="39">
        <f t="shared" si="13"/>
        <v>4137905.662</v>
      </c>
      <c r="Y39" s="39">
        <f t="shared" si="13"/>
        <v>4567439.045</v>
      </c>
      <c r="Z39" s="39">
        <f t="shared" si="13"/>
        <v>5034893.607</v>
      </c>
      <c r="AA39" s="39">
        <f t="shared" si="13"/>
        <v>5543636.809</v>
      </c>
      <c r="AB39" s="39">
        <f t="shared" si="13"/>
        <v>6097336.381</v>
      </c>
      <c r="AC39" s="39">
        <f t="shared" si="13"/>
        <v>6699987.171</v>
      </c>
      <c r="AD39" s="39">
        <f t="shared" si="13"/>
        <v>7355940.404</v>
      </c>
      <c r="AE39" s="39">
        <f t="shared" si="13"/>
        <v>8069935.562</v>
      </c>
      <c r="AF39" s="39">
        <f t="shared" si="13"/>
        <v>8847135.119</v>
      </c>
      <c r="AG39" s="39">
        <f t="shared" si="13"/>
        <v>9693162.39</v>
      </c>
      <c r="AH39" s="114">
        <f t="shared" si="13"/>
        <v>10614142.78</v>
      </c>
    </row>
    <row r="40">
      <c r="A40" s="111"/>
      <c r="B40" s="10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14"/>
    </row>
    <row r="41">
      <c r="A41" s="120" t="s">
        <v>35</v>
      </c>
      <c r="B41" s="121"/>
      <c r="C41" s="122"/>
      <c r="D41" s="71">
        <f t="shared" ref="D41:AH41" si="14">D39-(D37*$C$10)</f>
        <v>88000</v>
      </c>
      <c r="E41" s="71">
        <f t="shared" si="14"/>
        <v>161379.275</v>
      </c>
      <c r="F41" s="71">
        <f t="shared" si="14"/>
        <v>241140.0928</v>
      </c>
      <c r="G41" s="71">
        <f t="shared" si="14"/>
        <v>327843.0634</v>
      </c>
      <c r="H41" s="71">
        <f t="shared" si="14"/>
        <v>422098.4048</v>
      </c>
      <c r="I41" s="71">
        <f t="shared" si="14"/>
        <v>524570.3555</v>
      </c>
      <c r="J41" s="71">
        <f t="shared" si="14"/>
        <v>635981.9813</v>
      </c>
      <c r="K41" s="71">
        <f t="shared" si="14"/>
        <v>757120.4103</v>
      </c>
      <c r="L41" s="71">
        <f t="shared" si="14"/>
        <v>888842.5365</v>
      </c>
      <c r="M41" s="71">
        <f t="shared" si="14"/>
        <v>1032081.232</v>
      </c>
      <c r="N41" s="71">
        <f t="shared" si="14"/>
        <v>1187852.115</v>
      </c>
      <c r="O41" s="71">
        <f t="shared" si="14"/>
        <v>1357260.922</v>
      </c>
      <c r="P41" s="71">
        <f t="shared" si="14"/>
        <v>1541511.539</v>
      </c>
      <c r="Q41" s="71">
        <f t="shared" si="14"/>
        <v>1741914.75</v>
      </c>
      <c r="R41" s="71">
        <f t="shared" si="14"/>
        <v>1959897.77</v>
      </c>
      <c r="S41" s="71">
        <f t="shared" si="14"/>
        <v>2197014.626</v>
      </c>
      <c r="T41" s="71">
        <f t="shared" si="14"/>
        <v>2454957.473</v>
      </c>
      <c r="U41" s="71">
        <f t="shared" si="14"/>
        <v>2735568.915</v>
      </c>
      <c r="V41" s="71">
        <f t="shared" si="14"/>
        <v>3040855.433</v>
      </c>
      <c r="W41" s="71">
        <f t="shared" si="14"/>
        <v>3373002.014</v>
      </c>
      <c r="X41" s="71">
        <f t="shared" si="14"/>
        <v>3734388.087</v>
      </c>
      <c r="Y41" s="71">
        <f t="shared" si="14"/>
        <v>4127604.888</v>
      </c>
      <c r="Z41" s="71">
        <f t="shared" si="14"/>
        <v>4555474.376</v>
      </c>
      <c r="AA41" s="71">
        <f t="shared" si="14"/>
        <v>5021069.847</v>
      </c>
      <c r="AB41" s="71">
        <f t="shared" si="14"/>
        <v>5527738.393</v>
      </c>
      <c r="AC41" s="71">
        <f t="shared" si="14"/>
        <v>6079125.363</v>
      </c>
      <c r="AD41" s="71">
        <f t="shared" si="14"/>
        <v>6679201.034</v>
      </c>
      <c r="AE41" s="71">
        <f t="shared" si="14"/>
        <v>7332289.648</v>
      </c>
      <c r="AF41" s="71">
        <f t="shared" si="14"/>
        <v>8043101.073</v>
      </c>
      <c r="AG41" s="71">
        <f t="shared" si="14"/>
        <v>8816765.28</v>
      </c>
      <c r="AH41" s="123">
        <f t="shared" si="14"/>
        <v>9658869.926</v>
      </c>
    </row>
    <row r="42">
      <c r="A42" s="3"/>
      <c r="B42" s="3"/>
      <c r="C42" s="27"/>
      <c r="D42" s="124"/>
      <c r="E42" s="27"/>
      <c r="F42" s="27"/>
      <c r="G42" s="27"/>
      <c r="H42" s="27"/>
      <c r="I42" s="27"/>
    </row>
    <row r="43">
      <c r="A43" s="125" t="s">
        <v>36</v>
      </c>
      <c r="B43" s="126"/>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8"/>
    </row>
    <row r="44">
      <c r="A44" s="129" t="s">
        <v>37</v>
      </c>
      <c r="B44" s="130"/>
      <c r="C44" s="62"/>
      <c r="D44" s="62">
        <f>$H$2*2</f>
        <v>3400</v>
      </c>
      <c r="E44" s="62">
        <f>$H$2*12</f>
        <v>20400</v>
      </c>
      <c r="F44" s="62">
        <f t="shared" ref="F44:AH44" si="15">E44*(1+$H$3)</f>
        <v>21012</v>
      </c>
      <c r="G44" s="62">
        <f t="shared" si="15"/>
        <v>21642.36</v>
      </c>
      <c r="H44" s="62">
        <f t="shared" si="15"/>
        <v>22291.6308</v>
      </c>
      <c r="I44" s="62">
        <f t="shared" si="15"/>
        <v>22960.37972</v>
      </c>
      <c r="J44" s="62">
        <f t="shared" si="15"/>
        <v>23649.19112</v>
      </c>
      <c r="K44" s="62">
        <f t="shared" si="15"/>
        <v>24358.66685</v>
      </c>
      <c r="L44" s="62">
        <f t="shared" si="15"/>
        <v>25089.42685</v>
      </c>
      <c r="M44" s="62">
        <f t="shared" si="15"/>
        <v>25842.10966</v>
      </c>
      <c r="N44" s="62">
        <f t="shared" si="15"/>
        <v>26617.37295</v>
      </c>
      <c r="O44" s="62">
        <f t="shared" si="15"/>
        <v>27415.89414</v>
      </c>
      <c r="P44" s="62">
        <f t="shared" si="15"/>
        <v>28238.37096</v>
      </c>
      <c r="Q44" s="62">
        <f t="shared" si="15"/>
        <v>29085.52209</v>
      </c>
      <c r="R44" s="62">
        <f t="shared" si="15"/>
        <v>29958.08775</v>
      </c>
      <c r="S44" s="62">
        <f t="shared" si="15"/>
        <v>30856.83039</v>
      </c>
      <c r="T44" s="62">
        <f t="shared" si="15"/>
        <v>31782.5353</v>
      </c>
      <c r="U44" s="62">
        <f t="shared" si="15"/>
        <v>32736.01136</v>
      </c>
      <c r="V44" s="62">
        <f t="shared" si="15"/>
        <v>33718.0917</v>
      </c>
      <c r="W44" s="62">
        <f t="shared" si="15"/>
        <v>34729.63445</v>
      </c>
      <c r="X44" s="62">
        <f t="shared" si="15"/>
        <v>35771.52348</v>
      </c>
      <c r="Y44" s="62">
        <f t="shared" si="15"/>
        <v>36844.66919</v>
      </c>
      <c r="Z44" s="62">
        <f t="shared" si="15"/>
        <v>37950.00926</v>
      </c>
      <c r="AA44" s="62">
        <f t="shared" si="15"/>
        <v>39088.50954</v>
      </c>
      <c r="AB44" s="62">
        <f t="shared" si="15"/>
        <v>40261.16483</v>
      </c>
      <c r="AC44" s="62">
        <f t="shared" si="15"/>
        <v>41468.99977</v>
      </c>
      <c r="AD44" s="62">
        <f t="shared" si="15"/>
        <v>42713.06976</v>
      </c>
      <c r="AE44" s="62">
        <f t="shared" si="15"/>
        <v>43994.46186</v>
      </c>
      <c r="AF44" s="62">
        <f t="shared" si="15"/>
        <v>45314.29571</v>
      </c>
      <c r="AG44" s="62">
        <f t="shared" si="15"/>
        <v>46673.72459</v>
      </c>
      <c r="AH44" s="131">
        <f t="shared" si="15"/>
        <v>48073.93632</v>
      </c>
    </row>
    <row r="45">
      <c r="A45" s="129"/>
      <c r="B45" s="130"/>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131"/>
    </row>
    <row r="46">
      <c r="A46" s="129" t="s">
        <v>38</v>
      </c>
      <c r="B46" s="130"/>
      <c r="C46" s="62"/>
      <c r="D46" s="62">
        <v>0.0</v>
      </c>
      <c r="E46" s="62">
        <f t="shared" ref="E46:AH46" si="16">E32-E44</f>
        <v>40040.51515</v>
      </c>
      <c r="F46" s="62">
        <f t="shared" si="16"/>
        <v>40625.23858</v>
      </c>
      <c r="G46" s="62">
        <f t="shared" si="16"/>
        <v>41274.68675</v>
      </c>
      <c r="H46" s="62">
        <f t="shared" si="16"/>
        <v>41994.95219</v>
      </c>
      <c r="I46" s="62">
        <f t="shared" si="16"/>
        <v>42792.67788</v>
      </c>
      <c r="J46" s="62">
        <f t="shared" si="16"/>
        <v>43675.10649</v>
      </c>
      <c r="K46" s="62">
        <f t="shared" si="16"/>
        <v>44650.13401</v>
      </c>
      <c r="L46" s="62">
        <f t="shared" si="16"/>
        <v>45726.3682</v>
      </c>
      <c r="M46" s="62">
        <f t="shared" si="16"/>
        <v>46913.19223</v>
      </c>
      <c r="N46" s="62">
        <f t="shared" si="16"/>
        <v>48220.83402</v>
      </c>
      <c r="O46" s="62">
        <f t="shared" si="16"/>
        <v>49660.44182</v>
      </c>
      <c r="P46" s="62">
        <f t="shared" si="16"/>
        <v>51244.16648</v>
      </c>
      <c r="Q46" s="62">
        <f t="shared" si="16"/>
        <v>52985.25112</v>
      </c>
      <c r="R46" s="62">
        <f t="shared" si="16"/>
        <v>54898.12879</v>
      </c>
      <c r="S46" s="62">
        <f t="shared" si="16"/>
        <v>56998.52891</v>
      </c>
      <c r="T46" s="62">
        <f t="shared" si="16"/>
        <v>59303.59321</v>
      </c>
      <c r="U46" s="62">
        <f t="shared" si="16"/>
        <v>61832.00198</v>
      </c>
      <c r="V46" s="62">
        <f t="shared" si="16"/>
        <v>64604.11172</v>
      </c>
      <c r="W46" s="62">
        <f t="shared" si="16"/>
        <v>67642.10505</v>
      </c>
      <c r="X46" s="62">
        <f t="shared" si="16"/>
        <v>70970.154</v>
      </c>
      <c r="Y46" s="62">
        <f t="shared" si="16"/>
        <v>74614.59801</v>
      </c>
      <c r="Z46" s="62">
        <f t="shared" si="16"/>
        <v>78604.13776</v>
      </c>
      <c r="AA46" s="62">
        <f t="shared" si="16"/>
        <v>82970.04644</v>
      </c>
      <c r="AB46" s="62">
        <f t="shared" si="16"/>
        <v>87746.39983</v>
      </c>
      <c r="AC46" s="62">
        <f t="shared" si="16"/>
        <v>92970.3271</v>
      </c>
      <c r="AD46" s="62">
        <f t="shared" si="16"/>
        <v>98682.28396</v>
      </c>
      <c r="AE46" s="62">
        <f t="shared" si="16"/>
        <v>104926.3504</v>
      </c>
      <c r="AF46" s="62">
        <f t="shared" si="16"/>
        <v>111750.5548</v>
      </c>
      <c r="AG46" s="62">
        <f t="shared" si="16"/>
        <v>119207.2276</v>
      </c>
      <c r="AH46" s="131">
        <f t="shared" si="16"/>
        <v>127353.3861</v>
      </c>
    </row>
    <row r="47">
      <c r="A47" s="129"/>
      <c r="B47" s="130"/>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131"/>
    </row>
    <row r="48">
      <c r="A48" s="132" t="s">
        <v>39</v>
      </c>
      <c r="B48" s="133"/>
      <c r="C48" s="134"/>
      <c r="D48" s="135">
        <f>D22-D44</f>
        <v>204600</v>
      </c>
      <c r="E48" s="71">
        <f t="shared" ref="E48:AH48" si="17">D48*(1+$H$4)+E46</f>
        <v>258962.5151</v>
      </c>
      <c r="F48" s="71">
        <f t="shared" si="17"/>
        <v>317715.1298</v>
      </c>
      <c r="G48" s="71">
        <f t="shared" si="17"/>
        <v>381229.8756</v>
      </c>
      <c r="H48" s="71">
        <f t="shared" si="17"/>
        <v>449910.9191</v>
      </c>
      <c r="I48" s="71">
        <f t="shared" si="17"/>
        <v>524197.3613</v>
      </c>
      <c r="J48" s="71">
        <f t="shared" si="17"/>
        <v>604566.2831</v>
      </c>
      <c r="K48" s="71">
        <f t="shared" si="17"/>
        <v>691536.0569</v>
      </c>
      <c r="L48" s="71">
        <f t="shared" si="17"/>
        <v>785669.9491</v>
      </c>
      <c r="M48" s="71">
        <f t="shared" si="17"/>
        <v>887580.0378</v>
      </c>
      <c r="N48" s="71">
        <f t="shared" si="17"/>
        <v>997931.4745</v>
      </c>
      <c r="O48" s="71">
        <f t="shared" si="17"/>
        <v>1117447.119</v>
      </c>
      <c r="P48" s="71">
        <f t="shared" si="17"/>
        <v>1246912.584</v>
      </c>
      <c r="Q48" s="71">
        <f t="shared" si="17"/>
        <v>1387181.716</v>
      </c>
      <c r="R48" s="71">
        <f t="shared" si="17"/>
        <v>1539182.565</v>
      </c>
      <c r="S48" s="71">
        <f t="shared" si="17"/>
        <v>1703923.874</v>
      </c>
      <c r="T48" s="71">
        <f t="shared" si="17"/>
        <v>1882502.138</v>
      </c>
      <c r="U48" s="71">
        <f t="shared" si="17"/>
        <v>2076109.29</v>
      </c>
      <c r="V48" s="71">
        <f t="shared" si="17"/>
        <v>2286041.052</v>
      </c>
      <c r="W48" s="71">
        <f t="shared" si="17"/>
        <v>2513706.03</v>
      </c>
      <c r="X48" s="71">
        <f t="shared" si="17"/>
        <v>2760635.607</v>
      </c>
      <c r="Y48" s="71">
        <f t="shared" si="17"/>
        <v>3028494.697</v>
      </c>
      <c r="Z48" s="71">
        <f t="shared" si="17"/>
        <v>3319093.464</v>
      </c>
      <c r="AA48" s="71">
        <f t="shared" si="17"/>
        <v>3634400.053</v>
      </c>
      <c r="AB48" s="71">
        <f t="shared" si="17"/>
        <v>3976554.456</v>
      </c>
      <c r="AC48" s="71">
        <f t="shared" si="17"/>
        <v>4347883.595</v>
      </c>
      <c r="AD48" s="71">
        <f t="shared" si="17"/>
        <v>4750917.731</v>
      </c>
      <c r="AE48" s="71">
        <f t="shared" si="17"/>
        <v>5188408.322</v>
      </c>
      <c r="AF48" s="71">
        <f t="shared" si="17"/>
        <v>5663347.46</v>
      </c>
      <c r="AG48" s="71">
        <f t="shared" si="17"/>
        <v>6178989.009</v>
      </c>
      <c r="AH48" s="123">
        <f t="shared" si="17"/>
        <v>6738871.626</v>
      </c>
    </row>
    <row r="50">
      <c r="AG50" s="136">
        <v>1700.0</v>
      </c>
      <c r="AH50">
        <f>AH44/12</f>
        <v>4006.16136</v>
      </c>
    </row>
    <row r="51">
      <c r="AG51">
        <f>AH50/AG50</f>
        <v>2.356565506</v>
      </c>
      <c r="AH51" s="136"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38"/>
    <col customWidth="1" min="2" max="2" width="13.88"/>
    <col customWidth="1" min="3" max="3" width="10.75"/>
    <col customWidth="1" min="10" max="10" width="39.25"/>
    <col customWidth="1" min="16" max="16" width="40.88"/>
  </cols>
  <sheetData>
    <row r="1">
      <c r="P1" s="136" t="s">
        <v>46</v>
      </c>
    </row>
    <row r="4">
      <c r="P4" s="136" t="s">
        <v>47</v>
      </c>
    </row>
    <row r="5">
      <c r="C5" s="137"/>
      <c r="P5" s="136" t="s">
        <v>48</v>
      </c>
    </row>
    <row r="7">
      <c r="P7" s="136" t="s">
        <v>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38"/>
    <col customWidth="1" min="2" max="2" width="13.88"/>
    <col customWidth="1" min="3" max="3" width="10.75"/>
    <col customWidth="1" min="10" max="10" width="39.25"/>
    <col customWidth="1" min="16" max="16" width="40.88"/>
  </cols>
  <sheetData>
    <row r="4">
      <c r="D4" s="79" t="s">
        <v>7</v>
      </c>
      <c r="E4" s="89">
        <v>0.06</v>
      </c>
      <c r="I4" s="85" t="s">
        <v>16</v>
      </c>
      <c r="J4" s="88">
        <v>0.07</v>
      </c>
      <c r="N4" s="95" t="s">
        <v>10</v>
      </c>
      <c r="O4" s="98">
        <v>0.09</v>
      </c>
    </row>
    <row r="35">
      <c r="B35" s="136" t="s">
        <v>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4.13"/>
    <col customWidth="1" min="2" max="2" width="57.13"/>
    <col customWidth="1" min="3" max="3" width="95.0"/>
    <col customWidth="1" min="5" max="5" width="16.13"/>
  </cols>
  <sheetData>
    <row r="1">
      <c r="A1" s="138" t="s">
        <v>5</v>
      </c>
      <c r="B1" s="139" t="s">
        <v>51</v>
      </c>
      <c r="C1" s="140" t="s">
        <v>52</v>
      </c>
    </row>
    <row r="2">
      <c r="A2" s="138" t="s">
        <v>11</v>
      </c>
      <c r="B2" s="139" t="s">
        <v>53</v>
      </c>
      <c r="C2" s="141" t="s">
        <v>54</v>
      </c>
    </row>
    <row r="3">
      <c r="A3" s="92" t="s">
        <v>13</v>
      </c>
      <c r="B3" s="139" t="s">
        <v>55</v>
      </c>
      <c r="C3" s="142" t="s">
        <v>56</v>
      </c>
    </row>
    <row r="4">
      <c r="A4" s="143" t="s">
        <v>2</v>
      </c>
      <c r="B4" s="141" t="s">
        <v>57</v>
      </c>
      <c r="C4" s="141" t="s">
        <v>58</v>
      </c>
    </row>
    <row r="5" ht="20.25" customHeight="1">
      <c r="A5" s="143" t="s">
        <v>4</v>
      </c>
      <c r="B5" s="139" t="s">
        <v>59</v>
      </c>
      <c r="C5" s="141" t="s">
        <v>60</v>
      </c>
    </row>
    <row r="6">
      <c r="A6" s="143" t="s">
        <v>6</v>
      </c>
      <c r="B6" s="139" t="s">
        <v>61</v>
      </c>
      <c r="C6" s="141" t="s">
        <v>62</v>
      </c>
    </row>
    <row r="7" ht="20.25" customHeight="1">
      <c r="A7" s="144"/>
      <c r="B7" s="144"/>
      <c r="C7" s="144"/>
    </row>
    <row r="8">
      <c r="A8" s="145" t="s">
        <v>22</v>
      </c>
      <c r="B8" s="146" t="s">
        <v>63</v>
      </c>
      <c r="C8" s="141" t="s">
        <v>64</v>
      </c>
    </row>
    <row r="9" ht="20.25" customHeight="1">
      <c r="A9" s="145" t="s">
        <v>23</v>
      </c>
      <c r="B9" s="139" t="s">
        <v>65</v>
      </c>
      <c r="C9" s="141" t="s">
        <v>66</v>
      </c>
    </row>
    <row r="10" ht="20.25" customHeight="1">
      <c r="A10" s="145" t="s">
        <v>6</v>
      </c>
      <c r="B10" s="139" t="s">
        <v>67</v>
      </c>
      <c r="C10" s="141" t="s">
        <v>68</v>
      </c>
    </row>
    <row r="11">
      <c r="A11" s="147" t="s">
        <v>69</v>
      </c>
      <c r="B11" s="148" t="s">
        <v>70</v>
      </c>
      <c r="C11" s="141" t="s">
        <v>71</v>
      </c>
    </row>
    <row r="12" ht="27.75" customHeight="1">
      <c r="A12" s="145" t="s">
        <v>27</v>
      </c>
      <c r="B12" s="139" t="s">
        <v>72</v>
      </c>
      <c r="C12" s="141" t="s">
        <v>73</v>
      </c>
      <c r="D12" s="136" t="s">
        <v>74</v>
      </c>
      <c r="E12" s="149" t="s">
        <v>75</v>
      </c>
    </row>
    <row r="13">
      <c r="A13" s="147" t="s">
        <v>76</v>
      </c>
      <c r="B13" s="150" t="s">
        <v>77</v>
      </c>
      <c r="C13" s="141" t="s">
        <v>78</v>
      </c>
    </row>
    <row r="14" ht="29.25" customHeight="1">
      <c r="A14" s="145" t="s">
        <v>30</v>
      </c>
      <c r="B14" s="139" t="s">
        <v>79</v>
      </c>
      <c r="C14" s="141" t="s">
        <v>80</v>
      </c>
      <c r="D14" s="136" t="s">
        <v>81</v>
      </c>
    </row>
    <row r="15" ht="20.25" customHeight="1">
      <c r="A15" s="145" t="s">
        <v>31</v>
      </c>
      <c r="B15" s="151" t="s">
        <v>82</v>
      </c>
      <c r="C15" s="141" t="s">
        <v>83</v>
      </c>
    </row>
    <row r="16" ht="20.25" customHeight="1">
      <c r="A16" s="147" t="s">
        <v>84</v>
      </c>
      <c r="B16" s="139" t="s">
        <v>85</v>
      </c>
      <c r="C16" s="141" t="s">
        <v>86</v>
      </c>
    </row>
    <row r="17" ht="20.25" customHeight="1">
      <c r="A17" s="145" t="s">
        <v>33</v>
      </c>
      <c r="B17" s="151" t="s">
        <v>87</v>
      </c>
      <c r="C17" s="141" t="s">
        <v>88</v>
      </c>
    </row>
    <row r="18" ht="20.25" customHeight="1">
      <c r="A18" s="145" t="s">
        <v>34</v>
      </c>
      <c r="B18" s="151" t="s">
        <v>89</v>
      </c>
      <c r="C18" s="141" t="s">
        <v>90</v>
      </c>
    </row>
    <row r="19" ht="20.25" customHeight="1">
      <c r="A19" s="152" t="s">
        <v>35</v>
      </c>
      <c r="B19" s="139" t="s">
        <v>91</v>
      </c>
      <c r="C19" s="141" t="s">
        <v>92</v>
      </c>
    </row>
    <row r="20" ht="20.25" customHeight="1">
      <c r="A20" s="144"/>
      <c r="B20" s="144"/>
      <c r="C20" s="144"/>
    </row>
    <row r="21">
      <c r="A21" s="153" t="s">
        <v>93</v>
      </c>
      <c r="B21" s="139" t="s">
        <v>94</v>
      </c>
      <c r="C21" s="141" t="s">
        <v>95</v>
      </c>
    </row>
    <row r="22" ht="20.25" customHeight="1">
      <c r="A22" s="154" t="s">
        <v>38</v>
      </c>
      <c r="B22" s="151" t="s">
        <v>96</v>
      </c>
      <c r="C22" s="141" t="s">
        <v>97</v>
      </c>
    </row>
    <row r="23">
      <c r="A23" s="154" t="s">
        <v>39</v>
      </c>
      <c r="B23" s="146" t="s">
        <v>98</v>
      </c>
      <c r="C23" s="155" t="s">
        <v>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hidden="1" min="1" max="1" width="24.75"/>
    <col customWidth="1" min="2" max="2" width="12.5"/>
    <col customWidth="1" min="3" max="3" width="12.38"/>
    <col customWidth="1" min="4" max="4" width="12.0"/>
    <col customWidth="1" min="5" max="5" width="15.13"/>
    <col customWidth="1" min="6" max="6" width="4.63"/>
    <col customWidth="1" min="7" max="7" width="20.25"/>
    <col customWidth="1" min="8" max="8" width="15.13"/>
    <col customWidth="1" min="9" max="9" width="12.88"/>
    <col customWidth="1" min="10" max="10" width="13.38"/>
    <col customWidth="1" min="11" max="15" width="15.13"/>
    <col customWidth="1" min="16" max="16" width="15.88"/>
    <col customWidth="1" min="17" max="17" width="12.25"/>
    <col customWidth="1" min="18" max="18" width="16.38"/>
    <col customWidth="1" min="19" max="19" width="15.13"/>
  </cols>
  <sheetData>
    <row r="1" ht="18.0" customHeight="1">
      <c r="B1" s="156" t="s">
        <v>100</v>
      </c>
      <c r="G1" s="157" t="s">
        <v>101</v>
      </c>
      <c r="Q1" s="158" t="s">
        <v>102</v>
      </c>
    </row>
    <row r="2">
      <c r="A2" s="159" t="s">
        <v>103</v>
      </c>
      <c r="B2" s="160"/>
      <c r="C2" s="160"/>
      <c r="D2" s="160"/>
      <c r="E2" s="160"/>
      <c r="G2" s="161"/>
      <c r="H2" s="161"/>
      <c r="I2" s="161"/>
      <c r="J2" s="161"/>
      <c r="K2" s="161"/>
      <c r="L2" s="161"/>
      <c r="M2" s="161"/>
      <c r="N2" s="161"/>
      <c r="O2" s="161"/>
      <c r="Q2" s="162"/>
      <c r="R2" s="162"/>
    </row>
    <row r="3">
      <c r="B3" s="160"/>
      <c r="C3" s="163"/>
      <c r="D3" s="163"/>
      <c r="E3" s="160"/>
      <c r="G3" s="164"/>
      <c r="H3" s="164"/>
      <c r="I3" s="161"/>
      <c r="J3" s="161"/>
      <c r="K3" s="161"/>
      <c r="L3" s="164"/>
      <c r="M3" s="164"/>
      <c r="N3" s="164"/>
      <c r="O3" s="164"/>
      <c r="Q3" s="162"/>
      <c r="R3" s="162"/>
    </row>
    <row r="4">
      <c r="B4" s="165"/>
      <c r="C4" s="166" t="s">
        <v>104</v>
      </c>
      <c r="D4" s="167"/>
      <c r="E4" s="168"/>
      <c r="F4" s="169"/>
      <c r="G4" s="170" t="s">
        <v>105</v>
      </c>
      <c r="H4" s="167"/>
      <c r="I4" s="171"/>
      <c r="J4" s="164"/>
      <c r="K4" s="172" t="s">
        <v>106</v>
      </c>
      <c r="L4" s="173" t="s">
        <v>107</v>
      </c>
      <c r="M4" s="174"/>
      <c r="N4" s="174"/>
      <c r="O4" s="167"/>
      <c r="P4" s="175"/>
      <c r="Q4" s="176"/>
      <c r="R4" s="176"/>
    </row>
    <row r="5" ht="25.5" customHeight="1">
      <c r="A5" s="177" t="str">
        <f>HYPERLINK("http://www.holypotato.net/?p=1073","Or, download to excel with File -&gt; Download as (or directly from the about page -- click here)")</f>
        <v>Or, download to excel with File -&gt; Download as (or directly from the about page -- click here)</v>
      </c>
      <c r="B5" s="165"/>
      <c r="C5" s="178" t="s">
        <v>108</v>
      </c>
      <c r="D5" s="179">
        <v>1700.0</v>
      </c>
      <c r="E5" s="168"/>
      <c r="F5" s="169"/>
      <c r="G5" s="180" t="s">
        <v>109</v>
      </c>
      <c r="H5" s="181">
        <v>800000.0</v>
      </c>
      <c r="I5" s="182"/>
      <c r="J5" s="183"/>
      <c r="K5" s="184" t="s">
        <v>110</v>
      </c>
      <c r="L5" s="185" t="s">
        <v>111</v>
      </c>
      <c r="M5" s="186" t="s">
        <v>112</v>
      </c>
      <c r="N5" s="186" t="s">
        <v>113</v>
      </c>
      <c r="O5" s="187" t="s">
        <v>114</v>
      </c>
      <c r="P5" s="188"/>
      <c r="Q5" s="189" t="s">
        <v>115</v>
      </c>
      <c r="R5" s="190" t="s">
        <v>116</v>
      </c>
      <c r="S5" s="175"/>
    </row>
    <row r="6" ht="25.5" customHeight="1">
      <c r="A6" s="191" t="s">
        <v>117</v>
      </c>
      <c r="B6" s="160"/>
      <c r="C6" s="192"/>
      <c r="D6" s="192"/>
      <c r="E6" s="160"/>
      <c r="F6" s="169"/>
      <c r="G6" s="193" t="s">
        <v>118</v>
      </c>
      <c r="H6" s="194">
        <v>0.2</v>
      </c>
      <c r="I6" s="195">
        <f>0.2*H5</f>
        <v>160000</v>
      </c>
      <c r="J6" s="196" t="s">
        <v>119</v>
      </c>
      <c r="K6" s="197">
        <v>0.0349</v>
      </c>
      <c r="L6" s="198">
        <v>0.011</v>
      </c>
      <c r="M6" s="199">
        <v>0.008631935172362</v>
      </c>
      <c r="N6" s="199">
        <v>0.00226</v>
      </c>
      <c r="O6" s="200">
        <v>0.02</v>
      </c>
      <c r="P6" s="188"/>
      <c r="Q6" s="201" t="s">
        <v>120</v>
      </c>
      <c r="R6" s="202" t="str">
        <f>IF((R25&gt;0),concatenate("Renting by $",round(R25,0)),concatenate("Buying by $",-round(R25,0)))</f>
        <v>Renting by $113938</v>
      </c>
      <c r="S6" s="175"/>
    </row>
    <row r="7">
      <c r="B7" s="160"/>
      <c r="C7" s="160"/>
      <c r="D7" s="160"/>
      <c r="E7" s="160"/>
      <c r="F7" s="169"/>
      <c r="G7" s="203" t="s">
        <v>121</v>
      </c>
      <c r="H7" s="204">
        <v>30.0</v>
      </c>
      <c r="I7" s="182"/>
      <c r="J7" s="205" t="s">
        <v>122</v>
      </c>
      <c r="K7" s="206">
        <v>0.045</v>
      </c>
      <c r="L7" s="207">
        <v>0.011</v>
      </c>
      <c r="M7" s="208">
        <v>0.009512047442854</v>
      </c>
      <c r="N7" s="208">
        <v>0.0024</v>
      </c>
      <c r="O7" s="194">
        <v>0.02</v>
      </c>
      <c r="P7" s="188"/>
      <c r="Q7" s="209" t="s">
        <v>123</v>
      </c>
      <c r="R7" s="210" t="str">
        <f>IF((R29&gt;0),concatenate("Renting by $",round(R29,0)),concatenate("Buying by $",-round(R29,0)))</f>
        <v>Renting by $209112</v>
      </c>
      <c r="S7" s="175"/>
    </row>
    <row r="8">
      <c r="A8" s="191" t="s">
        <v>124</v>
      </c>
      <c r="B8" s="163"/>
      <c r="C8" s="163"/>
      <c r="D8" s="211" t="s">
        <v>125</v>
      </c>
      <c r="E8" s="163"/>
      <c r="F8" s="169"/>
      <c r="G8" s="203"/>
      <c r="H8" s="212"/>
      <c r="I8" s="182"/>
      <c r="J8" s="213" t="str">
        <f>("Final "&amp;(H7-10))&amp;" Years"</f>
        <v>Final 20 Years</v>
      </c>
      <c r="K8" s="214">
        <v>0.055</v>
      </c>
      <c r="L8" s="215">
        <v>0.011</v>
      </c>
      <c r="M8" s="216">
        <v>0.012196743208596</v>
      </c>
      <c r="N8" s="216">
        <v>0.0025</v>
      </c>
      <c r="O8" s="217">
        <v>0.02</v>
      </c>
      <c r="P8" s="188"/>
      <c r="Q8" s="209" t="s">
        <v>126</v>
      </c>
      <c r="R8" s="210" t="str">
        <f>IF((R34&gt;0),concatenate("Renting by $",round(R34,0)),concatenate("Buying by $",-round(R34,0)))</f>
        <v>Renting by $433401</v>
      </c>
      <c r="S8" s="175"/>
    </row>
    <row r="9" ht="25.5" customHeight="1">
      <c r="A9" s="218" t="s">
        <v>127</v>
      </c>
      <c r="B9" s="219"/>
      <c r="C9" s="220" t="s">
        <v>128</v>
      </c>
      <c r="D9" s="221" t="s">
        <v>129</v>
      </c>
      <c r="E9" s="222" t="s">
        <v>130</v>
      </c>
      <c r="F9" s="188"/>
      <c r="G9" s="203"/>
      <c r="H9" s="223"/>
      <c r="I9" s="171"/>
      <c r="J9" s="224"/>
      <c r="K9" s="224"/>
      <c r="L9" s="225"/>
      <c r="M9" s="224"/>
      <c r="N9" s="224"/>
      <c r="O9" s="225"/>
      <c r="P9" s="169"/>
      <c r="Q9" s="209" t="s">
        <v>131</v>
      </c>
      <c r="R9" s="210" t="str">
        <f>IF((R44&gt;0),concatenate("Renting by $",round(R44,0)),concatenate("Buying by $",-round(R44,0)))</f>
        <v>Renting by $1386663</v>
      </c>
      <c r="S9" s="175"/>
    </row>
    <row r="10" ht="25.5" customHeight="1">
      <c r="A10" s="226" t="s">
        <v>132</v>
      </c>
      <c r="B10" s="227" t="s">
        <v>119</v>
      </c>
      <c r="C10" s="228">
        <v>0.02</v>
      </c>
      <c r="D10" s="228">
        <v>0.07</v>
      </c>
      <c r="E10" s="229">
        <v>0.01</v>
      </c>
      <c r="F10" s="188"/>
      <c r="G10" s="203"/>
      <c r="H10" s="204"/>
      <c r="I10" s="182"/>
      <c r="J10" s="230"/>
      <c r="K10" s="187" t="s">
        <v>133</v>
      </c>
      <c r="L10" s="182"/>
      <c r="M10" s="173"/>
      <c r="N10" s="167"/>
      <c r="O10" s="171"/>
      <c r="P10" s="169"/>
      <c r="Q10" s="231" t="s">
        <v>134</v>
      </c>
      <c r="R10" s="232" t="str">
        <f>IF((R54&gt;0),concatenate("Renting by $",round(R54,0)),concatenate("Buying by $",-round(R54,0)))</f>
        <v>Renting by $3454522</v>
      </c>
      <c r="S10" s="175"/>
    </row>
    <row r="11" ht="25.5" customHeight="1">
      <c r="A11" s="226"/>
      <c r="B11" s="233"/>
      <c r="C11" s="234"/>
      <c r="D11" s="234"/>
      <c r="E11" s="235"/>
      <c r="F11" s="188"/>
      <c r="G11" s="203" t="s">
        <v>135</v>
      </c>
      <c r="H11" s="236">
        <f>0.06*H5</f>
        <v>48000</v>
      </c>
      <c r="I11" s="182"/>
      <c r="J11" s="180"/>
      <c r="K11" s="237"/>
      <c r="L11" s="182"/>
      <c r="M11" s="196"/>
      <c r="N11" s="196"/>
      <c r="O11" s="171"/>
      <c r="Q11" s="162"/>
      <c r="R11" s="162"/>
    </row>
    <row r="12" ht="25.5" customHeight="1">
      <c r="A12" s="238" t="s">
        <v>136</v>
      </c>
      <c r="B12" s="233" t="s">
        <v>122</v>
      </c>
      <c r="C12" s="234">
        <v>0.02</v>
      </c>
      <c r="D12" s="234">
        <v>0.07</v>
      </c>
      <c r="E12" s="235">
        <v>0.01</v>
      </c>
      <c r="F12" s="188"/>
      <c r="G12" s="193"/>
      <c r="H12" s="239"/>
      <c r="I12" s="182"/>
      <c r="J12" s="180" t="s">
        <v>119</v>
      </c>
      <c r="K12" s="237">
        <f>'Monthly  Mortgage Calculation'!I13</f>
        <v>2861.358239</v>
      </c>
      <c r="L12" s="161">
        <f>G24/12</f>
        <v>2861.358239</v>
      </c>
      <c r="M12" s="180"/>
      <c r="N12" s="240"/>
      <c r="O12" s="171"/>
      <c r="Q12" s="241"/>
      <c r="R12" s="241"/>
    </row>
    <row r="13">
      <c r="A13" s="169"/>
      <c r="B13" s="242" t="str">
        <f>("Final "&amp;(H7-10))&amp;" Years"</f>
        <v>Final 20 Years</v>
      </c>
      <c r="C13" s="243">
        <v>0.02</v>
      </c>
      <c r="D13" s="243">
        <v>0.07</v>
      </c>
      <c r="E13" s="244">
        <v>0.01</v>
      </c>
      <c r="F13" s="188"/>
      <c r="G13" s="193"/>
      <c r="H13" s="239"/>
      <c r="I13" s="182"/>
      <c r="J13" s="193" t="s">
        <v>122</v>
      </c>
      <c r="K13" s="245">
        <f>'Monthly  Mortgage Calculation'!I14</f>
        <v>3175.3538</v>
      </c>
      <c r="L13" s="182">
        <f>G29/12</f>
        <v>3175.3538</v>
      </c>
      <c r="M13" s="193"/>
      <c r="N13" s="57"/>
      <c r="O13" s="171"/>
      <c r="Q13" s="162"/>
      <c r="R13" s="162"/>
    </row>
    <row r="14">
      <c r="A14" s="246" t="s">
        <v>137</v>
      </c>
      <c r="B14" s="192"/>
      <c r="C14" s="247"/>
      <c r="D14" s="247"/>
      <c r="E14" s="192"/>
      <c r="F14" s="169"/>
      <c r="G14" s="193"/>
      <c r="H14" s="248"/>
      <c r="I14" s="182"/>
      <c r="J14" s="249" t="str">
        <f>("Final "&amp;(H7-10))&amp;" Years"</f>
        <v>Final 20 Years</v>
      </c>
      <c r="K14" s="250">
        <f>'Monthly  Mortgage Calculation'!I15</f>
        <v>3447.282211</v>
      </c>
      <c r="L14" s="182">
        <f>G34/12</f>
        <v>3447.282211</v>
      </c>
      <c r="M14" s="193"/>
      <c r="N14" s="57"/>
      <c r="O14" s="171"/>
      <c r="Q14" s="251"/>
      <c r="R14" s="162"/>
    </row>
    <row r="15" ht="25.5" customHeight="1">
      <c r="A15" s="246" t="s">
        <v>138</v>
      </c>
      <c r="B15" s="165"/>
      <c r="C15" s="178" t="s">
        <v>139</v>
      </c>
      <c r="D15" s="252">
        <v>0.1</v>
      </c>
      <c r="E15" s="253"/>
      <c r="F15" s="169"/>
      <c r="G15" s="254" t="s">
        <v>140</v>
      </c>
      <c r="H15" s="255">
        <f>(((((H6*H5)+H11))))</f>
        <v>208000</v>
      </c>
      <c r="I15" s="171"/>
      <c r="J15" s="225"/>
      <c r="K15" s="225"/>
      <c r="L15" s="256"/>
      <c r="M15" s="254"/>
      <c r="N15" s="257"/>
      <c r="O15" s="171"/>
      <c r="Q15" s="162"/>
      <c r="R15" s="162"/>
    </row>
    <row r="16">
      <c r="A16" s="246" t="s">
        <v>141</v>
      </c>
      <c r="B16" s="160"/>
      <c r="C16" s="258" t="s">
        <v>142</v>
      </c>
      <c r="D16" s="259"/>
      <c r="E16" s="259"/>
      <c r="G16" s="260"/>
      <c r="H16" s="260"/>
      <c r="I16" s="161"/>
      <c r="J16" s="261"/>
      <c r="K16" s="161"/>
      <c r="L16" s="161"/>
      <c r="M16" s="225"/>
      <c r="N16" s="225"/>
      <c r="O16" s="161"/>
      <c r="Q16" s="251"/>
      <c r="R16" s="162"/>
    </row>
    <row r="17">
      <c r="A17" s="262"/>
      <c r="B17" s="160"/>
      <c r="F17" s="263"/>
      <c r="G17" s="264" t="s">
        <v>143</v>
      </c>
      <c r="H17" s="265"/>
      <c r="I17" s="161"/>
      <c r="J17" s="266"/>
      <c r="K17" s="161"/>
      <c r="L17" s="161"/>
      <c r="M17" s="161"/>
      <c r="N17" s="161"/>
      <c r="O17" s="161"/>
      <c r="Q17" s="251"/>
      <c r="R17" s="162"/>
    </row>
    <row r="18">
      <c r="A18" s="262"/>
      <c r="B18" s="160"/>
      <c r="F18" s="263"/>
      <c r="G18" s="267"/>
      <c r="H18" s="267"/>
      <c r="I18" s="161"/>
      <c r="J18" s="161"/>
      <c r="K18" s="161"/>
      <c r="L18" s="161"/>
      <c r="M18" s="161"/>
      <c r="N18" s="161"/>
      <c r="O18" s="161"/>
      <c r="Q18" s="251"/>
      <c r="R18" s="162"/>
    </row>
    <row r="19">
      <c r="A19" s="268" t="s">
        <v>144</v>
      </c>
      <c r="B19" s="160"/>
      <c r="C19" s="269"/>
      <c r="D19" s="269"/>
      <c r="E19" s="269"/>
      <c r="F19" s="169"/>
      <c r="G19" s="170" t="s">
        <v>145</v>
      </c>
      <c r="H19" s="167"/>
      <c r="I19" s="171"/>
      <c r="J19" s="161"/>
      <c r="K19" s="161"/>
      <c r="L19" s="161"/>
      <c r="M19" s="161"/>
      <c r="N19" s="161"/>
      <c r="O19" s="161"/>
      <c r="Q19" s="251"/>
      <c r="R19" s="162"/>
    </row>
    <row r="20" ht="25.5" customHeight="1">
      <c r="A20" s="246" t="s">
        <v>146</v>
      </c>
      <c r="B20" s="160"/>
      <c r="C20" s="192"/>
      <c r="D20" s="192"/>
      <c r="E20" s="192"/>
      <c r="F20" s="169"/>
      <c r="G20" s="270" t="s">
        <v>147</v>
      </c>
      <c r="H20" s="200">
        <v>0.06</v>
      </c>
      <c r="I20" s="171"/>
      <c r="J20" s="161"/>
      <c r="K20" s="161"/>
      <c r="L20" s="161"/>
      <c r="M20" s="161"/>
      <c r="N20" s="161"/>
      <c r="O20" s="161"/>
      <c r="Q20" s="251"/>
      <c r="R20" s="162"/>
    </row>
    <row r="21">
      <c r="A21" s="271" t="s">
        <v>148</v>
      </c>
      <c r="B21" s="160"/>
      <c r="C21" s="160"/>
      <c r="D21" s="160"/>
      <c r="E21" s="160"/>
      <c r="F21" s="169"/>
      <c r="G21" s="254"/>
      <c r="H21" s="272"/>
      <c r="I21" s="171"/>
      <c r="J21" s="161"/>
      <c r="K21" s="161"/>
      <c r="L21" s="161"/>
      <c r="M21" s="161"/>
      <c r="N21" s="161"/>
      <c r="O21" s="161"/>
      <c r="Q21" s="251"/>
    </row>
    <row r="22" ht="63.75" customHeight="1">
      <c r="B22" s="160"/>
      <c r="C22" s="160"/>
      <c r="D22" s="160"/>
      <c r="E22" s="160"/>
      <c r="G22" s="225"/>
      <c r="H22" s="225"/>
      <c r="I22" s="161"/>
      <c r="J22" s="161"/>
      <c r="K22" s="161"/>
      <c r="L22" s="161"/>
      <c r="M22" s="161"/>
      <c r="N22" s="161"/>
      <c r="O22" s="161"/>
      <c r="Q22" s="273" t="s">
        <v>149</v>
      </c>
      <c r="R22" s="273" t="s">
        <v>150</v>
      </c>
      <c r="S22" s="274"/>
    </row>
    <row r="23" ht="38.25" customHeight="1">
      <c r="B23" s="275" t="s">
        <v>20</v>
      </c>
      <c r="C23" s="275" t="s">
        <v>151</v>
      </c>
      <c r="D23" s="275" t="s">
        <v>152</v>
      </c>
      <c r="E23" s="276" t="s">
        <v>153</v>
      </c>
      <c r="G23" s="277" t="s">
        <v>154</v>
      </c>
      <c r="H23" s="277" t="s">
        <v>155</v>
      </c>
      <c r="I23" s="277" t="s">
        <v>156</v>
      </c>
      <c r="J23" s="277" t="s">
        <v>2</v>
      </c>
      <c r="K23" s="277" t="s">
        <v>157</v>
      </c>
      <c r="L23" s="277" t="s">
        <v>158</v>
      </c>
      <c r="M23" s="277" t="s">
        <v>159</v>
      </c>
      <c r="N23" s="278" t="s">
        <v>160</v>
      </c>
      <c r="O23" s="161"/>
      <c r="P23" s="279" t="s">
        <v>161</v>
      </c>
      <c r="Q23" s="280" t="s">
        <v>162</v>
      </c>
      <c r="R23" s="280" t="s">
        <v>162</v>
      </c>
      <c r="S23" s="281"/>
    </row>
    <row r="24">
      <c r="B24" s="282">
        <v>2015.0</v>
      </c>
      <c r="C24" s="283">
        <f>($D$5*12)*(1+$E$10)</f>
        <v>20604</v>
      </c>
      <c r="D24" s="283">
        <f t="shared" ref="D24:D54" si="2">K24-C24</f>
        <v>31245.847</v>
      </c>
      <c r="E24" s="283">
        <f>H15</f>
        <v>208000</v>
      </c>
      <c r="G24" s="284">
        <f t="shared" ref="G24:G28" si="3">$K$12*12</f>
        <v>34336.29886</v>
      </c>
      <c r="H24" s="285">
        <f t="shared" ref="H24:J24" si="1">$M24*L$6</f>
        <v>8800</v>
      </c>
      <c r="I24" s="285">
        <f t="shared" si="1"/>
        <v>6905.548138</v>
      </c>
      <c r="J24" s="285">
        <f t="shared" si="1"/>
        <v>1808</v>
      </c>
      <c r="K24" s="284">
        <f t="shared" ref="K24:K54" si="5">((G24+H24)+I24)+J24</f>
        <v>51849.847</v>
      </c>
      <c r="L24" s="284">
        <f>'Monthly  Mortgage Calculation'!H2</f>
        <v>640000</v>
      </c>
      <c r="M24" s="284">
        <f>H5</f>
        <v>800000</v>
      </c>
      <c r="N24" s="284">
        <f t="shared" ref="N24:N54" si="6">M24-L24</f>
        <v>160000</v>
      </c>
      <c r="O24" s="161"/>
      <c r="P24" s="286" t="s">
        <v>163</v>
      </c>
      <c r="Q24" s="287">
        <f t="shared" ref="Q24:Q54" si="7">E24-N24</f>
        <v>48000</v>
      </c>
      <c r="R24" s="288">
        <f>(E24)-((M24-($H$20*M24))-L24)</f>
        <v>96000</v>
      </c>
      <c r="S24" s="289"/>
    </row>
    <row r="25">
      <c r="B25" s="290">
        <f t="shared" ref="B25:B54" si="8">B24+1</f>
        <v>2016</v>
      </c>
      <c r="C25" s="283">
        <f t="shared" ref="C25:C28" si="9">C24*(1+C$10)</f>
        <v>21016.08</v>
      </c>
      <c r="D25" s="283">
        <f t="shared" si="2"/>
        <v>31184.03796</v>
      </c>
      <c r="E25" s="283">
        <f t="shared" ref="E25:E28" si="10">(E24)*(1+$D$10)+(1+$D$10/2)*D24</f>
        <v>254899.4516</v>
      </c>
      <c r="G25" s="284">
        <f t="shared" si="3"/>
        <v>34336.29886</v>
      </c>
      <c r="H25" s="285">
        <f t="shared" ref="H25:J25" si="4">$M25*L$6</f>
        <v>8976</v>
      </c>
      <c r="I25" s="285">
        <f t="shared" si="4"/>
        <v>7043.659101</v>
      </c>
      <c r="J25" s="285">
        <f t="shared" si="4"/>
        <v>1844.16</v>
      </c>
      <c r="K25" s="284">
        <f t="shared" si="5"/>
        <v>52200.11796</v>
      </c>
      <c r="L25" s="284">
        <f>'Monthly  Mortgage Calculation'!E13</f>
        <v>627644.0139</v>
      </c>
      <c r="M25" s="284">
        <f t="shared" ref="M25:M29" si="12">M24*(1+O$6)</f>
        <v>816000</v>
      </c>
      <c r="N25" s="284">
        <f t="shared" si="6"/>
        <v>188355.9861</v>
      </c>
      <c r="O25" s="161"/>
      <c r="P25" s="286" t="s">
        <v>164</v>
      </c>
      <c r="Q25" s="287">
        <f t="shared" si="7"/>
        <v>66543.46555</v>
      </c>
      <c r="R25" s="288">
        <f t="shared" ref="R25:R54" si="13">(-(E25-E$24-sum(D$24:D24))*($D$15))+E25-((M25-($H$20*M25))-L25)</f>
        <v>113938.1051</v>
      </c>
      <c r="S25" s="289"/>
    </row>
    <row r="26">
      <c r="B26" s="290">
        <f t="shared" si="8"/>
        <v>2017</v>
      </c>
      <c r="C26" s="283">
        <f t="shared" si="9"/>
        <v>21436.4016</v>
      </c>
      <c r="D26" s="283">
        <f t="shared" si="2"/>
        <v>31120.99275</v>
      </c>
      <c r="E26" s="283">
        <f t="shared" si="10"/>
        <v>305017.8926</v>
      </c>
      <c r="G26" s="284">
        <f t="shared" si="3"/>
        <v>34336.29886</v>
      </c>
      <c r="H26" s="285">
        <f t="shared" ref="H26:J26" si="11">$M26*L$6</f>
        <v>9155.52</v>
      </c>
      <c r="I26" s="285">
        <f t="shared" si="11"/>
        <v>7184.532283</v>
      </c>
      <c r="J26" s="285">
        <f t="shared" si="11"/>
        <v>1881.0432</v>
      </c>
      <c r="K26" s="284">
        <f t="shared" si="5"/>
        <v>52557.39435</v>
      </c>
      <c r="L26" s="284">
        <f>'Monthly  Mortgage Calculation'!E25</f>
        <v>614853.0415</v>
      </c>
      <c r="M26" s="284">
        <f t="shared" si="12"/>
        <v>832320</v>
      </c>
      <c r="N26" s="284">
        <f t="shared" si="6"/>
        <v>217466.9585</v>
      </c>
      <c r="O26" s="161"/>
      <c r="P26" s="286" t="s">
        <v>165</v>
      </c>
      <c r="Q26" s="287">
        <f t="shared" si="7"/>
        <v>87550.93401</v>
      </c>
      <c r="R26" s="288">
        <f t="shared" si="13"/>
        <v>134031.3333</v>
      </c>
      <c r="S26" s="289"/>
    </row>
    <row r="27">
      <c r="B27" s="290">
        <f t="shared" si="8"/>
        <v>2018</v>
      </c>
      <c r="C27" s="283">
        <f t="shared" si="9"/>
        <v>21865.12963</v>
      </c>
      <c r="D27" s="283">
        <f t="shared" si="2"/>
        <v>31056.68662</v>
      </c>
      <c r="E27" s="283">
        <f t="shared" si="10"/>
        <v>358579.3725</v>
      </c>
      <c r="G27" s="284">
        <f t="shared" si="3"/>
        <v>34336.29886</v>
      </c>
      <c r="H27" s="285">
        <f t="shared" ref="H27:J27" si="14">$M27*L$6</f>
        <v>9338.6304</v>
      </c>
      <c r="I27" s="285">
        <f t="shared" si="14"/>
        <v>7328.222928</v>
      </c>
      <c r="J27" s="285">
        <f t="shared" si="14"/>
        <v>1918.664064</v>
      </c>
      <c r="K27" s="284">
        <f t="shared" si="5"/>
        <v>52921.81626</v>
      </c>
      <c r="L27" s="284">
        <f>'Monthly  Mortgage Calculation'!E37</f>
        <v>601611.7692</v>
      </c>
      <c r="M27" s="284">
        <f t="shared" si="12"/>
        <v>848966.4</v>
      </c>
      <c r="N27" s="284">
        <f t="shared" si="6"/>
        <v>247354.6308</v>
      </c>
      <c r="O27" s="161"/>
      <c r="P27" s="286" t="s">
        <v>166</v>
      </c>
      <c r="Q27" s="287">
        <f t="shared" si="7"/>
        <v>111224.7417</v>
      </c>
      <c r="R27" s="288">
        <f t="shared" si="13"/>
        <v>156459.8762</v>
      </c>
      <c r="S27" s="289"/>
    </row>
    <row r="28">
      <c r="B28" s="290">
        <f t="shared" si="8"/>
        <v>2019</v>
      </c>
      <c r="C28" s="283">
        <f t="shared" si="9"/>
        <v>22302.43222</v>
      </c>
      <c r="D28" s="283">
        <f t="shared" si="2"/>
        <v>30991.09438</v>
      </c>
      <c r="E28" s="283">
        <f t="shared" si="10"/>
        <v>415823.5993</v>
      </c>
      <c r="G28" s="284">
        <f t="shared" si="3"/>
        <v>34336.29886</v>
      </c>
      <c r="H28" s="285">
        <f t="shared" ref="H28:J28" si="15">$M28*L$6</f>
        <v>9525.403008</v>
      </c>
      <c r="I28" s="285">
        <f t="shared" si="15"/>
        <v>7474.787387</v>
      </c>
      <c r="J28" s="285">
        <f t="shared" si="15"/>
        <v>1957.037345</v>
      </c>
      <c r="K28" s="284">
        <f t="shared" si="5"/>
        <v>53293.5266</v>
      </c>
      <c r="L28" s="284">
        <f>'Monthly  Mortgage Calculation'!E49</f>
        <v>587904.3445</v>
      </c>
      <c r="M28" s="284">
        <f t="shared" si="12"/>
        <v>865945.728</v>
      </c>
      <c r="N28" s="284">
        <f t="shared" si="6"/>
        <v>278041.3835</v>
      </c>
      <c r="O28" s="161"/>
      <c r="P28" s="286" t="s">
        <v>167</v>
      </c>
      <c r="Q28" s="287">
        <f t="shared" si="7"/>
        <v>137782.2158</v>
      </c>
      <c r="R28" s="288">
        <f t="shared" si="13"/>
        <v>181417.356</v>
      </c>
      <c r="S28" s="289"/>
    </row>
    <row r="29">
      <c r="B29" s="290">
        <f t="shared" si="8"/>
        <v>2020</v>
      </c>
      <c r="C29" s="283">
        <f>((C28*(1+C$10)))*(1+E12)/(1+E10)</f>
        <v>22748.48087</v>
      </c>
      <c r="D29" s="283">
        <f t="shared" si="2"/>
        <v>35593.16612</v>
      </c>
      <c r="E29" s="283">
        <f t="shared" ref="E29:E33" si="17">(E28)*(1+$D$12)+(1+$D$12/2)*D28</f>
        <v>477007.0339</v>
      </c>
      <c r="G29" s="284">
        <f t="shared" ref="G29:G33" si="18">$K$13*12</f>
        <v>38104.2456</v>
      </c>
      <c r="H29" s="285">
        <f t="shared" ref="H29:J29" si="16">$M29*L$7</f>
        <v>9715.911068</v>
      </c>
      <c r="I29" s="285">
        <f t="shared" si="16"/>
        <v>8401.655185</v>
      </c>
      <c r="J29" s="285">
        <f t="shared" si="16"/>
        <v>2119.835142</v>
      </c>
      <c r="K29" s="284">
        <f t="shared" si="5"/>
        <v>58341.64699</v>
      </c>
      <c r="L29" s="284">
        <f>'Monthly  Mortgage Calculation'!E61</f>
        <v>573714.3568</v>
      </c>
      <c r="M29" s="284">
        <f t="shared" si="12"/>
        <v>883264.6426</v>
      </c>
      <c r="N29" s="284">
        <f t="shared" si="6"/>
        <v>309550.2858</v>
      </c>
      <c r="O29" s="161"/>
      <c r="P29" s="286" t="s">
        <v>168</v>
      </c>
      <c r="Q29" s="287">
        <f t="shared" si="7"/>
        <v>167456.7481</v>
      </c>
      <c r="R29" s="288">
        <f t="shared" si="13"/>
        <v>209111.7892</v>
      </c>
      <c r="S29" s="289"/>
    </row>
    <row r="30">
      <c r="B30" s="290">
        <f t="shared" si="8"/>
        <v>2021</v>
      </c>
      <c r="C30" s="283">
        <f t="shared" ref="C30:C34" si="20">C29*(1+C$12)</f>
        <v>23203.45049</v>
      </c>
      <c r="D30" s="283">
        <f t="shared" si="2"/>
        <v>35542.94453</v>
      </c>
      <c r="E30" s="283">
        <f t="shared" si="17"/>
        <v>547236.4532</v>
      </c>
      <c r="G30" s="284">
        <f t="shared" si="18"/>
        <v>38104.2456</v>
      </c>
      <c r="H30" s="285">
        <f t="shared" ref="H30:J30" si="19">$M30*L$7</f>
        <v>9910.22929</v>
      </c>
      <c r="I30" s="285">
        <f t="shared" si="19"/>
        <v>8569.688288</v>
      </c>
      <c r="J30" s="285">
        <f t="shared" si="19"/>
        <v>2162.231845</v>
      </c>
      <c r="K30" s="284">
        <f t="shared" si="5"/>
        <v>58746.39502</v>
      </c>
      <c r="L30" s="284">
        <f>'Monthly  Mortgage Calculation'!E73</f>
        <v>560929.3442</v>
      </c>
      <c r="M30" s="284">
        <f t="shared" ref="M30:M34" si="22">M29*(1+O$7)</f>
        <v>900929.9354</v>
      </c>
      <c r="N30" s="284">
        <f t="shared" si="6"/>
        <v>340000.5912</v>
      </c>
      <c r="O30" s="161"/>
      <c r="P30" s="286" t="s">
        <v>169</v>
      </c>
      <c r="Q30" s="287">
        <f t="shared" si="7"/>
        <v>207235.862</v>
      </c>
      <c r="R30" s="288">
        <f t="shared" si="13"/>
        <v>246487.1953</v>
      </c>
      <c r="S30" s="289"/>
    </row>
    <row r="31">
      <c r="B31" s="290">
        <f t="shared" si="8"/>
        <v>2022</v>
      </c>
      <c r="C31" s="283">
        <f t="shared" si="20"/>
        <v>23667.5195</v>
      </c>
      <c r="D31" s="283">
        <f t="shared" si="2"/>
        <v>35491.71851</v>
      </c>
      <c r="E31" s="283">
        <f t="shared" si="17"/>
        <v>622329.9525</v>
      </c>
      <c r="G31" s="284">
        <f t="shared" si="18"/>
        <v>38104.2456</v>
      </c>
      <c r="H31" s="285">
        <f t="shared" ref="H31:J31" si="21">$M31*L$7</f>
        <v>10108.43388</v>
      </c>
      <c r="I31" s="285">
        <f t="shared" si="21"/>
        <v>8741.082054</v>
      </c>
      <c r="J31" s="285">
        <f t="shared" si="21"/>
        <v>2205.476482</v>
      </c>
      <c r="K31" s="284">
        <f t="shared" si="5"/>
        <v>59159.23801</v>
      </c>
      <c r="L31" s="284">
        <f>'Monthly  Mortgage Calculation'!E85</f>
        <v>547562.5336</v>
      </c>
      <c r="M31" s="284">
        <f t="shared" si="22"/>
        <v>918948.5341</v>
      </c>
      <c r="N31" s="284">
        <f t="shared" si="6"/>
        <v>371386.0005</v>
      </c>
      <c r="O31" s="161"/>
      <c r="P31" s="286" t="s">
        <v>170</v>
      </c>
      <c r="Q31" s="287">
        <f t="shared" si="7"/>
        <v>250943.952</v>
      </c>
      <c r="R31" s="288">
        <f t="shared" si="13"/>
        <v>287321.3457</v>
      </c>
      <c r="S31" s="289"/>
    </row>
    <row r="32">
      <c r="B32" s="290">
        <f t="shared" si="8"/>
        <v>2023</v>
      </c>
      <c r="C32" s="283">
        <f t="shared" si="20"/>
        <v>24140.86989</v>
      </c>
      <c r="D32" s="283">
        <f t="shared" si="2"/>
        <v>35439.46797</v>
      </c>
      <c r="E32" s="283">
        <f t="shared" si="17"/>
        <v>702626.9778</v>
      </c>
      <c r="G32" s="284">
        <f t="shared" si="18"/>
        <v>38104.2456</v>
      </c>
      <c r="H32" s="285">
        <f t="shared" ref="H32:J32" si="23">$M32*L$7</f>
        <v>10310.60255</v>
      </c>
      <c r="I32" s="285">
        <f t="shared" si="23"/>
        <v>8915.903695</v>
      </c>
      <c r="J32" s="285">
        <f t="shared" si="23"/>
        <v>2249.586012</v>
      </c>
      <c r="K32" s="284">
        <f t="shared" si="5"/>
        <v>59580.33786</v>
      </c>
      <c r="L32" s="284">
        <f>'Monthly  Mortgage Calculation'!E97</f>
        <v>533587.4496</v>
      </c>
      <c r="M32" s="284">
        <f t="shared" si="22"/>
        <v>937327.5048</v>
      </c>
      <c r="N32" s="284">
        <f t="shared" si="6"/>
        <v>403740.0552</v>
      </c>
      <c r="O32" s="161"/>
      <c r="P32" s="286" t="s">
        <v>171</v>
      </c>
      <c r="Q32" s="287">
        <f t="shared" si="7"/>
        <v>298886.9227</v>
      </c>
      <c r="R32" s="288">
        <f t="shared" si="13"/>
        <v>331886.524</v>
      </c>
      <c r="S32" s="289"/>
    </row>
    <row r="33">
      <c r="B33" s="290">
        <f t="shared" si="8"/>
        <v>2024</v>
      </c>
      <c r="C33" s="283">
        <f t="shared" si="20"/>
        <v>24623.68728</v>
      </c>
      <c r="D33" s="283">
        <f t="shared" si="2"/>
        <v>35386.17242</v>
      </c>
      <c r="E33" s="283">
        <f t="shared" si="17"/>
        <v>788490.7156</v>
      </c>
      <c r="G33" s="284">
        <f t="shared" si="18"/>
        <v>38104.2456</v>
      </c>
      <c r="H33" s="285">
        <f t="shared" ref="H33:J33" si="24">$M33*L$7</f>
        <v>10516.8146</v>
      </c>
      <c r="I33" s="285">
        <f t="shared" si="24"/>
        <v>9094.221769</v>
      </c>
      <c r="J33" s="285">
        <f t="shared" si="24"/>
        <v>2294.577732</v>
      </c>
      <c r="K33" s="284">
        <f t="shared" si="5"/>
        <v>60009.8597</v>
      </c>
      <c r="L33" s="284">
        <f>'Monthly  Mortgage Calculation'!E109</f>
        <v>518976.4119</v>
      </c>
      <c r="M33" s="284">
        <f t="shared" si="22"/>
        <v>956074.0549</v>
      </c>
      <c r="N33" s="284">
        <f t="shared" si="6"/>
        <v>437097.643</v>
      </c>
      <c r="O33" s="161"/>
      <c r="P33" s="286" t="s">
        <v>172</v>
      </c>
      <c r="Q33" s="287">
        <f t="shared" si="7"/>
        <v>351393.0727</v>
      </c>
      <c r="R33" s="288">
        <f t="shared" si="13"/>
        <v>380475.04</v>
      </c>
      <c r="S33" s="289"/>
    </row>
    <row r="34">
      <c r="B34" s="290">
        <f t="shared" si="8"/>
        <v>2025</v>
      </c>
      <c r="C34" s="283">
        <f t="shared" si="20"/>
        <v>25116.16103</v>
      </c>
      <c r="D34" s="283">
        <f t="shared" si="2"/>
        <v>41310.57477</v>
      </c>
      <c r="E34" s="283">
        <f t="shared" ref="E34:E54" si="26">(E33)*(1+$D$13)+(1+$D$13/2)*D33</f>
        <v>880309.7542</v>
      </c>
      <c r="G34" s="284">
        <f t="shared" ref="G34:G54" si="27">IF((((B34-$B$24)+1)&gt;$H$7),0,($K$14*12))</f>
        <v>41367.38653</v>
      </c>
      <c r="H34" s="285">
        <f t="shared" ref="H34:J34" si="25">$M34*L$8</f>
        <v>10727.1509</v>
      </c>
      <c r="I34" s="285">
        <f t="shared" si="25"/>
        <v>11894.20953</v>
      </c>
      <c r="J34" s="285">
        <f t="shared" si="25"/>
        <v>2437.98884</v>
      </c>
      <c r="K34" s="284">
        <f t="shared" si="5"/>
        <v>66426.7358</v>
      </c>
      <c r="L34" s="284">
        <f>'Monthly  Mortgage Calculation'!E121</f>
        <v>503700.4807</v>
      </c>
      <c r="M34" s="284">
        <f t="shared" si="22"/>
        <v>975195.536</v>
      </c>
      <c r="N34" s="284">
        <f t="shared" si="6"/>
        <v>471495.0553</v>
      </c>
      <c r="O34" s="161"/>
      <c r="P34" s="286" t="s">
        <v>173</v>
      </c>
      <c r="Q34" s="287">
        <f t="shared" si="7"/>
        <v>408814.6989</v>
      </c>
      <c r="R34" s="288">
        <f t="shared" si="13"/>
        <v>433400.6685</v>
      </c>
      <c r="S34" s="289"/>
    </row>
    <row r="35">
      <c r="B35" s="290">
        <f t="shared" si="8"/>
        <v>2026</v>
      </c>
      <c r="C35" s="283">
        <f>((C34*(1+C$13)))</f>
        <v>25618.48425</v>
      </c>
      <c r="D35" s="283">
        <f t="shared" si="2"/>
        <v>41309.43853</v>
      </c>
      <c r="E35" s="283">
        <f t="shared" si="26"/>
        <v>984687.8819</v>
      </c>
      <c r="G35" s="284">
        <f t="shared" si="27"/>
        <v>41367.38653</v>
      </c>
      <c r="H35" s="285">
        <f t="shared" ref="H35:J35" si="28">$M35*L$8</f>
        <v>10941.69391</v>
      </c>
      <c r="I35" s="285">
        <f t="shared" si="28"/>
        <v>12132.09372</v>
      </c>
      <c r="J35" s="285">
        <f t="shared" si="28"/>
        <v>2486.748617</v>
      </c>
      <c r="K35" s="284">
        <f t="shared" si="5"/>
        <v>66927.92278</v>
      </c>
      <c r="L35" s="284">
        <f>'Monthly  Mortgage Calculation'!E133</f>
        <v>489370.7585</v>
      </c>
      <c r="M35" s="284">
        <f t="shared" ref="M35:M54" si="30">M34*(1+O$8)</f>
        <v>994699.4467</v>
      </c>
      <c r="N35" s="284">
        <f t="shared" si="6"/>
        <v>505328.6882</v>
      </c>
      <c r="O35" s="161"/>
      <c r="P35" s="286" t="s">
        <v>174</v>
      </c>
      <c r="Q35" s="287">
        <f t="shared" si="7"/>
        <v>479359.1936</v>
      </c>
      <c r="R35" s="288">
        <f t="shared" si="13"/>
        <v>498808.6425</v>
      </c>
      <c r="S35" s="289"/>
    </row>
    <row r="36">
      <c r="B36" s="290">
        <f t="shared" si="8"/>
        <v>2027</v>
      </c>
      <c r="C36" s="283">
        <f t="shared" ref="C36:C54" si="31">C35*(1+C$13)</f>
        <v>26130.85394</v>
      </c>
      <c r="D36" s="283">
        <f t="shared" si="2"/>
        <v>41308.27957</v>
      </c>
      <c r="E36" s="283">
        <f t="shared" si="26"/>
        <v>1096371.302</v>
      </c>
      <c r="G36" s="284">
        <f t="shared" si="27"/>
        <v>41367.38653</v>
      </c>
      <c r="H36" s="285">
        <f t="shared" ref="H36:J36" si="29">$M36*L$8</f>
        <v>11160.52779</v>
      </c>
      <c r="I36" s="285">
        <f t="shared" si="29"/>
        <v>12374.7356</v>
      </c>
      <c r="J36" s="285">
        <f t="shared" si="29"/>
        <v>2536.483589</v>
      </c>
      <c r="K36" s="284">
        <f t="shared" si="5"/>
        <v>67439.13351</v>
      </c>
      <c r="L36" s="284">
        <f>'Monthly  Mortgage Calculation'!E145</f>
        <v>474242.0646</v>
      </c>
      <c r="M36" s="284">
        <f t="shared" si="30"/>
        <v>1014593.436</v>
      </c>
      <c r="N36" s="284">
        <f t="shared" si="6"/>
        <v>540351.371</v>
      </c>
      <c r="O36" s="161"/>
      <c r="P36" s="286" t="s">
        <v>175</v>
      </c>
      <c r="Q36" s="287">
        <f t="shared" si="7"/>
        <v>556019.9314</v>
      </c>
      <c r="R36" s="288">
        <f t="shared" si="13"/>
        <v>569625.6215</v>
      </c>
      <c r="S36" s="289"/>
    </row>
    <row r="37">
      <c r="B37" s="290">
        <f t="shared" si="8"/>
        <v>2028</v>
      </c>
      <c r="C37" s="283">
        <f t="shared" si="31"/>
        <v>26653.47101</v>
      </c>
      <c r="D37" s="283">
        <f t="shared" si="2"/>
        <v>41307.09743</v>
      </c>
      <c r="E37" s="283">
        <f t="shared" si="26"/>
        <v>1215871.363</v>
      </c>
      <c r="G37" s="284">
        <f t="shared" si="27"/>
        <v>41367.38653</v>
      </c>
      <c r="H37" s="285">
        <f t="shared" ref="H37:J37" si="32">$M37*L$8</f>
        <v>11383.73835</v>
      </c>
      <c r="I37" s="285">
        <f t="shared" si="32"/>
        <v>12622.23031</v>
      </c>
      <c r="J37" s="285">
        <f t="shared" si="32"/>
        <v>2587.213261</v>
      </c>
      <c r="K37" s="284">
        <f t="shared" si="5"/>
        <v>67960.56845</v>
      </c>
      <c r="L37" s="284">
        <f>'Monthly  Mortgage Calculation'!E157</f>
        <v>458269.8515</v>
      </c>
      <c r="M37" s="284">
        <f t="shared" si="30"/>
        <v>1034885.304</v>
      </c>
      <c r="N37" s="284">
        <f t="shared" si="6"/>
        <v>576615.4528</v>
      </c>
      <c r="O37" s="161"/>
      <c r="P37" s="286" t="s">
        <v>176</v>
      </c>
      <c r="Q37" s="287">
        <f t="shared" si="7"/>
        <v>639255.9102</v>
      </c>
      <c r="R37" s="288">
        <f t="shared" si="13"/>
        <v>646259.9343</v>
      </c>
      <c r="S37" s="289"/>
    </row>
    <row r="38">
      <c r="B38" s="290">
        <f t="shared" si="8"/>
        <v>2029</v>
      </c>
      <c r="C38" s="283">
        <f t="shared" si="31"/>
        <v>27186.54043</v>
      </c>
      <c r="D38" s="283">
        <f t="shared" si="2"/>
        <v>41305.89165</v>
      </c>
      <c r="E38" s="283">
        <f t="shared" si="26"/>
        <v>1343735.204</v>
      </c>
      <c r="G38" s="284">
        <f t="shared" si="27"/>
        <v>41367.38653</v>
      </c>
      <c r="H38" s="285">
        <f t="shared" ref="H38:J38" si="33">$M38*L$8</f>
        <v>11611.41311</v>
      </c>
      <c r="I38" s="285">
        <f t="shared" si="33"/>
        <v>12874.67491</v>
      </c>
      <c r="J38" s="285">
        <f t="shared" si="33"/>
        <v>2638.957526</v>
      </c>
      <c r="K38" s="284">
        <f t="shared" si="5"/>
        <v>68492.43209</v>
      </c>
      <c r="L38" s="284">
        <f>'Monthly  Mortgage Calculation'!E169</f>
        <v>441407.0877</v>
      </c>
      <c r="M38" s="284">
        <f t="shared" si="30"/>
        <v>1055583.01</v>
      </c>
      <c r="N38" s="284">
        <f t="shared" si="6"/>
        <v>614175.9227</v>
      </c>
      <c r="O38" s="161"/>
      <c r="P38" s="286" t="s">
        <v>177</v>
      </c>
      <c r="Q38" s="287">
        <f t="shared" si="7"/>
        <v>729559.2816</v>
      </c>
      <c r="R38" s="288">
        <f t="shared" si="13"/>
        <v>729149.4936</v>
      </c>
      <c r="S38" s="289"/>
    </row>
    <row r="39">
      <c r="B39" s="290">
        <f t="shared" si="8"/>
        <v>2030</v>
      </c>
      <c r="C39" s="283">
        <f t="shared" si="31"/>
        <v>27730.27124</v>
      </c>
      <c r="D39" s="283">
        <f t="shared" si="2"/>
        <v>41304.66175</v>
      </c>
      <c r="E39" s="283">
        <f t="shared" si="26"/>
        <v>1480548.266</v>
      </c>
      <c r="G39" s="284">
        <f t="shared" si="27"/>
        <v>41367.38653</v>
      </c>
      <c r="H39" s="285">
        <f t="shared" ref="H39:J39" si="34">$M39*L$8</f>
        <v>11843.64138</v>
      </c>
      <c r="I39" s="285">
        <f t="shared" si="34"/>
        <v>13132.16841</v>
      </c>
      <c r="J39" s="285">
        <f t="shared" si="34"/>
        <v>2691.736677</v>
      </c>
      <c r="K39" s="284">
        <f t="shared" si="5"/>
        <v>69034.933</v>
      </c>
      <c r="L39" s="284">
        <f>'Monthly  Mortgage Calculation'!E181</f>
        <v>423604.1195</v>
      </c>
      <c r="M39" s="284">
        <f t="shared" si="30"/>
        <v>1076694.671</v>
      </c>
      <c r="N39" s="284">
        <f t="shared" si="6"/>
        <v>653090.5512</v>
      </c>
      <c r="O39" s="161"/>
      <c r="P39" s="286" t="s">
        <v>178</v>
      </c>
      <c r="Q39" s="287">
        <f t="shared" si="7"/>
        <v>827457.7152</v>
      </c>
      <c r="R39" s="288">
        <f t="shared" si="13"/>
        <v>818763.9099</v>
      </c>
      <c r="S39" s="289"/>
    </row>
    <row r="40">
      <c r="B40" s="290">
        <f t="shared" si="8"/>
        <v>2031</v>
      </c>
      <c r="C40" s="283">
        <f t="shared" si="31"/>
        <v>28284.87667</v>
      </c>
      <c r="D40" s="283">
        <f t="shared" si="2"/>
        <v>41303.40726</v>
      </c>
      <c r="E40" s="283">
        <f t="shared" si="26"/>
        <v>1626936.97</v>
      </c>
      <c r="G40" s="284">
        <f t="shared" si="27"/>
        <v>41367.38653</v>
      </c>
      <c r="H40" s="285">
        <f t="shared" ref="H40:J40" si="35">$M40*L$8</f>
        <v>12080.5142</v>
      </c>
      <c r="I40" s="285">
        <f t="shared" si="35"/>
        <v>13394.81178</v>
      </c>
      <c r="J40" s="285">
        <f t="shared" si="35"/>
        <v>2745.57141</v>
      </c>
      <c r="K40" s="284">
        <f t="shared" si="5"/>
        <v>69588.28393</v>
      </c>
      <c r="L40" s="284">
        <f>'Monthly  Mortgage Calculation'!E193</f>
        <v>404808.5244</v>
      </c>
      <c r="M40" s="284">
        <f t="shared" si="30"/>
        <v>1098228.564</v>
      </c>
      <c r="N40" s="284">
        <f t="shared" si="6"/>
        <v>693420.0396</v>
      </c>
      <c r="O40" s="161"/>
      <c r="P40" s="286" t="s">
        <v>179</v>
      </c>
      <c r="Q40" s="287">
        <f t="shared" si="7"/>
        <v>933516.9304</v>
      </c>
      <c r="R40" s="288">
        <f t="shared" si="13"/>
        <v>915606.7544</v>
      </c>
      <c r="S40" s="289"/>
    </row>
    <row r="41">
      <c r="B41" s="290">
        <f t="shared" si="8"/>
        <v>2032</v>
      </c>
      <c r="C41" s="283">
        <f t="shared" si="31"/>
        <v>28850.5742</v>
      </c>
      <c r="D41" s="283">
        <f t="shared" si="2"/>
        <v>41302.12767</v>
      </c>
      <c r="E41" s="283">
        <f t="shared" si="26"/>
        <v>1783571.584</v>
      </c>
      <c r="G41" s="284">
        <f t="shared" si="27"/>
        <v>41367.38653</v>
      </c>
      <c r="H41" s="285">
        <f t="shared" ref="H41:J41" si="36">$M41*L$8</f>
        <v>12322.12449</v>
      </c>
      <c r="I41" s="285">
        <f t="shared" si="36"/>
        <v>13662.70802</v>
      </c>
      <c r="J41" s="285">
        <f t="shared" si="36"/>
        <v>2800.482838</v>
      </c>
      <c r="K41" s="284">
        <f t="shared" si="5"/>
        <v>70152.70187</v>
      </c>
      <c r="L41" s="284">
        <f>'Monthly  Mortgage Calculation'!E205</f>
        <v>384964.9575</v>
      </c>
      <c r="M41" s="284">
        <f t="shared" si="30"/>
        <v>1120193.135</v>
      </c>
      <c r="N41" s="284">
        <f t="shared" si="6"/>
        <v>735228.1778</v>
      </c>
      <c r="O41" s="161"/>
      <c r="P41" s="286" t="s">
        <v>180</v>
      </c>
      <c r="Q41" s="287">
        <f t="shared" si="7"/>
        <v>1048343.407</v>
      </c>
      <c r="R41" s="288">
        <f t="shared" si="13"/>
        <v>1020217.984</v>
      </c>
      <c r="S41" s="289"/>
    </row>
    <row r="42">
      <c r="B42" s="290">
        <f t="shared" si="8"/>
        <v>2033</v>
      </c>
      <c r="C42" s="283">
        <f t="shared" si="31"/>
        <v>29427.58569</v>
      </c>
      <c r="D42" s="283">
        <f t="shared" si="2"/>
        <v>41300.8225</v>
      </c>
      <c r="E42" s="283">
        <f t="shared" si="26"/>
        <v>1951169.297</v>
      </c>
      <c r="G42" s="284">
        <f t="shared" si="27"/>
        <v>41367.38653</v>
      </c>
      <c r="H42" s="285">
        <f t="shared" ref="H42:J42" si="37">$M42*L$8</f>
        <v>12568.56698</v>
      </c>
      <c r="I42" s="285">
        <f t="shared" si="37"/>
        <v>13935.96218</v>
      </c>
      <c r="J42" s="285">
        <f t="shared" si="37"/>
        <v>2856.492495</v>
      </c>
      <c r="K42" s="284">
        <f t="shared" si="5"/>
        <v>70728.40818</v>
      </c>
      <c r="L42" s="284">
        <f>'Monthly  Mortgage Calculation'!E217</f>
        <v>364014.9877</v>
      </c>
      <c r="M42" s="284">
        <f t="shared" si="30"/>
        <v>1142596.998</v>
      </c>
      <c r="N42" s="284">
        <f t="shared" si="6"/>
        <v>778582.0103</v>
      </c>
      <c r="O42" s="161"/>
      <c r="P42" s="286" t="s">
        <v>181</v>
      </c>
      <c r="Q42" s="287">
        <f t="shared" si="7"/>
        <v>1172587.287</v>
      </c>
      <c r="R42" s="288">
        <f t="shared" si="13"/>
        <v>1133176.538</v>
      </c>
      <c r="S42" s="289"/>
    </row>
    <row r="43">
      <c r="B43" s="290">
        <f t="shared" si="8"/>
        <v>2034</v>
      </c>
      <c r="C43" s="283">
        <f t="shared" si="31"/>
        <v>30016.1374</v>
      </c>
      <c r="D43" s="283">
        <f t="shared" si="2"/>
        <v>41299.49122</v>
      </c>
      <c r="E43" s="283">
        <f t="shared" si="26"/>
        <v>2130497.5</v>
      </c>
      <c r="G43" s="284">
        <f t="shared" si="27"/>
        <v>41367.38653</v>
      </c>
      <c r="H43" s="285">
        <f t="shared" ref="H43:J43" si="38">$M43*L$8</f>
        <v>12819.93832</v>
      </c>
      <c r="I43" s="285">
        <f t="shared" si="38"/>
        <v>14214.68142</v>
      </c>
      <c r="J43" s="285">
        <f t="shared" si="38"/>
        <v>2913.622345</v>
      </c>
      <c r="K43" s="284">
        <f t="shared" si="5"/>
        <v>71315.62861</v>
      </c>
      <c r="L43" s="284">
        <f>'Monthly  Mortgage Calculation'!E229</f>
        <v>341896.9262</v>
      </c>
      <c r="M43" s="284">
        <f t="shared" si="30"/>
        <v>1165448.938</v>
      </c>
      <c r="N43" s="284">
        <f t="shared" si="6"/>
        <v>823552.0118</v>
      </c>
      <c r="O43" s="161"/>
      <c r="P43" s="286" t="s">
        <v>182</v>
      </c>
      <c r="Q43" s="287">
        <f t="shared" si="7"/>
        <v>1306945.488</v>
      </c>
      <c r="R43" s="288">
        <f t="shared" si="13"/>
        <v>1255103.117</v>
      </c>
      <c r="S43" s="289"/>
    </row>
    <row r="44">
      <c r="B44" s="290">
        <f t="shared" si="8"/>
        <v>2035</v>
      </c>
      <c r="C44" s="283">
        <f t="shared" si="31"/>
        <v>30616.46015</v>
      </c>
      <c r="D44" s="283">
        <f t="shared" si="2"/>
        <v>41298.13331</v>
      </c>
      <c r="E44" s="283">
        <f t="shared" si="26"/>
        <v>2322377.298</v>
      </c>
      <c r="G44" s="284">
        <f t="shared" si="27"/>
        <v>41367.38653</v>
      </c>
      <c r="H44" s="285">
        <f t="shared" ref="H44:J44" si="39">$M44*L$8</f>
        <v>13076.33708</v>
      </c>
      <c r="I44" s="285">
        <f t="shared" si="39"/>
        <v>14498.97505</v>
      </c>
      <c r="J44" s="285">
        <f t="shared" si="39"/>
        <v>2971.894792</v>
      </c>
      <c r="K44" s="284">
        <f t="shared" si="5"/>
        <v>71914.59346</v>
      </c>
      <c r="L44" s="284">
        <f>'Monthly  Mortgage Calculation'!E241</f>
        <v>318545.6445</v>
      </c>
      <c r="M44" s="284">
        <f t="shared" si="30"/>
        <v>1188757.917</v>
      </c>
      <c r="N44" s="284">
        <f t="shared" si="6"/>
        <v>870212.2723</v>
      </c>
      <c r="O44" s="161"/>
      <c r="P44" s="286" t="s">
        <v>183</v>
      </c>
      <c r="Q44" s="287">
        <f t="shared" si="7"/>
        <v>1452165.026</v>
      </c>
      <c r="R44" s="288">
        <f t="shared" si="13"/>
        <v>1386663.163</v>
      </c>
      <c r="S44" s="289"/>
    </row>
    <row r="45">
      <c r="B45" s="290">
        <f t="shared" si="8"/>
        <v>2036</v>
      </c>
      <c r="C45" s="283">
        <f t="shared" si="31"/>
        <v>31228.78935</v>
      </c>
      <c r="D45" s="283">
        <f t="shared" si="2"/>
        <v>41296.74824</v>
      </c>
      <c r="E45" s="283">
        <f t="shared" si="26"/>
        <v>2527687.277</v>
      </c>
      <c r="G45" s="284">
        <f t="shared" si="27"/>
        <v>41367.38653</v>
      </c>
      <c r="H45" s="285">
        <f t="shared" ref="H45:J45" si="40">$M45*L$8</f>
        <v>13337.86383</v>
      </c>
      <c r="I45" s="285">
        <f t="shared" si="40"/>
        <v>14788.95455</v>
      </c>
      <c r="J45" s="285">
        <f t="shared" si="40"/>
        <v>3031.332688</v>
      </c>
      <c r="K45" s="284">
        <f t="shared" si="5"/>
        <v>72525.53759</v>
      </c>
      <c r="L45" s="284">
        <f>'Monthly  Mortgage Calculation'!E253</f>
        <v>293892.3829</v>
      </c>
      <c r="M45" s="284">
        <f t="shared" si="30"/>
        <v>1212533.075</v>
      </c>
      <c r="N45" s="284">
        <f t="shared" si="6"/>
        <v>918640.6922</v>
      </c>
      <c r="O45" s="161"/>
      <c r="P45" s="286" t="s">
        <v>184</v>
      </c>
      <c r="Q45" s="287">
        <f t="shared" si="7"/>
        <v>1609046.585</v>
      </c>
      <c r="R45" s="288">
        <f t="shared" si="13"/>
        <v>1528570.047</v>
      </c>
      <c r="S45" s="289"/>
    </row>
    <row r="46">
      <c r="B46" s="290">
        <f t="shared" si="8"/>
        <v>2037</v>
      </c>
      <c r="C46" s="283">
        <f t="shared" si="31"/>
        <v>31853.36514</v>
      </c>
      <c r="D46" s="283">
        <f t="shared" si="2"/>
        <v>41295.33548</v>
      </c>
      <c r="E46" s="283">
        <f t="shared" si="26"/>
        <v>2747367.521</v>
      </c>
      <c r="G46" s="284">
        <f t="shared" si="27"/>
        <v>41367.38653</v>
      </c>
      <c r="H46" s="285">
        <f t="shared" ref="H46:J46" si="41">$M46*L$8</f>
        <v>13604.6211</v>
      </c>
      <c r="I46" s="285">
        <f t="shared" si="41"/>
        <v>15084.73364</v>
      </c>
      <c r="J46" s="285">
        <f t="shared" si="41"/>
        <v>3091.959342</v>
      </c>
      <c r="K46" s="284">
        <f t="shared" si="5"/>
        <v>73148.70062</v>
      </c>
      <c r="L46" s="284">
        <f>'Monthly  Mortgage Calculation'!E265</f>
        <v>267864.5478</v>
      </c>
      <c r="M46" s="284">
        <f t="shared" si="30"/>
        <v>1236783.737</v>
      </c>
      <c r="N46" s="284">
        <f t="shared" si="6"/>
        <v>968919.1888</v>
      </c>
      <c r="O46" s="161"/>
      <c r="P46" s="286" t="s">
        <v>185</v>
      </c>
      <c r="Q46" s="287">
        <f t="shared" si="7"/>
        <v>1778448.332</v>
      </c>
      <c r="R46" s="288">
        <f t="shared" si="13"/>
        <v>1681588.484</v>
      </c>
      <c r="S46" s="289"/>
    </row>
    <row r="47">
      <c r="B47" s="290">
        <f t="shared" si="8"/>
        <v>2038</v>
      </c>
      <c r="C47" s="283">
        <f t="shared" si="31"/>
        <v>32490.43244</v>
      </c>
      <c r="D47" s="283">
        <f t="shared" si="2"/>
        <v>41293.89446</v>
      </c>
      <c r="E47" s="283">
        <f t="shared" si="26"/>
        <v>2982423.919</v>
      </c>
      <c r="G47" s="284">
        <f t="shared" si="27"/>
        <v>41367.38653</v>
      </c>
      <c r="H47" s="285">
        <f t="shared" ref="H47:J47" si="42">$M47*L$8</f>
        <v>13876.71352</v>
      </c>
      <c r="I47" s="285">
        <f t="shared" si="42"/>
        <v>15386.42831</v>
      </c>
      <c r="J47" s="285">
        <f t="shared" si="42"/>
        <v>3153.798528</v>
      </c>
      <c r="K47" s="284">
        <f t="shared" si="5"/>
        <v>73784.3269</v>
      </c>
      <c r="L47" s="284">
        <f>'Monthly  Mortgage Calculation'!E277</f>
        <v>240385.4983</v>
      </c>
      <c r="M47" s="284">
        <f t="shared" si="30"/>
        <v>1261519.411</v>
      </c>
      <c r="N47" s="284">
        <f t="shared" si="6"/>
        <v>1021133.913</v>
      </c>
      <c r="O47" s="161"/>
      <c r="P47" s="286" t="s">
        <v>186</v>
      </c>
      <c r="Q47" s="287">
        <f t="shared" si="7"/>
        <v>1961290.006</v>
      </c>
      <c r="R47" s="288">
        <f t="shared" si="13"/>
        <v>1846538.193</v>
      </c>
      <c r="S47" s="289"/>
    </row>
    <row r="48">
      <c r="B48" s="290">
        <f t="shared" si="8"/>
        <v>2039</v>
      </c>
      <c r="C48" s="283">
        <f t="shared" si="31"/>
        <v>33140.24109</v>
      </c>
      <c r="D48" s="283">
        <f t="shared" si="2"/>
        <v>41292.42462</v>
      </c>
      <c r="E48" s="283">
        <f t="shared" si="26"/>
        <v>3233932.774</v>
      </c>
      <c r="G48" s="284">
        <f t="shared" si="27"/>
        <v>41367.38653</v>
      </c>
      <c r="H48" s="285">
        <f t="shared" ref="H48:J48" si="43">$M48*L$8</f>
        <v>14154.2478</v>
      </c>
      <c r="I48" s="285">
        <f t="shared" si="43"/>
        <v>15694.15688</v>
      </c>
      <c r="J48" s="285">
        <f t="shared" si="43"/>
        <v>3216.874499</v>
      </c>
      <c r="K48" s="284">
        <f t="shared" si="5"/>
        <v>74432.6657</v>
      </c>
      <c r="L48" s="284">
        <f>'Monthly  Mortgage Calculation'!E289</f>
        <v>211374.3201</v>
      </c>
      <c r="M48" s="284">
        <f t="shared" si="30"/>
        <v>1286749.8</v>
      </c>
      <c r="N48" s="284">
        <f t="shared" si="6"/>
        <v>1075375.48</v>
      </c>
      <c r="O48" s="161"/>
      <c r="P48" s="286" t="s">
        <v>187</v>
      </c>
      <c r="Q48" s="287">
        <f t="shared" si="7"/>
        <v>2158557.295</v>
      </c>
      <c r="R48" s="288">
        <f t="shared" si="13"/>
        <v>2024297.809</v>
      </c>
      <c r="S48" s="289"/>
    </row>
    <row r="49">
      <c r="B49" s="290">
        <f t="shared" si="8"/>
        <v>2040</v>
      </c>
      <c r="C49" s="283">
        <f t="shared" si="31"/>
        <v>33803.04591</v>
      </c>
      <c r="D49" s="283">
        <f t="shared" si="2"/>
        <v>41290.92538</v>
      </c>
      <c r="E49" s="283">
        <f t="shared" si="26"/>
        <v>3503045.728</v>
      </c>
      <c r="G49" s="284">
        <f t="shared" si="27"/>
        <v>41367.38653</v>
      </c>
      <c r="H49" s="285">
        <f t="shared" ref="H49:J49" si="44">$M49*L$8</f>
        <v>14437.33275</v>
      </c>
      <c r="I49" s="285">
        <f t="shared" si="44"/>
        <v>16008.04002</v>
      </c>
      <c r="J49" s="285">
        <f t="shared" si="44"/>
        <v>3281.211989</v>
      </c>
      <c r="K49" s="284">
        <f t="shared" si="5"/>
        <v>75093.97129</v>
      </c>
      <c r="L49" s="284">
        <f>'Monthly  Mortgage Calculation'!E301</f>
        <v>180745.5873</v>
      </c>
      <c r="M49" s="284">
        <f t="shared" si="30"/>
        <v>1312484.796</v>
      </c>
      <c r="N49" s="284">
        <f t="shared" si="6"/>
        <v>1131739.208</v>
      </c>
      <c r="O49" s="161"/>
      <c r="P49" s="286" t="s">
        <v>188</v>
      </c>
      <c r="Q49" s="287">
        <f t="shared" si="7"/>
        <v>2371306.52</v>
      </c>
      <c r="R49" s="288">
        <f t="shared" si="13"/>
        <v>2215809.08</v>
      </c>
      <c r="S49" s="289"/>
    </row>
    <row r="50">
      <c r="B50" s="290">
        <f t="shared" si="8"/>
        <v>2041</v>
      </c>
      <c r="C50" s="283">
        <f t="shared" si="31"/>
        <v>34479.10683</v>
      </c>
      <c r="D50" s="283">
        <f t="shared" si="2"/>
        <v>41289.39615</v>
      </c>
      <c r="E50" s="283">
        <f t="shared" si="26"/>
        <v>3790995.037</v>
      </c>
      <c r="G50" s="284">
        <f t="shared" si="27"/>
        <v>41367.38653</v>
      </c>
      <c r="H50" s="285">
        <f t="shared" ref="H50:J50" si="45">$M50*L$8</f>
        <v>14726.07941</v>
      </c>
      <c r="I50" s="285">
        <f t="shared" si="45"/>
        <v>16328.20082</v>
      </c>
      <c r="J50" s="285">
        <f t="shared" si="45"/>
        <v>3346.836229</v>
      </c>
      <c r="K50" s="284">
        <f t="shared" si="5"/>
        <v>75768.50298</v>
      </c>
      <c r="L50" s="284">
        <f>'Monthly  Mortgage Calculation'!E313</f>
        <v>148409.1112</v>
      </c>
      <c r="M50" s="284">
        <f t="shared" si="30"/>
        <v>1338734.491</v>
      </c>
      <c r="N50" s="284">
        <f t="shared" si="6"/>
        <v>1190325.38</v>
      </c>
      <c r="O50" s="161"/>
      <c r="P50" s="286" t="s">
        <v>189</v>
      </c>
      <c r="Q50" s="287">
        <f t="shared" si="7"/>
        <v>2600669.657</v>
      </c>
      <c r="R50" s="288">
        <f t="shared" si="13"/>
        <v>2422081.361</v>
      </c>
      <c r="S50" s="289"/>
    </row>
    <row r="51">
      <c r="B51" s="290">
        <f t="shared" si="8"/>
        <v>2042</v>
      </c>
      <c r="C51" s="283">
        <f t="shared" si="31"/>
        <v>35168.68896</v>
      </c>
      <c r="D51" s="283">
        <f t="shared" si="2"/>
        <v>41287.83635</v>
      </c>
      <c r="E51" s="283">
        <f t="shared" si="26"/>
        <v>4099099.214</v>
      </c>
      <c r="G51" s="284">
        <f t="shared" si="27"/>
        <v>41367.38653</v>
      </c>
      <c r="H51" s="285">
        <f t="shared" ref="H51:J51" si="46">$M51*L$8</f>
        <v>15020.60099</v>
      </c>
      <c r="I51" s="285">
        <f t="shared" si="46"/>
        <v>16654.76483</v>
      </c>
      <c r="J51" s="285">
        <f t="shared" si="46"/>
        <v>3413.772953</v>
      </c>
      <c r="K51" s="284">
        <f t="shared" si="5"/>
        <v>76456.52531</v>
      </c>
      <c r="L51" s="284">
        <f>'Monthly  Mortgage Calculation'!E325</f>
        <v>114269.6746</v>
      </c>
      <c r="M51" s="284">
        <f t="shared" si="30"/>
        <v>1365509.181</v>
      </c>
      <c r="N51" s="284">
        <f t="shared" si="6"/>
        <v>1251239.507</v>
      </c>
      <c r="O51" s="161"/>
      <c r="P51" s="286" t="s">
        <v>190</v>
      </c>
      <c r="Q51" s="287">
        <f t="shared" si="7"/>
        <v>2847859.708</v>
      </c>
      <c r="R51" s="288">
        <f t="shared" si="13"/>
        <v>2644196.415</v>
      </c>
      <c r="S51" s="289"/>
    </row>
    <row r="52">
      <c r="B52" s="290">
        <f t="shared" si="8"/>
        <v>2043</v>
      </c>
      <c r="C52" s="283">
        <f t="shared" si="31"/>
        <v>35872.06274</v>
      </c>
      <c r="D52" s="283">
        <f t="shared" si="2"/>
        <v>41286.24534</v>
      </c>
      <c r="E52" s="283">
        <f t="shared" si="26"/>
        <v>4428769.07</v>
      </c>
      <c r="G52" s="284">
        <f t="shared" si="27"/>
        <v>41367.38653</v>
      </c>
      <c r="H52" s="285">
        <f t="shared" ref="H52:J52" si="47">$M52*L$8</f>
        <v>15321.01301</v>
      </c>
      <c r="I52" s="285">
        <f t="shared" si="47"/>
        <v>16987.86013</v>
      </c>
      <c r="J52" s="285">
        <f t="shared" si="47"/>
        <v>3482.048412</v>
      </c>
      <c r="K52" s="284">
        <f t="shared" si="5"/>
        <v>77158.30809</v>
      </c>
      <c r="L52" s="284">
        <f>'Monthly  Mortgage Calculation'!E337</f>
        <v>78226.75089</v>
      </c>
      <c r="M52" s="284">
        <f t="shared" si="30"/>
        <v>1392819.365</v>
      </c>
      <c r="N52" s="284">
        <f t="shared" si="6"/>
        <v>1314592.614</v>
      </c>
      <c r="O52" s="161"/>
      <c r="P52" s="286" t="s">
        <v>191</v>
      </c>
      <c r="Q52" s="287">
        <f t="shared" si="7"/>
        <v>3114176.456</v>
      </c>
      <c r="R52" s="288">
        <f t="shared" si="13"/>
        <v>2883313.572</v>
      </c>
      <c r="S52" s="289"/>
    </row>
    <row r="53">
      <c r="B53" s="290">
        <f t="shared" si="8"/>
        <v>2044</v>
      </c>
      <c r="C53" s="283">
        <f t="shared" si="31"/>
        <v>36589.504</v>
      </c>
      <c r="D53" s="283">
        <f t="shared" si="2"/>
        <v>41284.62252</v>
      </c>
      <c r="E53" s="283">
        <f t="shared" si="26"/>
        <v>4781514.169</v>
      </c>
      <c r="G53" s="284">
        <f t="shared" si="27"/>
        <v>41367.38653</v>
      </c>
      <c r="H53" s="285">
        <f t="shared" ref="H53:J53" si="48">$M53*L$8</f>
        <v>15627.43327</v>
      </c>
      <c r="I53" s="285">
        <f t="shared" si="48"/>
        <v>17327.61733</v>
      </c>
      <c r="J53" s="285">
        <f t="shared" si="48"/>
        <v>3551.689381</v>
      </c>
      <c r="K53" s="284">
        <f t="shared" si="5"/>
        <v>77874.12652</v>
      </c>
      <c r="L53" s="284">
        <f>'Monthly  Mortgage Calculation'!E349</f>
        <v>40174.20897</v>
      </c>
      <c r="M53" s="284">
        <f t="shared" si="30"/>
        <v>1420675.752</v>
      </c>
      <c r="N53" s="284">
        <f t="shared" si="6"/>
        <v>1380501.543</v>
      </c>
      <c r="O53" s="161"/>
      <c r="P53" s="286" t="s">
        <v>192</v>
      </c>
      <c r="Q53" s="287">
        <f t="shared" si="7"/>
        <v>3401012.626</v>
      </c>
      <c r="R53" s="288">
        <f t="shared" si="13"/>
        <v>3140675.24</v>
      </c>
      <c r="S53" s="289"/>
    </row>
    <row r="54">
      <c r="B54" s="290">
        <f t="shared" si="8"/>
        <v>2045</v>
      </c>
      <c r="C54" s="283">
        <f t="shared" si="31"/>
        <v>37321.29408</v>
      </c>
      <c r="D54" s="283">
        <f t="shared" si="2"/>
        <v>-84.41929117</v>
      </c>
      <c r="E54" s="291">
        <f t="shared" si="26"/>
        <v>5158949.745</v>
      </c>
      <c r="G54" s="284">
        <f t="shared" si="27"/>
        <v>0</v>
      </c>
      <c r="H54" s="285">
        <f t="shared" ref="H54:J54" si="49">$M54*L$8</f>
        <v>15939.98194</v>
      </c>
      <c r="I54" s="285">
        <f t="shared" si="49"/>
        <v>17674.16968</v>
      </c>
      <c r="J54" s="285">
        <f t="shared" si="49"/>
        <v>3622.723168</v>
      </c>
      <c r="K54" s="284">
        <f t="shared" si="5"/>
        <v>37236.87479</v>
      </c>
      <c r="L54" s="284">
        <f>'Monthly  Mortgage Calculation'!E350</f>
        <v>36908.98348</v>
      </c>
      <c r="M54" s="284">
        <f t="shared" si="30"/>
        <v>1449089.267</v>
      </c>
      <c r="N54" s="292">
        <f t="shared" si="6"/>
        <v>1412180.284</v>
      </c>
      <c r="O54" s="161"/>
      <c r="P54" s="286" t="s">
        <v>193</v>
      </c>
      <c r="Q54" s="287">
        <f t="shared" si="7"/>
        <v>3746769.461</v>
      </c>
      <c r="R54" s="288">
        <f t="shared" si="13"/>
        <v>3454521.791</v>
      </c>
      <c r="S54" s="289"/>
    </row>
    <row r="55">
      <c r="B55" s="160"/>
      <c r="C55" s="160"/>
      <c r="D55" s="160"/>
      <c r="E55" s="160"/>
      <c r="G55" s="161"/>
      <c r="H55" s="161"/>
      <c r="I55" s="161"/>
      <c r="J55" s="161"/>
      <c r="K55" s="161"/>
      <c r="L55" s="161"/>
      <c r="M55" s="161"/>
      <c r="N55" s="161"/>
      <c r="O55" s="161"/>
      <c r="Q55" s="274"/>
      <c r="R55" s="274"/>
    </row>
  </sheetData>
  <mergeCells count="16">
    <mergeCell ref="B1:E1"/>
    <mergeCell ref="G1:O1"/>
    <mergeCell ref="Q1:R1"/>
    <mergeCell ref="A2:A4"/>
    <mergeCell ref="C4:D4"/>
    <mergeCell ref="G4:H4"/>
    <mergeCell ref="A6:A7"/>
    <mergeCell ref="G19:H19"/>
    <mergeCell ref="Q21:R21"/>
    <mergeCell ref="L4:O4"/>
    <mergeCell ref="M10:N10"/>
    <mergeCell ref="M12:N12"/>
    <mergeCell ref="M13:N13"/>
    <mergeCell ref="M14:N14"/>
    <mergeCell ref="M15:N15"/>
    <mergeCell ref="C16:E19"/>
  </mergeCells>
  <hyperlinks>
    <hyperlink r:id="rId1" ref="A12"/>
    <hyperlink r:id="rId2" ref="A19"/>
    <hyperlink r:id="rId3" ref="A21"/>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0" width="15.13"/>
  </cols>
  <sheetData>
    <row r="1">
      <c r="A1" s="277" t="s">
        <v>20</v>
      </c>
      <c r="B1" s="277" t="s">
        <v>194</v>
      </c>
      <c r="C1" s="293" t="s">
        <v>195</v>
      </c>
      <c r="D1" s="293" t="s">
        <v>196</v>
      </c>
      <c r="E1" s="293" t="s">
        <v>197</v>
      </c>
      <c r="F1" s="169"/>
      <c r="G1" s="294" t="s">
        <v>198</v>
      </c>
      <c r="H1" s="240"/>
      <c r="I1" s="295"/>
    </row>
    <row r="2" ht="25.5" customHeight="1">
      <c r="A2" s="296">
        <v>2012.0</v>
      </c>
      <c r="B2" s="296">
        <v>1.0</v>
      </c>
      <c r="C2" s="297">
        <f t="shared" ref="C2:C361" si="1">IF((((A2-$A$2)+1)&gt;10),$I$15,IF((((A2-$A$2)+1)&gt;5),$I$14,$I$13))</f>
        <v>2861.358239</v>
      </c>
      <c r="D2" s="297">
        <f>IF((((A2-$A$2)+1)&gt;10),$H$15,IF((((A2-$A$2)+1)&gt;5),$H$14,$H$13))*H2</f>
        <v>1847.942448</v>
      </c>
      <c r="E2" s="297">
        <f>MAX((H2-(C2-D2)),0)</f>
        <v>638986.5842</v>
      </c>
      <c r="F2" s="169"/>
      <c r="G2" s="193" t="s">
        <v>158</v>
      </c>
      <c r="H2" s="212">
        <f>'Assumptions and Summary'!H5*((1-'Assumptions and Summary'!H6)*(1+'Assumptions and Summary'!H14))</f>
        <v>640000</v>
      </c>
      <c r="I2" s="175"/>
    </row>
    <row r="3">
      <c r="A3" s="298">
        <f t="shared" ref="A3:A361" si="2">IF((B3=1),(A2+1),A2)</f>
        <v>2012</v>
      </c>
      <c r="B3" s="298">
        <f t="shared" ref="B3:B361" si="3">IF((B2=12),1,(B2+1))</f>
        <v>2</v>
      </c>
      <c r="C3" s="297">
        <f t="shared" si="1"/>
        <v>2861.358239</v>
      </c>
      <c r="D3" s="297">
        <f t="shared" ref="D3:D361" si="4">IF((((A3-$A$2)+1)&gt;10),$H$15,IF((((A3-$A$2)+1)&gt;5),$H$14,$H$13))*E2</f>
        <v>1845.016301</v>
      </c>
      <c r="E3" s="297">
        <f t="shared" ref="E3:E361" si="5">MAX((E2-(C3-D3)),0)</f>
        <v>637970.2423</v>
      </c>
      <c r="F3" s="169"/>
      <c r="G3" s="254" t="s">
        <v>199</v>
      </c>
      <c r="H3" s="299">
        <f>'Assumptions and Summary'!H7</f>
        <v>30</v>
      </c>
      <c r="I3" s="175"/>
    </row>
    <row r="4">
      <c r="A4" s="298">
        <f t="shared" si="2"/>
        <v>2012</v>
      </c>
      <c r="B4" s="298">
        <f t="shared" si="3"/>
        <v>3</v>
      </c>
      <c r="C4" s="297">
        <f t="shared" si="1"/>
        <v>2861.358239</v>
      </c>
      <c r="D4" s="297">
        <f t="shared" si="4"/>
        <v>1842.081705</v>
      </c>
      <c r="E4" s="297">
        <f t="shared" si="5"/>
        <v>636950.9657</v>
      </c>
      <c r="G4" s="300"/>
      <c r="H4" s="300"/>
    </row>
    <row r="5">
      <c r="A5" s="298">
        <f t="shared" si="2"/>
        <v>2012</v>
      </c>
      <c r="B5" s="298">
        <f t="shared" si="3"/>
        <v>4</v>
      </c>
      <c r="C5" s="297">
        <f t="shared" si="1"/>
        <v>2861.358239</v>
      </c>
      <c r="D5" s="297">
        <f t="shared" si="4"/>
        <v>1839.138635</v>
      </c>
      <c r="E5" s="297">
        <f t="shared" si="5"/>
        <v>635928.7461</v>
      </c>
      <c r="G5" s="301"/>
      <c r="H5" s="301"/>
    </row>
    <row r="6">
      <c r="A6" s="298">
        <f t="shared" si="2"/>
        <v>2012</v>
      </c>
      <c r="B6" s="298">
        <f t="shared" si="3"/>
        <v>5</v>
      </c>
      <c r="C6" s="297">
        <f t="shared" si="1"/>
        <v>2861.358239</v>
      </c>
      <c r="D6" s="297">
        <f t="shared" si="4"/>
        <v>1836.187068</v>
      </c>
      <c r="E6" s="297">
        <f t="shared" si="5"/>
        <v>634903.575</v>
      </c>
      <c r="F6" s="169"/>
      <c r="G6" s="302" t="s">
        <v>200</v>
      </c>
      <c r="H6" s="303" t="s">
        <v>201</v>
      </c>
      <c r="I6" s="175"/>
    </row>
    <row r="7">
      <c r="A7" s="298">
        <f t="shared" si="2"/>
        <v>2012</v>
      </c>
      <c r="B7" s="298">
        <f t="shared" si="3"/>
        <v>6</v>
      </c>
      <c r="C7" s="297">
        <f t="shared" si="1"/>
        <v>2861.358239</v>
      </c>
      <c r="D7" s="297">
        <f t="shared" si="4"/>
        <v>1833.226979</v>
      </c>
      <c r="E7" s="297">
        <f t="shared" si="5"/>
        <v>633875.4437</v>
      </c>
      <c r="F7" s="169"/>
      <c r="G7" s="304" t="str">
        <f>'Assumptions and Summary'!J6</f>
        <v>First 5 Years</v>
      </c>
      <c r="H7" s="305">
        <f>'Assumptions and Summary'!K6</f>
        <v>0.0349</v>
      </c>
      <c r="I7" s="175"/>
    </row>
    <row r="8">
      <c r="A8" s="298">
        <f t="shared" si="2"/>
        <v>2012</v>
      </c>
      <c r="B8" s="298">
        <f t="shared" si="3"/>
        <v>7</v>
      </c>
      <c r="C8" s="297">
        <f t="shared" si="1"/>
        <v>2861.358239</v>
      </c>
      <c r="D8" s="297">
        <f t="shared" si="4"/>
        <v>1830.258342</v>
      </c>
      <c r="E8" s="297">
        <f t="shared" si="5"/>
        <v>632844.3438</v>
      </c>
      <c r="F8" s="169"/>
      <c r="G8" s="304" t="str">
        <f>'Assumptions and Summary'!J7</f>
        <v>Next 5 Years:</v>
      </c>
      <c r="H8" s="305">
        <f>'Assumptions and Summary'!K7</f>
        <v>0.045</v>
      </c>
      <c r="I8" s="175"/>
    </row>
    <row r="9">
      <c r="A9" s="298">
        <f t="shared" si="2"/>
        <v>2012</v>
      </c>
      <c r="B9" s="298">
        <f t="shared" si="3"/>
        <v>8</v>
      </c>
      <c r="C9" s="297">
        <f t="shared" si="1"/>
        <v>2861.358239</v>
      </c>
      <c r="D9" s="297">
        <f t="shared" si="4"/>
        <v>1827.281134</v>
      </c>
      <c r="E9" s="297">
        <f t="shared" si="5"/>
        <v>631810.2667</v>
      </c>
      <c r="F9" s="169"/>
      <c r="G9" s="213" t="str">
        <f>'Assumptions and Summary'!J8</f>
        <v>Final 20 Years</v>
      </c>
      <c r="H9" s="306">
        <f>'Assumptions and Summary'!K8</f>
        <v>0.055</v>
      </c>
      <c r="I9" s="175"/>
    </row>
    <row r="10">
      <c r="A10" s="298">
        <f t="shared" si="2"/>
        <v>2012</v>
      </c>
      <c r="B10" s="298">
        <f t="shared" si="3"/>
        <v>9</v>
      </c>
      <c r="C10" s="297">
        <f t="shared" si="1"/>
        <v>2861.358239</v>
      </c>
      <c r="D10" s="297">
        <f t="shared" si="4"/>
        <v>1824.295329</v>
      </c>
      <c r="E10" s="297">
        <f t="shared" si="5"/>
        <v>630773.2038</v>
      </c>
      <c r="G10" s="307"/>
      <c r="H10" s="307"/>
      <c r="I10" s="308"/>
    </row>
    <row r="11">
      <c r="A11" s="298">
        <f t="shared" si="2"/>
        <v>2012</v>
      </c>
      <c r="B11" s="298">
        <f t="shared" si="3"/>
        <v>10</v>
      </c>
      <c r="C11" s="297">
        <f t="shared" si="1"/>
        <v>2861.358239</v>
      </c>
      <c r="D11" s="297">
        <f t="shared" si="4"/>
        <v>1821.300903</v>
      </c>
      <c r="E11" s="297">
        <f t="shared" si="5"/>
        <v>629733.1465</v>
      </c>
      <c r="F11" s="169"/>
      <c r="G11" s="309" t="s">
        <v>202</v>
      </c>
      <c r="H11" s="174"/>
      <c r="I11" s="167"/>
      <c r="J11" s="175"/>
    </row>
    <row r="12">
      <c r="A12" s="298">
        <f t="shared" si="2"/>
        <v>2012</v>
      </c>
      <c r="B12" s="298">
        <f t="shared" si="3"/>
        <v>11</v>
      </c>
      <c r="C12" s="297">
        <f t="shared" si="1"/>
        <v>2861.358239</v>
      </c>
      <c r="D12" s="297">
        <f t="shared" si="4"/>
        <v>1818.297831</v>
      </c>
      <c r="E12" s="297">
        <f t="shared" si="5"/>
        <v>628690.0861</v>
      </c>
      <c r="F12" s="169"/>
      <c r="G12" s="310"/>
      <c r="H12" s="302" t="s">
        <v>203</v>
      </c>
      <c r="I12" s="303" t="s">
        <v>204</v>
      </c>
      <c r="J12" s="175"/>
    </row>
    <row r="13">
      <c r="A13" s="298">
        <f t="shared" si="2"/>
        <v>2012</v>
      </c>
      <c r="B13" s="298">
        <f t="shared" si="3"/>
        <v>12</v>
      </c>
      <c r="C13" s="297">
        <f t="shared" si="1"/>
        <v>2861.358239</v>
      </c>
      <c r="D13" s="297">
        <f t="shared" si="4"/>
        <v>1815.286088</v>
      </c>
      <c r="E13" s="297">
        <f t="shared" si="5"/>
        <v>627644.0139</v>
      </c>
      <c r="F13" s="169"/>
      <c r="G13" s="304" t="str">
        <f>'Assumptions and Summary'!J12</f>
        <v>First 5 Years</v>
      </c>
      <c r="H13" s="311">
        <f t="shared" ref="H13:H15" si="6">(((($H7/2)+1)^2)^(1/12)-1)</f>
        <v>0.002887410075</v>
      </c>
      <c r="I13" s="312">
        <f>-PMT(H13,($H$3*12),H2)</f>
        <v>2861.358239</v>
      </c>
      <c r="J13" s="175"/>
    </row>
    <row r="14">
      <c r="A14" s="298">
        <f t="shared" si="2"/>
        <v>2013</v>
      </c>
      <c r="B14" s="298">
        <f t="shared" si="3"/>
        <v>1</v>
      </c>
      <c r="C14" s="297">
        <f t="shared" si="1"/>
        <v>2861.358239</v>
      </c>
      <c r="D14" s="297">
        <f t="shared" si="4"/>
        <v>1812.265649</v>
      </c>
      <c r="E14" s="297">
        <f t="shared" si="5"/>
        <v>626594.9213</v>
      </c>
      <c r="F14" s="169"/>
      <c r="G14" s="304" t="str">
        <f>'Assumptions and Summary'!J13</f>
        <v>Next 5 Years:</v>
      </c>
      <c r="H14" s="311">
        <f t="shared" si="6"/>
        <v>0.003715319575</v>
      </c>
      <c r="I14" s="312">
        <f>-PMT(H14,(($H$3-5)*12),$E$61)</f>
        <v>3175.3538</v>
      </c>
      <c r="J14" s="175"/>
    </row>
    <row r="15">
      <c r="A15" s="298">
        <f t="shared" si="2"/>
        <v>2013</v>
      </c>
      <c r="B15" s="298">
        <f t="shared" si="3"/>
        <v>2</v>
      </c>
      <c r="C15" s="297">
        <f t="shared" si="1"/>
        <v>2861.358239</v>
      </c>
      <c r="D15" s="297">
        <f t="shared" si="4"/>
        <v>1809.236488</v>
      </c>
      <c r="E15" s="297">
        <f t="shared" si="5"/>
        <v>625542.7996</v>
      </c>
      <c r="F15" s="169"/>
      <c r="G15" s="213" t="str">
        <f>'Assumptions and Summary'!J14</f>
        <v>Final 20 Years</v>
      </c>
      <c r="H15" s="311">
        <f t="shared" si="6"/>
        <v>0.004531681718</v>
      </c>
      <c r="I15" s="255">
        <f>-PMT(H15,(($H$3-10)*12),$E$121)</f>
        <v>3447.282211</v>
      </c>
      <c r="J15" s="175"/>
    </row>
    <row r="16">
      <c r="A16" s="298">
        <f t="shared" si="2"/>
        <v>2013</v>
      </c>
      <c r="B16" s="298">
        <f t="shared" si="3"/>
        <v>3</v>
      </c>
      <c r="C16" s="297">
        <f t="shared" si="1"/>
        <v>2861.358239</v>
      </c>
      <c r="D16" s="297">
        <f t="shared" si="4"/>
        <v>1806.198582</v>
      </c>
      <c r="E16" s="297">
        <f t="shared" si="5"/>
        <v>624487.6399</v>
      </c>
      <c r="G16" s="313"/>
      <c r="H16" s="263"/>
      <c r="I16" s="313"/>
    </row>
    <row r="17">
      <c r="A17" s="298">
        <f t="shared" si="2"/>
        <v>2013</v>
      </c>
      <c r="B17" s="298">
        <f t="shared" si="3"/>
        <v>4</v>
      </c>
      <c r="C17" s="297">
        <f t="shared" si="1"/>
        <v>2861.358239</v>
      </c>
      <c r="D17" s="297">
        <f t="shared" si="4"/>
        <v>1803.151903</v>
      </c>
      <c r="E17" s="297">
        <f t="shared" si="5"/>
        <v>623429.4336</v>
      </c>
    </row>
    <row r="18">
      <c r="A18" s="298">
        <f t="shared" si="2"/>
        <v>2013</v>
      </c>
      <c r="B18" s="298">
        <f t="shared" si="3"/>
        <v>5</v>
      </c>
      <c r="C18" s="297">
        <f t="shared" si="1"/>
        <v>2861.358239</v>
      </c>
      <c r="D18" s="297">
        <f t="shared" si="4"/>
        <v>1800.096427</v>
      </c>
      <c r="E18" s="297">
        <f t="shared" si="5"/>
        <v>622368.1718</v>
      </c>
    </row>
    <row r="19">
      <c r="A19" s="298">
        <f t="shared" si="2"/>
        <v>2013</v>
      </c>
      <c r="B19" s="298">
        <f t="shared" si="3"/>
        <v>6</v>
      </c>
      <c r="C19" s="297">
        <f t="shared" si="1"/>
        <v>2861.358239</v>
      </c>
      <c r="D19" s="297">
        <f t="shared" si="4"/>
        <v>1797.032129</v>
      </c>
      <c r="E19" s="297">
        <f t="shared" si="5"/>
        <v>621303.8456</v>
      </c>
    </row>
    <row r="20">
      <c r="A20" s="298">
        <f t="shared" si="2"/>
        <v>2013</v>
      </c>
      <c r="B20" s="298">
        <f t="shared" si="3"/>
        <v>7</v>
      </c>
      <c r="C20" s="297">
        <f t="shared" si="1"/>
        <v>2861.358239</v>
      </c>
      <c r="D20" s="297">
        <f t="shared" si="4"/>
        <v>1793.958983</v>
      </c>
      <c r="E20" s="297">
        <f t="shared" si="5"/>
        <v>620236.4464</v>
      </c>
    </row>
    <row r="21">
      <c r="A21" s="298">
        <f t="shared" si="2"/>
        <v>2013</v>
      </c>
      <c r="B21" s="298">
        <f t="shared" si="3"/>
        <v>8</v>
      </c>
      <c r="C21" s="297">
        <f t="shared" si="1"/>
        <v>2861.358239</v>
      </c>
      <c r="D21" s="297">
        <f t="shared" si="4"/>
        <v>1790.876964</v>
      </c>
      <c r="E21" s="297">
        <f t="shared" si="5"/>
        <v>619165.9651</v>
      </c>
    </row>
    <row r="22">
      <c r="A22" s="298">
        <f t="shared" si="2"/>
        <v>2013</v>
      </c>
      <c r="B22" s="298">
        <f t="shared" si="3"/>
        <v>9</v>
      </c>
      <c r="C22" s="297">
        <f t="shared" si="1"/>
        <v>2861.358239</v>
      </c>
      <c r="D22" s="297">
        <f t="shared" si="4"/>
        <v>1787.786046</v>
      </c>
      <c r="E22" s="297">
        <f t="shared" si="5"/>
        <v>618092.3929</v>
      </c>
    </row>
    <row r="23">
      <c r="A23" s="298">
        <f t="shared" si="2"/>
        <v>2013</v>
      </c>
      <c r="B23" s="298">
        <f t="shared" si="3"/>
        <v>10</v>
      </c>
      <c r="C23" s="297">
        <f t="shared" si="1"/>
        <v>2861.358239</v>
      </c>
      <c r="D23" s="297">
        <f t="shared" si="4"/>
        <v>1784.686202</v>
      </c>
      <c r="E23" s="297">
        <f t="shared" si="5"/>
        <v>617015.7209</v>
      </c>
    </row>
    <row r="24">
      <c r="A24" s="298">
        <f t="shared" si="2"/>
        <v>2013</v>
      </c>
      <c r="B24" s="298">
        <f t="shared" si="3"/>
        <v>11</v>
      </c>
      <c r="C24" s="297">
        <f t="shared" si="1"/>
        <v>2861.358239</v>
      </c>
      <c r="D24" s="297">
        <f t="shared" si="4"/>
        <v>1781.577409</v>
      </c>
      <c r="E24" s="297">
        <f t="shared" si="5"/>
        <v>615935.9401</v>
      </c>
    </row>
    <row r="25">
      <c r="A25" s="298">
        <f t="shared" si="2"/>
        <v>2013</v>
      </c>
      <c r="B25" s="298">
        <f t="shared" si="3"/>
        <v>12</v>
      </c>
      <c r="C25" s="297">
        <f t="shared" si="1"/>
        <v>2861.358239</v>
      </c>
      <c r="D25" s="297">
        <f t="shared" si="4"/>
        <v>1778.459639</v>
      </c>
      <c r="E25" s="297">
        <f t="shared" si="5"/>
        <v>614853.0415</v>
      </c>
    </row>
    <row r="26">
      <c r="A26" s="298">
        <f t="shared" si="2"/>
        <v>2014</v>
      </c>
      <c r="B26" s="298">
        <f t="shared" si="3"/>
        <v>1</v>
      </c>
      <c r="C26" s="297">
        <f t="shared" si="1"/>
        <v>2861.358239</v>
      </c>
      <c r="D26" s="297">
        <f t="shared" si="4"/>
        <v>1775.332866</v>
      </c>
      <c r="E26" s="297">
        <f t="shared" si="5"/>
        <v>613767.0161</v>
      </c>
    </row>
    <row r="27">
      <c r="A27" s="298">
        <f t="shared" si="2"/>
        <v>2014</v>
      </c>
      <c r="B27" s="298">
        <f t="shared" si="3"/>
        <v>2</v>
      </c>
      <c r="C27" s="297">
        <f t="shared" si="1"/>
        <v>2861.358239</v>
      </c>
      <c r="D27" s="297">
        <f t="shared" si="4"/>
        <v>1772.197066</v>
      </c>
      <c r="E27" s="297">
        <f t="shared" si="5"/>
        <v>612677.8549</v>
      </c>
    </row>
    <row r="28">
      <c r="A28" s="298">
        <f t="shared" si="2"/>
        <v>2014</v>
      </c>
      <c r="B28" s="298">
        <f t="shared" si="3"/>
        <v>3</v>
      </c>
      <c r="C28" s="297">
        <f t="shared" si="1"/>
        <v>2861.358239</v>
      </c>
      <c r="D28" s="297">
        <f t="shared" si="4"/>
        <v>1769.052211</v>
      </c>
      <c r="E28" s="297">
        <f t="shared" si="5"/>
        <v>611585.5489</v>
      </c>
    </row>
    <row r="29">
      <c r="A29" s="298">
        <f t="shared" si="2"/>
        <v>2014</v>
      </c>
      <c r="B29" s="298">
        <f t="shared" si="3"/>
        <v>4</v>
      </c>
      <c r="C29" s="297">
        <f t="shared" si="1"/>
        <v>2861.358239</v>
      </c>
      <c r="D29" s="297">
        <f t="shared" si="4"/>
        <v>1765.898275</v>
      </c>
      <c r="E29" s="297">
        <f t="shared" si="5"/>
        <v>610490.0889</v>
      </c>
    </row>
    <row r="30">
      <c r="A30" s="298">
        <f t="shared" si="2"/>
        <v>2014</v>
      </c>
      <c r="B30" s="298">
        <f t="shared" si="3"/>
        <v>5</v>
      </c>
      <c r="C30" s="297">
        <f t="shared" si="1"/>
        <v>2861.358239</v>
      </c>
      <c r="D30" s="297">
        <f t="shared" si="4"/>
        <v>1762.735233</v>
      </c>
      <c r="E30" s="297">
        <f t="shared" si="5"/>
        <v>609391.4659</v>
      </c>
    </row>
    <row r="31">
      <c r="A31" s="298">
        <f t="shared" si="2"/>
        <v>2014</v>
      </c>
      <c r="B31" s="298">
        <f t="shared" si="3"/>
        <v>6</v>
      </c>
      <c r="C31" s="297">
        <f t="shared" si="1"/>
        <v>2861.358239</v>
      </c>
      <c r="D31" s="297">
        <f t="shared" si="4"/>
        <v>1759.563058</v>
      </c>
      <c r="E31" s="297">
        <f t="shared" si="5"/>
        <v>608289.6707</v>
      </c>
    </row>
    <row r="32">
      <c r="A32" s="298">
        <f t="shared" si="2"/>
        <v>2014</v>
      </c>
      <c r="B32" s="298">
        <f t="shared" si="3"/>
        <v>7</v>
      </c>
      <c r="C32" s="297">
        <f t="shared" si="1"/>
        <v>2861.358239</v>
      </c>
      <c r="D32" s="297">
        <f t="shared" si="4"/>
        <v>1756.381724</v>
      </c>
      <c r="E32" s="297">
        <f t="shared" si="5"/>
        <v>607184.6942</v>
      </c>
    </row>
    <row r="33">
      <c r="A33" s="298">
        <f t="shared" si="2"/>
        <v>2014</v>
      </c>
      <c r="B33" s="298">
        <f t="shared" si="3"/>
        <v>8</v>
      </c>
      <c r="C33" s="297">
        <f t="shared" si="1"/>
        <v>2861.358239</v>
      </c>
      <c r="D33" s="297">
        <f t="shared" si="4"/>
        <v>1753.191203</v>
      </c>
      <c r="E33" s="297">
        <f t="shared" si="5"/>
        <v>606076.5272</v>
      </c>
    </row>
    <row r="34">
      <c r="A34" s="298">
        <f t="shared" si="2"/>
        <v>2014</v>
      </c>
      <c r="B34" s="298">
        <f t="shared" si="3"/>
        <v>9</v>
      </c>
      <c r="C34" s="297">
        <f t="shared" si="1"/>
        <v>2861.358239</v>
      </c>
      <c r="D34" s="297">
        <f t="shared" si="4"/>
        <v>1749.991471</v>
      </c>
      <c r="E34" s="297">
        <f t="shared" si="5"/>
        <v>604965.1604</v>
      </c>
    </row>
    <row r="35">
      <c r="A35" s="298">
        <f t="shared" si="2"/>
        <v>2014</v>
      </c>
      <c r="B35" s="298">
        <f t="shared" si="3"/>
        <v>10</v>
      </c>
      <c r="C35" s="297">
        <f t="shared" si="1"/>
        <v>2861.358239</v>
      </c>
      <c r="D35" s="297">
        <f t="shared" si="4"/>
        <v>1746.782499</v>
      </c>
      <c r="E35" s="297">
        <f t="shared" si="5"/>
        <v>603850.5847</v>
      </c>
    </row>
    <row r="36">
      <c r="A36" s="298">
        <f t="shared" si="2"/>
        <v>2014</v>
      </c>
      <c r="B36" s="298">
        <f t="shared" si="3"/>
        <v>11</v>
      </c>
      <c r="C36" s="297">
        <f t="shared" si="1"/>
        <v>2861.358239</v>
      </c>
      <c r="D36" s="297">
        <f t="shared" si="4"/>
        <v>1743.564262</v>
      </c>
      <c r="E36" s="297">
        <f t="shared" si="5"/>
        <v>602732.7907</v>
      </c>
    </row>
    <row r="37">
      <c r="A37" s="298">
        <f t="shared" si="2"/>
        <v>2014</v>
      </c>
      <c r="B37" s="298">
        <f t="shared" si="3"/>
        <v>12</v>
      </c>
      <c r="C37" s="297">
        <f t="shared" si="1"/>
        <v>2861.358239</v>
      </c>
      <c r="D37" s="297">
        <f t="shared" si="4"/>
        <v>1740.336732</v>
      </c>
      <c r="E37" s="297">
        <f t="shared" si="5"/>
        <v>601611.7692</v>
      </c>
    </row>
    <row r="38">
      <c r="A38" s="298">
        <f t="shared" si="2"/>
        <v>2015</v>
      </c>
      <c r="B38" s="298">
        <f t="shared" si="3"/>
        <v>1</v>
      </c>
      <c r="C38" s="297">
        <f t="shared" si="1"/>
        <v>2861.358239</v>
      </c>
      <c r="D38" s="297">
        <f t="shared" si="4"/>
        <v>1737.099883</v>
      </c>
      <c r="E38" s="297">
        <f t="shared" si="5"/>
        <v>600487.5108</v>
      </c>
    </row>
    <row r="39">
      <c r="A39" s="298">
        <f t="shared" si="2"/>
        <v>2015</v>
      </c>
      <c r="B39" s="298">
        <f t="shared" si="3"/>
        <v>2</v>
      </c>
      <c r="C39" s="297">
        <f t="shared" si="1"/>
        <v>2861.358239</v>
      </c>
      <c r="D39" s="297">
        <f t="shared" si="4"/>
        <v>1733.853688</v>
      </c>
      <c r="E39" s="297">
        <f t="shared" si="5"/>
        <v>599360.0063</v>
      </c>
    </row>
    <row r="40">
      <c r="A40" s="298">
        <f t="shared" si="2"/>
        <v>2015</v>
      </c>
      <c r="B40" s="298">
        <f t="shared" si="3"/>
        <v>3</v>
      </c>
      <c r="C40" s="297">
        <f t="shared" si="1"/>
        <v>2861.358239</v>
      </c>
      <c r="D40" s="297">
        <f t="shared" si="4"/>
        <v>1730.59812</v>
      </c>
      <c r="E40" s="297">
        <f t="shared" si="5"/>
        <v>598229.2462</v>
      </c>
    </row>
    <row r="41">
      <c r="A41" s="298">
        <f t="shared" si="2"/>
        <v>2015</v>
      </c>
      <c r="B41" s="298">
        <f t="shared" si="3"/>
        <v>4</v>
      </c>
      <c r="C41" s="297">
        <f t="shared" si="1"/>
        <v>2861.358239</v>
      </c>
      <c r="D41" s="297">
        <f t="shared" si="4"/>
        <v>1727.333152</v>
      </c>
      <c r="E41" s="297">
        <f t="shared" si="5"/>
        <v>597095.2211</v>
      </c>
    </row>
    <row r="42">
      <c r="A42" s="298">
        <f t="shared" si="2"/>
        <v>2015</v>
      </c>
      <c r="B42" s="298">
        <f t="shared" si="3"/>
        <v>5</v>
      </c>
      <c r="C42" s="297">
        <f t="shared" si="1"/>
        <v>2861.358239</v>
      </c>
      <c r="D42" s="297">
        <f t="shared" si="4"/>
        <v>1724.058757</v>
      </c>
      <c r="E42" s="297">
        <f t="shared" si="5"/>
        <v>595957.9216</v>
      </c>
    </row>
    <row r="43">
      <c r="A43" s="298">
        <f t="shared" si="2"/>
        <v>2015</v>
      </c>
      <c r="B43" s="298">
        <f t="shared" si="3"/>
        <v>6</v>
      </c>
      <c r="C43" s="297">
        <f t="shared" si="1"/>
        <v>2861.358239</v>
      </c>
      <c r="D43" s="297">
        <f t="shared" si="4"/>
        <v>1720.774907</v>
      </c>
      <c r="E43" s="297">
        <f t="shared" si="5"/>
        <v>594817.3383</v>
      </c>
    </row>
    <row r="44">
      <c r="A44" s="298">
        <f t="shared" si="2"/>
        <v>2015</v>
      </c>
      <c r="B44" s="298">
        <f t="shared" si="3"/>
        <v>7</v>
      </c>
      <c r="C44" s="297">
        <f t="shared" si="1"/>
        <v>2861.358239</v>
      </c>
      <c r="D44" s="297">
        <f t="shared" si="4"/>
        <v>1717.481575</v>
      </c>
      <c r="E44" s="297">
        <f t="shared" si="5"/>
        <v>593673.4616</v>
      </c>
    </row>
    <row r="45">
      <c r="A45" s="298">
        <f t="shared" si="2"/>
        <v>2015</v>
      </c>
      <c r="B45" s="298">
        <f t="shared" si="3"/>
        <v>8</v>
      </c>
      <c r="C45" s="297">
        <f t="shared" si="1"/>
        <v>2861.358239</v>
      </c>
      <c r="D45" s="297">
        <f t="shared" si="4"/>
        <v>1714.178734</v>
      </c>
      <c r="E45" s="297">
        <f t="shared" si="5"/>
        <v>592526.2821</v>
      </c>
    </row>
    <row r="46">
      <c r="A46" s="298">
        <f t="shared" si="2"/>
        <v>2015</v>
      </c>
      <c r="B46" s="298">
        <f t="shared" si="3"/>
        <v>9</v>
      </c>
      <c r="C46" s="297">
        <f t="shared" si="1"/>
        <v>2861.358239</v>
      </c>
      <c r="D46" s="297">
        <f t="shared" si="4"/>
        <v>1710.866356</v>
      </c>
      <c r="E46" s="297">
        <f t="shared" si="5"/>
        <v>591375.7902</v>
      </c>
    </row>
    <row r="47">
      <c r="A47" s="298">
        <f t="shared" si="2"/>
        <v>2015</v>
      </c>
      <c r="B47" s="298">
        <f t="shared" si="3"/>
        <v>10</v>
      </c>
      <c r="C47" s="297">
        <f t="shared" si="1"/>
        <v>2861.358239</v>
      </c>
      <c r="D47" s="297">
        <f t="shared" si="4"/>
        <v>1707.544415</v>
      </c>
      <c r="E47" s="297">
        <f t="shared" si="5"/>
        <v>590221.9764</v>
      </c>
    </row>
    <row r="48">
      <c r="A48" s="298">
        <f t="shared" si="2"/>
        <v>2015</v>
      </c>
      <c r="B48" s="298">
        <f t="shared" si="3"/>
        <v>11</v>
      </c>
      <c r="C48" s="297">
        <f t="shared" si="1"/>
        <v>2861.358239</v>
      </c>
      <c r="D48" s="297">
        <f t="shared" si="4"/>
        <v>1704.212881</v>
      </c>
      <c r="E48" s="297">
        <f t="shared" si="5"/>
        <v>589064.831</v>
      </c>
    </row>
    <row r="49">
      <c r="A49" s="298">
        <f t="shared" si="2"/>
        <v>2015</v>
      </c>
      <c r="B49" s="298">
        <f t="shared" si="3"/>
        <v>12</v>
      </c>
      <c r="C49" s="297">
        <f t="shared" si="1"/>
        <v>2861.358239</v>
      </c>
      <c r="D49" s="297">
        <f t="shared" si="4"/>
        <v>1700.871728</v>
      </c>
      <c r="E49" s="297">
        <f t="shared" si="5"/>
        <v>587904.3445</v>
      </c>
    </row>
    <row r="50">
      <c r="A50" s="298">
        <f t="shared" si="2"/>
        <v>2016</v>
      </c>
      <c r="B50" s="298">
        <f t="shared" si="3"/>
        <v>1</v>
      </c>
      <c r="C50" s="297">
        <f t="shared" si="1"/>
        <v>2861.358239</v>
      </c>
      <c r="D50" s="297">
        <f t="shared" si="4"/>
        <v>1697.520927</v>
      </c>
      <c r="E50" s="297">
        <f t="shared" si="5"/>
        <v>586740.5072</v>
      </c>
    </row>
    <row r="51">
      <c r="A51" s="298">
        <f t="shared" si="2"/>
        <v>2016</v>
      </c>
      <c r="B51" s="298">
        <f t="shared" si="3"/>
        <v>2</v>
      </c>
      <c r="C51" s="297">
        <f t="shared" si="1"/>
        <v>2861.358239</v>
      </c>
      <c r="D51" s="297">
        <f t="shared" si="4"/>
        <v>1694.160452</v>
      </c>
      <c r="E51" s="297">
        <f t="shared" si="5"/>
        <v>585573.3094</v>
      </c>
    </row>
    <row r="52">
      <c r="A52" s="298">
        <f t="shared" si="2"/>
        <v>2016</v>
      </c>
      <c r="B52" s="298">
        <f t="shared" si="3"/>
        <v>3</v>
      </c>
      <c r="C52" s="297">
        <f t="shared" si="1"/>
        <v>2861.358239</v>
      </c>
      <c r="D52" s="297">
        <f t="shared" si="4"/>
        <v>1690.790273</v>
      </c>
      <c r="E52" s="297">
        <f t="shared" si="5"/>
        <v>584402.7415</v>
      </c>
    </row>
    <row r="53">
      <c r="A53" s="298">
        <f t="shared" si="2"/>
        <v>2016</v>
      </c>
      <c r="B53" s="298">
        <f t="shared" si="3"/>
        <v>4</v>
      </c>
      <c r="C53" s="297">
        <f t="shared" si="1"/>
        <v>2861.358239</v>
      </c>
      <c r="D53" s="297">
        <f t="shared" si="4"/>
        <v>1687.410363</v>
      </c>
      <c r="E53" s="297">
        <f t="shared" si="5"/>
        <v>583228.7936</v>
      </c>
    </row>
    <row r="54">
      <c r="A54" s="298">
        <f t="shared" si="2"/>
        <v>2016</v>
      </c>
      <c r="B54" s="298">
        <f t="shared" si="3"/>
        <v>5</v>
      </c>
      <c r="C54" s="297">
        <f t="shared" si="1"/>
        <v>2861.358239</v>
      </c>
      <c r="D54" s="297">
        <f t="shared" si="4"/>
        <v>1684.020694</v>
      </c>
      <c r="E54" s="297">
        <f t="shared" si="5"/>
        <v>582051.456</v>
      </c>
    </row>
    <row r="55">
      <c r="A55" s="298">
        <f t="shared" si="2"/>
        <v>2016</v>
      </c>
      <c r="B55" s="298">
        <f t="shared" si="3"/>
        <v>6</v>
      </c>
      <c r="C55" s="297">
        <f t="shared" si="1"/>
        <v>2861.358239</v>
      </c>
      <c r="D55" s="297">
        <f t="shared" si="4"/>
        <v>1680.621238</v>
      </c>
      <c r="E55" s="297">
        <f t="shared" si="5"/>
        <v>580870.719</v>
      </c>
    </row>
    <row r="56">
      <c r="A56" s="298">
        <f t="shared" si="2"/>
        <v>2016</v>
      </c>
      <c r="B56" s="298">
        <f t="shared" si="3"/>
        <v>7</v>
      </c>
      <c r="C56" s="297">
        <f t="shared" si="1"/>
        <v>2861.358239</v>
      </c>
      <c r="D56" s="297">
        <f t="shared" si="4"/>
        <v>1677.211966</v>
      </c>
      <c r="E56" s="297">
        <f t="shared" si="5"/>
        <v>579686.5728</v>
      </c>
    </row>
    <row r="57">
      <c r="A57" s="298">
        <f t="shared" si="2"/>
        <v>2016</v>
      </c>
      <c r="B57" s="298">
        <f t="shared" si="3"/>
        <v>8</v>
      </c>
      <c r="C57" s="297">
        <f t="shared" si="1"/>
        <v>2861.358239</v>
      </c>
      <c r="D57" s="297">
        <f t="shared" si="4"/>
        <v>1673.79285</v>
      </c>
      <c r="E57" s="297">
        <f t="shared" si="5"/>
        <v>578499.0074</v>
      </c>
    </row>
    <row r="58">
      <c r="A58" s="298">
        <f t="shared" si="2"/>
        <v>2016</v>
      </c>
      <c r="B58" s="298">
        <f t="shared" si="3"/>
        <v>9</v>
      </c>
      <c r="C58" s="297">
        <f t="shared" si="1"/>
        <v>2861.358239</v>
      </c>
      <c r="D58" s="297">
        <f t="shared" si="4"/>
        <v>1670.363862</v>
      </c>
      <c r="E58" s="297">
        <f t="shared" si="5"/>
        <v>577308.013</v>
      </c>
    </row>
    <row r="59">
      <c r="A59" s="298">
        <f t="shared" si="2"/>
        <v>2016</v>
      </c>
      <c r="B59" s="298">
        <f t="shared" si="3"/>
        <v>10</v>
      </c>
      <c r="C59" s="297">
        <f t="shared" si="1"/>
        <v>2861.358239</v>
      </c>
      <c r="D59" s="297">
        <f t="shared" si="4"/>
        <v>1666.924973</v>
      </c>
      <c r="E59" s="297">
        <f t="shared" si="5"/>
        <v>576113.5797</v>
      </c>
    </row>
    <row r="60">
      <c r="A60" s="298">
        <f t="shared" si="2"/>
        <v>2016</v>
      </c>
      <c r="B60" s="298">
        <f t="shared" si="3"/>
        <v>11</v>
      </c>
      <c r="C60" s="297">
        <f t="shared" si="1"/>
        <v>2861.358239</v>
      </c>
      <c r="D60" s="297">
        <f t="shared" si="4"/>
        <v>1663.476154</v>
      </c>
      <c r="E60" s="297">
        <f t="shared" si="5"/>
        <v>574915.6977</v>
      </c>
    </row>
    <row r="61">
      <c r="A61" s="298">
        <f t="shared" si="2"/>
        <v>2016</v>
      </c>
      <c r="B61" s="298">
        <f t="shared" si="3"/>
        <v>12</v>
      </c>
      <c r="C61" s="297">
        <f t="shared" si="1"/>
        <v>2861.358239</v>
      </c>
      <c r="D61" s="297">
        <f t="shared" si="4"/>
        <v>1660.017377</v>
      </c>
      <c r="E61" s="297">
        <f t="shared" si="5"/>
        <v>573714.3568</v>
      </c>
    </row>
    <row r="62">
      <c r="A62" s="298">
        <f t="shared" si="2"/>
        <v>2017</v>
      </c>
      <c r="B62" s="298">
        <f t="shared" si="3"/>
        <v>1</v>
      </c>
      <c r="C62" s="297">
        <f t="shared" si="1"/>
        <v>3175.3538</v>
      </c>
      <c r="D62" s="297">
        <f t="shared" si="4"/>
        <v>2131.53218</v>
      </c>
      <c r="E62" s="297">
        <f t="shared" si="5"/>
        <v>572670.5352</v>
      </c>
    </row>
    <row r="63">
      <c r="A63" s="298">
        <f t="shared" si="2"/>
        <v>2017</v>
      </c>
      <c r="B63" s="298">
        <f t="shared" si="3"/>
        <v>2</v>
      </c>
      <c r="C63" s="297">
        <f t="shared" si="1"/>
        <v>3175.3538</v>
      </c>
      <c r="D63" s="297">
        <f t="shared" si="4"/>
        <v>2127.654049</v>
      </c>
      <c r="E63" s="297">
        <f t="shared" si="5"/>
        <v>571622.8354</v>
      </c>
    </row>
    <row r="64">
      <c r="A64" s="298">
        <f t="shared" si="2"/>
        <v>2017</v>
      </c>
      <c r="B64" s="298">
        <f t="shared" si="3"/>
        <v>3</v>
      </c>
      <c r="C64" s="297">
        <f t="shared" si="1"/>
        <v>3175.3538</v>
      </c>
      <c r="D64" s="297">
        <f t="shared" si="4"/>
        <v>2123.76151</v>
      </c>
      <c r="E64" s="297">
        <f t="shared" si="5"/>
        <v>570571.2431</v>
      </c>
    </row>
    <row r="65">
      <c r="A65" s="298">
        <f t="shared" si="2"/>
        <v>2017</v>
      </c>
      <c r="B65" s="298">
        <f t="shared" si="3"/>
        <v>4</v>
      </c>
      <c r="C65" s="297">
        <f t="shared" si="1"/>
        <v>3175.3538</v>
      </c>
      <c r="D65" s="297">
        <f t="shared" si="4"/>
        <v>2119.854508</v>
      </c>
      <c r="E65" s="297">
        <f t="shared" si="5"/>
        <v>569515.7438</v>
      </c>
    </row>
    <row r="66">
      <c r="A66" s="298">
        <f t="shared" si="2"/>
        <v>2017</v>
      </c>
      <c r="B66" s="298">
        <f t="shared" si="3"/>
        <v>5</v>
      </c>
      <c r="C66" s="297">
        <f t="shared" si="1"/>
        <v>3175.3538</v>
      </c>
      <c r="D66" s="297">
        <f t="shared" si="4"/>
        <v>2115.932991</v>
      </c>
      <c r="E66" s="297">
        <f t="shared" si="5"/>
        <v>568456.323</v>
      </c>
    </row>
    <row r="67">
      <c r="A67" s="298">
        <f t="shared" si="2"/>
        <v>2017</v>
      </c>
      <c r="B67" s="298">
        <f t="shared" si="3"/>
        <v>6</v>
      </c>
      <c r="C67" s="297">
        <f t="shared" si="1"/>
        <v>3175.3538</v>
      </c>
      <c r="D67" s="297">
        <f t="shared" si="4"/>
        <v>2111.996904</v>
      </c>
      <c r="E67" s="297">
        <f t="shared" si="5"/>
        <v>567392.9661</v>
      </c>
    </row>
    <row r="68">
      <c r="A68" s="298">
        <f t="shared" si="2"/>
        <v>2017</v>
      </c>
      <c r="B68" s="298">
        <f t="shared" si="3"/>
        <v>7</v>
      </c>
      <c r="C68" s="297">
        <f t="shared" si="1"/>
        <v>3175.3538</v>
      </c>
      <c r="D68" s="297">
        <f t="shared" si="4"/>
        <v>2108.046194</v>
      </c>
      <c r="E68" s="297">
        <f t="shared" si="5"/>
        <v>566325.6585</v>
      </c>
    </row>
    <row r="69">
      <c r="A69" s="298">
        <f t="shared" si="2"/>
        <v>2017</v>
      </c>
      <c r="B69" s="298">
        <f t="shared" si="3"/>
        <v>8</v>
      </c>
      <c r="C69" s="297">
        <f t="shared" si="1"/>
        <v>3175.3538</v>
      </c>
      <c r="D69" s="297">
        <f t="shared" si="4"/>
        <v>2104.080805</v>
      </c>
      <c r="E69" s="297">
        <f t="shared" si="5"/>
        <v>565254.3855</v>
      </c>
    </row>
    <row r="70">
      <c r="A70" s="298">
        <f t="shared" si="2"/>
        <v>2017</v>
      </c>
      <c r="B70" s="298">
        <f t="shared" si="3"/>
        <v>9</v>
      </c>
      <c r="C70" s="297">
        <f t="shared" si="1"/>
        <v>3175.3538</v>
      </c>
      <c r="D70" s="297">
        <f t="shared" si="4"/>
        <v>2100.100683</v>
      </c>
      <c r="E70" s="297">
        <f t="shared" si="5"/>
        <v>564179.1324</v>
      </c>
    </row>
    <row r="71">
      <c r="A71" s="298">
        <f t="shared" si="2"/>
        <v>2017</v>
      </c>
      <c r="B71" s="298">
        <f t="shared" si="3"/>
        <v>10</v>
      </c>
      <c r="C71" s="297">
        <f t="shared" si="1"/>
        <v>3175.3538</v>
      </c>
      <c r="D71" s="297">
        <f t="shared" si="4"/>
        <v>2096.105774</v>
      </c>
      <c r="E71" s="297">
        <f t="shared" si="5"/>
        <v>563099.8844</v>
      </c>
    </row>
    <row r="72">
      <c r="A72" s="298">
        <f t="shared" si="2"/>
        <v>2017</v>
      </c>
      <c r="B72" s="298">
        <f t="shared" si="3"/>
        <v>11</v>
      </c>
      <c r="C72" s="297">
        <f t="shared" si="1"/>
        <v>3175.3538</v>
      </c>
      <c r="D72" s="297">
        <f t="shared" si="4"/>
        <v>2092.096023</v>
      </c>
      <c r="E72" s="297">
        <f t="shared" si="5"/>
        <v>562016.6266</v>
      </c>
    </row>
    <row r="73">
      <c r="A73" s="298">
        <f t="shared" si="2"/>
        <v>2017</v>
      </c>
      <c r="B73" s="298">
        <f t="shared" si="3"/>
        <v>12</v>
      </c>
      <c r="C73" s="297">
        <f t="shared" si="1"/>
        <v>3175.3538</v>
      </c>
      <c r="D73" s="297">
        <f t="shared" si="4"/>
        <v>2088.071374</v>
      </c>
      <c r="E73" s="297">
        <f t="shared" si="5"/>
        <v>560929.3442</v>
      </c>
    </row>
    <row r="74">
      <c r="A74" s="298">
        <f t="shared" si="2"/>
        <v>2018</v>
      </c>
      <c r="B74" s="298">
        <f t="shared" si="3"/>
        <v>1</v>
      </c>
      <c r="C74" s="297">
        <f t="shared" si="1"/>
        <v>3175.3538</v>
      </c>
      <c r="D74" s="297">
        <f t="shared" si="4"/>
        <v>2084.031773</v>
      </c>
      <c r="E74" s="297">
        <f t="shared" si="5"/>
        <v>559838.0222</v>
      </c>
    </row>
    <row r="75">
      <c r="A75" s="298">
        <f t="shared" si="2"/>
        <v>2018</v>
      </c>
      <c r="B75" s="298">
        <f t="shared" si="3"/>
        <v>2</v>
      </c>
      <c r="C75" s="297">
        <f t="shared" si="1"/>
        <v>3175.3538</v>
      </c>
      <c r="D75" s="297">
        <f t="shared" si="4"/>
        <v>2079.977162</v>
      </c>
      <c r="E75" s="297">
        <f t="shared" si="5"/>
        <v>558742.6455</v>
      </c>
    </row>
    <row r="76">
      <c r="A76" s="298">
        <f t="shared" si="2"/>
        <v>2018</v>
      </c>
      <c r="B76" s="298">
        <f t="shared" si="3"/>
        <v>3</v>
      </c>
      <c r="C76" s="297">
        <f t="shared" si="1"/>
        <v>3175.3538</v>
      </c>
      <c r="D76" s="297">
        <f t="shared" si="4"/>
        <v>2075.907488</v>
      </c>
      <c r="E76" s="297">
        <f t="shared" si="5"/>
        <v>557643.1992</v>
      </c>
    </row>
    <row r="77">
      <c r="A77" s="298">
        <f t="shared" si="2"/>
        <v>2018</v>
      </c>
      <c r="B77" s="298">
        <f t="shared" si="3"/>
        <v>4</v>
      </c>
      <c r="C77" s="297">
        <f t="shared" si="1"/>
        <v>3175.3538</v>
      </c>
      <c r="D77" s="297">
        <f t="shared" si="4"/>
        <v>2071.822694</v>
      </c>
      <c r="E77" s="297">
        <f t="shared" si="5"/>
        <v>556539.6681</v>
      </c>
    </row>
    <row r="78">
      <c r="A78" s="298">
        <f t="shared" si="2"/>
        <v>2018</v>
      </c>
      <c r="B78" s="298">
        <f t="shared" si="3"/>
        <v>5</v>
      </c>
      <c r="C78" s="297">
        <f t="shared" si="1"/>
        <v>3175.3538</v>
      </c>
      <c r="D78" s="297">
        <f t="shared" si="4"/>
        <v>2067.722723</v>
      </c>
      <c r="E78" s="297">
        <f t="shared" si="5"/>
        <v>555432.037</v>
      </c>
    </row>
    <row r="79">
      <c r="A79" s="298">
        <f t="shared" si="2"/>
        <v>2018</v>
      </c>
      <c r="B79" s="298">
        <f t="shared" si="3"/>
        <v>6</v>
      </c>
      <c r="C79" s="297">
        <f t="shared" si="1"/>
        <v>3175.3538</v>
      </c>
      <c r="D79" s="297">
        <f t="shared" si="4"/>
        <v>2063.60752</v>
      </c>
      <c r="E79" s="297">
        <f t="shared" si="5"/>
        <v>554320.2908</v>
      </c>
    </row>
    <row r="80">
      <c r="A80" s="298">
        <f t="shared" si="2"/>
        <v>2018</v>
      </c>
      <c r="B80" s="298">
        <f t="shared" si="3"/>
        <v>7</v>
      </c>
      <c r="C80" s="297">
        <f t="shared" si="1"/>
        <v>3175.3538</v>
      </c>
      <c r="D80" s="297">
        <f t="shared" si="4"/>
        <v>2059.477027</v>
      </c>
      <c r="E80" s="297">
        <f t="shared" si="5"/>
        <v>553204.414</v>
      </c>
    </row>
    <row r="81">
      <c r="A81" s="298">
        <f t="shared" si="2"/>
        <v>2018</v>
      </c>
      <c r="B81" s="298">
        <f t="shared" si="3"/>
        <v>8</v>
      </c>
      <c r="C81" s="297">
        <f t="shared" si="1"/>
        <v>3175.3538</v>
      </c>
      <c r="D81" s="297">
        <f t="shared" si="4"/>
        <v>2055.331188</v>
      </c>
      <c r="E81" s="297">
        <f t="shared" si="5"/>
        <v>552084.3914</v>
      </c>
    </row>
    <row r="82">
      <c r="A82" s="298">
        <f t="shared" si="2"/>
        <v>2018</v>
      </c>
      <c r="B82" s="298">
        <f t="shared" si="3"/>
        <v>9</v>
      </c>
      <c r="C82" s="297">
        <f t="shared" si="1"/>
        <v>3175.3538</v>
      </c>
      <c r="D82" s="297">
        <f t="shared" si="4"/>
        <v>2051.169946</v>
      </c>
      <c r="E82" s="297">
        <f t="shared" si="5"/>
        <v>550960.2075</v>
      </c>
    </row>
    <row r="83">
      <c r="A83" s="298">
        <f t="shared" si="2"/>
        <v>2018</v>
      </c>
      <c r="B83" s="298">
        <f t="shared" si="3"/>
        <v>10</v>
      </c>
      <c r="C83" s="297">
        <f t="shared" si="1"/>
        <v>3175.3538</v>
      </c>
      <c r="D83" s="297">
        <f t="shared" si="4"/>
        <v>2046.993244</v>
      </c>
      <c r="E83" s="297">
        <f t="shared" si="5"/>
        <v>549831.847</v>
      </c>
    </row>
    <row r="84">
      <c r="A84" s="298">
        <f t="shared" si="2"/>
        <v>2018</v>
      </c>
      <c r="B84" s="298">
        <f t="shared" si="3"/>
        <v>11</v>
      </c>
      <c r="C84" s="297">
        <f t="shared" si="1"/>
        <v>3175.3538</v>
      </c>
      <c r="D84" s="297">
        <f t="shared" si="4"/>
        <v>2042.801024</v>
      </c>
      <c r="E84" s="297">
        <f t="shared" si="5"/>
        <v>548699.2942</v>
      </c>
    </row>
    <row r="85">
      <c r="A85" s="298">
        <f t="shared" si="2"/>
        <v>2018</v>
      </c>
      <c r="B85" s="298">
        <f t="shared" si="3"/>
        <v>12</v>
      </c>
      <c r="C85" s="297">
        <f t="shared" si="1"/>
        <v>3175.3538</v>
      </c>
      <c r="D85" s="297">
        <f t="shared" si="4"/>
        <v>2038.593228</v>
      </c>
      <c r="E85" s="297">
        <f t="shared" si="5"/>
        <v>547562.5336</v>
      </c>
    </row>
    <row r="86">
      <c r="A86" s="298">
        <f t="shared" si="2"/>
        <v>2019</v>
      </c>
      <c r="B86" s="298">
        <f t="shared" si="3"/>
        <v>1</v>
      </c>
      <c r="C86" s="297">
        <f t="shared" si="1"/>
        <v>3175.3538</v>
      </c>
      <c r="D86" s="297">
        <f t="shared" si="4"/>
        <v>2034.3698</v>
      </c>
      <c r="E86" s="297">
        <f t="shared" si="5"/>
        <v>546421.5496</v>
      </c>
    </row>
    <row r="87">
      <c r="A87" s="298">
        <f t="shared" si="2"/>
        <v>2019</v>
      </c>
      <c r="B87" s="298">
        <f t="shared" si="3"/>
        <v>2</v>
      </c>
      <c r="C87" s="297">
        <f t="shared" si="1"/>
        <v>3175.3538</v>
      </c>
      <c r="D87" s="297">
        <f t="shared" si="4"/>
        <v>2030.130679</v>
      </c>
      <c r="E87" s="297">
        <f t="shared" si="5"/>
        <v>545276.3265</v>
      </c>
    </row>
    <row r="88">
      <c r="A88" s="298">
        <f t="shared" si="2"/>
        <v>2019</v>
      </c>
      <c r="B88" s="298">
        <f t="shared" si="3"/>
        <v>3</v>
      </c>
      <c r="C88" s="297">
        <f t="shared" si="1"/>
        <v>3175.3538</v>
      </c>
      <c r="D88" s="297">
        <f t="shared" si="4"/>
        <v>2025.87581</v>
      </c>
      <c r="E88" s="297">
        <f t="shared" si="5"/>
        <v>544126.8485</v>
      </c>
    </row>
    <row r="89">
      <c r="A89" s="298">
        <f t="shared" si="2"/>
        <v>2019</v>
      </c>
      <c r="B89" s="298">
        <f t="shared" si="3"/>
        <v>4</v>
      </c>
      <c r="C89" s="297">
        <f t="shared" si="1"/>
        <v>3175.3538</v>
      </c>
      <c r="D89" s="297">
        <f t="shared" si="4"/>
        <v>2021.605131</v>
      </c>
      <c r="E89" s="297">
        <f t="shared" si="5"/>
        <v>542973.0998</v>
      </c>
    </row>
    <row r="90">
      <c r="A90" s="298">
        <f t="shared" si="2"/>
        <v>2019</v>
      </c>
      <c r="B90" s="298">
        <f t="shared" si="3"/>
        <v>5</v>
      </c>
      <c r="C90" s="297">
        <f t="shared" si="1"/>
        <v>3175.3538</v>
      </c>
      <c r="D90" s="297">
        <f t="shared" si="4"/>
        <v>2017.318586</v>
      </c>
      <c r="E90" s="297">
        <f t="shared" si="5"/>
        <v>541815.0646</v>
      </c>
    </row>
    <row r="91">
      <c r="A91" s="298">
        <f t="shared" si="2"/>
        <v>2019</v>
      </c>
      <c r="B91" s="298">
        <f t="shared" si="3"/>
        <v>6</v>
      </c>
      <c r="C91" s="297">
        <f t="shared" si="1"/>
        <v>3175.3538</v>
      </c>
      <c r="D91" s="297">
        <f t="shared" si="4"/>
        <v>2013.016116</v>
      </c>
      <c r="E91" s="297">
        <f t="shared" si="5"/>
        <v>540652.7269</v>
      </c>
    </row>
    <row r="92">
      <c r="A92" s="298">
        <f t="shared" si="2"/>
        <v>2019</v>
      </c>
      <c r="B92" s="298">
        <f t="shared" si="3"/>
        <v>7</v>
      </c>
      <c r="C92" s="297">
        <f t="shared" si="1"/>
        <v>3175.3538</v>
      </c>
      <c r="D92" s="297">
        <f t="shared" si="4"/>
        <v>2008.69766</v>
      </c>
      <c r="E92" s="297">
        <f t="shared" si="5"/>
        <v>539486.0708</v>
      </c>
    </row>
    <row r="93">
      <c r="A93" s="298">
        <f t="shared" si="2"/>
        <v>2019</v>
      </c>
      <c r="B93" s="298">
        <f t="shared" si="3"/>
        <v>8</v>
      </c>
      <c r="C93" s="297">
        <f t="shared" si="1"/>
        <v>3175.3538</v>
      </c>
      <c r="D93" s="297">
        <f t="shared" si="4"/>
        <v>2004.363159</v>
      </c>
      <c r="E93" s="297">
        <f t="shared" si="5"/>
        <v>538315.0802</v>
      </c>
    </row>
    <row r="94">
      <c r="A94" s="298">
        <f t="shared" si="2"/>
        <v>2019</v>
      </c>
      <c r="B94" s="298">
        <f t="shared" si="3"/>
        <v>9</v>
      </c>
      <c r="C94" s="297">
        <f t="shared" si="1"/>
        <v>3175.3538</v>
      </c>
      <c r="D94" s="297">
        <f t="shared" si="4"/>
        <v>2000.012555</v>
      </c>
      <c r="E94" s="297">
        <f t="shared" si="5"/>
        <v>537139.7389</v>
      </c>
    </row>
    <row r="95">
      <c r="A95" s="298">
        <f t="shared" si="2"/>
        <v>2019</v>
      </c>
      <c r="B95" s="298">
        <f t="shared" si="3"/>
        <v>10</v>
      </c>
      <c r="C95" s="297">
        <f t="shared" si="1"/>
        <v>3175.3538</v>
      </c>
      <c r="D95" s="297">
        <f t="shared" si="4"/>
        <v>1995.645786</v>
      </c>
      <c r="E95" s="297">
        <f t="shared" si="5"/>
        <v>535960.0309</v>
      </c>
    </row>
    <row r="96">
      <c r="A96" s="298">
        <f t="shared" si="2"/>
        <v>2019</v>
      </c>
      <c r="B96" s="298">
        <f t="shared" si="3"/>
        <v>11</v>
      </c>
      <c r="C96" s="297">
        <f t="shared" si="1"/>
        <v>3175.3538</v>
      </c>
      <c r="D96" s="297">
        <f t="shared" si="4"/>
        <v>1991.262794</v>
      </c>
      <c r="E96" s="297">
        <f t="shared" si="5"/>
        <v>534775.9399</v>
      </c>
    </row>
    <row r="97">
      <c r="A97" s="298">
        <f t="shared" si="2"/>
        <v>2019</v>
      </c>
      <c r="B97" s="298">
        <f t="shared" si="3"/>
        <v>12</v>
      </c>
      <c r="C97" s="297">
        <f t="shared" si="1"/>
        <v>3175.3538</v>
      </c>
      <c r="D97" s="297">
        <f t="shared" si="4"/>
        <v>1986.863518</v>
      </c>
      <c r="E97" s="297">
        <f t="shared" si="5"/>
        <v>533587.4496</v>
      </c>
    </row>
    <row r="98">
      <c r="A98" s="298">
        <f t="shared" si="2"/>
        <v>2020</v>
      </c>
      <c r="B98" s="298">
        <f t="shared" si="3"/>
        <v>1</v>
      </c>
      <c r="C98" s="297">
        <f t="shared" si="1"/>
        <v>3175.3538</v>
      </c>
      <c r="D98" s="297">
        <f t="shared" si="4"/>
        <v>1982.447896</v>
      </c>
      <c r="E98" s="297">
        <f t="shared" si="5"/>
        <v>532394.5437</v>
      </c>
    </row>
    <row r="99">
      <c r="A99" s="298">
        <f t="shared" si="2"/>
        <v>2020</v>
      </c>
      <c r="B99" s="298">
        <f t="shared" si="3"/>
        <v>2</v>
      </c>
      <c r="C99" s="297">
        <f t="shared" si="1"/>
        <v>3175.3538</v>
      </c>
      <c r="D99" s="297">
        <f t="shared" si="4"/>
        <v>1978.01587</v>
      </c>
      <c r="E99" s="297">
        <f t="shared" si="5"/>
        <v>531197.2058</v>
      </c>
    </row>
    <row r="100">
      <c r="A100" s="298">
        <f t="shared" si="2"/>
        <v>2020</v>
      </c>
      <c r="B100" s="298">
        <f t="shared" si="3"/>
        <v>3</v>
      </c>
      <c r="C100" s="297">
        <f t="shared" si="1"/>
        <v>3175.3538</v>
      </c>
      <c r="D100" s="297">
        <f t="shared" si="4"/>
        <v>1973.567377</v>
      </c>
      <c r="E100" s="297">
        <f t="shared" si="5"/>
        <v>529995.4194</v>
      </c>
    </row>
    <row r="101">
      <c r="A101" s="298">
        <f t="shared" si="2"/>
        <v>2020</v>
      </c>
      <c r="B101" s="298">
        <f t="shared" si="3"/>
        <v>4</v>
      </c>
      <c r="C101" s="297">
        <f t="shared" si="1"/>
        <v>3175.3538</v>
      </c>
      <c r="D101" s="297">
        <f t="shared" si="4"/>
        <v>1969.102356</v>
      </c>
      <c r="E101" s="297">
        <f t="shared" si="5"/>
        <v>528789.1679</v>
      </c>
    </row>
    <row r="102">
      <c r="A102" s="298">
        <f t="shared" si="2"/>
        <v>2020</v>
      </c>
      <c r="B102" s="298">
        <f t="shared" si="3"/>
        <v>5</v>
      </c>
      <c r="C102" s="297">
        <f t="shared" si="1"/>
        <v>3175.3538</v>
      </c>
      <c r="D102" s="297">
        <f t="shared" si="4"/>
        <v>1964.620746</v>
      </c>
      <c r="E102" s="297">
        <f t="shared" si="5"/>
        <v>527578.4349</v>
      </c>
    </row>
    <row r="103">
      <c r="A103" s="298">
        <f t="shared" si="2"/>
        <v>2020</v>
      </c>
      <c r="B103" s="298">
        <f t="shared" si="3"/>
        <v>6</v>
      </c>
      <c r="C103" s="297">
        <f t="shared" si="1"/>
        <v>3175.3538</v>
      </c>
      <c r="D103" s="297">
        <f t="shared" si="4"/>
        <v>1960.122486</v>
      </c>
      <c r="E103" s="297">
        <f t="shared" si="5"/>
        <v>526363.2035</v>
      </c>
    </row>
    <row r="104">
      <c r="A104" s="298">
        <f t="shared" si="2"/>
        <v>2020</v>
      </c>
      <c r="B104" s="298">
        <f t="shared" si="3"/>
        <v>7</v>
      </c>
      <c r="C104" s="297">
        <f t="shared" si="1"/>
        <v>3175.3538</v>
      </c>
      <c r="D104" s="297">
        <f t="shared" si="4"/>
        <v>1955.607514</v>
      </c>
      <c r="E104" s="297">
        <f t="shared" si="5"/>
        <v>525143.4573</v>
      </c>
    </row>
    <row r="105">
      <c r="A105" s="298">
        <f t="shared" si="2"/>
        <v>2020</v>
      </c>
      <c r="B105" s="298">
        <f t="shared" si="3"/>
        <v>8</v>
      </c>
      <c r="C105" s="297">
        <f t="shared" si="1"/>
        <v>3175.3538</v>
      </c>
      <c r="D105" s="297">
        <f t="shared" si="4"/>
        <v>1951.075766</v>
      </c>
      <c r="E105" s="297">
        <f t="shared" si="5"/>
        <v>523919.1792</v>
      </c>
    </row>
    <row r="106">
      <c r="A106" s="298">
        <f t="shared" si="2"/>
        <v>2020</v>
      </c>
      <c r="B106" s="298">
        <f t="shared" si="3"/>
        <v>9</v>
      </c>
      <c r="C106" s="297">
        <f t="shared" si="1"/>
        <v>3175.3538</v>
      </c>
      <c r="D106" s="297">
        <f t="shared" si="4"/>
        <v>1946.527182</v>
      </c>
      <c r="E106" s="297">
        <f t="shared" si="5"/>
        <v>522690.3526</v>
      </c>
    </row>
    <row r="107">
      <c r="A107" s="298">
        <f t="shared" si="2"/>
        <v>2020</v>
      </c>
      <c r="B107" s="298">
        <f t="shared" si="3"/>
        <v>10</v>
      </c>
      <c r="C107" s="297">
        <f t="shared" si="1"/>
        <v>3175.3538</v>
      </c>
      <c r="D107" s="297">
        <f t="shared" si="4"/>
        <v>1941.961699</v>
      </c>
      <c r="E107" s="297">
        <f t="shared" si="5"/>
        <v>521456.9605</v>
      </c>
    </row>
    <row r="108">
      <c r="A108" s="298">
        <f t="shared" si="2"/>
        <v>2020</v>
      </c>
      <c r="B108" s="298">
        <f t="shared" si="3"/>
        <v>11</v>
      </c>
      <c r="C108" s="297">
        <f t="shared" si="1"/>
        <v>3175.3538</v>
      </c>
      <c r="D108" s="297">
        <f t="shared" si="4"/>
        <v>1937.379253</v>
      </c>
      <c r="E108" s="297">
        <f t="shared" si="5"/>
        <v>520218.986</v>
      </c>
    </row>
    <row r="109">
      <c r="A109" s="298">
        <f t="shared" si="2"/>
        <v>2020</v>
      </c>
      <c r="B109" s="298">
        <f t="shared" si="3"/>
        <v>12</v>
      </c>
      <c r="C109" s="297">
        <f t="shared" si="1"/>
        <v>3175.3538</v>
      </c>
      <c r="D109" s="297">
        <f t="shared" si="4"/>
        <v>1932.779782</v>
      </c>
      <c r="E109" s="297">
        <f t="shared" si="5"/>
        <v>518976.4119</v>
      </c>
    </row>
    <row r="110">
      <c r="A110" s="298">
        <f t="shared" si="2"/>
        <v>2021</v>
      </c>
      <c r="B110" s="298">
        <f t="shared" si="3"/>
        <v>1</v>
      </c>
      <c r="C110" s="297">
        <f t="shared" si="1"/>
        <v>3175.3538</v>
      </c>
      <c r="D110" s="297">
        <f t="shared" si="4"/>
        <v>1928.163222</v>
      </c>
      <c r="E110" s="297">
        <f t="shared" si="5"/>
        <v>517729.2214</v>
      </c>
    </row>
    <row r="111">
      <c r="A111" s="298">
        <f t="shared" si="2"/>
        <v>2021</v>
      </c>
      <c r="B111" s="298">
        <f t="shared" si="3"/>
        <v>2</v>
      </c>
      <c r="C111" s="297">
        <f t="shared" si="1"/>
        <v>3175.3538</v>
      </c>
      <c r="D111" s="297">
        <f t="shared" si="4"/>
        <v>1923.529511</v>
      </c>
      <c r="E111" s="297">
        <f t="shared" si="5"/>
        <v>516477.3971</v>
      </c>
    </row>
    <row r="112">
      <c r="A112" s="298">
        <f t="shared" si="2"/>
        <v>2021</v>
      </c>
      <c r="B112" s="298">
        <f t="shared" si="3"/>
        <v>3</v>
      </c>
      <c r="C112" s="297">
        <f t="shared" si="1"/>
        <v>3175.3538</v>
      </c>
      <c r="D112" s="297">
        <f t="shared" si="4"/>
        <v>1918.878583</v>
      </c>
      <c r="E112" s="297">
        <f t="shared" si="5"/>
        <v>515220.9219</v>
      </c>
    </row>
    <row r="113">
      <c r="A113" s="298">
        <f t="shared" si="2"/>
        <v>2021</v>
      </c>
      <c r="B113" s="298">
        <f t="shared" si="3"/>
        <v>4</v>
      </c>
      <c r="C113" s="297">
        <f t="shared" si="1"/>
        <v>3175.3538</v>
      </c>
      <c r="D113" s="297">
        <f t="shared" si="4"/>
        <v>1914.210376</v>
      </c>
      <c r="E113" s="297">
        <f t="shared" si="5"/>
        <v>513959.7784</v>
      </c>
    </row>
    <row r="114">
      <c r="A114" s="298">
        <f t="shared" si="2"/>
        <v>2021</v>
      </c>
      <c r="B114" s="298">
        <f t="shared" si="3"/>
        <v>5</v>
      </c>
      <c r="C114" s="297">
        <f t="shared" si="1"/>
        <v>3175.3538</v>
      </c>
      <c r="D114" s="297">
        <f t="shared" si="4"/>
        <v>1909.524825</v>
      </c>
      <c r="E114" s="297">
        <f t="shared" si="5"/>
        <v>512693.9495</v>
      </c>
    </row>
    <row r="115">
      <c r="A115" s="298">
        <f t="shared" si="2"/>
        <v>2021</v>
      </c>
      <c r="B115" s="298">
        <f t="shared" si="3"/>
        <v>6</v>
      </c>
      <c r="C115" s="297">
        <f t="shared" si="1"/>
        <v>3175.3538</v>
      </c>
      <c r="D115" s="297">
        <f t="shared" si="4"/>
        <v>1904.821866</v>
      </c>
      <c r="E115" s="297">
        <f t="shared" si="5"/>
        <v>511423.4175</v>
      </c>
    </row>
    <row r="116">
      <c r="A116" s="298">
        <f t="shared" si="2"/>
        <v>2021</v>
      </c>
      <c r="B116" s="298">
        <f t="shared" si="3"/>
        <v>7</v>
      </c>
      <c r="C116" s="297">
        <f t="shared" si="1"/>
        <v>3175.3538</v>
      </c>
      <c r="D116" s="297">
        <f t="shared" si="4"/>
        <v>1900.101434</v>
      </c>
      <c r="E116" s="297">
        <f t="shared" si="5"/>
        <v>510148.1652</v>
      </c>
    </row>
    <row r="117">
      <c r="A117" s="298">
        <f t="shared" si="2"/>
        <v>2021</v>
      </c>
      <c r="B117" s="298">
        <f t="shared" si="3"/>
        <v>8</v>
      </c>
      <c r="C117" s="297">
        <f t="shared" si="1"/>
        <v>3175.3538</v>
      </c>
      <c r="D117" s="297">
        <f t="shared" si="4"/>
        <v>1895.363464</v>
      </c>
      <c r="E117" s="297">
        <f t="shared" si="5"/>
        <v>508868.1748</v>
      </c>
    </row>
    <row r="118">
      <c r="A118" s="298">
        <f t="shared" si="2"/>
        <v>2021</v>
      </c>
      <c r="B118" s="298">
        <f t="shared" si="3"/>
        <v>9</v>
      </c>
      <c r="C118" s="297">
        <f t="shared" si="1"/>
        <v>3175.3538</v>
      </c>
      <c r="D118" s="297">
        <f t="shared" si="4"/>
        <v>1890.607891</v>
      </c>
      <c r="E118" s="297">
        <f t="shared" si="5"/>
        <v>507583.4289</v>
      </c>
    </row>
    <row r="119">
      <c r="A119" s="298">
        <f t="shared" si="2"/>
        <v>2021</v>
      </c>
      <c r="B119" s="298">
        <f t="shared" si="3"/>
        <v>10</v>
      </c>
      <c r="C119" s="297">
        <f t="shared" si="1"/>
        <v>3175.3538</v>
      </c>
      <c r="D119" s="297">
        <f t="shared" si="4"/>
        <v>1885.834649</v>
      </c>
      <c r="E119" s="297">
        <f t="shared" si="5"/>
        <v>506293.9098</v>
      </c>
    </row>
    <row r="120">
      <c r="A120" s="298">
        <f t="shared" si="2"/>
        <v>2021</v>
      </c>
      <c r="B120" s="298">
        <f t="shared" si="3"/>
        <v>11</v>
      </c>
      <c r="C120" s="297">
        <f t="shared" si="1"/>
        <v>3175.3538</v>
      </c>
      <c r="D120" s="297">
        <f t="shared" si="4"/>
        <v>1881.043674</v>
      </c>
      <c r="E120" s="297">
        <f t="shared" si="5"/>
        <v>504999.5996</v>
      </c>
    </row>
    <row r="121">
      <c r="A121" s="298">
        <f t="shared" si="2"/>
        <v>2021</v>
      </c>
      <c r="B121" s="298">
        <f t="shared" si="3"/>
        <v>12</v>
      </c>
      <c r="C121" s="297">
        <f t="shared" si="1"/>
        <v>3175.3538</v>
      </c>
      <c r="D121" s="297">
        <f t="shared" si="4"/>
        <v>1876.234898</v>
      </c>
      <c r="E121" s="297">
        <f t="shared" si="5"/>
        <v>503700.4807</v>
      </c>
    </row>
    <row r="122">
      <c r="A122" s="298">
        <f t="shared" si="2"/>
        <v>2022</v>
      </c>
      <c r="B122" s="298">
        <f t="shared" si="3"/>
        <v>1</v>
      </c>
      <c r="C122" s="297">
        <f t="shared" si="1"/>
        <v>3447.282211</v>
      </c>
      <c r="D122" s="297">
        <f t="shared" si="4"/>
        <v>2282.61026</v>
      </c>
      <c r="E122" s="297">
        <f t="shared" si="5"/>
        <v>502535.8088</v>
      </c>
    </row>
    <row r="123">
      <c r="A123" s="298">
        <f t="shared" si="2"/>
        <v>2022</v>
      </c>
      <c r="B123" s="298">
        <f t="shared" si="3"/>
        <v>2</v>
      </c>
      <c r="C123" s="297">
        <f t="shared" si="1"/>
        <v>3447.282211</v>
      </c>
      <c r="D123" s="297">
        <f t="shared" si="4"/>
        <v>2277.332337</v>
      </c>
      <c r="E123" s="297">
        <f t="shared" si="5"/>
        <v>501365.8589</v>
      </c>
    </row>
    <row r="124">
      <c r="A124" s="298">
        <f t="shared" si="2"/>
        <v>2022</v>
      </c>
      <c r="B124" s="298">
        <f t="shared" si="3"/>
        <v>3</v>
      </c>
      <c r="C124" s="297">
        <f t="shared" si="1"/>
        <v>3447.282211</v>
      </c>
      <c r="D124" s="297">
        <f t="shared" si="4"/>
        <v>2272.030497</v>
      </c>
      <c r="E124" s="297">
        <f t="shared" si="5"/>
        <v>500190.6072</v>
      </c>
    </row>
    <row r="125">
      <c r="A125" s="298">
        <f t="shared" si="2"/>
        <v>2022</v>
      </c>
      <c r="B125" s="298">
        <f t="shared" si="3"/>
        <v>4</v>
      </c>
      <c r="C125" s="297">
        <f t="shared" si="1"/>
        <v>3447.282211</v>
      </c>
      <c r="D125" s="297">
        <f t="shared" si="4"/>
        <v>2266.70463</v>
      </c>
      <c r="E125" s="297">
        <f t="shared" si="5"/>
        <v>499010.0296</v>
      </c>
    </row>
    <row r="126">
      <c r="A126" s="298">
        <f t="shared" si="2"/>
        <v>2022</v>
      </c>
      <c r="B126" s="298">
        <f t="shared" si="3"/>
        <v>5</v>
      </c>
      <c r="C126" s="297">
        <f t="shared" si="1"/>
        <v>3447.282211</v>
      </c>
      <c r="D126" s="297">
        <f t="shared" si="4"/>
        <v>2261.354628</v>
      </c>
      <c r="E126" s="297">
        <f t="shared" si="5"/>
        <v>497824.102</v>
      </c>
    </row>
    <row r="127">
      <c r="A127" s="298">
        <f t="shared" si="2"/>
        <v>2022</v>
      </c>
      <c r="B127" s="298">
        <f t="shared" si="3"/>
        <v>6</v>
      </c>
      <c r="C127" s="297">
        <f t="shared" si="1"/>
        <v>3447.282211</v>
      </c>
      <c r="D127" s="297">
        <f t="shared" si="4"/>
        <v>2255.980382</v>
      </c>
      <c r="E127" s="297">
        <f t="shared" si="5"/>
        <v>496632.8002</v>
      </c>
    </row>
    <row r="128">
      <c r="A128" s="298">
        <f t="shared" si="2"/>
        <v>2022</v>
      </c>
      <c r="B128" s="298">
        <f t="shared" si="3"/>
        <v>7</v>
      </c>
      <c r="C128" s="297">
        <f t="shared" si="1"/>
        <v>3447.282211</v>
      </c>
      <c r="D128" s="297">
        <f t="shared" si="4"/>
        <v>2250.581781</v>
      </c>
      <c r="E128" s="297">
        <f t="shared" si="5"/>
        <v>495436.0998</v>
      </c>
    </row>
    <row r="129">
      <c r="A129" s="298">
        <f t="shared" si="2"/>
        <v>2022</v>
      </c>
      <c r="B129" s="298">
        <f t="shared" si="3"/>
        <v>8</v>
      </c>
      <c r="C129" s="297">
        <f t="shared" si="1"/>
        <v>3447.282211</v>
      </c>
      <c r="D129" s="297">
        <f t="shared" si="4"/>
        <v>2245.158716</v>
      </c>
      <c r="E129" s="297">
        <f t="shared" si="5"/>
        <v>494233.9763</v>
      </c>
    </row>
    <row r="130">
      <c r="A130" s="298">
        <f t="shared" si="2"/>
        <v>2022</v>
      </c>
      <c r="B130" s="298">
        <f t="shared" si="3"/>
        <v>9</v>
      </c>
      <c r="C130" s="297">
        <f t="shared" si="1"/>
        <v>3447.282211</v>
      </c>
      <c r="D130" s="297">
        <f t="shared" si="4"/>
        <v>2239.711075</v>
      </c>
      <c r="E130" s="297">
        <f t="shared" si="5"/>
        <v>493026.4052</v>
      </c>
    </row>
    <row r="131">
      <c r="A131" s="298">
        <f t="shared" si="2"/>
        <v>2022</v>
      </c>
      <c r="B131" s="298">
        <f t="shared" si="3"/>
        <v>10</v>
      </c>
      <c r="C131" s="297">
        <f t="shared" si="1"/>
        <v>3447.282211</v>
      </c>
      <c r="D131" s="297">
        <f t="shared" si="4"/>
        <v>2234.238747</v>
      </c>
      <c r="E131" s="297">
        <f t="shared" si="5"/>
        <v>491813.3617</v>
      </c>
    </row>
    <row r="132">
      <c r="A132" s="298">
        <f t="shared" si="2"/>
        <v>2022</v>
      </c>
      <c r="B132" s="298">
        <f t="shared" si="3"/>
        <v>11</v>
      </c>
      <c r="C132" s="297">
        <f t="shared" si="1"/>
        <v>3447.282211</v>
      </c>
      <c r="D132" s="297">
        <f t="shared" si="4"/>
        <v>2228.74162</v>
      </c>
      <c r="E132" s="297">
        <f t="shared" si="5"/>
        <v>490594.8211</v>
      </c>
    </row>
    <row r="133">
      <c r="A133" s="298">
        <f t="shared" si="2"/>
        <v>2022</v>
      </c>
      <c r="B133" s="298">
        <f t="shared" si="3"/>
        <v>12</v>
      </c>
      <c r="C133" s="297">
        <f t="shared" si="1"/>
        <v>3447.282211</v>
      </c>
      <c r="D133" s="297">
        <f t="shared" si="4"/>
        <v>2223.219582</v>
      </c>
      <c r="E133" s="297">
        <f t="shared" si="5"/>
        <v>489370.7585</v>
      </c>
    </row>
    <row r="134">
      <c r="A134" s="298">
        <f t="shared" si="2"/>
        <v>2023</v>
      </c>
      <c r="B134" s="298">
        <f t="shared" si="3"/>
        <v>1</v>
      </c>
      <c r="C134" s="297">
        <f t="shared" si="1"/>
        <v>3447.282211</v>
      </c>
      <c r="D134" s="297">
        <f t="shared" si="4"/>
        <v>2217.67252</v>
      </c>
      <c r="E134" s="297">
        <f t="shared" si="5"/>
        <v>488141.1488</v>
      </c>
    </row>
    <row r="135">
      <c r="A135" s="298">
        <f t="shared" si="2"/>
        <v>2023</v>
      </c>
      <c r="B135" s="298">
        <f t="shared" si="3"/>
        <v>2</v>
      </c>
      <c r="C135" s="297">
        <f t="shared" si="1"/>
        <v>3447.282211</v>
      </c>
      <c r="D135" s="297">
        <f t="shared" si="4"/>
        <v>2212.10032</v>
      </c>
      <c r="E135" s="297">
        <f t="shared" si="5"/>
        <v>486905.9669</v>
      </c>
    </row>
    <row r="136">
      <c r="A136" s="298">
        <f t="shared" si="2"/>
        <v>2023</v>
      </c>
      <c r="B136" s="298">
        <f t="shared" si="3"/>
        <v>3</v>
      </c>
      <c r="C136" s="297">
        <f t="shared" si="1"/>
        <v>3447.282211</v>
      </c>
      <c r="D136" s="297">
        <f t="shared" si="4"/>
        <v>2206.502869</v>
      </c>
      <c r="E136" s="297">
        <f t="shared" si="5"/>
        <v>485665.1875</v>
      </c>
    </row>
    <row r="137">
      <c r="A137" s="298">
        <f t="shared" si="2"/>
        <v>2023</v>
      </c>
      <c r="B137" s="298">
        <f t="shared" si="3"/>
        <v>4</v>
      </c>
      <c r="C137" s="297">
        <f t="shared" si="1"/>
        <v>3447.282211</v>
      </c>
      <c r="D137" s="297">
        <f t="shared" si="4"/>
        <v>2200.880052</v>
      </c>
      <c r="E137" s="297">
        <f t="shared" si="5"/>
        <v>484418.7854</v>
      </c>
    </row>
    <row r="138">
      <c r="A138" s="298">
        <f t="shared" si="2"/>
        <v>2023</v>
      </c>
      <c r="B138" s="298">
        <f t="shared" si="3"/>
        <v>5</v>
      </c>
      <c r="C138" s="297">
        <f t="shared" si="1"/>
        <v>3447.282211</v>
      </c>
      <c r="D138" s="297">
        <f t="shared" si="4"/>
        <v>2195.231754</v>
      </c>
      <c r="E138" s="297">
        <f t="shared" si="5"/>
        <v>483166.7349</v>
      </c>
    </row>
    <row r="139">
      <c r="A139" s="298">
        <f t="shared" si="2"/>
        <v>2023</v>
      </c>
      <c r="B139" s="298">
        <f t="shared" si="3"/>
        <v>6</v>
      </c>
      <c r="C139" s="297">
        <f t="shared" si="1"/>
        <v>3447.282211</v>
      </c>
      <c r="D139" s="297">
        <f t="shared" si="4"/>
        <v>2189.55786</v>
      </c>
      <c r="E139" s="297">
        <f t="shared" si="5"/>
        <v>481909.0106</v>
      </c>
    </row>
    <row r="140">
      <c r="A140" s="298">
        <f t="shared" si="2"/>
        <v>2023</v>
      </c>
      <c r="B140" s="298">
        <f t="shared" si="3"/>
        <v>7</v>
      </c>
      <c r="C140" s="297">
        <f t="shared" si="1"/>
        <v>3447.282211</v>
      </c>
      <c r="D140" s="297">
        <f t="shared" si="4"/>
        <v>2183.858253</v>
      </c>
      <c r="E140" s="297">
        <f t="shared" si="5"/>
        <v>480645.5866</v>
      </c>
    </row>
    <row r="141">
      <c r="A141" s="298">
        <f t="shared" si="2"/>
        <v>2023</v>
      </c>
      <c r="B141" s="298">
        <f t="shared" si="3"/>
        <v>8</v>
      </c>
      <c r="C141" s="297">
        <f t="shared" si="1"/>
        <v>3447.282211</v>
      </c>
      <c r="D141" s="297">
        <f t="shared" si="4"/>
        <v>2178.132818</v>
      </c>
      <c r="E141" s="297">
        <f t="shared" si="5"/>
        <v>479376.4372</v>
      </c>
    </row>
    <row r="142">
      <c r="A142" s="298">
        <f t="shared" si="2"/>
        <v>2023</v>
      </c>
      <c r="B142" s="298">
        <f t="shared" si="3"/>
        <v>9</v>
      </c>
      <c r="C142" s="297">
        <f t="shared" si="1"/>
        <v>3447.282211</v>
      </c>
      <c r="D142" s="297">
        <f t="shared" si="4"/>
        <v>2172.381437</v>
      </c>
      <c r="E142" s="297">
        <f t="shared" si="5"/>
        <v>478101.5364</v>
      </c>
    </row>
    <row r="143">
      <c r="A143" s="298">
        <f t="shared" si="2"/>
        <v>2023</v>
      </c>
      <c r="B143" s="298">
        <f t="shared" si="3"/>
        <v>10</v>
      </c>
      <c r="C143" s="297">
        <f t="shared" si="1"/>
        <v>3447.282211</v>
      </c>
      <c r="D143" s="297">
        <f t="shared" si="4"/>
        <v>2166.603992</v>
      </c>
      <c r="E143" s="297">
        <f t="shared" si="5"/>
        <v>476820.8582</v>
      </c>
    </row>
    <row r="144">
      <c r="A144" s="298">
        <f t="shared" si="2"/>
        <v>2023</v>
      </c>
      <c r="B144" s="298">
        <f t="shared" si="3"/>
        <v>11</v>
      </c>
      <c r="C144" s="297">
        <f t="shared" si="1"/>
        <v>3447.282211</v>
      </c>
      <c r="D144" s="297">
        <f t="shared" si="4"/>
        <v>2160.800366</v>
      </c>
      <c r="E144" s="297">
        <f t="shared" si="5"/>
        <v>475534.3764</v>
      </c>
    </row>
    <row r="145">
      <c r="A145" s="298">
        <f t="shared" si="2"/>
        <v>2023</v>
      </c>
      <c r="B145" s="298">
        <f t="shared" si="3"/>
        <v>12</v>
      </c>
      <c r="C145" s="297">
        <f t="shared" si="1"/>
        <v>3447.282211</v>
      </c>
      <c r="D145" s="297">
        <f t="shared" si="4"/>
        <v>2154.97044</v>
      </c>
      <c r="E145" s="297">
        <f t="shared" si="5"/>
        <v>474242.0646</v>
      </c>
    </row>
    <row r="146">
      <c r="A146" s="298">
        <f t="shared" si="2"/>
        <v>2024</v>
      </c>
      <c r="B146" s="298">
        <f t="shared" si="3"/>
        <v>1</v>
      </c>
      <c r="C146" s="297">
        <f t="shared" si="1"/>
        <v>3447.282211</v>
      </c>
      <c r="D146" s="297">
        <f t="shared" si="4"/>
        <v>2149.114094</v>
      </c>
      <c r="E146" s="297">
        <f t="shared" si="5"/>
        <v>472943.8965</v>
      </c>
    </row>
    <row r="147">
      <c r="A147" s="298">
        <f t="shared" si="2"/>
        <v>2024</v>
      </c>
      <c r="B147" s="298">
        <f t="shared" si="3"/>
        <v>2</v>
      </c>
      <c r="C147" s="297">
        <f t="shared" si="1"/>
        <v>3447.282211</v>
      </c>
      <c r="D147" s="297">
        <f t="shared" si="4"/>
        <v>2143.23121</v>
      </c>
      <c r="E147" s="297">
        <f t="shared" si="5"/>
        <v>471639.8455</v>
      </c>
    </row>
    <row r="148">
      <c r="A148" s="298">
        <f t="shared" si="2"/>
        <v>2024</v>
      </c>
      <c r="B148" s="298">
        <f t="shared" si="3"/>
        <v>3</v>
      </c>
      <c r="C148" s="297">
        <f t="shared" si="1"/>
        <v>3447.282211</v>
      </c>
      <c r="D148" s="297">
        <f t="shared" si="4"/>
        <v>2137.321665</v>
      </c>
      <c r="E148" s="297">
        <f t="shared" si="5"/>
        <v>470329.885</v>
      </c>
    </row>
    <row r="149">
      <c r="A149" s="298">
        <f t="shared" si="2"/>
        <v>2024</v>
      </c>
      <c r="B149" s="298">
        <f t="shared" si="3"/>
        <v>4</v>
      </c>
      <c r="C149" s="297">
        <f t="shared" si="1"/>
        <v>3447.282211</v>
      </c>
      <c r="D149" s="297">
        <f t="shared" si="4"/>
        <v>2131.385341</v>
      </c>
      <c r="E149" s="297">
        <f t="shared" si="5"/>
        <v>469013.9881</v>
      </c>
    </row>
    <row r="150">
      <c r="A150" s="298">
        <f t="shared" si="2"/>
        <v>2024</v>
      </c>
      <c r="B150" s="298">
        <f t="shared" si="3"/>
        <v>5</v>
      </c>
      <c r="C150" s="297">
        <f t="shared" si="1"/>
        <v>3447.282211</v>
      </c>
      <c r="D150" s="297">
        <f t="shared" si="4"/>
        <v>2125.422115</v>
      </c>
      <c r="E150" s="297">
        <f t="shared" si="5"/>
        <v>467692.128</v>
      </c>
    </row>
    <row r="151">
      <c r="A151" s="298">
        <f t="shared" si="2"/>
        <v>2024</v>
      </c>
      <c r="B151" s="298">
        <f t="shared" si="3"/>
        <v>6</v>
      </c>
      <c r="C151" s="297">
        <f t="shared" si="1"/>
        <v>3447.282211</v>
      </c>
      <c r="D151" s="297">
        <f t="shared" si="4"/>
        <v>2119.431866</v>
      </c>
      <c r="E151" s="297">
        <f t="shared" si="5"/>
        <v>466364.2776</v>
      </c>
    </row>
    <row r="152">
      <c r="A152" s="298">
        <f t="shared" si="2"/>
        <v>2024</v>
      </c>
      <c r="B152" s="298">
        <f t="shared" si="3"/>
        <v>7</v>
      </c>
      <c r="C152" s="297">
        <f t="shared" si="1"/>
        <v>3447.282211</v>
      </c>
      <c r="D152" s="297">
        <f t="shared" si="4"/>
        <v>2113.414471</v>
      </c>
      <c r="E152" s="297">
        <f t="shared" si="5"/>
        <v>465030.4099</v>
      </c>
    </row>
    <row r="153">
      <c r="A153" s="298">
        <f t="shared" si="2"/>
        <v>2024</v>
      </c>
      <c r="B153" s="298">
        <f t="shared" si="3"/>
        <v>8</v>
      </c>
      <c r="C153" s="297">
        <f t="shared" si="1"/>
        <v>3447.282211</v>
      </c>
      <c r="D153" s="297">
        <f t="shared" si="4"/>
        <v>2107.369807</v>
      </c>
      <c r="E153" s="297">
        <f t="shared" si="5"/>
        <v>463690.4975</v>
      </c>
    </row>
    <row r="154">
      <c r="A154" s="298">
        <f t="shared" si="2"/>
        <v>2024</v>
      </c>
      <c r="B154" s="298">
        <f t="shared" si="3"/>
        <v>9</v>
      </c>
      <c r="C154" s="297">
        <f t="shared" si="1"/>
        <v>3447.282211</v>
      </c>
      <c r="D154" s="297">
        <f t="shared" si="4"/>
        <v>2101.29775</v>
      </c>
      <c r="E154" s="297">
        <f t="shared" si="5"/>
        <v>462344.513</v>
      </c>
    </row>
    <row r="155">
      <c r="A155" s="298">
        <f t="shared" si="2"/>
        <v>2024</v>
      </c>
      <c r="B155" s="298">
        <f t="shared" si="3"/>
        <v>10</v>
      </c>
      <c r="C155" s="297">
        <f t="shared" si="1"/>
        <v>3447.282211</v>
      </c>
      <c r="D155" s="297">
        <f t="shared" si="4"/>
        <v>2095.198177</v>
      </c>
      <c r="E155" s="297">
        <f t="shared" si="5"/>
        <v>460992.429</v>
      </c>
    </row>
    <row r="156">
      <c r="A156" s="298">
        <f t="shared" si="2"/>
        <v>2024</v>
      </c>
      <c r="B156" s="298">
        <f t="shared" si="3"/>
        <v>11</v>
      </c>
      <c r="C156" s="297">
        <f t="shared" si="1"/>
        <v>3447.282211</v>
      </c>
      <c r="D156" s="297">
        <f t="shared" si="4"/>
        <v>2089.070963</v>
      </c>
      <c r="E156" s="297">
        <f t="shared" si="5"/>
        <v>459634.2178</v>
      </c>
    </row>
    <row r="157">
      <c r="A157" s="298">
        <f t="shared" si="2"/>
        <v>2024</v>
      </c>
      <c r="B157" s="298">
        <f t="shared" si="3"/>
        <v>12</v>
      </c>
      <c r="C157" s="297">
        <f t="shared" si="1"/>
        <v>3447.282211</v>
      </c>
      <c r="D157" s="297">
        <f t="shared" si="4"/>
        <v>2082.915982</v>
      </c>
      <c r="E157" s="297">
        <f t="shared" si="5"/>
        <v>458269.8515</v>
      </c>
    </row>
    <row r="158">
      <c r="A158" s="298">
        <f t="shared" si="2"/>
        <v>2025</v>
      </c>
      <c r="B158" s="298">
        <f t="shared" si="3"/>
        <v>1</v>
      </c>
      <c r="C158" s="297">
        <f t="shared" si="1"/>
        <v>3447.282211</v>
      </c>
      <c r="D158" s="297">
        <f t="shared" si="4"/>
        <v>2076.733108</v>
      </c>
      <c r="E158" s="297">
        <f t="shared" si="5"/>
        <v>456899.3024</v>
      </c>
    </row>
    <row r="159">
      <c r="A159" s="298">
        <f t="shared" si="2"/>
        <v>2025</v>
      </c>
      <c r="B159" s="298">
        <f t="shared" si="3"/>
        <v>2</v>
      </c>
      <c r="C159" s="297">
        <f t="shared" si="1"/>
        <v>3447.282211</v>
      </c>
      <c r="D159" s="297">
        <f t="shared" si="4"/>
        <v>2070.522216</v>
      </c>
      <c r="E159" s="297">
        <f t="shared" si="5"/>
        <v>455522.5424</v>
      </c>
    </row>
    <row r="160">
      <c r="A160" s="298">
        <f t="shared" si="2"/>
        <v>2025</v>
      </c>
      <c r="B160" s="298">
        <f t="shared" si="3"/>
        <v>3</v>
      </c>
      <c r="C160" s="297">
        <f t="shared" si="1"/>
        <v>3447.282211</v>
      </c>
      <c r="D160" s="297">
        <f t="shared" si="4"/>
        <v>2064.283178</v>
      </c>
      <c r="E160" s="297">
        <f t="shared" si="5"/>
        <v>454139.5434</v>
      </c>
    </row>
    <row r="161">
      <c r="A161" s="298">
        <f t="shared" si="2"/>
        <v>2025</v>
      </c>
      <c r="B161" s="298">
        <f t="shared" si="3"/>
        <v>4</v>
      </c>
      <c r="C161" s="297">
        <f t="shared" si="1"/>
        <v>3447.282211</v>
      </c>
      <c r="D161" s="297">
        <f t="shared" si="4"/>
        <v>2058.015866</v>
      </c>
      <c r="E161" s="297">
        <f t="shared" si="5"/>
        <v>452750.2771</v>
      </c>
    </row>
    <row r="162">
      <c r="A162" s="298">
        <f t="shared" si="2"/>
        <v>2025</v>
      </c>
      <c r="B162" s="298">
        <f t="shared" si="3"/>
        <v>5</v>
      </c>
      <c r="C162" s="297">
        <f t="shared" si="1"/>
        <v>3447.282211</v>
      </c>
      <c r="D162" s="297">
        <f t="shared" si="4"/>
        <v>2051.720153</v>
      </c>
      <c r="E162" s="297">
        <f t="shared" si="5"/>
        <v>451354.715</v>
      </c>
    </row>
    <row r="163">
      <c r="A163" s="298">
        <f t="shared" si="2"/>
        <v>2025</v>
      </c>
      <c r="B163" s="298">
        <f t="shared" si="3"/>
        <v>6</v>
      </c>
      <c r="C163" s="297">
        <f t="shared" si="1"/>
        <v>3447.282211</v>
      </c>
      <c r="D163" s="297">
        <f t="shared" si="4"/>
        <v>2045.39591</v>
      </c>
      <c r="E163" s="297">
        <f t="shared" si="5"/>
        <v>449952.8287</v>
      </c>
    </row>
    <row r="164">
      <c r="A164" s="298">
        <f t="shared" si="2"/>
        <v>2025</v>
      </c>
      <c r="B164" s="298">
        <f t="shared" si="3"/>
        <v>7</v>
      </c>
      <c r="C164" s="297">
        <f t="shared" si="1"/>
        <v>3447.282211</v>
      </c>
      <c r="D164" s="297">
        <f t="shared" si="4"/>
        <v>2039.043008</v>
      </c>
      <c r="E164" s="297">
        <f t="shared" si="5"/>
        <v>448544.5895</v>
      </c>
    </row>
    <row r="165">
      <c r="A165" s="298">
        <f t="shared" si="2"/>
        <v>2025</v>
      </c>
      <c r="B165" s="298">
        <f t="shared" si="3"/>
        <v>8</v>
      </c>
      <c r="C165" s="297">
        <f t="shared" si="1"/>
        <v>3447.282211</v>
      </c>
      <c r="D165" s="297">
        <f t="shared" si="4"/>
        <v>2032.661316</v>
      </c>
      <c r="E165" s="297">
        <f t="shared" si="5"/>
        <v>447129.9686</v>
      </c>
    </row>
    <row r="166">
      <c r="A166" s="298">
        <f t="shared" si="2"/>
        <v>2025</v>
      </c>
      <c r="B166" s="298">
        <f t="shared" si="3"/>
        <v>9</v>
      </c>
      <c r="C166" s="297">
        <f t="shared" si="1"/>
        <v>3447.282211</v>
      </c>
      <c r="D166" s="297">
        <f t="shared" si="4"/>
        <v>2026.250704</v>
      </c>
      <c r="E166" s="297">
        <f t="shared" si="5"/>
        <v>445708.9371</v>
      </c>
    </row>
    <row r="167">
      <c r="A167" s="298">
        <f t="shared" si="2"/>
        <v>2025</v>
      </c>
      <c r="B167" s="298">
        <f t="shared" si="3"/>
        <v>10</v>
      </c>
      <c r="C167" s="297">
        <f t="shared" si="1"/>
        <v>3447.282211</v>
      </c>
      <c r="D167" s="297">
        <f t="shared" si="4"/>
        <v>2019.811042</v>
      </c>
      <c r="E167" s="297">
        <f t="shared" si="5"/>
        <v>444281.4659</v>
      </c>
    </row>
    <row r="168">
      <c r="A168" s="298">
        <f t="shared" si="2"/>
        <v>2025</v>
      </c>
      <c r="B168" s="298">
        <f t="shared" si="3"/>
        <v>11</v>
      </c>
      <c r="C168" s="297">
        <f t="shared" si="1"/>
        <v>3447.282211</v>
      </c>
      <c r="D168" s="297">
        <f t="shared" si="4"/>
        <v>2013.342197</v>
      </c>
      <c r="E168" s="297">
        <f t="shared" si="5"/>
        <v>442847.5259</v>
      </c>
    </row>
    <row r="169">
      <c r="A169" s="298">
        <f t="shared" si="2"/>
        <v>2025</v>
      </c>
      <c r="B169" s="298">
        <f t="shared" si="3"/>
        <v>12</v>
      </c>
      <c r="C169" s="297">
        <f t="shared" si="1"/>
        <v>3447.282211</v>
      </c>
      <c r="D169" s="297">
        <f t="shared" si="4"/>
        <v>2006.844037</v>
      </c>
      <c r="E169" s="297">
        <f t="shared" si="5"/>
        <v>441407.0877</v>
      </c>
    </row>
    <row r="170">
      <c r="A170" s="298">
        <f t="shared" si="2"/>
        <v>2026</v>
      </c>
      <c r="B170" s="298">
        <f t="shared" si="3"/>
        <v>1</v>
      </c>
      <c r="C170" s="297">
        <f t="shared" si="1"/>
        <v>3447.282211</v>
      </c>
      <c r="D170" s="297">
        <f t="shared" si="4"/>
        <v>2000.31643</v>
      </c>
      <c r="E170" s="297">
        <f t="shared" si="5"/>
        <v>439960.122</v>
      </c>
    </row>
    <row r="171">
      <c r="A171" s="298">
        <f t="shared" si="2"/>
        <v>2026</v>
      </c>
      <c r="B171" s="298">
        <f t="shared" si="3"/>
        <v>2</v>
      </c>
      <c r="C171" s="297">
        <f t="shared" si="1"/>
        <v>3447.282211</v>
      </c>
      <c r="D171" s="297">
        <f t="shared" si="4"/>
        <v>1993.759241</v>
      </c>
      <c r="E171" s="297">
        <f t="shared" si="5"/>
        <v>438506.599</v>
      </c>
    </row>
    <row r="172">
      <c r="A172" s="298">
        <f t="shared" si="2"/>
        <v>2026</v>
      </c>
      <c r="B172" s="298">
        <f t="shared" si="3"/>
        <v>3</v>
      </c>
      <c r="C172" s="297">
        <f t="shared" si="1"/>
        <v>3447.282211</v>
      </c>
      <c r="D172" s="297">
        <f t="shared" si="4"/>
        <v>1987.172338</v>
      </c>
      <c r="E172" s="297">
        <f t="shared" si="5"/>
        <v>437046.4891</v>
      </c>
    </row>
    <row r="173">
      <c r="A173" s="298">
        <f t="shared" si="2"/>
        <v>2026</v>
      </c>
      <c r="B173" s="298">
        <f t="shared" si="3"/>
        <v>4</v>
      </c>
      <c r="C173" s="297">
        <f t="shared" si="1"/>
        <v>3447.282211</v>
      </c>
      <c r="D173" s="297">
        <f t="shared" si="4"/>
        <v>1980.555585</v>
      </c>
      <c r="E173" s="297">
        <f t="shared" si="5"/>
        <v>435579.7625</v>
      </c>
    </row>
    <row r="174">
      <c r="A174" s="298">
        <f t="shared" si="2"/>
        <v>2026</v>
      </c>
      <c r="B174" s="298">
        <f t="shared" si="3"/>
        <v>5</v>
      </c>
      <c r="C174" s="297">
        <f t="shared" si="1"/>
        <v>3447.282211</v>
      </c>
      <c r="D174" s="297">
        <f t="shared" si="4"/>
        <v>1973.908846</v>
      </c>
      <c r="E174" s="297">
        <f t="shared" si="5"/>
        <v>434106.3891</v>
      </c>
    </row>
    <row r="175">
      <c r="A175" s="298">
        <f t="shared" si="2"/>
        <v>2026</v>
      </c>
      <c r="B175" s="298">
        <f t="shared" si="3"/>
        <v>6</v>
      </c>
      <c r="C175" s="297">
        <f t="shared" si="1"/>
        <v>3447.282211</v>
      </c>
      <c r="D175" s="297">
        <f t="shared" si="4"/>
        <v>1967.231987</v>
      </c>
      <c r="E175" s="297">
        <f t="shared" si="5"/>
        <v>432626.3389</v>
      </c>
    </row>
    <row r="176">
      <c r="A176" s="298">
        <f t="shared" si="2"/>
        <v>2026</v>
      </c>
      <c r="B176" s="298">
        <f t="shared" si="3"/>
        <v>7</v>
      </c>
      <c r="C176" s="297">
        <f t="shared" si="1"/>
        <v>3447.282211</v>
      </c>
      <c r="D176" s="297">
        <f t="shared" si="4"/>
        <v>1960.524871</v>
      </c>
      <c r="E176" s="297">
        <f t="shared" si="5"/>
        <v>431139.5816</v>
      </c>
    </row>
    <row r="177">
      <c r="A177" s="298">
        <f t="shared" si="2"/>
        <v>2026</v>
      </c>
      <c r="B177" s="298">
        <f t="shared" si="3"/>
        <v>8</v>
      </c>
      <c r="C177" s="297">
        <f t="shared" si="1"/>
        <v>3447.282211</v>
      </c>
      <c r="D177" s="297">
        <f t="shared" si="4"/>
        <v>1953.78736</v>
      </c>
      <c r="E177" s="297">
        <f t="shared" si="5"/>
        <v>429646.0867</v>
      </c>
    </row>
    <row r="178">
      <c r="A178" s="298">
        <f t="shared" si="2"/>
        <v>2026</v>
      </c>
      <c r="B178" s="298">
        <f t="shared" si="3"/>
        <v>9</v>
      </c>
      <c r="C178" s="297">
        <f t="shared" si="1"/>
        <v>3447.282211</v>
      </c>
      <c r="D178" s="297">
        <f t="shared" si="4"/>
        <v>1947.019316</v>
      </c>
      <c r="E178" s="297">
        <f t="shared" si="5"/>
        <v>428145.8238</v>
      </c>
    </row>
    <row r="179">
      <c r="A179" s="298">
        <f t="shared" si="2"/>
        <v>2026</v>
      </c>
      <c r="B179" s="298">
        <f t="shared" si="3"/>
        <v>10</v>
      </c>
      <c r="C179" s="297">
        <f t="shared" si="1"/>
        <v>3447.282211</v>
      </c>
      <c r="D179" s="297">
        <f t="shared" si="4"/>
        <v>1940.220603</v>
      </c>
      <c r="E179" s="297">
        <f t="shared" si="5"/>
        <v>426638.7622</v>
      </c>
    </row>
    <row r="180">
      <c r="A180" s="298">
        <f t="shared" si="2"/>
        <v>2026</v>
      </c>
      <c r="B180" s="298">
        <f t="shared" si="3"/>
        <v>11</v>
      </c>
      <c r="C180" s="297">
        <f t="shared" si="1"/>
        <v>3447.282211</v>
      </c>
      <c r="D180" s="297">
        <f t="shared" si="4"/>
        <v>1933.391079</v>
      </c>
      <c r="E180" s="297">
        <f t="shared" si="5"/>
        <v>425124.8711</v>
      </c>
    </row>
    <row r="181">
      <c r="A181" s="298">
        <f t="shared" si="2"/>
        <v>2026</v>
      </c>
      <c r="B181" s="298">
        <f t="shared" si="3"/>
        <v>12</v>
      </c>
      <c r="C181" s="297">
        <f t="shared" si="1"/>
        <v>3447.282211</v>
      </c>
      <c r="D181" s="297">
        <f t="shared" si="4"/>
        <v>1926.530606</v>
      </c>
      <c r="E181" s="297">
        <f t="shared" si="5"/>
        <v>423604.1195</v>
      </c>
    </row>
    <row r="182">
      <c r="A182" s="298">
        <f t="shared" si="2"/>
        <v>2027</v>
      </c>
      <c r="B182" s="298">
        <f t="shared" si="3"/>
        <v>1</v>
      </c>
      <c r="C182" s="297">
        <f t="shared" si="1"/>
        <v>3447.282211</v>
      </c>
      <c r="D182" s="297">
        <f t="shared" si="4"/>
        <v>1919.639044</v>
      </c>
      <c r="E182" s="297">
        <f t="shared" si="5"/>
        <v>422076.4763</v>
      </c>
    </row>
    <row r="183">
      <c r="A183" s="298">
        <f t="shared" si="2"/>
        <v>2027</v>
      </c>
      <c r="B183" s="298">
        <f t="shared" si="3"/>
        <v>2</v>
      </c>
      <c r="C183" s="297">
        <f t="shared" si="1"/>
        <v>3447.282211</v>
      </c>
      <c r="D183" s="297">
        <f t="shared" si="4"/>
        <v>1912.716251</v>
      </c>
      <c r="E183" s="297">
        <f t="shared" si="5"/>
        <v>420541.9103</v>
      </c>
    </row>
    <row r="184">
      <c r="A184" s="298">
        <f t="shared" si="2"/>
        <v>2027</v>
      </c>
      <c r="B184" s="298">
        <f t="shared" si="3"/>
        <v>3</v>
      </c>
      <c r="C184" s="297">
        <f t="shared" si="1"/>
        <v>3447.282211</v>
      </c>
      <c r="D184" s="297">
        <f t="shared" si="4"/>
        <v>1905.762087</v>
      </c>
      <c r="E184" s="297">
        <f t="shared" si="5"/>
        <v>419000.3902</v>
      </c>
    </row>
    <row r="185">
      <c r="A185" s="298">
        <f t="shared" si="2"/>
        <v>2027</v>
      </c>
      <c r="B185" s="298">
        <f t="shared" si="3"/>
        <v>4</v>
      </c>
      <c r="C185" s="297">
        <f t="shared" si="1"/>
        <v>3447.282211</v>
      </c>
      <c r="D185" s="297">
        <f t="shared" si="4"/>
        <v>1898.776408</v>
      </c>
      <c r="E185" s="297">
        <f t="shared" si="5"/>
        <v>417451.8844</v>
      </c>
    </row>
    <row r="186">
      <c r="A186" s="298">
        <f t="shared" si="2"/>
        <v>2027</v>
      </c>
      <c r="B186" s="298">
        <f t="shared" si="3"/>
        <v>5</v>
      </c>
      <c r="C186" s="297">
        <f t="shared" si="1"/>
        <v>3447.282211</v>
      </c>
      <c r="D186" s="297">
        <f t="shared" si="4"/>
        <v>1891.759073</v>
      </c>
      <c r="E186" s="297">
        <f t="shared" si="5"/>
        <v>415896.3613</v>
      </c>
    </row>
    <row r="187">
      <c r="A187" s="298">
        <f t="shared" si="2"/>
        <v>2027</v>
      </c>
      <c r="B187" s="298">
        <f t="shared" si="3"/>
        <v>6</v>
      </c>
      <c r="C187" s="297">
        <f t="shared" si="1"/>
        <v>3447.282211</v>
      </c>
      <c r="D187" s="297">
        <f t="shared" si="4"/>
        <v>1884.709937</v>
      </c>
      <c r="E187" s="297">
        <f t="shared" si="5"/>
        <v>414333.789</v>
      </c>
    </row>
    <row r="188">
      <c r="A188" s="298">
        <f t="shared" si="2"/>
        <v>2027</v>
      </c>
      <c r="B188" s="298">
        <f t="shared" si="3"/>
        <v>7</v>
      </c>
      <c r="C188" s="297">
        <f t="shared" si="1"/>
        <v>3447.282211</v>
      </c>
      <c r="D188" s="297">
        <f t="shared" si="4"/>
        <v>1877.628857</v>
      </c>
      <c r="E188" s="297">
        <f t="shared" si="5"/>
        <v>412764.1356</v>
      </c>
    </row>
    <row r="189">
      <c r="A189" s="298">
        <f t="shared" si="2"/>
        <v>2027</v>
      </c>
      <c r="B189" s="298">
        <f t="shared" si="3"/>
        <v>8</v>
      </c>
      <c r="C189" s="297">
        <f t="shared" si="1"/>
        <v>3447.282211</v>
      </c>
      <c r="D189" s="297">
        <f t="shared" si="4"/>
        <v>1870.515687</v>
      </c>
      <c r="E189" s="297">
        <f t="shared" si="5"/>
        <v>411187.3691</v>
      </c>
    </row>
    <row r="190">
      <c r="A190" s="298">
        <f t="shared" si="2"/>
        <v>2027</v>
      </c>
      <c r="B190" s="298">
        <f t="shared" si="3"/>
        <v>9</v>
      </c>
      <c r="C190" s="297">
        <f t="shared" si="1"/>
        <v>3447.282211</v>
      </c>
      <c r="D190" s="297">
        <f t="shared" si="4"/>
        <v>1863.370283</v>
      </c>
      <c r="E190" s="297">
        <f t="shared" si="5"/>
        <v>409603.4572</v>
      </c>
    </row>
    <row r="191">
      <c r="A191" s="298">
        <f t="shared" si="2"/>
        <v>2027</v>
      </c>
      <c r="B191" s="298">
        <f t="shared" si="3"/>
        <v>10</v>
      </c>
      <c r="C191" s="297">
        <f t="shared" si="1"/>
        <v>3447.282211</v>
      </c>
      <c r="D191" s="297">
        <f t="shared" si="4"/>
        <v>1856.192499</v>
      </c>
      <c r="E191" s="297">
        <f t="shared" si="5"/>
        <v>408012.3675</v>
      </c>
    </row>
    <row r="192">
      <c r="A192" s="298">
        <f t="shared" si="2"/>
        <v>2027</v>
      </c>
      <c r="B192" s="298">
        <f t="shared" si="3"/>
        <v>11</v>
      </c>
      <c r="C192" s="297">
        <f t="shared" si="1"/>
        <v>3447.282211</v>
      </c>
      <c r="D192" s="297">
        <f t="shared" si="4"/>
        <v>1848.982187</v>
      </c>
      <c r="E192" s="297">
        <f t="shared" si="5"/>
        <v>406414.0675</v>
      </c>
    </row>
    <row r="193">
      <c r="A193" s="298">
        <f t="shared" si="2"/>
        <v>2027</v>
      </c>
      <c r="B193" s="298">
        <f t="shared" si="3"/>
        <v>12</v>
      </c>
      <c r="C193" s="297">
        <f t="shared" si="1"/>
        <v>3447.282211</v>
      </c>
      <c r="D193" s="297">
        <f t="shared" si="4"/>
        <v>1841.7392</v>
      </c>
      <c r="E193" s="297">
        <f t="shared" si="5"/>
        <v>404808.5244</v>
      </c>
    </row>
    <row r="194">
      <c r="A194" s="298">
        <f t="shared" si="2"/>
        <v>2028</v>
      </c>
      <c r="B194" s="298">
        <f t="shared" si="3"/>
        <v>1</v>
      </c>
      <c r="C194" s="297">
        <f t="shared" si="1"/>
        <v>3447.282211</v>
      </c>
      <c r="D194" s="297">
        <f t="shared" si="4"/>
        <v>1834.46339</v>
      </c>
      <c r="E194" s="297">
        <f t="shared" si="5"/>
        <v>403195.7056</v>
      </c>
    </row>
    <row r="195">
      <c r="A195" s="298">
        <f t="shared" si="2"/>
        <v>2028</v>
      </c>
      <c r="B195" s="298">
        <f t="shared" si="3"/>
        <v>2</v>
      </c>
      <c r="C195" s="297">
        <f t="shared" si="1"/>
        <v>3447.282211</v>
      </c>
      <c r="D195" s="297">
        <f t="shared" si="4"/>
        <v>1827.154608</v>
      </c>
      <c r="E195" s="297">
        <f t="shared" si="5"/>
        <v>401575.578</v>
      </c>
    </row>
    <row r="196">
      <c r="A196" s="298">
        <f t="shared" si="2"/>
        <v>2028</v>
      </c>
      <c r="B196" s="298">
        <f t="shared" si="3"/>
        <v>3</v>
      </c>
      <c r="C196" s="297">
        <f t="shared" si="1"/>
        <v>3447.282211</v>
      </c>
      <c r="D196" s="297">
        <f t="shared" si="4"/>
        <v>1819.812705</v>
      </c>
      <c r="E196" s="297">
        <f t="shared" si="5"/>
        <v>399948.1085</v>
      </c>
    </row>
    <row r="197">
      <c r="A197" s="298">
        <f t="shared" si="2"/>
        <v>2028</v>
      </c>
      <c r="B197" s="298">
        <f t="shared" si="3"/>
        <v>4</v>
      </c>
      <c r="C197" s="297">
        <f t="shared" si="1"/>
        <v>3447.282211</v>
      </c>
      <c r="D197" s="297">
        <f t="shared" si="4"/>
        <v>1812.437532</v>
      </c>
      <c r="E197" s="297">
        <f t="shared" si="5"/>
        <v>398313.2638</v>
      </c>
    </row>
    <row r="198">
      <c r="A198" s="298">
        <f t="shared" si="2"/>
        <v>2028</v>
      </c>
      <c r="B198" s="298">
        <f t="shared" si="3"/>
        <v>5</v>
      </c>
      <c r="C198" s="297">
        <f t="shared" si="1"/>
        <v>3447.282211</v>
      </c>
      <c r="D198" s="297">
        <f t="shared" si="4"/>
        <v>1805.028936</v>
      </c>
      <c r="E198" s="297">
        <f t="shared" si="5"/>
        <v>396671.0106</v>
      </c>
    </row>
    <row r="199">
      <c r="A199" s="298">
        <f t="shared" si="2"/>
        <v>2028</v>
      </c>
      <c r="B199" s="298">
        <f t="shared" si="3"/>
        <v>6</v>
      </c>
      <c r="C199" s="297">
        <f t="shared" si="1"/>
        <v>3447.282211</v>
      </c>
      <c r="D199" s="297">
        <f t="shared" si="4"/>
        <v>1797.586767</v>
      </c>
      <c r="E199" s="297">
        <f t="shared" si="5"/>
        <v>395021.3151</v>
      </c>
    </row>
    <row r="200">
      <c r="A200" s="298">
        <f t="shared" si="2"/>
        <v>2028</v>
      </c>
      <c r="B200" s="298">
        <f t="shared" si="3"/>
        <v>7</v>
      </c>
      <c r="C200" s="297">
        <f t="shared" si="1"/>
        <v>3447.282211</v>
      </c>
      <c r="D200" s="297">
        <f t="shared" si="4"/>
        <v>1790.110872</v>
      </c>
      <c r="E200" s="297">
        <f t="shared" si="5"/>
        <v>393364.1438</v>
      </c>
    </row>
    <row r="201">
      <c r="A201" s="298">
        <f t="shared" si="2"/>
        <v>2028</v>
      </c>
      <c r="B201" s="298">
        <f t="shared" si="3"/>
        <v>8</v>
      </c>
      <c r="C201" s="297">
        <f t="shared" si="1"/>
        <v>3447.282211</v>
      </c>
      <c r="D201" s="297">
        <f t="shared" si="4"/>
        <v>1782.601099</v>
      </c>
      <c r="E201" s="297">
        <f t="shared" si="5"/>
        <v>391699.4627</v>
      </c>
    </row>
    <row r="202">
      <c r="A202" s="298">
        <f t="shared" si="2"/>
        <v>2028</v>
      </c>
      <c r="B202" s="298">
        <f t="shared" si="3"/>
        <v>9</v>
      </c>
      <c r="C202" s="297">
        <f t="shared" si="1"/>
        <v>3447.282211</v>
      </c>
      <c r="D202" s="297">
        <f t="shared" si="4"/>
        <v>1775.057294</v>
      </c>
      <c r="E202" s="297">
        <f t="shared" si="5"/>
        <v>390027.2377</v>
      </c>
    </row>
    <row r="203">
      <c r="A203" s="298">
        <f t="shared" si="2"/>
        <v>2028</v>
      </c>
      <c r="B203" s="298">
        <f t="shared" si="3"/>
        <v>10</v>
      </c>
      <c r="C203" s="297">
        <f t="shared" si="1"/>
        <v>3447.282211</v>
      </c>
      <c r="D203" s="297">
        <f t="shared" si="4"/>
        <v>1767.479303</v>
      </c>
      <c r="E203" s="297">
        <f t="shared" si="5"/>
        <v>388347.4348</v>
      </c>
    </row>
    <row r="204">
      <c r="A204" s="298">
        <f t="shared" si="2"/>
        <v>2028</v>
      </c>
      <c r="B204" s="298">
        <f t="shared" si="3"/>
        <v>11</v>
      </c>
      <c r="C204" s="297">
        <f t="shared" si="1"/>
        <v>3447.282211</v>
      </c>
      <c r="D204" s="297">
        <f t="shared" si="4"/>
        <v>1759.866971</v>
      </c>
      <c r="E204" s="297">
        <f t="shared" si="5"/>
        <v>386660.0196</v>
      </c>
    </row>
    <row r="205">
      <c r="A205" s="298">
        <f t="shared" si="2"/>
        <v>2028</v>
      </c>
      <c r="B205" s="298">
        <f t="shared" si="3"/>
        <v>12</v>
      </c>
      <c r="C205" s="297">
        <f t="shared" si="1"/>
        <v>3447.282211</v>
      </c>
      <c r="D205" s="297">
        <f t="shared" si="4"/>
        <v>1752.220142</v>
      </c>
      <c r="E205" s="297">
        <f t="shared" si="5"/>
        <v>384964.9575</v>
      </c>
    </row>
    <row r="206">
      <c r="A206" s="298">
        <f t="shared" si="2"/>
        <v>2029</v>
      </c>
      <c r="B206" s="298">
        <f t="shared" si="3"/>
        <v>1</v>
      </c>
      <c r="C206" s="297">
        <f t="shared" si="1"/>
        <v>3447.282211</v>
      </c>
      <c r="D206" s="297">
        <f t="shared" si="4"/>
        <v>1744.53866</v>
      </c>
      <c r="E206" s="297">
        <f t="shared" si="5"/>
        <v>383262.214</v>
      </c>
    </row>
    <row r="207">
      <c r="A207" s="298">
        <f t="shared" si="2"/>
        <v>2029</v>
      </c>
      <c r="B207" s="298">
        <f t="shared" si="3"/>
        <v>2</v>
      </c>
      <c r="C207" s="297">
        <f t="shared" si="1"/>
        <v>3447.282211</v>
      </c>
      <c r="D207" s="297">
        <f t="shared" si="4"/>
        <v>1736.822368</v>
      </c>
      <c r="E207" s="297">
        <f t="shared" si="5"/>
        <v>381551.7541</v>
      </c>
    </row>
    <row r="208">
      <c r="A208" s="298">
        <f t="shared" si="2"/>
        <v>2029</v>
      </c>
      <c r="B208" s="298">
        <f t="shared" si="3"/>
        <v>3</v>
      </c>
      <c r="C208" s="297">
        <f t="shared" si="1"/>
        <v>3447.282211</v>
      </c>
      <c r="D208" s="297">
        <f t="shared" si="4"/>
        <v>1729.071109</v>
      </c>
      <c r="E208" s="297">
        <f t="shared" si="5"/>
        <v>379833.543</v>
      </c>
    </row>
    <row r="209">
      <c r="A209" s="298">
        <f t="shared" si="2"/>
        <v>2029</v>
      </c>
      <c r="B209" s="298">
        <f t="shared" si="3"/>
        <v>4</v>
      </c>
      <c r="C209" s="297">
        <f t="shared" si="1"/>
        <v>3447.282211</v>
      </c>
      <c r="D209" s="297">
        <f t="shared" si="4"/>
        <v>1721.284723</v>
      </c>
      <c r="E209" s="297">
        <f t="shared" si="5"/>
        <v>378107.5455</v>
      </c>
    </row>
    <row r="210">
      <c r="A210" s="298">
        <f t="shared" si="2"/>
        <v>2029</v>
      </c>
      <c r="B210" s="298">
        <f t="shared" si="3"/>
        <v>5</v>
      </c>
      <c r="C210" s="297">
        <f t="shared" si="1"/>
        <v>3447.282211</v>
      </c>
      <c r="D210" s="297">
        <f t="shared" si="4"/>
        <v>1713.463052</v>
      </c>
      <c r="E210" s="297">
        <f t="shared" si="5"/>
        <v>376373.7264</v>
      </c>
    </row>
    <row r="211">
      <c r="A211" s="298">
        <f t="shared" si="2"/>
        <v>2029</v>
      </c>
      <c r="B211" s="298">
        <f t="shared" si="3"/>
        <v>6</v>
      </c>
      <c r="C211" s="297">
        <f t="shared" si="1"/>
        <v>3447.282211</v>
      </c>
      <c r="D211" s="297">
        <f t="shared" si="4"/>
        <v>1705.605935</v>
      </c>
      <c r="E211" s="297">
        <f t="shared" si="5"/>
        <v>374632.0501</v>
      </c>
    </row>
    <row r="212">
      <c r="A212" s="298">
        <f t="shared" si="2"/>
        <v>2029</v>
      </c>
      <c r="B212" s="298">
        <f t="shared" si="3"/>
        <v>7</v>
      </c>
      <c r="C212" s="297">
        <f t="shared" si="1"/>
        <v>3447.282211</v>
      </c>
      <c r="D212" s="297">
        <f t="shared" si="4"/>
        <v>1697.713213</v>
      </c>
      <c r="E212" s="297">
        <f t="shared" si="5"/>
        <v>372882.4811</v>
      </c>
    </row>
    <row r="213">
      <c r="A213" s="298">
        <f t="shared" si="2"/>
        <v>2029</v>
      </c>
      <c r="B213" s="298">
        <f t="shared" si="3"/>
        <v>8</v>
      </c>
      <c r="C213" s="297">
        <f t="shared" si="1"/>
        <v>3447.282211</v>
      </c>
      <c r="D213" s="297">
        <f t="shared" si="4"/>
        <v>1689.784723</v>
      </c>
      <c r="E213" s="297">
        <f t="shared" si="5"/>
        <v>371124.9836</v>
      </c>
    </row>
    <row r="214">
      <c r="A214" s="298">
        <f t="shared" si="2"/>
        <v>2029</v>
      </c>
      <c r="B214" s="298">
        <f t="shared" si="3"/>
        <v>9</v>
      </c>
      <c r="C214" s="297">
        <f t="shared" si="1"/>
        <v>3447.282211</v>
      </c>
      <c r="D214" s="297">
        <f t="shared" si="4"/>
        <v>1681.820304</v>
      </c>
      <c r="E214" s="297">
        <f t="shared" si="5"/>
        <v>369359.5217</v>
      </c>
    </row>
    <row r="215">
      <c r="A215" s="298">
        <f t="shared" si="2"/>
        <v>2029</v>
      </c>
      <c r="B215" s="298">
        <f t="shared" si="3"/>
        <v>10</v>
      </c>
      <c r="C215" s="297">
        <f t="shared" si="1"/>
        <v>3447.282211</v>
      </c>
      <c r="D215" s="297">
        <f t="shared" si="4"/>
        <v>1673.819792</v>
      </c>
      <c r="E215" s="297">
        <f t="shared" si="5"/>
        <v>367586.0593</v>
      </c>
    </row>
    <row r="216">
      <c r="A216" s="298">
        <f t="shared" si="2"/>
        <v>2029</v>
      </c>
      <c r="B216" s="298">
        <f t="shared" si="3"/>
        <v>11</v>
      </c>
      <c r="C216" s="297">
        <f t="shared" si="1"/>
        <v>3447.282211</v>
      </c>
      <c r="D216" s="297">
        <f t="shared" si="4"/>
        <v>1665.783025</v>
      </c>
      <c r="E216" s="297">
        <f t="shared" si="5"/>
        <v>365804.5601</v>
      </c>
    </row>
    <row r="217">
      <c r="A217" s="298">
        <f t="shared" si="2"/>
        <v>2029</v>
      </c>
      <c r="B217" s="298">
        <f t="shared" si="3"/>
        <v>12</v>
      </c>
      <c r="C217" s="297">
        <f t="shared" si="1"/>
        <v>3447.282211</v>
      </c>
      <c r="D217" s="297">
        <f t="shared" si="4"/>
        <v>1657.709838</v>
      </c>
      <c r="E217" s="297">
        <f t="shared" si="5"/>
        <v>364014.9877</v>
      </c>
    </row>
    <row r="218">
      <c r="A218" s="298">
        <f t="shared" si="2"/>
        <v>2030</v>
      </c>
      <c r="B218" s="298">
        <f t="shared" si="3"/>
        <v>1</v>
      </c>
      <c r="C218" s="297">
        <f t="shared" si="1"/>
        <v>3447.282211</v>
      </c>
      <c r="D218" s="297">
        <f t="shared" si="4"/>
        <v>1649.600065</v>
      </c>
      <c r="E218" s="297">
        <f t="shared" si="5"/>
        <v>362217.3056</v>
      </c>
    </row>
    <row r="219">
      <c r="A219" s="298">
        <f t="shared" si="2"/>
        <v>2030</v>
      </c>
      <c r="B219" s="298">
        <f t="shared" si="3"/>
        <v>2</v>
      </c>
      <c r="C219" s="297">
        <f t="shared" si="1"/>
        <v>3447.282211</v>
      </c>
      <c r="D219" s="297">
        <f t="shared" si="4"/>
        <v>1641.453542</v>
      </c>
      <c r="E219" s="297">
        <f t="shared" si="5"/>
        <v>360411.4769</v>
      </c>
    </row>
    <row r="220">
      <c r="A220" s="298">
        <f t="shared" si="2"/>
        <v>2030</v>
      </c>
      <c r="B220" s="298">
        <f t="shared" si="3"/>
        <v>3</v>
      </c>
      <c r="C220" s="297">
        <f t="shared" si="1"/>
        <v>3447.282211</v>
      </c>
      <c r="D220" s="297">
        <f t="shared" si="4"/>
        <v>1633.270101</v>
      </c>
      <c r="E220" s="297">
        <f t="shared" si="5"/>
        <v>358597.4648</v>
      </c>
    </row>
    <row r="221">
      <c r="A221" s="298">
        <f t="shared" si="2"/>
        <v>2030</v>
      </c>
      <c r="B221" s="298">
        <f t="shared" si="3"/>
        <v>4</v>
      </c>
      <c r="C221" s="297">
        <f t="shared" si="1"/>
        <v>3447.282211</v>
      </c>
      <c r="D221" s="297">
        <f t="shared" si="4"/>
        <v>1625.049576</v>
      </c>
      <c r="E221" s="297">
        <f t="shared" si="5"/>
        <v>356775.2322</v>
      </c>
    </row>
    <row r="222">
      <c r="A222" s="298">
        <f t="shared" si="2"/>
        <v>2030</v>
      </c>
      <c r="B222" s="298">
        <f t="shared" si="3"/>
        <v>5</v>
      </c>
      <c r="C222" s="297">
        <f t="shared" si="1"/>
        <v>3447.282211</v>
      </c>
      <c r="D222" s="297">
        <f t="shared" si="4"/>
        <v>1616.791797</v>
      </c>
      <c r="E222" s="297">
        <f t="shared" si="5"/>
        <v>354944.7418</v>
      </c>
    </row>
    <row r="223">
      <c r="A223" s="298">
        <f t="shared" si="2"/>
        <v>2030</v>
      </c>
      <c r="B223" s="298">
        <f t="shared" si="3"/>
        <v>6</v>
      </c>
      <c r="C223" s="297">
        <f t="shared" si="1"/>
        <v>3447.282211</v>
      </c>
      <c r="D223" s="297">
        <f t="shared" si="4"/>
        <v>1608.496597</v>
      </c>
      <c r="E223" s="297">
        <f t="shared" si="5"/>
        <v>353105.9562</v>
      </c>
    </row>
    <row r="224">
      <c r="A224" s="298">
        <f t="shared" si="2"/>
        <v>2030</v>
      </c>
      <c r="B224" s="298">
        <f t="shared" si="3"/>
        <v>7</v>
      </c>
      <c r="C224" s="297">
        <f t="shared" si="1"/>
        <v>3447.282211</v>
      </c>
      <c r="D224" s="297">
        <f t="shared" si="4"/>
        <v>1600.163806</v>
      </c>
      <c r="E224" s="297">
        <f t="shared" si="5"/>
        <v>351258.8377</v>
      </c>
    </row>
    <row r="225">
      <c r="A225" s="298">
        <f t="shared" si="2"/>
        <v>2030</v>
      </c>
      <c r="B225" s="298">
        <f t="shared" si="3"/>
        <v>8</v>
      </c>
      <c r="C225" s="297">
        <f t="shared" si="1"/>
        <v>3447.282211</v>
      </c>
      <c r="D225" s="297">
        <f t="shared" si="4"/>
        <v>1591.793253</v>
      </c>
      <c r="E225" s="297">
        <f t="shared" si="5"/>
        <v>349403.3488</v>
      </c>
    </row>
    <row r="226">
      <c r="A226" s="298">
        <f t="shared" si="2"/>
        <v>2030</v>
      </c>
      <c r="B226" s="298">
        <f t="shared" si="3"/>
        <v>9</v>
      </c>
      <c r="C226" s="297">
        <f t="shared" si="1"/>
        <v>3447.282211</v>
      </c>
      <c r="D226" s="297">
        <f t="shared" si="4"/>
        <v>1583.384768</v>
      </c>
      <c r="E226" s="297">
        <f t="shared" si="5"/>
        <v>347539.4513</v>
      </c>
    </row>
    <row r="227">
      <c r="A227" s="298">
        <f t="shared" si="2"/>
        <v>2030</v>
      </c>
      <c r="B227" s="298">
        <f t="shared" si="3"/>
        <v>10</v>
      </c>
      <c r="C227" s="297">
        <f t="shared" si="1"/>
        <v>3447.282211</v>
      </c>
      <c r="D227" s="297">
        <f t="shared" si="4"/>
        <v>1574.938178</v>
      </c>
      <c r="E227" s="297">
        <f t="shared" si="5"/>
        <v>345667.1073</v>
      </c>
    </row>
    <row r="228">
      <c r="A228" s="298">
        <f t="shared" si="2"/>
        <v>2030</v>
      </c>
      <c r="B228" s="298">
        <f t="shared" si="3"/>
        <v>11</v>
      </c>
      <c r="C228" s="297">
        <f t="shared" si="1"/>
        <v>3447.282211</v>
      </c>
      <c r="D228" s="297">
        <f t="shared" si="4"/>
        <v>1566.453311</v>
      </c>
      <c r="E228" s="297">
        <f t="shared" si="5"/>
        <v>343786.2784</v>
      </c>
    </row>
    <row r="229">
      <c r="A229" s="298">
        <f t="shared" si="2"/>
        <v>2030</v>
      </c>
      <c r="B229" s="298">
        <f t="shared" si="3"/>
        <v>12</v>
      </c>
      <c r="C229" s="297">
        <f t="shared" si="1"/>
        <v>3447.282211</v>
      </c>
      <c r="D229" s="297">
        <f t="shared" si="4"/>
        <v>1557.929993</v>
      </c>
      <c r="E229" s="297">
        <f t="shared" si="5"/>
        <v>341896.9262</v>
      </c>
    </row>
    <row r="230">
      <c r="A230" s="298">
        <f t="shared" si="2"/>
        <v>2031</v>
      </c>
      <c r="B230" s="298">
        <f t="shared" si="3"/>
        <v>1</v>
      </c>
      <c r="C230" s="297">
        <f t="shared" si="1"/>
        <v>3447.282211</v>
      </c>
      <c r="D230" s="297">
        <f t="shared" si="4"/>
        <v>1549.36805</v>
      </c>
      <c r="E230" s="297">
        <f t="shared" si="5"/>
        <v>339999.012</v>
      </c>
    </row>
    <row r="231">
      <c r="A231" s="298">
        <f t="shared" si="2"/>
        <v>2031</v>
      </c>
      <c r="B231" s="298">
        <f t="shared" si="3"/>
        <v>2</v>
      </c>
      <c r="C231" s="297">
        <f t="shared" si="1"/>
        <v>3447.282211</v>
      </c>
      <c r="D231" s="297">
        <f t="shared" si="4"/>
        <v>1540.767307</v>
      </c>
      <c r="E231" s="297">
        <f t="shared" si="5"/>
        <v>338092.4971</v>
      </c>
    </row>
    <row r="232">
      <c r="A232" s="298">
        <f t="shared" si="2"/>
        <v>2031</v>
      </c>
      <c r="B232" s="298">
        <f t="shared" si="3"/>
        <v>3</v>
      </c>
      <c r="C232" s="297">
        <f t="shared" si="1"/>
        <v>3447.282211</v>
      </c>
      <c r="D232" s="297">
        <f t="shared" si="4"/>
        <v>1532.127588</v>
      </c>
      <c r="E232" s="297">
        <f t="shared" si="5"/>
        <v>336177.3425</v>
      </c>
    </row>
    <row r="233">
      <c r="A233" s="298">
        <f t="shared" si="2"/>
        <v>2031</v>
      </c>
      <c r="B233" s="298">
        <f t="shared" si="3"/>
        <v>4</v>
      </c>
      <c r="C233" s="297">
        <f t="shared" si="1"/>
        <v>3447.282211</v>
      </c>
      <c r="D233" s="297">
        <f t="shared" si="4"/>
        <v>1523.448717</v>
      </c>
      <c r="E233" s="297">
        <f t="shared" si="5"/>
        <v>334253.509</v>
      </c>
    </row>
    <row r="234">
      <c r="A234" s="298">
        <f t="shared" si="2"/>
        <v>2031</v>
      </c>
      <c r="B234" s="298">
        <f t="shared" si="3"/>
        <v>5</v>
      </c>
      <c r="C234" s="297">
        <f t="shared" si="1"/>
        <v>3447.282211</v>
      </c>
      <c r="D234" s="297">
        <f t="shared" si="4"/>
        <v>1514.730516</v>
      </c>
      <c r="E234" s="297">
        <f t="shared" si="5"/>
        <v>332320.9573</v>
      </c>
    </row>
    <row r="235">
      <c r="A235" s="298">
        <f t="shared" si="2"/>
        <v>2031</v>
      </c>
      <c r="B235" s="298">
        <f t="shared" si="3"/>
        <v>6</v>
      </c>
      <c r="C235" s="297">
        <f t="shared" si="1"/>
        <v>3447.282211</v>
      </c>
      <c r="D235" s="297">
        <f t="shared" si="4"/>
        <v>1505.972807</v>
      </c>
      <c r="E235" s="297">
        <f t="shared" si="5"/>
        <v>330379.6479</v>
      </c>
    </row>
    <row r="236">
      <c r="A236" s="298">
        <f t="shared" si="2"/>
        <v>2031</v>
      </c>
      <c r="B236" s="298">
        <f t="shared" si="3"/>
        <v>7</v>
      </c>
      <c r="C236" s="297">
        <f t="shared" si="1"/>
        <v>3447.282211</v>
      </c>
      <c r="D236" s="297">
        <f t="shared" si="4"/>
        <v>1497.175411</v>
      </c>
      <c r="E236" s="297">
        <f t="shared" si="5"/>
        <v>328429.5411</v>
      </c>
    </row>
    <row r="237">
      <c r="A237" s="298">
        <f t="shared" si="2"/>
        <v>2031</v>
      </c>
      <c r="B237" s="298">
        <f t="shared" si="3"/>
        <v>8</v>
      </c>
      <c r="C237" s="297">
        <f t="shared" si="1"/>
        <v>3447.282211</v>
      </c>
      <c r="D237" s="297">
        <f t="shared" si="4"/>
        <v>1488.338147</v>
      </c>
      <c r="E237" s="297">
        <f t="shared" si="5"/>
        <v>326470.5971</v>
      </c>
    </row>
    <row r="238">
      <c r="A238" s="298">
        <f t="shared" si="2"/>
        <v>2031</v>
      </c>
      <c r="B238" s="298">
        <f t="shared" si="3"/>
        <v>9</v>
      </c>
      <c r="C238" s="297">
        <f t="shared" si="1"/>
        <v>3447.282211</v>
      </c>
      <c r="D238" s="297">
        <f t="shared" si="4"/>
        <v>1479.460836</v>
      </c>
      <c r="E238" s="297">
        <f t="shared" si="5"/>
        <v>324502.7757</v>
      </c>
    </row>
    <row r="239">
      <c r="A239" s="298">
        <f t="shared" si="2"/>
        <v>2031</v>
      </c>
      <c r="B239" s="298">
        <f t="shared" si="3"/>
        <v>10</v>
      </c>
      <c r="C239" s="297">
        <f t="shared" si="1"/>
        <v>3447.282211</v>
      </c>
      <c r="D239" s="297">
        <f t="shared" si="4"/>
        <v>1470.543296</v>
      </c>
      <c r="E239" s="297">
        <f t="shared" si="5"/>
        <v>322526.0368</v>
      </c>
    </row>
    <row r="240">
      <c r="A240" s="298">
        <f t="shared" si="2"/>
        <v>2031</v>
      </c>
      <c r="B240" s="298">
        <f t="shared" si="3"/>
        <v>11</v>
      </c>
      <c r="C240" s="297">
        <f t="shared" si="1"/>
        <v>3447.282211</v>
      </c>
      <c r="D240" s="297">
        <f t="shared" si="4"/>
        <v>1461.585344</v>
      </c>
      <c r="E240" s="297">
        <f t="shared" si="5"/>
        <v>320540.3399</v>
      </c>
    </row>
    <row r="241">
      <c r="A241" s="298">
        <f t="shared" si="2"/>
        <v>2031</v>
      </c>
      <c r="B241" s="298">
        <f t="shared" si="3"/>
        <v>12</v>
      </c>
      <c r="C241" s="297">
        <f t="shared" si="1"/>
        <v>3447.282211</v>
      </c>
      <c r="D241" s="297">
        <f t="shared" si="4"/>
        <v>1452.586798</v>
      </c>
      <c r="E241" s="297">
        <f t="shared" si="5"/>
        <v>318545.6445</v>
      </c>
    </row>
    <row r="242">
      <c r="A242" s="298">
        <f t="shared" si="2"/>
        <v>2032</v>
      </c>
      <c r="B242" s="298">
        <f t="shared" si="3"/>
        <v>1</v>
      </c>
      <c r="C242" s="297">
        <f t="shared" si="1"/>
        <v>3447.282211</v>
      </c>
      <c r="D242" s="297">
        <f t="shared" si="4"/>
        <v>1443.547474</v>
      </c>
      <c r="E242" s="297">
        <f t="shared" si="5"/>
        <v>316541.9097</v>
      </c>
    </row>
    <row r="243">
      <c r="A243" s="298">
        <f t="shared" si="2"/>
        <v>2032</v>
      </c>
      <c r="B243" s="298">
        <f t="shared" si="3"/>
        <v>2</v>
      </c>
      <c r="C243" s="297">
        <f t="shared" si="1"/>
        <v>3447.282211</v>
      </c>
      <c r="D243" s="297">
        <f t="shared" si="4"/>
        <v>1434.467185</v>
      </c>
      <c r="E243" s="297">
        <f t="shared" si="5"/>
        <v>314529.0947</v>
      </c>
    </row>
    <row r="244">
      <c r="A244" s="298">
        <f t="shared" si="2"/>
        <v>2032</v>
      </c>
      <c r="B244" s="298">
        <f t="shared" si="3"/>
        <v>3</v>
      </c>
      <c r="C244" s="297">
        <f t="shared" si="1"/>
        <v>3447.282211</v>
      </c>
      <c r="D244" s="297">
        <f t="shared" si="4"/>
        <v>1425.345748</v>
      </c>
      <c r="E244" s="297">
        <f t="shared" si="5"/>
        <v>312507.1583</v>
      </c>
    </row>
    <row r="245">
      <c r="A245" s="298">
        <f t="shared" si="2"/>
        <v>2032</v>
      </c>
      <c r="B245" s="298">
        <f t="shared" si="3"/>
        <v>4</v>
      </c>
      <c r="C245" s="297">
        <f t="shared" si="1"/>
        <v>3447.282211</v>
      </c>
      <c r="D245" s="297">
        <f t="shared" si="4"/>
        <v>1416.182976</v>
      </c>
      <c r="E245" s="297">
        <f t="shared" si="5"/>
        <v>310476.059</v>
      </c>
    </row>
    <row r="246">
      <c r="A246" s="298">
        <f t="shared" si="2"/>
        <v>2032</v>
      </c>
      <c r="B246" s="298">
        <f t="shared" si="3"/>
        <v>5</v>
      </c>
      <c r="C246" s="297">
        <f t="shared" si="1"/>
        <v>3447.282211</v>
      </c>
      <c r="D246" s="297">
        <f t="shared" si="4"/>
        <v>1406.978681</v>
      </c>
      <c r="E246" s="297">
        <f t="shared" si="5"/>
        <v>308435.7555</v>
      </c>
    </row>
    <row r="247">
      <c r="A247" s="298">
        <f t="shared" si="2"/>
        <v>2032</v>
      </c>
      <c r="B247" s="298">
        <f t="shared" si="3"/>
        <v>6</v>
      </c>
      <c r="C247" s="297">
        <f t="shared" si="1"/>
        <v>3447.282211</v>
      </c>
      <c r="D247" s="297">
        <f t="shared" si="4"/>
        <v>1397.732674</v>
      </c>
      <c r="E247" s="297">
        <f t="shared" si="5"/>
        <v>306386.206</v>
      </c>
    </row>
    <row r="248">
      <c r="A248" s="298">
        <f t="shared" si="2"/>
        <v>2032</v>
      </c>
      <c r="B248" s="298">
        <f t="shared" si="3"/>
        <v>7</v>
      </c>
      <c r="C248" s="297">
        <f t="shared" si="1"/>
        <v>3447.282211</v>
      </c>
      <c r="D248" s="297">
        <f t="shared" si="4"/>
        <v>1388.444768</v>
      </c>
      <c r="E248" s="297">
        <f t="shared" si="5"/>
        <v>304327.3685</v>
      </c>
    </row>
    <row r="249">
      <c r="A249" s="298">
        <f t="shared" si="2"/>
        <v>2032</v>
      </c>
      <c r="B249" s="298">
        <f t="shared" si="3"/>
        <v>8</v>
      </c>
      <c r="C249" s="297">
        <f t="shared" si="1"/>
        <v>3447.282211</v>
      </c>
      <c r="D249" s="297">
        <f t="shared" si="4"/>
        <v>1379.114772</v>
      </c>
      <c r="E249" s="297">
        <f t="shared" si="5"/>
        <v>302259.2011</v>
      </c>
    </row>
    <row r="250">
      <c r="A250" s="298">
        <f t="shared" si="2"/>
        <v>2032</v>
      </c>
      <c r="B250" s="298">
        <f t="shared" si="3"/>
        <v>9</v>
      </c>
      <c r="C250" s="297">
        <f t="shared" si="1"/>
        <v>3447.282211</v>
      </c>
      <c r="D250" s="297">
        <f t="shared" si="4"/>
        <v>1369.742496</v>
      </c>
      <c r="E250" s="297">
        <f t="shared" si="5"/>
        <v>300181.6614</v>
      </c>
    </row>
    <row r="251">
      <c r="A251" s="298">
        <f t="shared" si="2"/>
        <v>2032</v>
      </c>
      <c r="B251" s="298">
        <f t="shared" si="3"/>
        <v>10</v>
      </c>
      <c r="C251" s="297">
        <f t="shared" si="1"/>
        <v>3447.282211</v>
      </c>
      <c r="D251" s="297">
        <f t="shared" si="4"/>
        <v>1360.327747</v>
      </c>
      <c r="E251" s="297">
        <f t="shared" si="5"/>
        <v>298094.7069</v>
      </c>
    </row>
    <row r="252">
      <c r="A252" s="298">
        <f t="shared" si="2"/>
        <v>2032</v>
      </c>
      <c r="B252" s="298">
        <f t="shared" si="3"/>
        <v>11</v>
      </c>
      <c r="C252" s="297">
        <f t="shared" si="1"/>
        <v>3447.282211</v>
      </c>
      <c r="D252" s="297">
        <f t="shared" si="4"/>
        <v>1350.870334</v>
      </c>
      <c r="E252" s="297">
        <f t="shared" si="5"/>
        <v>295998.295</v>
      </c>
    </row>
    <row r="253">
      <c r="A253" s="298">
        <f t="shared" si="2"/>
        <v>2032</v>
      </c>
      <c r="B253" s="298">
        <f t="shared" si="3"/>
        <v>12</v>
      </c>
      <c r="C253" s="297">
        <f t="shared" si="1"/>
        <v>3447.282211</v>
      </c>
      <c r="D253" s="297">
        <f t="shared" si="4"/>
        <v>1341.370062</v>
      </c>
      <c r="E253" s="297">
        <f t="shared" si="5"/>
        <v>293892.3829</v>
      </c>
    </row>
    <row r="254">
      <c r="A254" s="298">
        <f t="shared" si="2"/>
        <v>2033</v>
      </c>
      <c r="B254" s="298">
        <f t="shared" si="3"/>
        <v>1</v>
      </c>
      <c r="C254" s="297">
        <f t="shared" si="1"/>
        <v>3447.282211</v>
      </c>
      <c r="D254" s="297">
        <f t="shared" si="4"/>
        <v>1331.826739</v>
      </c>
      <c r="E254" s="297">
        <f t="shared" si="5"/>
        <v>291776.9274</v>
      </c>
    </row>
    <row r="255">
      <c r="A255" s="298">
        <f t="shared" si="2"/>
        <v>2033</v>
      </c>
      <c r="B255" s="298">
        <f t="shared" si="3"/>
        <v>2</v>
      </c>
      <c r="C255" s="297">
        <f t="shared" si="1"/>
        <v>3447.282211</v>
      </c>
      <c r="D255" s="297">
        <f t="shared" si="4"/>
        <v>1322.240168</v>
      </c>
      <c r="E255" s="297">
        <f t="shared" si="5"/>
        <v>289651.8854</v>
      </c>
    </row>
    <row r="256">
      <c r="A256" s="298">
        <f t="shared" si="2"/>
        <v>2033</v>
      </c>
      <c r="B256" s="298">
        <f t="shared" si="3"/>
        <v>3</v>
      </c>
      <c r="C256" s="297">
        <f t="shared" si="1"/>
        <v>3447.282211</v>
      </c>
      <c r="D256" s="297">
        <f t="shared" si="4"/>
        <v>1312.610154</v>
      </c>
      <c r="E256" s="297">
        <f t="shared" si="5"/>
        <v>287517.2133</v>
      </c>
    </row>
    <row r="257">
      <c r="A257" s="298">
        <f t="shared" si="2"/>
        <v>2033</v>
      </c>
      <c r="B257" s="298">
        <f t="shared" si="3"/>
        <v>4</v>
      </c>
      <c r="C257" s="297">
        <f t="shared" si="1"/>
        <v>3447.282211</v>
      </c>
      <c r="D257" s="297">
        <f t="shared" si="4"/>
        <v>1302.936499</v>
      </c>
      <c r="E257" s="297">
        <f t="shared" si="5"/>
        <v>285372.8676</v>
      </c>
    </row>
    <row r="258">
      <c r="A258" s="298">
        <f t="shared" si="2"/>
        <v>2033</v>
      </c>
      <c r="B258" s="298">
        <f t="shared" si="3"/>
        <v>5</v>
      </c>
      <c r="C258" s="297">
        <f t="shared" si="1"/>
        <v>3447.282211</v>
      </c>
      <c r="D258" s="297">
        <f t="shared" si="4"/>
        <v>1293.219007</v>
      </c>
      <c r="E258" s="297">
        <f t="shared" si="5"/>
        <v>283218.8044</v>
      </c>
    </row>
    <row r="259">
      <c r="A259" s="298">
        <f t="shared" si="2"/>
        <v>2033</v>
      </c>
      <c r="B259" s="298">
        <f t="shared" si="3"/>
        <v>6</v>
      </c>
      <c r="C259" s="297">
        <f t="shared" si="1"/>
        <v>3447.282211</v>
      </c>
      <c r="D259" s="297">
        <f t="shared" si="4"/>
        <v>1283.457478</v>
      </c>
      <c r="E259" s="297">
        <f t="shared" si="5"/>
        <v>281054.9797</v>
      </c>
    </row>
    <row r="260">
      <c r="A260" s="298">
        <f t="shared" si="2"/>
        <v>2033</v>
      </c>
      <c r="B260" s="298">
        <f t="shared" si="3"/>
        <v>7</v>
      </c>
      <c r="C260" s="297">
        <f t="shared" si="1"/>
        <v>3447.282211</v>
      </c>
      <c r="D260" s="297">
        <f t="shared" si="4"/>
        <v>1273.651713</v>
      </c>
      <c r="E260" s="297">
        <f t="shared" si="5"/>
        <v>278881.3492</v>
      </c>
    </row>
    <row r="261">
      <c r="A261" s="298">
        <f t="shared" si="2"/>
        <v>2033</v>
      </c>
      <c r="B261" s="298">
        <f t="shared" si="3"/>
        <v>8</v>
      </c>
      <c r="C261" s="297">
        <f t="shared" si="1"/>
        <v>3447.282211</v>
      </c>
      <c r="D261" s="297">
        <f t="shared" si="4"/>
        <v>1263.801512</v>
      </c>
      <c r="E261" s="297">
        <f t="shared" si="5"/>
        <v>276697.8685</v>
      </c>
    </row>
    <row r="262">
      <c r="A262" s="298">
        <f t="shared" si="2"/>
        <v>2033</v>
      </c>
      <c r="B262" s="298">
        <f t="shared" si="3"/>
        <v>9</v>
      </c>
      <c r="C262" s="297">
        <f t="shared" si="1"/>
        <v>3447.282211</v>
      </c>
      <c r="D262" s="297">
        <f t="shared" si="4"/>
        <v>1253.906672</v>
      </c>
      <c r="E262" s="297">
        <f t="shared" si="5"/>
        <v>274504.4929</v>
      </c>
    </row>
    <row r="263">
      <c r="A263" s="298">
        <f t="shared" si="2"/>
        <v>2033</v>
      </c>
      <c r="B263" s="298">
        <f t="shared" si="3"/>
        <v>10</v>
      </c>
      <c r="C263" s="297">
        <f t="shared" si="1"/>
        <v>3447.282211</v>
      </c>
      <c r="D263" s="297">
        <f t="shared" si="4"/>
        <v>1243.966992</v>
      </c>
      <c r="E263" s="297">
        <f t="shared" si="5"/>
        <v>272301.1777</v>
      </c>
    </row>
    <row r="264">
      <c r="A264" s="298">
        <f t="shared" si="2"/>
        <v>2033</v>
      </c>
      <c r="B264" s="298">
        <f t="shared" si="3"/>
        <v>11</v>
      </c>
      <c r="C264" s="297">
        <f t="shared" si="1"/>
        <v>3447.282211</v>
      </c>
      <c r="D264" s="297">
        <f t="shared" si="4"/>
        <v>1233.982269</v>
      </c>
      <c r="E264" s="297">
        <f t="shared" si="5"/>
        <v>270087.8778</v>
      </c>
    </row>
    <row r="265">
      <c r="A265" s="298">
        <f t="shared" si="2"/>
        <v>2033</v>
      </c>
      <c r="B265" s="298">
        <f t="shared" si="3"/>
        <v>12</v>
      </c>
      <c r="C265" s="297">
        <f t="shared" si="1"/>
        <v>3447.282211</v>
      </c>
      <c r="D265" s="297">
        <f t="shared" si="4"/>
        <v>1223.952298</v>
      </c>
      <c r="E265" s="297">
        <f t="shared" si="5"/>
        <v>267864.5478</v>
      </c>
    </row>
    <row r="266">
      <c r="A266" s="298">
        <f t="shared" si="2"/>
        <v>2034</v>
      </c>
      <c r="B266" s="298">
        <f t="shared" si="3"/>
        <v>1</v>
      </c>
      <c r="C266" s="297">
        <f t="shared" si="1"/>
        <v>3447.282211</v>
      </c>
      <c r="D266" s="297">
        <f t="shared" si="4"/>
        <v>1213.876874</v>
      </c>
      <c r="E266" s="297">
        <f t="shared" si="5"/>
        <v>265631.1425</v>
      </c>
    </row>
    <row r="267">
      <c r="A267" s="298">
        <f t="shared" si="2"/>
        <v>2034</v>
      </c>
      <c r="B267" s="298">
        <f t="shared" si="3"/>
        <v>2</v>
      </c>
      <c r="C267" s="297">
        <f t="shared" si="1"/>
        <v>3447.282211</v>
      </c>
      <c r="D267" s="297">
        <f t="shared" si="4"/>
        <v>1203.755792</v>
      </c>
      <c r="E267" s="297">
        <f t="shared" si="5"/>
        <v>263387.6161</v>
      </c>
    </row>
    <row r="268">
      <c r="A268" s="298">
        <f t="shared" si="2"/>
        <v>2034</v>
      </c>
      <c r="B268" s="298">
        <f t="shared" si="3"/>
        <v>3</v>
      </c>
      <c r="C268" s="297">
        <f t="shared" si="1"/>
        <v>3447.282211</v>
      </c>
      <c r="D268" s="297">
        <f t="shared" si="4"/>
        <v>1193.588845</v>
      </c>
      <c r="E268" s="297">
        <f t="shared" si="5"/>
        <v>261133.9227</v>
      </c>
    </row>
    <row r="269">
      <c r="A269" s="298">
        <f t="shared" si="2"/>
        <v>2034</v>
      </c>
      <c r="B269" s="298">
        <f t="shared" si="3"/>
        <v>4</v>
      </c>
      <c r="C269" s="297">
        <f t="shared" si="1"/>
        <v>3447.282211</v>
      </c>
      <c r="D269" s="297">
        <f t="shared" si="4"/>
        <v>1183.375824</v>
      </c>
      <c r="E269" s="297">
        <f t="shared" si="5"/>
        <v>258870.0163</v>
      </c>
    </row>
    <row r="270">
      <c r="A270" s="298">
        <f t="shared" si="2"/>
        <v>2034</v>
      </c>
      <c r="B270" s="298">
        <f t="shared" si="3"/>
        <v>5</v>
      </c>
      <c r="C270" s="297">
        <f t="shared" si="1"/>
        <v>3447.282211</v>
      </c>
      <c r="D270" s="297">
        <f t="shared" si="4"/>
        <v>1173.11652</v>
      </c>
      <c r="E270" s="297">
        <f t="shared" si="5"/>
        <v>256595.8506</v>
      </c>
    </row>
    <row r="271">
      <c r="A271" s="298">
        <f t="shared" si="2"/>
        <v>2034</v>
      </c>
      <c r="B271" s="298">
        <f t="shared" si="3"/>
        <v>6</v>
      </c>
      <c r="C271" s="297">
        <f t="shared" si="1"/>
        <v>3447.282211</v>
      </c>
      <c r="D271" s="297">
        <f t="shared" si="4"/>
        <v>1162.810725</v>
      </c>
      <c r="E271" s="297">
        <f t="shared" si="5"/>
        <v>254311.3792</v>
      </c>
    </row>
    <row r="272">
      <c r="A272" s="298">
        <f t="shared" si="2"/>
        <v>2034</v>
      </c>
      <c r="B272" s="298">
        <f t="shared" si="3"/>
        <v>7</v>
      </c>
      <c r="C272" s="297">
        <f t="shared" si="1"/>
        <v>3447.282211</v>
      </c>
      <c r="D272" s="297">
        <f t="shared" si="4"/>
        <v>1152.458228</v>
      </c>
      <c r="E272" s="297">
        <f t="shared" si="5"/>
        <v>252016.5552</v>
      </c>
    </row>
    <row r="273">
      <c r="A273" s="298">
        <f t="shared" si="2"/>
        <v>2034</v>
      </c>
      <c r="B273" s="298">
        <f t="shared" si="3"/>
        <v>8</v>
      </c>
      <c r="C273" s="297">
        <f t="shared" si="1"/>
        <v>3447.282211</v>
      </c>
      <c r="D273" s="297">
        <f t="shared" si="4"/>
        <v>1142.058816</v>
      </c>
      <c r="E273" s="297">
        <f t="shared" si="5"/>
        <v>249711.3318</v>
      </c>
    </row>
    <row r="274">
      <c r="A274" s="298">
        <f t="shared" si="2"/>
        <v>2034</v>
      </c>
      <c r="B274" s="298">
        <f t="shared" si="3"/>
        <v>9</v>
      </c>
      <c r="C274" s="297">
        <f t="shared" si="1"/>
        <v>3447.282211</v>
      </c>
      <c r="D274" s="297">
        <f t="shared" si="4"/>
        <v>1131.612277</v>
      </c>
      <c r="E274" s="297">
        <f t="shared" si="5"/>
        <v>247395.6618</v>
      </c>
    </row>
    <row r="275">
      <c r="A275" s="298">
        <f t="shared" si="2"/>
        <v>2034</v>
      </c>
      <c r="B275" s="298">
        <f t="shared" si="3"/>
        <v>10</v>
      </c>
      <c r="C275" s="297">
        <f t="shared" si="1"/>
        <v>3447.282211</v>
      </c>
      <c r="D275" s="297">
        <f t="shared" si="4"/>
        <v>1121.118398</v>
      </c>
      <c r="E275" s="297">
        <f t="shared" si="5"/>
        <v>245069.498</v>
      </c>
    </row>
    <row r="276">
      <c r="A276" s="298">
        <f t="shared" si="2"/>
        <v>2034</v>
      </c>
      <c r="B276" s="298">
        <f t="shared" si="3"/>
        <v>11</v>
      </c>
      <c r="C276" s="297">
        <f t="shared" si="1"/>
        <v>3447.282211</v>
      </c>
      <c r="D276" s="297">
        <f t="shared" si="4"/>
        <v>1110.576964</v>
      </c>
      <c r="E276" s="297">
        <f t="shared" si="5"/>
        <v>242732.7928</v>
      </c>
    </row>
    <row r="277">
      <c r="A277" s="298">
        <f t="shared" si="2"/>
        <v>2034</v>
      </c>
      <c r="B277" s="298">
        <f t="shared" si="3"/>
        <v>12</v>
      </c>
      <c r="C277" s="297">
        <f t="shared" si="1"/>
        <v>3447.282211</v>
      </c>
      <c r="D277" s="297">
        <f t="shared" si="4"/>
        <v>1099.987759</v>
      </c>
      <c r="E277" s="297">
        <f t="shared" si="5"/>
        <v>240385.4983</v>
      </c>
    </row>
    <row r="278">
      <c r="A278" s="298">
        <f t="shared" si="2"/>
        <v>2035</v>
      </c>
      <c r="B278" s="298">
        <f t="shared" si="3"/>
        <v>1</v>
      </c>
      <c r="C278" s="297">
        <f t="shared" si="1"/>
        <v>3447.282211</v>
      </c>
      <c r="D278" s="297">
        <f t="shared" si="4"/>
        <v>1089.350568</v>
      </c>
      <c r="E278" s="297">
        <f t="shared" si="5"/>
        <v>238027.5667</v>
      </c>
    </row>
    <row r="279">
      <c r="A279" s="298">
        <f t="shared" si="2"/>
        <v>2035</v>
      </c>
      <c r="B279" s="298">
        <f t="shared" si="3"/>
        <v>2</v>
      </c>
      <c r="C279" s="297">
        <f t="shared" si="1"/>
        <v>3447.282211</v>
      </c>
      <c r="D279" s="297">
        <f t="shared" si="4"/>
        <v>1078.665172</v>
      </c>
      <c r="E279" s="297">
        <f t="shared" si="5"/>
        <v>235658.9497</v>
      </c>
    </row>
    <row r="280">
      <c r="A280" s="298">
        <f t="shared" si="2"/>
        <v>2035</v>
      </c>
      <c r="B280" s="298">
        <f t="shared" si="3"/>
        <v>3</v>
      </c>
      <c r="C280" s="297">
        <f t="shared" si="1"/>
        <v>3447.282211</v>
      </c>
      <c r="D280" s="297">
        <f t="shared" si="4"/>
        <v>1067.931354</v>
      </c>
      <c r="E280" s="297">
        <f t="shared" si="5"/>
        <v>233279.5988</v>
      </c>
    </row>
    <row r="281">
      <c r="A281" s="298">
        <f t="shared" si="2"/>
        <v>2035</v>
      </c>
      <c r="B281" s="298">
        <f t="shared" si="3"/>
        <v>4</v>
      </c>
      <c r="C281" s="297">
        <f t="shared" si="1"/>
        <v>3447.282211</v>
      </c>
      <c r="D281" s="297">
        <f t="shared" si="4"/>
        <v>1057.148893</v>
      </c>
      <c r="E281" s="297">
        <f t="shared" si="5"/>
        <v>230889.4655</v>
      </c>
    </row>
    <row r="282">
      <c r="A282" s="298">
        <f t="shared" si="2"/>
        <v>2035</v>
      </c>
      <c r="B282" s="298">
        <f t="shared" si="3"/>
        <v>5</v>
      </c>
      <c r="C282" s="297">
        <f t="shared" si="1"/>
        <v>3447.282211</v>
      </c>
      <c r="D282" s="297">
        <f t="shared" si="4"/>
        <v>1046.31757</v>
      </c>
      <c r="E282" s="297">
        <f t="shared" si="5"/>
        <v>228488.5008</v>
      </c>
    </row>
    <row r="283">
      <c r="A283" s="298">
        <f t="shared" si="2"/>
        <v>2035</v>
      </c>
      <c r="B283" s="298">
        <f t="shared" si="3"/>
        <v>6</v>
      </c>
      <c r="C283" s="297">
        <f t="shared" si="1"/>
        <v>3447.282211</v>
      </c>
      <c r="D283" s="297">
        <f t="shared" si="4"/>
        <v>1035.437162</v>
      </c>
      <c r="E283" s="297">
        <f t="shared" si="5"/>
        <v>226076.6558</v>
      </c>
    </row>
    <row r="284">
      <c r="A284" s="298">
        <f t="shared" si="2"/>
        <v>2035</v>
      </c>
      <c r="B284" s="298">
        <f t="shared" si="3"/>
        <v>7</v>
      </c>
      <c r="C284" s="297">
        <f t="shared" si="1"/>
        <v>3447.282211</v>
      </c>
      <c r="D284" s="297">
        <f t="shared" si="4"/>
        <v>1024.507448</v>
      </c>
      <c r="E284" s="297">
        <f t="shared" si="5"/>
        <v>223653.881</v>
      </c>
    </row>
    <row r="285">
      <c r="A285" s="298">
        <f t="shared" si="2"/>
        <v>2035</v>
      </c>
      <c r="B285" s="298">
        <f t="shared" si="3"/>
        <v>8</v>
      </c>
      <c r="C285" s="297">
        <f t="shared" si="1"/>
        <v>3447.282211</v>
      </c>
      <c r="D285" s="297">
        <f t="shared" si="4"/>
        <v>1013.528204</v>
      </c>
      <c r="E285" s="297">
        <f t="shared" si="5"/>
        <v>221220.127</v>
      </c>
    </row>
    <row r="286">
      <c r="A286" s="298">
        <f t="shared" si="2"/>
        <v>2035</v>
      </c>
      <c r="B286" s="298">
        <f t="shared" si="3"/>
        <v>9</v>
      </c>
      <c r="C286" s="297">
        <f t="shared" si="1"/>
        <v>3447.282211</v>
      </c>
      <c r="D286" s="297">
        <f t="shared" si="4"/>
        <v>1002.499205</v>
      </c>
      <c r="E286" s="297">
        <f t="shared" si="5"/>
        <v>218775.344</v>
      </c>
    </row>
    <row r="287">
      <c r="A287" s="298">
        <f t="shared" si="2"/>
        <v>2035</v>
      </c>
      <c r="B287" s="298">
        <f t="shared" si="3"/>
        <v>10</v>
      </c>
      <c r="C287" s="297">
        <f t="shared" si="1"/>
        <v>3447.282211</v>
      </c>
      <c r="D287" s="297">
        <f t="shared" si="4"/>
        <v>991.4202269</v>
      </c>
      <c r="E287" s="297">
        <f t="shared" si="5"/>
        <v>216319.482</v>
      </c>
    </row>
    <row r="288">
      <c r="A288" s="298">
        <f t="shared" si="2"/>
        <v>2035</v>
      </c>
      <c r="B288" s="298">
        <f t="shared" si="3"/>
        <v>11</v>
      </c>
      <c r="C288" s="297">
        <f t="shared" si="1"/>
        <v>3447.282211</v>
      </c>
      <c r="D288" s="297">
        <f t="shared" si="4"/>
        <v>980.291042</v>
      </c>
      <c r="E288" s="297">
        <f t="shared" si="5"/>
        <v>213852.4909</v>
      </c>
    </row>
    <row r="289">
      <c r="A289" s="298">
        <f t="shared" si="2"/>
        <v>2035</v>
      </c>
      <c r="B289" s="298">
        <f t="shared" si="3"/>
        <v>12</v>
      </c>
      <c r="C289" s="297">
        <f t="shared" si="1"/>
        <v>3447.282211</v>
      </c>
      <c r="D289" s="297">
        <f t="shared" si="4"/>
        <v>969.1114232</v>
      </c>
      <c r="E289" s="297">
        <f t="shared" si="5"/>
        <v>211374.3201</v>
      </c>
    </row>
    <row r="290">
      <c r="A290" s="298">
        <f t="shared" si="2"/>
        <v>2036</v>
      </c>
      <c r="B290" s="298">
        <f t="shared" si="3"/>
        <v>1</v>
      </c>
      <c r="C290" s="297">
        <f t="shared" si="1"/>
        <v>3447.282211</v>
      </c>
      <c r="D290" s="297">
        <f t="shared" si="4"/>
        <v>957.881142</v>
      </c>
      <c r="E290" s="297">
        <f t="shared" si="5"/>
        <v>208884.919</v>
      </c>
    </row>
    <row r="291">
      <c r="A291" s="298">
        <f t="shared" si="2"/>
        <v>2036</v>
      </c>
      <c r="B291" s="298">
        <f t="shared" si="3"/>
        <v>2</v>
      </c>
      <c r="C291" s="297">
        <f t="shared" si="1"/>
        <v>3447.282211</v>
      </c>
      <c r="D291" s="297">
        <f t="shared" si="4"/>
        <v>946.5999687</v>
      </c>
      <c r="E291" s="297">
        <f t="shared" si="5"/>
        <v>206384.2368</v>
      </c>
    </row>
    <row r="292">
      <c r="A292" s="298">
        <f t="shared" si="2"/>
        <v>2036</v>
      </c>
      <c r="B292" s="298">
        <f t="shared" si="3"/>
        <v>3</v>
      </c>
      <c r="C292" s="297">
        <f t="shared" si="1"/>
        <v>3447.282211</v>
      </c>
      <c r="D292" s="297">
        <f t="shared" si="4"/>
        <v>935.2676727</v>
      </c>
      <c r="E292" s="297">
        <f t="shared" si="5"/>
        <v>203872.2222</v>
      </c>
    </row>
    <row r="293">
      <c r="A293" s="298">
        <f t="shared" si="2"/>
        <v>2036</v>
      </c>
      <c r="B293" s="298">
        <f t="shared" si="3"/>
        <v>4</v>
      </c>
      <c r="C293" s="297">
        <f t="shared" si="1"/>
        <v>3447.282211</v>
      </c>
      <c r="D293" s="297">
        <f t="shared" si="4"/>
        <v>923.8840223</v>
      </c>
      <c r="E293" s="297">
        <f t="shared" si="5"/>
        <v>201348.824</v>
      </c>
    </row>
    <row r="294">
      <c r="A294" s="298">
        <f t="shared" si="2"/>
        <v>2036</v>
      </c>
      <c r="B294" s="298">
        <f t="shared" si="3"/>
        <v>5</v>
      </c>
      <c r="C294" s="297">
        <f t="shared" si="1"/>
        <v>3447.282211</v>
      </c>
      <c r="D294" s="297">
        <f t="shared" si="4"/>
        <v>912.4487849</v>
      </c>
      <c r="E294" s="297">
        <f t="shared" si="5"/>
        <v>198813.9906</v>
      </c>
    </row>
    <row r="295">
      <c r="A295" s="298">
        <f t="shared" si="2"/>
        <v>2036</v>
      </c>
      <c r="B295" s="298">
        <f t="shared" si="3"/>
        <v>6</v>
      </c>
      <c r="C295" s="297">
        <f t="shared" si="1"/>
        <v>3447.282211</v>
      </c>
      <c r="D295" s="297">
        <f t="shared" si="4"/>
        <v>900.9617266</v>
      </c>
      <c r="E295" s="297">
        <f t="shared" si="5"/>
        <v>196267.6701</v>
      </c>
    </row>
    <row r="296">
      <c r="A296" s="298">
        <f t="shared" si="2"/>
        <v>2036</v>
      </c>
      <c r="B296" s="298">
        <f t="shared" si="3"/>
        <v>7</v>
      </c>
      <c r="C296" s="297">
        <f t="shared" si="1"/>
        <v>3447.282211</v>
      </c>
      <c r="D296" s="297">
        <f t="shared" si="4"/>
        <v>889.4226126</v>
      </c>
      <c r="E296" s="297">
        <f t="shared" si="5"/>
        <v>193709.8105</v>
      </c>
    </row>
    <row r="297">
      <c r="A297" s="298">
        <f t="shared" si="2"/>
        <v>2036</v>
      </c>
      <c r="B297" s="298">
        <f t="shared" si="3"/>
        <v>8</v>
      </c>
      <c r="C297" s="297">
        <f t="shared" si="1"/>
        <v>3447.282211</v>
      </c>
      <c r="D297" s="297">
        <f t="shared" si="4"/>
        <v>877.831207</v>
      </c>
      <c r="E297" s="297">
        <f t="shared" si="5"/>
        <v>191140.3595</v>
      </c>
    </row>
    <row r="298">
      <c r="A298" s="298">
        <f t="shared" si="2"/>
        <v>2036</v>
      </c>
      <c r="B298" s="298">
        <f t="shared" si="3"/>
        <v>9</v>
      </c>
      <c r="C298" s="297">
        <f t="shared" si="1"/>
        <v>3447.282211</v>
      </c>
      <c r="D298" s="297">
        <f t="shared" si="4"/>
        <v>866.1872729</v>
      </c>
      <c r="E298" s="297">
        <f t="shared" si="5"/>
        <v>188559.2646</v>
      </c>
    </row>
    <row r="299">
      <c r="A299" s="298">
        <f t="shared" si="2"/>
        <v>2036</v>
      </c>
      <c r="B299" s="298">
        <f t="shared" si="3"/>
        <v>10</v>
      </c>
      <c r="C299" s="297">
        <f t="shared" si="1"/>
        <v>3447.282211</v>
      </c>
      <c r="D299" s="297">
        <f t="shared" si="4"/>
        <v>854.4905721</v>
      </c>
      <c r="E299" s="297">
        <f t="shared" si="5"/>
        <v>185966.4729</v>
      </c>
    </row>
    <row r="300">
      <c r="A300" s="298">
        <f t="shared" si="2"/>
        <v>2036</v>
      </c>
      <c r="B300" s="298">
        <f t="shared" si="3"/>
        <v>11</v>
      </c>
      <c r="C300" s="297">
        <f t="shared" si="1"/>
        <v>3447.282211</v>
      </c>
      <c r="D300" s="297">
        <f t="shared" si="4"/>
        <v>842.7408656</v>
      </c>
      <c r="E300" s="297">
        <f t="shared" si="5"/>
        <v>183361.9316</v>
      </c>
    </row>
    <row r="301">
      <c r="A301" s="298">
        <f t="shared" si="2"/>
        <v>2036</v>
      </c>
      <c r="B301" s="298">
        <f t="shared" si="3"/>
        <v>12</v>
      </c>
      <c r="C301" s="297">
        <f t="shared" si="1"/>
        <v>3447.282211</v>
      </c>
      <c r="D301" s="297">
        <f t="shared" si="4"/>
        <v>830.9379132</v>
      </c>
      <c r="E301" s="297">
        <f t="shared" si="5"/>
        <v>180745.5873</v>
      </c>
    </row>
    <row r="302">
      <c r="A302" s="298">
        <f t="shared" si="2"/>
        <v>2037</v>
      </c>
      <c r="B302" s="298">
        <f t="shared" si="3"/>
        <v>1</v>
      </c>
      <c r="C302" s="297">
        <f t="shared" si="1"/>
        <v>3447.282211</v>
      </c>
      <c r="D302" s="297">
        <f t="shared" si="4"/>
        <v>819.0814736</v>
      </c>
      <c r="E302" s="297">
        <f t="shared" si="5"/>
        <v>178117.3866</v>
      </c>
    </row>
    <row r="303">
      <c r="A303" s="298">
        <f t="shared" si="2"/>
        <v>2037</v>
      </c>
      <c r="B303" s="298">
        <f t="shared" si="3"/>
        <v>2</v>
      </c>
      <c r="C303" s="297">
        <f t="shared" si="1"/>
        <v>3447.282211</v>
      </c>
      <c r="D303" s="297">
        <f t="shared" si="4"/>
        <v>807.1713044</v>
      </c>
      <c r="E303" s="297">
        <f t="shared" si="5"/>
        <v>175477.2757</v>
      </c>
    </row>
    <row r="304">
      <c r="A304" s="298">
        <f t="shared" si="2"/>
        <v>2037</v>
      </c>
      <c r="B304" s="298">
        <f t="shared" si="3"/>
        <v>3</v>
      </c>
      <c r="C304" s="297">
        <f t="shared" si="1"/>
        <v>3447.282211</v>
      </c>
      <c r="D304" s="297">
        <f t="shared" si="4"/>
        <v>795.2071621</v>
      </c>
      <c r="E304" s="297">
        <f t="shared" si="5"/>
        <v>172825.2006</v>
      </c>
    </row>
    <row r="305">
      <c r="A305" s="298">
        <f t="shared" si="2"/>
        <v>2037</v>
      </c>
      <c r="B305" s="298">
        <f t="shared" si="3"/>
        <v>4</v>
      </c>
      <c r="C305" s="297">
        <f t="shared" si="1"/>
        <v>3447.282211</v>
      </c>
      <c r="D305" s="297">
        <f t="shared" si="4"/>
        <v>783.188802</v>
      </c>
      <c r="E305" s="297">
        <f t="shared" si="5"/>
        <v>170161.1072</v>
      </c>
    </row>
    <row r="306">
      <c r="A306" s="298">
        <f t="shared" si="2"/>
        <v>2037</v>
      </c>
      <c r="B306" s="298">
        <f t="shared" si="3"/>
        <v>5</v>
      </c>
      <c r="C306" s="297">
        <f t="shared" si="1"/>
        <v>3447.282211</v>
      </c>
      <c r="D306" s="297">
        <f t="shared" si="4"/>
        <v>771.1159786</v>
      </c>
      <c r="E306" s="297">
        <f t="shared" si="5"/>
        <v>167484.941</v>
      </c>
    </row>
    <row r="307">
      <c r="A307" s="298">
        <f t="shared" si="2"/>
        <v>2037</v>
      </c>
      <c r="B307" s="298">
        <f t="shared" si="3"/>
        <v>6</v>
      </c>
      <c r="C307" s="297">
        <f t="shared" si="1"/>
        <v>3447.282211</v>
      </c>
      <c r="D307" s="297">
        <f t="shared" si="4"/>
        <v>758.9884451</v>
      </c>
      <c r="E307" s="297">
        <f t="shared" si="5"/>
        <v>164796.6472</v>
      </c>
    </row>
    <row r="308">
      <c r="A308" s="298">
        <f t="shared" si="2"/>
        <v>2037</v>
      </c>
      <c r="B308" s="298">
        <f t="shared" si="3"/>
        <v>7</v>
      </c>
      <c r="C308" s="297">
        <f t="shared" si="1"/>
        <v>3447.282211</v>
      </c>
      <c r="D308" s="297">
        <f t="shared" si="4"/>
        <v>746.8059533</v>
      </c>
      <c r="E308" s="297">
        <f t="shared" si="5"/>
        <v>162096.1709</v>
      </c>
    </row>
    <row r="309">
      <c r="A309" s="298">
        <f t="shared" si="2"/>
        <v>2037</v>
      </c>
      <c r="B309" s="298">
        <f t="shared" si="3"/>
        <v>8</v>
      </c>
      <c r="C309" s="297">
        <f t="shared" si="1"/>
        <v>3447.282211</v>
      </c>
      <c r="D309" s="297">
        <f t="shared" si="4"/>
        <v>734.5682545</v>
      </c>
      <c r="E309" s="297">
        <f t="shared" si="5"/>
        <v>159383.457</v>
      </c>
    </row>
    <row r="310">
      <c r="A310" s="298">
        <f t="shared" si="2"/>
        <v>2037</v>
      </c>
      <c r="B310" s="298">
        <f t="shared" si="3"/>
        <v>9</v>
      </c>
      <c r="C310" s="297">
        <f t="shared" si="1"/>
        <v>3447.282211</v>
      </c>
      <c r="D310" s="297">
        <f t="shared" si="4"/>
        <v>722.2750982</v>
      </c>
      <c r="E310" s="297">
        <f t="shared" si="5"/>
        <v>156658.4499</v>
      </c>
    </row>
    <row r="311">
      <c r="A311" s="298">
        <f t="shared" si="2"/>
        <v>2037</v>
      </c>
      <c r="B311" s="298">
        <f t="shared" si="3"/>
        <v>10</v>
      </c>
      <c r="C311" s="297">
        <f t="shared" si="1"/>
        <v>3447.282211</v>
      </c>
      <c r="D311" s="297">
        <f t="shared" si="4"/>
        <v>709.9262333</v>
      </c>
      <c r="E311" s="297">
        <f t="shared" si="5"/>
        <v>153921.0939</v>
      </c>
    </row>
    <row r="312">
      <c r="A312" s="298">
        <f t="shared" si="2"/>
        <v>2037</v>
      </c>
      <c r="B312" s="298">
        <f t="shared" si="3"/>
        <v>11</v>
      </c>
      <c r="C312" s="297">
        <f t="shared" si="1"/>
        <v>3447.282211</v>
      </c>
      <c r="D312" s="297">
        <f t="shared" si="4"/>
        <v>697.5214073</v>
      </c>
      <c r="E312" s="297">
        <f t="shared" si="5"/>
        <v>151171.3331</v>
      </c>
    </row>
    <row r="313">
      <c r="A313" s="298">
        <f t="shared" si="2"/>
        <v>2037</v>
      </c>
      <c r="B313" s="298">
        <f t="shared" si="3"/>
        <v>12</v>
      </c>
      <c r="C313" s="297">
        <f t="shared" si="1"/>
        <v>3447.282211</v>
      </c>
      <c r="D313" s="297">
        <f t="shared" si="4"/>
        <v>685.0603665</v>
      </c>
      <c r="E313" s="297">
        <f t="shared" si="5"/>
        <v>148409.1112</v>
      </c>
    </row>
    <row r="314">
      <c r="A314" s="298">
        <f t="shared" si="2"/>
        <v>2038</v>
      </c>
      <c r="B314" s="298">
        <f t="shared" si="3"/>
        <v>1</v>
      </c>
      <c r="C314" s="297">
        <f t="shared" si="1"/>
        <v>3447.282211</v>
      </c>
      <c r="D314" s="297">
        <f t="shared" si="4"/>
        <v>672.5428563</v>
      </c>
      <c r="E314" s="297">
        <f t="shared" si="5"/>
        <v>145634.3719</v>
      </c>
    </row>
    <row r="315">
      <c r="A315" s="298">
        <f t="shared" si="2"/>
        <v>2038</v>
      </c>
      <c r="B315" s="298">
        <f t="shared" si="3"/>
        <v>2</v>
      </c>
      <c r="C315" s="297">
        <f t="shared" si="1"/>
        <v>3447.282211</v>
      </c>
      <c r="D315" s="297">
        <f t="shared" si="4"/>
        <v>659.9686207</v>
      </c>
      <c r="E315" s="297">
        <f t="shared" si="5"/>
        <v>142847.0583</v>
      </c>
    </row>
    <row r="316">
      <c r="A316" s="298">
        <f t="shared" si="2"/>
        <v>2038</v>
      </c>
      <c r="B316" s="298">
        <f t="shared" si="3"/>
        <v>3</v>
      </c>
      <c r="C316" s="297">
        <f t="shared" si="1"/>
        <v>3447.282211</v>
      </c>
      <c r="D316" s="297">
        <f t="shared" si="4"/>
        <v>647.3374026</v>
      </c>
      <c r="E316" s="297">
        <f t="shared" si="5"/>
        <v>140047.1135</v>
      </c>
    </row>
    <row r="317">
      <c r="A317" s="298">
        <f t="shared" si="2"/>
        <v>2038</v>
      </c>
      <c r="B317" s="298">
        <f t="shared" si="3"/>
        <v>4</v>
      </c>
      <c r="C317" s="297">
        <f t="shared" si="1"/>
        <v>3447.282211</v>
      </c>
      <c r="D317" s="297">
        <f t="shared" si="4"/>
        <v>634.6489439</v>
      </c>
      <c r="E317" s="297">
        <f t="shared" si="5"/>
        <v>137234.4802</v>
      </c>
    </row>
    <row r="318">
      <c r="A318" s="298">
        <f t="shared" si="2"/>
        <v>2038</v>
      </c>
      <c r="B318" s="298">
        <f t="shared" si="3"/>
        <v>5</v>
      </c>
      <c r="C318" s="297">
        <f t="shared" si="1"/>
        <v>3447.282211</v>
      </c>
      <c r="D318" s="297">
        <f t="shared" si="4"/>
        <v>621.9029852</v>
      </c>
      <c r="E318" s="297">
        <f t="shared" si="5"/>
        <v>134409.101</v>
      </c>
    </row>
    <row r="319">
      <c r="A319" s="298">
        <f t="shared" si="2"/>
        <v>2038</v>
      </c>
      <c r="B319" s="298">
        <f t="shared" si="3"/>
        <v>6</v>
      </c>
      <c r="C319" s="297">
        <f t="shared" si="1"/>
        <v>3447.282211</v>
      </c>
      <c r="D319" s="297">
        <f t="shared" si="4"/>
        <v>609.0992658</v>
      </c>
      <c r="E319" s="297">
        <f t="shared" si="5"/>
        <v>131570.9181</v>
      </c>
    </row>
    <row r="320">
      <c r="A320" s="298">
        <f t="shared" si="2"/>
        <v>2038</v>
      </c>
      <c r="B320" s="298">
        <f t="shared" si="3"/>
        <v>7</v>
      </c>
      <c r="C320" s="297">
        <f t="shared" si="1"/>
        <v>3447.282211</v>
      </c>
      <c r="D320" s="297">
        <f t="shared" si="4"/>
        <v>596.237524</v>
      </c>
      <c r="E320" s="297">
        <f t="shared" si="5"/>
        <v>128719.8734</v>
      </c>
    </row>
    <row r="321">
      <c r="A321" s="298">
        <f t="shared" si="2"/>
        <v>2038</v>
      </c>
      <c r="B321" s="298">
        <f t="shared" si="3"/>
        <v>8</v>
      </c>
      <c r="C321" s="297">
        <f t="shared" si="1"/>
        <v>3447.282211</v>
      </c>
      <c r="D321" s="297">
        <f t="shared" si="4"/>
        <v>583.3174969</v>
      </c>
      <c r="E321" s="297">
        <f t="shared" si="5"/>
        <v>125855.9087</v>
      </c>
    </row>
    <row r="322">
      <c r="A322" s="298">
        <f t="shared" si="2"/>
        <v>2038</v>
      </c>
      <c r="B322" s="298">
        <f t="shared" si="3"/>
        <v>9</v>
      </c>
      <c r="C322" s="297">
        <f t="shared" si="1"/>
        <v>3447.282211</v>
      </c>
      <c r="D322" s="297">
        <f t="shared" si="4"/>
        <v>570.3389204</v>
      </c>
      <c r="E322" s="297">
        <f t="shared" si="5"/>
        <v>122978.9654</v>
      </c>
    </row>
    <row r="323">
      <c r="A323" s="298">
        <f t="shared" si="2"/>
        <v>2038</v>
      </c>
      <c r="B323" s="298">
        <f t="shared" si="3"/>
        <v>10</v>
      </c>
      <c r="C323" s="297">
        <f t="shared" si="1"/>
        <v>3447.282211</v>
      </c>
      <c r="D323" s="297">
        <f t="shared" si="4"/>
        <v>557.3015291</v>
      </c>
      <c r="E323" s="297">
        <f t="shared" si="5"/>
        <v>120088.9847</v>
      </c>
    </row>
    <row r="324">
      <c r="A324" s="298">
        <f t="shared" si="2"/>
        <v>2038</v>
      </c>
      <c r="B324" s="298">
        <f t="shared" si="3"/>
        <v>11</v>
      </c>
      <c r="C324" s="297">
        <f t="shared" si="1"/>
        <v>3447.282211</v>
      </c>
      <c r="D324" s="297">
        <f t="shared" si="4"/>
        <v>544.2050565</v>
      </c>
      <c r="E324" s="297">
        <f t="shared" si="5"/>
        <v>117185.9075</v>
      </c>
    </row>
    <row r="325">
      <c r="A325" s="298">
        <f t="shared" si="2"/>
        <v>2038</v>
      </c>
      <c r="B325" s="298">
        <f t="shared" si="3"/>
        <v>12</v>
      </c>
      <c r="C325" s="297">
        <f t="shared" si="1"/>
        <v>3447.282211</v>
      </c>
      <c r="D325" s="297">
        <f t="shared" si="4"/>
        <v>531.0492348</v>
      </c>
      <c r="E325" s="297">
        <f t="shared" si="5"/>
        <v>114269.6746</v>
      </c>
    </row>
    <row r="326">
      <c r="A326" s="298">
        <f t="shared" si="2"/>
        <v>2039</v>
      </c>
      <c r="B326" s="298">
        <f t="shared" si="3"/>
        <v>1</v>
      </c>
      <c r="C326" s="297">
        <f t="shared" si="1"/>
        <v>3447.282211</v>
      </c>
      <c r="D326" s="297">
        <f t="shared" si="4"/>
        <v>517.8337951</v>
      </c>
      <c r="E326" s="297">
        <f t="shared" si="5"/>
        <v>111340.2261</v>
      </c>
    </row>
    <row r="327">
      <c r="A327" s="298">
        <f t="shared" si="2"/>
        <v>2039</v>
      </c>
      <c r="B327" s="298">
        <f t="shared" si="3"/>
        <v>2</v>
      </c>
      <c r="C327" s="297">
        <f t="shared" si="1"/>
        <v>3447.282211</v>
      </c>
      <c r="D327" s="297">
        <f t="shared" si="4"/>
        <v>504.5584673</v>
      </c>
      <c r="E327" s="297">
        <f t="shared" si="5"/>
        <v>108397.5024</v>
      </c>
    </row>
    <row r="328">
      <c r="A328" s="298">
        <f t="shared" si="2"/>
        <v>2039</v>
      </c>
      <c r="B328" s="298">
        <f t="shared" si="3"/>
        <v>3</v>
      </c>
      <c r="C328" s="297">
        <f t="shared" si="1"/>
        <v>3447.282211</v>
      </c>
      <c r="D328" s="297">
        <f t="shared" si="4"/>
        <v>491.2229799</v>
      </c>
      <c r="E328" s="297">
        <f t="shared" si="5"/>
        <v>105441.4432</v>
      </c>
    </row>
    <row r="329">
      <c r="A329" s="298">
        <f t="shared" si="2"/>
        <v>2039</v>
      </c>
      <c r="B329" s="298">
        <f t="shared" si="3"/>
        <v>4</v>
      </c>
      <c r="C329" s="297">
        <f t="shared" si="1"/>
        <v>3447.282211</v>
      </c>
      <c r="D329" s="297">
        <f t="shared" si="4"/>
        <v>477.8270603</v>
      </c>
      <c r="E329" s="297">
        <f t="shared" si="5"/>
        <v>102471.988</v>
      </c>
    </row>
    <row r="330">
      <c r="A330" s="298">
        <f t="shared" si="2"/>
        <v>2039</v>
      </c>
      <c r="B330" s="298">
        <f t="shared" si="3"/>
        <v>5</v>
      </c>
      <c r="C330" s="297">
        <f t="shared" si="1"/>
        <v>3447.282211</v>
      </c>
      <c r="D330" s="297">
        <f t="shared" si="4"/>
        <v>464.3704347</v>
      </c>
      <c r="E330" s="297">
        <f t="shared" si="5"/>
        <v>99489.07623</v>
      </c>
    </row>
    <row r="331">
      <c r="A331" s="298">
        <f t="shared" si="2"/>
        <v>2039</v>
      </c>
      <c r="B331" s="298">
        <f t="shared" si="3"/>
        <v>6</v>
      </c>
      <c r="C331" s="297">
        <f t="shared" si="1"/>
        <v>3447.282211</v>
      </c>
      <c r="D331" s="297">
        <f t="shared" si="4"/>
        <v>450.8528279</v>
      </c>
      <c r="E331" s="297">
        <f t="shared" si="5"/>
        <v>96492.64685</v>
      </c>
    </row>
    <row r="332">
      <c r="A332" s="298">
        <f t="shared" si="2"/>
        <v>2039</v>
      </c>
      <c r="B332" s="298">
        <f t="shared" si="3"/>
        <v>7</v>
      </c>
      <c r="C332" s="297">
        <f t="shared" si="1"/>
        <v>3447.282211</v>
      </c>
      <c r="D332" s="297">
        <f t="shared" si="4"/>
        <v>437.2739637</v>
      </c>
      <c r="E332" s="297">
        <f t="shared" si="5"/>
        <v>93482.6386</v>
      </c>
    </row>
    <row r="333">
      <c r="A333" s="298">
        <f t="shared" si="2"/>
        <v>2039</v>
      </c>
      <c r="B333" s="298">
        <f t="shared" si="3"/>
        <v>8</v>
      </c>
      <c r="C333" s="297">
        <f t="shared" si="1"/>
        <v>3447.282211</v>
      </c>
      <c r="D333" s="297">
        <f t="shared" si="4"/>
        <v>423.6335643</v>
      </c>
      <c r="E333" s="297">
        <f t="shared" si="5"/>
        <v>90458.98996</v>
      </c>
    </row>
    <row r="334">
      <c r="A334" s="298">
        <f t="shared" si="2"/>
        <v>2039</v>
      </c>
      <c r="B334" s="298">
        <f t="shared" si="3"/>
        <v>9</v>
      </c>
      <c r="C334" s="297">
        <f t="shared" si="1"/>
        <v>3447.282211</v>
      </c>
      <c r="D334" s="297">
        <f t="shared" si="4"/>
        <v>409.931351</v>
      </c>
      <c r="E334" s="297">
        <f t="shared" si="5"/>
        <v>87421.6391</v>
      </c>
    </row>
    <row r="335">
      <c r="A335" s="298">
        <f t="shared" si="2"/>
        <v>2039</v>
      </c>
      <c r="B335" s="298">
        <f t="shared" si="3"/>
        <v>10</v>
      </c>
      <c r="C335" s="297">
        <f t="shared" si="1"/>
        <v>3447.282211</v>
      </c>
      <c r="D335" s="297">
        <f t="shared" si="4"/>
        <v>396.1670437</v>
      </c>
      <c r="E335" s="297">
        <f t="shared" si="5"/>
        <v>84370.52393</v>
      </c>
    </row>
    <row r="336">
      <c r="A336" s="298">
        <f t="shared" si="2"/>
        <v>2039</v>
      </c>
      <c r="B336" s="298">
        <f t="shared" si="3"/>
        <v>11</v>
      </c>
      <c r="C336" s="297">
        <f t="shared" si="1"/>
        <v>3447.282211</v>
      </c>
      <c r="D336" s="297">
        <f t="shared" si="4"/>
        <v>382.3403609</v>
      </c>
      <c r="E336" s="297">
        <f t="shared" si="5"/>
        <v>81305.58208</v>
      </c>
    </row>
    <row r="337">
      <c r="A337" s="298">
        <f t="shared" si="2"/>
        <v>2039</v>
      </c>
      <c r="B337" s="298">
        <f t="shared" si="3"/>
        <v>12</v>
      </c>
      <c r="C337" s="297">
        <f t="shared" si="1"/>
        <v>3447.282211</v>
      </c>
      <c r="D337" s="297">
        <f t="shared" si="4"/>
        <v>368.4510199</v>
      </c>
      <c r="E337" s="297">
        <f t="shared" si="5"/>
        <v>78226.75089</v>
      </c>
    </row>
    <row r="338">
      <c r="A338" s="298">
        <f t="shared" si="2"/>
        <v>2040</v>
      </c>
      <c r="B338" s="298">
        <f t="shared" si="3"/>
        <v>1</v>
      </c>
      <c r="C338" s="297">
        <f t="shared" si="1"/>
        <v>3447.282211</v>
      </c>
      <c r="D338" s="297">
        <f t="shared" si="4"/>
        <v>354.4987369</v>
      </c>
      <c r="E338" s="297">
        <f t="shared" si="5"/>
        <v>75133.96742</v>
      </c>
    </row>
    <row r="339">
      <c r="A339" s="298">
        <f t="shared" si="2"/>
        <v>2040</v>
      </c>
      <c r="B339" s="298">
        <f t="shared" si="3"/>
        <v>2</v>
      </c>
      <c r="C339" s="297">
        <f t="shared" si="1"/>
        <v>3447.282211</v>
      </c>
      <c r="D339" s="297">
        <f t="shared" si="4"/>
        <v>340.4832266</v>
      </c>
      <c r="E339" s="297">
        <f t="shared" si="5"/>
        <v>72027.16843</v>
      </c>
    </row>
    <row r="340">
      <c r="A340" s="298">
        <f t="shared" si="2"/>
        <v>2040</v>
      </c>
      <c r="B340" s="298">
        <f t="shared" si="3"/>
        <v>3</v>
      </c>
      <c r="C340" s="297">
        <f t="shared" si="1"/>
        <v>3447.282211</v>
      </c>
      <c r="D340" s="297">
        <f t="shared" si="4"/>
        <v>326.4042024</v>
      </c>
      <c r="E340" s="297">
        <f t="shared" si="5"/>
        <v>68906.29042</v>
      </c>
    </row>
    <row r="341">
      <c r="A341" s="298">
        <f t="shared" si="2"/>
        <v>2040</v>
      </c>
      <c r="B341" s="298">
        <f t="shared" si="3"/>
        <v>4</v>
      </c>
      <c r="C341" s="297">
        <f t="shared" si="1"/>
        <v>3447.282211</v>
      </c>
      <c r="D341" s="297">
        <f t="shared" si="4"/>
        <v>312.2613766</v>
      </c>
      <c r="E341" s="297">
        <f t="shared" si="5"/>
        <v>65771.26959</v>
      </c>
    </row>
    <row r="342">
      <c r="A342" s="298">
        <f t="shared" si="2"/>
        <v>2040</v>
      </c>
      <c r="B342" s="298">
        <f t="shared" si="3"/>
        <v>5</v>
      </c>
      <c r="C342" s="297">
        <f t="shared" si="1"/>
        <v>3447.282211</v>
      </c>
      <c r="D342" s="297">
        <f t="shared" si="4"/>
        <v>298.05446</v>
      </c>
      <c r="E342" s="297">
        <f t="shared" si="5"/>
        <v>62622.04184</v>
      </c>
    </row>
    <row r="343">
      <c r="A343" s="298">
        <f t="shared" si="2"/>
        <v>2040</v>
      </c>
      <c r="B343" s="298">
        <f t="shared" si="3"/>
        <v>6</v>
      </c>
      <c r="C343" s="297">
        <f t="shared" si="1"/>
        <v>3447.282211</v>
      </c>
      <c r="D343" s="297">
        <f t="shared" si="4"/>
        <v>283.7831622</v>
      </c>
      <c r="E343" s="297">
        <f t="shared" si="5"/>
        <v>59458.54279</v>
      </c>
    </row>
    <row r="344">
      <c r="A344" s="298">
        <f t="shared" si="2"/>
        <v>2040</v>
      </c>
      <c r="B344" s="298">
        <f t="shared" si="3"/>
        <v>7</v>
      </c>
      <c r="C344" s="297">
        <f t="shared" si="1"/>
        <v>3447.282211</v>
      </c>
      <c r="D344" s="297">
        <f t="shared" si="4"/>
        <v>269.4471914</v>
      </c>
      <c r="E344" s="297">
        <f t="shared" si="5"/>
        <v>56280.70777</v>
      </c>
    </row>
    <row r="345">
      <c r="A345" s="298">
        <f t="shared" si="2"/>
        <v>2040</v>
      </c>
      <c r="B345" s="298">
        <f t="shared" si="3"/>
        <v>8</v>
      </c>
      <c r="C345" s="297">
        <f t="shared" si="1"/>
        <v>3447.282211</v>
      </c>
      <c r="D345" s="297">
        <f t="shared" si="4"/>
        <v>255.0462545</v>
      </c>
      <c r="E345" s="297">
        <f t="shared" si="5"/>
        <v>53088.47181</v>
      </c>
    </row>
    <row r="346">
      <c r="A346" s="298">
        <f t="shared" si="2"/>
        <v>2040</v>
      </c>
      <c r="B346" s="298">
        <f t="shared" si="3"/>
        <v>9</v>
      </c>
      <c r="C346" s="297">
        <f t="shared" si="1"/>
        <v>3447.282211</v>
      </c>
      <c r="D346" s="297">
        <f t="shared" si="4"/>
        <v>240.5800572</v>
      </c>
      <c r="E346" s="297">
        <f t="shared" si="5"/>
        <v>49881.76966</v>
      </c>
    </row>
    <row r="347">
      <c r="A347" s="298">
        <f t="shared" si="2"/>
        <v>2040</v>
      </c>
      <c r="B347" s="298">
        <f t="shared" si="3"/>
        <v>10</v>
      </c>
      <c r="C347" s="297">
        <f t="shared" si="1"/>
        <v>3447.282211</v>
      </c>
      <c r="D347" s="297">
        <f t="shared" si="4"/>
        <v>226.0483036</v>
      </c>
      <c r="E347" s="297">
        <f t="shared" si="5"/>
        <v>46660.53575</v>
      </c>
    </row>
    <row r="348">
      <c r="A348" s="298">
        <f t="shared" si="2"/>
        <v>2040</v>
      </c>
      <c r="B348" s="298">
        <f t="shared" si="3"/>
        <v>11</v>
      </c>
      <c r="C348" s="297">
        <f t="shared" si="1"/>
        <v>3447.282211</v>
      </c>
      <c r="D348" s="297">
        <f t="shared" si="4"/>
        <v>211.4506968</v>
      </c>
      <c r="E348" s="297">
        <f t="shared" si="5"/>
        <v>43424.70424</v>
      </c>
    </row>
    <row r="349">
      <c r="A349" s="298">
        <f t="shared" si="2"/>
        <v>2040</v>
      </c>
      <c r="B349" s="298">
        <f t="shared" si="3"/>
        <v>12</v>
      </c>
      <c r="C349" s="297">
        <f t="shared" si="1"/>
        <v>3447.282211</v>
      </c>
      <c r="D349" s="297">
        <f t="shared" si="4"/>
        <v>196.7869383</v>
      </c>
      <c r="E349" s="297">
        <f t="shared" si="5"/>
        <v>40174.20897</v>
      </c>
    </row>
    <row r="350">
      <c r="A350" s="298">
        <f t="shared" si="2"/>
        <v>2041</v>
      </c>
      <c r="B350" s="298">
        <f t="shared" si="3"/>
        <v>1</v>
      </c>
      <c r="C350" s="297">
        <f t="shared" si="1"/>
        <v>3447.282211</v>
      </c>
      <c r="D350" s="297">
        <f t="shared" si="4"/>
        <v>182.0567283</v>
      </c>
      <c r="E350" s="297">
        <f t="shared" si="5"/>
        <v>36908.98348</v>
      </c>
    </row>
    <row r="351">
      <c r="A351" s="298">
        <f t="shared" si="2"/>
        <v>2041</v>
      </c>
      <c r="B351" s="298">
        <f t="shared" si="3"/>
        <v>2</v>
      </c>
      <c r="C351" s="297">
        <f t="shared" si="1"/>
        <v>3447.282211</v>
      </c>
      <c r="D351" s="297">
        <f t="shared" si="4"/>
        <v>167.2597657</v>
      </c>
      <c r="E351" s="297">
        <f t="shared" si="5"/>
        <v>33628.96104</v>
      </c>
    </row>
    <row r="352">
      <c r="A352" s="298">
        <f t="shared" si="2"/>
        <v>2041</v>
      </c>
      <c r="B352" s="298">
        <f t="shared" si="3"/>
        <v>3</v>
      </c>
      <c r="C352" s="297">
        <f t="shared" si="1"/>
        <v>3447.282211</v>
      </c>
      <c r="D352" s="297">
        <f t="shared" si="4"/>
        <v>152.3957479</v>
      </c>
      <c r="E352" s="297">
        <f t="shared" si="5"/>
        <v>30334.07457</v>
      </c>
    </row>
    <row r="353">
      <c r="A353" s="298">
        <f t="shared" si="2"/>
        <v>2041</v>
      </c>
      <c r="B353" s="298">
        <f t="shared" si="3"/>
        <v>4</v>
      </c>
      <c r="C353" s="297">
        <f t="shared" si="1"/>
        <v>3447.282211</v>
      </c>
      <c r="D353" s="297">
        <f t="shared" si="4"/>
        <v>137.4643712</v>
      </c>
      <c r="E353" s="297">
        <f t="shared" si="5"/>
        <v>27024.25673</v>
      </c>
    </row>
    <row r="354">
      <c r="A354" s="298">
        <f t="shared" si="2"/>
        <v>2041</v>
      </c>
      <c r="B354" s="298">
        <f t="shared" si="3"/>
        <v>5</v>
      </c>
      <c r="C354" s="297">
        <f t="shared" si="1"/>
        <v>3447.282211</v>
      </c>
      <c r="D354" s="297">
        <f t="shared" si="4"/>
        <v>122.4653302</v>
      </c>
      <c r="E354" s="297">
        <f t="shared" si="5"/>
        <v>23699.43985</v>
      </c>
    </row>
    <row r="355">
      <c r="A355" s="298">
        <f t="shared" si="2"/>
        <v>2041</v>
      </c>
      <c r="B355" s="298">
        <f t="shared" si="3"/>
        <v>6</v>
      </c>
      <c r="C355" s="297">
        <f t="shared" si="1"/>
        <v>3447.282211</v>
      </c>
      <c r="D355" s="297">
        <f t="shared" si="4"/>
        <v>107.3983183</v>
      </c>
      <c r="E355" s="297">
        <f t="shared" si="5"/>
        <v>20359.55596</v>
      </c>
    </row>
    <row r="356">
      <c r="A356" s="298">
        <f t="shared" si="2"/>
        <v>2041</v>
      </c>
      <c r="B356" s="298">
        <f t="shared" si="3"/>
        <v>7</v>
      </c>
      <c r="C356" s="297">
        <f t="shared" si="1"/>
        <v>3447.282211</v>
      </c>
      <c r="D356" s="297">
        <f t="shared" si="4"/>
        <v>92.26302754</v>
      </c>
      <c r="E356" s="297">
        <f t="shared" si="5"/>
        <v>17004.53678</v>
      </c>
    </row>
    <row r="357">
      <c r="A357" s="298">
        <f t="shared" si="2"/>
        <v>2041</v>
      </c>
      <c r="B357" s="298">
        <f t="shared" si="3"/>
        <v>8</v>
      </c>
      <c r="C357" s="297">
        <f t="shared" si="1"/>
        <v>3447.282211</v>
      </c>
      <c r="D357" s="297">
        <f t="shared" si="4"/>
        <v>77.05914845</v>
      </c>
      <c r="E357" s="297">
        <f t="shared" si="5"/>
        <v>13634.31372</v>
      </c>
    </row>
    <row r="358">
      <c r="A358" s="298">
        <f t="shared" si="2"/>
        <v>2041</v>
      </c>
      <c r="B358" s="298">
        <f t="shared" si="3"/>
        <v>9</v>
      </c>
      <c r="C358" s="297">
        <f t="shared" si="1"/>
        <v>3447.282211</v>
      </c>
      <c r="D358" s="297">
        <f t="shared" si="4"/>
        <v>61.78637021</v>
      </c>
      <c r="E358" s="297">
        <f t="shared" si="5"/>
        <v>10248.81787</v>
      </c>
    </row>
    <row r="359">
      <c r="A359" s="298">
        <f t="shared" si="2"/>
        <v>2041</v>
      </c>
      <c r="B359" s="298">
        <f t="shared" si="3"/>
        <v>10</v>
      </c>
      <c r="C359" s="297">
        <f t="shared" si="1"/>
        <v>3447.282211</v>
      </c>
      <c r="D359" s="297">
        <f t="shared" si="4"/>
        <v>46.4443806</v>
      </c>
      <c r="E359" s="297">
        <f t="shared" si="5"/>
        <v>6847.980045</v>
      </c>
    </row>
    <row r="360">
      <c r="A360" s="298">
        <f t="shared" si="2"/>
        <v>2041</v>
      </c>
      <c r="B360" s="298">
        <f t="shared" si="3"/>
        <v>11</v>
      </c>
      <c r="C360" s="297">
        <f t="shared" si="1"/>
        <v>3447.282211</v>
      </c>
      <c r="D360" s="297">
        <f t="shared" si="4"/>
        <v>31.03286598</v>
      </c>
      <c r="E360" s="297">
        <f t="shared" si="5"/>
        <v>3431.7307</v>
      </c>
    </row>
    <row r="361">
      <c r="A361" s="298">
        <f t="shared" si="2"/>
        <v>2041</v>
      </c>
      <c r="B361" s="298">
        <f t="shared" si="3"/>
        <v>12</v>
      </c>
      <c r="C361" s="297">
        <f t="shared" si="1"/>
        <v>3447.282211</v>
      </c>
      <c r="D361" s="297">
        <f t="shared" si="4"/>
        <v>15.55151127</v>
      </c>
      <c r="E361" s="297">
        <f t="shared" si="5"/>
        <v>0</v>
      </c>
    </row>
  </sheetData>
  <mergeCells count="2">
    <mergeCell ref="G1:H1"/>
    <mergeCell ref="G11:I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8.88"/>
    <col customWidth="1" min="2" max="2" width="30.63"/>
  </cols>
  <sheetData>
    <row r="1">
      <c r="A1" s="136" t="s">
        <v>205</v>
      </c>
      <c r="B1" s="136" t="s">
        <v>206</v>
      </c>
      <c r="C1" s="136" t="s">
        <v>207</v>
      </c>
      <c r="D1" s="136" t="s">
        <v>208</v>
      </c>
      <c r="E1" s="136" t="s">
        <v>209</v>
      </c>
    </row>
    <row r="7">
      <c r="A7" s="136" t="s">
        <v>210</v>
      </c>
      <c r="B7" s="136" t="s">
        <v>211</v>
      </c>
    </row>
    <row r="8">
      <c r="A8" s="136" t="s">
        <v>212</v>
      </c>
      <c r="B8" s="246" t="s">
        <v>213</v>
      </c>
    </row>
    <row r="9">
      <c r="A9" s="136" t="s">
        <v>214</v>
      </c>
      <c r="B9" s="246" t="s">
        <v>215</v>
      </c>
    </row>
    <row r="10">
      <c r="A10" s="136" t="s">
        <v>216</v>
      </c>
      <c r="B10" s="246" t="s">
        <v>217</v>
      </c>
    </row>
    <row r="11">
      <c r="B11" s="246" t="s">
        <v>218</v>
      </c>
    </row>
    <row r="12">
      <c r="A12" s="136" t="s">
        <v>219</v>
      </c>
      <c r="B12" s="246" t="s">
        <v>220</v>
      </c>
    </row>
    <row r="13">
      <c r="B13" s="246" t="s">
        <v>221</v>
      </c>
    </row>
    <row r="14">
      <c r="B14" s="246" t="s">
        <v>222</v>
      </c>
    </row>
    <row r="15">
      <c r="B15" s="246" t="s">
        <v>223</v>
      </c>
    </row>
    <row r="16">
      <c r="B16" s="246" t="s">
        <v>224</v>
      </c>
    </row>
    <row r="17">
      <c r="A17" s="136" t="s">
        <v>225</v>
      </c>
      <c r="B17" s="136" t="s">
        <v>226</v>
      </c>
    </row>
    <row r="22">
      <c r="A22" s="124" t="s">
        <v>227</v>
      </c>
    </row>
    <row r="26">
      <c r="A26" s="314" t="s">
        <v>228</v>
      </c>
    </row>
    <row r="27">
      <c r="A27" s="315" t="s">
        <v>229</v>
      </c>
    </row>
    <row r="28">
      <c r="A28" s="315" t="s">
        <v>230</v>
      </c>
    </row>
  </sheetData>
  <mergeCells count="1">
    <mergeCell ref="A12:A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1">
      <c r="A1" s="316" t="s">
        <v>231</v>
      </c>
      <c r="B1" s="317"/>
      <c r="C1" s="318"/>
      <c r="D1" s="317" t="s">
        <v>232</v>
      </c>
      <c r="E1" s="317"/>
      <c r="F1" s="318"/>
      <c r="G1" s="317" t="s">
        <v>233</v>
      </c>
      <c r="H1" s="317"/>
      <c r="I1" s="317"/>
      <c r="J1" s="318"/>
      <c r="K1" s="317" t="s">
        <v>234</v>
      </c>
      <c r="L1" s="317"/>
      <c r="M1" s="317"/>
      <c r="N1" s="319"/>
      <c r="O1" s="319"/>
      <c r="P1" s="319"/>
      <c r="Q1" s="319"/>
      <c r="R1" s="319"/>
    </row>
    <row r="2">
      <c r="A2" s="320" t="s">
        <v>235</v>
      </c>
      <c r="B2" s="321">
        <v>500000.0</v>
      </c>
      <c r="C2" s="318"/>
      <c r="D2" s="322" t="s">
        <v>235</v>
      </c>
      <c r="E2" s="321">
        <v>107000.0</v>
      </c>
      <c r="F2" s="318"/>
      <c r="G2" s="322" t="s">
        <v>236</v>
      </c>
      <c r="H2" s="321">
        <v>1371.0</v>
      </c>
      <c r="I2" s="322"/>
      <c r="J2" s="318"/>
      <c r="K2" s="322" t="s">
        <v>236</v>
      </c>
      <c r="L2" s="321">
        <v>1700.0</v>
      </c>
      <c r="M2" s="322"/>
      <c r="N2" s="319"/>
      <c r="O2" s="319"/>
      <c r="P2" s="319"/>
      <c r="Q2" s="319"/>
      <c r="R2" s="319"/>
    </row>
    <row r="3">
      <c r="A3" s="320" t="s">
        <v>237</v>
      </c>
      <c r="B3" s="321">
        <v>420000.0</v>
      </c>
      <c r="C3" s="318"/>
      <c r="D3" s="322" t="s">
        <v>237</v>
      </c>
      <c r="E3" s="321">
        <v>60000.0</v>
      </c>
      <c r="F3" s="318"/>
      <c r="G3" s="322" t="s">
        <v>238</v>
      </c>
      <c r="H3" s="321">
        <v>1000.0</v>
      </c>
      <c r="I3" s="322" t="s">
        <v>239</v>
      </c>
      <c r="J3" s="318"/>
      <c r="K3" s="322" t="s">
        <v>238</v>
      </c>
      <c r="L3" s="321">
        <v>1000.0</v>
      </c>
      <c r="M3" s="322" t="s">
        <v>239</v>
      </c>
      <c r="N3" s="319"/>
      <c r="O3" s="319"/>
      <c r="P3" s="319"/>
      <c r="Q3" s="319"/>
      <c r="R3" s="319"/>
    </row>
    <row r="4">
      <c r="A4" s="320" t="s">
        <v>240</v>
      </c>
      <c r="B4" s="323">
        <v>0.06</v>
      </c>
      <c r="C4" s="318"/>
      <c r="D4" s="322" t="s">
        <v>240</v>
      </c>
      <c r="E4" s="323">
        <v>0.11</v>
      </c>
      <c r="F4" s="318"/>
      <c r="G4" s="322" t="s">
        <v>241</v>
      </c>
      <c r="H4" s="323">
        <v>0.07</v>
      </c>
      <c r="I4" s="322"/>
      <c r="J4" s="318"/>
      <c r="K4" s="322" t="s">
        <v>241</v>
      </c>
      <c r="L4" s="323">
        <v>0.07</v>
      </c>
      <c r="M4" s="322"/>
      <c r="N4" s="319"/>
      <c r="O4" s="319"/>
      <c r="P4" s="319"/>
      <c r="Q4" s="319"/>
      <c r="R4" s="319"/>
    </row>
    <row r="5">
      <c r="A5" s="320" t="s">
        <v>242</v>
      </c>
      <c r="B5" s="324">
        <v>4000.0</v>
      </c>
      <c r="C5" s="318"/>
      <c r="D5" s="322" t="s">
        <v>242</v>
      </c>
      <c r="E5" s="324">
        <v>1000.0</v>
      </c>
      <c r="F5" s="318"/>
      <c r="G5" s="322" t="s">
        <v>243</v>
      </c>
      <c r="H5" s="322" t="s">
        <v>244</v>
      </c>
      <c r="I5" s="322"/>
      <c r="J5" s="318"/>
      <c r="K5" s="322" t="s">
        <v>243</v>
      </c>
      <c r="L5" s="322" t="s">
        <v>244</v>
      </c>
      <c r="M5" s="322"/>
      <c r="N5" s="319"/>
      <c r="O5" s="319"/>
      <c r="P5" s="319"/>
      <c r="Q5" s="319"/>
      <c r="R5" s="319"/>
    </row>
    <row r="6">
      <c r="A6" s="320" t="s">
        <v>245</v>
      </c>
      <c r="B6" s="322" t="s">
        <v>246</v>
      </c>
      <c r="C6" s="318"/>
      <c r="D6" s="322" t="s">
        <v>245</v>
      </c>
      <c r="E6" s="322" t="s">
        <v>246</v>
      </c>
      <c r="F6" s="318"/>
      <c r="G6" s="322" t="s">
        <v>247</v>
      </c>
      <c r="H6" s="321">
        <v>554000.0</v>
      </c>
      <c r="I6" s="322" t="s">
        <v>248</v>
      </c>
      <c r="J6" s="318"/>
      <c r="K6" s="322" t="s">
        <v>247</v>
      </c>
      <c r="L6" s="321">
        <v>554000.0</v>
      </c>
      <c r="M6" s="322" t="s">
        <v>248</v>
      </c>
      <c r="N6" s="319"/>
      <c r="O6" s="319"/>
      <c r="P6" s="319"/>
      <c r="Q6" s="319"/>
      <c r="R6" s="319"/>
    </row>
    <row r="7">
      <c r="A7" s="320" t="s">
        <v>249</v>
      </c>
      <c r="B7" s="325">
        <v>0.035</v>
      </c>
      <c r="C7" s="318"/>
      <c r="D7" s="322" t="s">
        <v>249</v>
      </c>
      <c r="E7" s="325">
        <v>0.035</v>
      </c>
      <c r="F7" s="318"/>
      <c r="G7" s="322"/>
      <c r="H7" s="321">
        <v>677000.0</v>
      </c>
      <c r="I7" s="322" t="s">
        <v>250</v>
      </c>
      <c r="J7" s="318"/>
      <c r="K7" s="322"/>
      <c r="L7" s="321">
        <v>677000.0</v>
      </c>
      <c r="M7" s="322" t="s">
        <v>250</v>
      </c>
      <c r="N7" s="319"/>
      <c r="O7" s="319"/>
      <c r="P7" s="319"/>
      <c r="Q7" s="319"/>
      <c r="R7" s="319"/>
    </row>
    <row r="8">
      <c r="A8" s="320" t="s">
        <v>251</v>
      </c>
      <c r="B8" s="323">
        <v>0.02</v>
      </c>
      <c r="C8" s="318"/>
      <c r="D8" s="322" t="s">
        <v>251</v>
      </c>
      <c r="E8" s="323">
        <v>0.02</v>
      </c>
      <c r="F8" s="318"/>
      <c r="G8" s="322"/>
      <c r="H8" s="322"/>
      <c r="I8" s="322"/>
      <c r="J8" s="318"/>
      <c r="K8" s="322"/>
      <c r="L8" s="322"/>
      <c r="M8" s="322"/>
      <c r="N8" s="319"/>
      <c r="O8" s="319"/>
      <c r="P8" s="319"/>
      <c r="Q8" s="319"/>
      <c r="R8" s="319"/>
    </row>
    <row r="9">
      <c r="A9" s="320" t="s">
        <v>243</v>
      </c>
      <c r="B9" s="322" t="s">
        <v>252</v>
      </c>
      <c r="C9" s="318"/>
      <c r="D9" s="322" t="s">
        <v>253</v>
      </c>
      <c r="E9" s="321">
        <v>288000.0</v>
      </c>
      <c r="F9" s="318"/>
      <c r="G9" s="322"/>
      <c r="H9" s="322"/>
      <c r="I9" s="322"/>
      <c r="J9" s="318"/>
      <c r="K9" s="322"/>
      <c r="L9" s="322"/>
      <c r="M9" s="322"/>
      <c r="N9" s="319"/>
      <c r="O9" s="319"/>
      <c r="P9" s="319"/>
      <c r="Q9" s="319"/>
      <c r="R9" s="319"/>
    </row>
    <row r="10">
      <c r="A10" s="320" t="s">
        <v>254</v>
      </c>
      <c r="B10" s="321">
        <v>570000.0</v>
      </c>
      <c r="C10" s="318"/>
      <c r="D10" s="322" t="s">
        <v>254</v>
      </c>
      <c r="E10" s="321">
        <v>125000.0</v>
      </c>
      <c r="F10" s="318"/>
      <c r="G10" s="322"/>
      <c r="H10" s="322"/>
      <c r="I10" s="322"/>
      <c r="J10" s="318"/>
      <c r="K10" s="322"/>
      <c r="L10" s="322"/>
      <c r="M10" s="322"/>
      <c r="N10" s="319"/>
      <c r="O10" s="319"/>
      <c r="P10" s="319"/>
      <c r="Q10" s="319"/>
      <c r="R10" s="319"/>
    </row>
    <row r="11">
      <c r="A11" s="326" t="s">
        <v>255</v>
      </c>
      <c r="B11" s="319"/>
      <c r="C11" s="319"/>
      <c r="D11" s="326" t="s">
        <v>255</v>
      </c>
      <c r="E11" s="319"/>
      <c r="F11" s="319"/>
      <c r="G11" s="319"/>
      <c r="H11" s="319"/>
      <c r="I11" s="319"/>
      <c r="J11" s="319"/>
      <c r="K11" s="319"/>
      <c r="L11" s="319"/>
      <c r="M11" s="319"/>
      <c r="N11" s="319"/>
      <c r="O11" s="319"/>
      <c r="P11" s="319"/>
      <c r="Q11" s="319"/>
      <c r="R11" s="319"/>
    </row>
    <row r="12">
      <c r="A12" s="319"/>
      <c r="B12" s="319"/>
      <c r="C12" s="319"/>
      <c r="D12" s="319"/>
      <c r="E12" s="319"/>
      <c r="F12" s="319"/>
      <c r="G12" s="319"/>
      <c r="H12" s="319"/>
      <c r="I12" s="319"/>
      <c r="J12" s="319"/>
      <c r="K12" s="319"/>
      <c r="L12" s="319"/>
      <c r="M12" s="319"/>
      <c r="N12" s="319"/>
      <c r="O12" s="319"/>
      <c r="P12" s="319"/>
      <c r="Q12" s="319"/>
      <c r="R12" s="319"/>
    </row>
    <row r="13">
      <c r="A13" s="319"/>
      <c r="B13" s="319"/>
      <c r="C13" s="319"/>
      <c r="D13" s="319"/>
      <c r="E13" s="319"/>
      <c r="F13" s="319"/>
      <c r="G13" s="319"/>
      <c r="H13" s="319"/>
      <c r="I13" s="319"/>
      <c r="J13" s="319"/>
      <c r="K13" s="319"/>
      <c r="L13" s="319"/>
      <c r="M13" s="319"/>
      <c r="N13" s="319"/>
      <c r="O13" s="319"/>
      <c r="P13" s="319"/>
      <c r="Q13" s="319"/>
      <c r="R13" s="319"/>
    </row>
    <row r="14">
      <c r="A14" s="319"/>
      <c r="B14" s="319"/>
      <c r="C14" s="319"/>
      <c r="D14" s="327"/>
      <c r="E14" s="327"/>
      <c r="F14" s="319"/>
      <c r="G14" s="319"/>
      <c r="H14" s="319"/>
      <c r="I14" s="319"/>
      <c r="J14" s="319"/>
      <c r="K14" s="319"/>
      <c r="L14" s="319"/>
      <c r="M14" s="319"/>
      <c r="N14" s="319"/>
      <c r="O14" s="319"/>
      <c r="P14" s="319"/>
      <c r="Q14" s="319"/>
      <c r="R14" s="319"/>
    </row>
    <row r="15">
      <c r="A15" s="319"/>
      <c r="B15" s="319"/>
      <c r="C15" s="318"/>
      <c r="D15" s="322" t="s">
        <v>232</v>
      </c>
      <c r="E15" s="322" t="s">
        <v>256</v>
      </c>
      <c r="F15" s="319"/>
      <c r="G15" s="319"/>
      <c r="H15" s="319"/>
      <c r="I15" s="319"/>
      <c r="J15" s="319"/>
      <c r="K15" s="319"/>
      <c r="L15" s="319"/>
      <c r="M15" s="319"/>
      <c r="N15" s="319"/>
      <c r="O15" s="319"/>
      <c r="P15" s="319"/>
      <c r="Q15" s="319"/>
      <c r="R15" s="319"/>
    </row>
    <row r="16">
      <c r="A16" s="319"/>
      <c r="B16" s="319"/>
      <c r="C16" s="318"/>
      <c r="D16" s="322" t="s">
        <v>235</v>
      </c>
      <c r="E16" s="321">
        <v>0.0</v>
      </c>
      <c r="F16" s="319"/>
      <c r="G16" s="319"/>
      <c r="H16" s="319"/>
      <c r="I16" s="319"/>
      <c r="J16" s="319"/>
      <c r="K16" s="319"/>
      <c r="L16" s="319"/>
      <c r="M16" s="319"/>
      <c r="N16" s="319"/>
      <c r="O16" s="319"/>
      <c r="P16" s="319"/>
      <c r="Q16" s="319"/>
      <c r="R16" s="319"/>
    </row>
    <row r="17">
      <c r="A17" s="319"/>
      <c r="B17" s="319"/>
      <c r="C17" s="318"/>
      <c r="D17" s="322" t="s">
        <v>237</v>
      </c>
      <c r="E17" s="321">
        <v>0.0</v>
      </c>
      <c r="F17" s="319"/>
      <c r="G17" s="319"/>
      <c r="H17" s="319"/>
      <c r="I17" s="319"/>
      <c r="J17" s="319"/>
      <c r="K17" s="319"/>
      <c r="L17" s="319"/>
      <c r="M17" s="319"/>
      <c r="N17" s="319"/>
      <c r="O17" s="319"/>
      <c r="P17" s="319"/>
      <c r="Q17" s="319"/>
      <c r="R17" s="319"/>
    </row>
    <row r="18">
      <c r="A18" s="319"/>
      <c r="B18" s="319"/>
      <c r="C18" s="318"/>
      <c r="D18" s="322" t="s">
        <v>240</v>
      </c>
      <c r="E18" s="323">
        <v>0.0</v>
      </c>
      <c r="F18" s="319"/>
      <c r="G18" s="319"/>
      <c r="H18" s="319"/>
      <c r="I18" s="319"/>
      <c r="J18" s="319"/>
      <c r="K18" s="319"/>
      <c r="L18" s="319"/>
      <c r="M18" s="319"/>
      <c r="N18" s="319"/>
      <c r="O18" s="319"/>
      <c r="P18" s="319"/>
      <c r="Q18" s="319"/>
      <c r="R18" s="319"/>
    </row>
    <row r="19">
      <c r="A19" s="319"/>
      <c r="B19" s="319"/>
      <c r="C19" s="318"/>
      <c r="D19" s="322" t="s">
        <v>242</v>
      </c>
      <c r="E19" s="324">
        <v>800.0</v>
      </c>
      <c r="F19" s="319"/>
      <c r="G19" s="319"/>
      <c r="H19" s="319"/>
      <c r="I19" s="319"/>
      <c r="J19" s="319"/>
      <c r="K19" s="319"/>
      <c r="L19" s="319"/>
      <c r="M19" s="319"/>
      <c r="N19" s="319"/>
      <c r="O19" s="319"/>
      <c r="P19" s="319"/>
      <c r="Q19" s="319"/>
      <c r="R19" s="319"/>
    </row>
    <row r="20">
      <c r="A20" s="319"/>
      <c r="B20" s="319"/>
      <c r="C20" s="318"/>
      <c r="D20" s="322" t="s">
        <v>245</v>
      </c>
      <c r="E20" s="322" t="s">
        <v>257</v>
      </c>
      <c r="F20" s="319"/>
      <c r="G20" s="319"/>
      <c r="H20" s="319"/>
      <c r="I20" s="319"/>
      <c r="J20" s="319"/>
      <c r="K20" s="319"/>
      <c r="L20" s="319"/>
      <c r="M20" s="319"/>
      <c r="N20" s="319"/>
      <c r="O20" s="319"/>
      <c r="P20" s="319"/>
      <c r="Q20" s="319"/>
      <c r="R20" s="319"/>
    </row>
    <row r="21">
      <c r="A21" s="319"/>
      <c r="B21" s="319"/>
      <c r="C21" s="318"/>
      <c r="D21" s="322" t="s">
        <v>249</v>
      </c>
      <c r="E21" s="325">
        <v>0.035</v>
      </c>
      <c r="F21" s="319"/>
      <c r="G21" s="319"/>
      <c r="H21" s="319"/>
      <c r="I21" s="319"/>
      <c r="J21" s="319"/>
      <c r="K21" s="319"/>
      <c r="L21" s="319"/>
      <c r="M21" s="319"/>
      <c r="N21" s="319"/>
      <c r="O21" s="326" t="s">
        <v>258</v>
      </c>
      <c r="P21" s="319"/>
      <c r="Q21" s="319"/>
      <c r="R21" s="319"/>
    </row>
    <row r="22">
      <c r="A22" s="319"/>
      <c r="B22" s="319"/>
      <c r="C22" s="318"/>
      <c r="D22" s="322" t="s">
        <v>251</v>
      </c>
      <c r="E22" s="323">
        <v>0.02</v>
      </c>
      <c r="F22" s="319"/>
      <c r="G22" s="319"/>
      <c r="H22" s="319"/>
      <c r="I22" s="319"/>
      <c r="J22" s="319"/>
      <c r="K22" s="319"/>
      <c r="L22" s="319"/>
      <c r="M22" s="319"/>
      <c r="N22" s="319"/>
      <c r="O22" s="319"/>
      <c r="P22" s="319"/>
      <c r="Q22" s="319"/>
      <c r="R22" s="319"/>
    </row>
    <row r="23">
      <c r="A23" s="319"/>
      <c r="B23" s="319"/>
      <c r="C23" s="318"/>
      <c r="D23" s="322" t="s">
        <v>253</v>
      </c>
      <c r="E23" s="321">
        <v>550000.0</v>
      </c>
      <c r="F23" s="319"/>
      <c r="G23" s="319"/>
      <c r="H23" s="319"/>
      <c r="I23" s="319"/>
      <c r="J23" s="319"/>
      <c r="K23" s="319"/>
      <c r="L23" s="319"/>
      <c r="M23" s="319"/>
      <c r="N23" s="319"/>
      <c r="O23" s="328">
        <f>H7-E10</f>
        <v>552000</v>
      </c>
      <c r="P23" s="326" t="s">
        <v>259</v>
      </c>
      <c r="Q23" s="319"/>
      <c r="R23" s="319"/>
    </row>
    <row r="24">
      <c r="A24" s="319"/>
      <c r="B24" s="319"/>
      <c r="C24" s="318"/>
      <c r="D24" s="322" t="s">
        <v>254</v>
      </c>
      <c r="E24" s="321">
        <v>350000.0</v>
      </c>
      <c r="F24" s="327"/>
      <c r="G24" s="319"/>
      <c r="H24" s="319"/>
      <c r="I24" s="319"/>
      <c r="J24" s="319"/>
      <c r="K24" s="319"/>
      <c r="L24" s="319"/>
      <c r="M24" s="319"/>
      <c r="N24" s="319"/>
      <c r="O24" s="319"/>
      <c r="P24" s="319"/>
      <c r="Q24" s="319"/>
      <c r="R24" s="319"/>
    </row>
    <row r="25">
      <c r="A25" s="319"/>
      <c r="B25" s="319"/>
      <c r="C25" s="318"/>
      <c r="D25" s="322" t="s">
        <v>238</v>
      </c>
      <c r="E25" s="321">
        <v>1000.0</v>
      </c>
      <c r="F25" s="322" t="s">
        <v>239</v>
      </c>
      <c r="G25" s="319"/>
      <c r="H25" s="319"/>
      <c r="I25" s="319"/>
      <c r="J25" s="319"/>
      <c r="K25" s="319"/>
      <c r="L25" s="319"/>
      <c r="M25" s="319"/>
      <c r="N25" s="319"/>
      <c r="O25" s="319"/>
      <c r="P25" s="319"/>
      <c r="Q25" s="319"/>
      <c r="R25" s="319"/>
    </row>
    <row r="26">
      <c r="A26" s="319"/>
      <c r="B26" s="319"/>
      <c r="C26" s="318"/>
      <c r="D26" s="322" t="s">
        <v>241</v>
      </c>
      <c r="E26" s="323">
        <v>0.07</v>
      </c>
      <c r="F26" s="322"/>
      <c r="G26" s="319"/>
      <c r="H26" s="319"/>
      <c r="I26" s="319"/>
      <c r="J26" s="319"/>
      <c r="K26" s="319"/>
      <c r="L26" s="319"/>
      <c r="M26" s="319"/>
      <c r="N26" s="319"/>
      <c r="O26" s="319"/>
      <c r="P26" s="319"/>
      <c r="Q26" s="319"/>
      <c r="R26" s="319"/>
    </row>
    <row r="27">
      <c r="A27" s="319" t="s">
        <v>260</v>
      </c>
      <c r="B27" s="319"/>
      <c r="C27" s="318"/>
      <c r="D27" s="322" t="s">
        <v>243</v>
      </c>
      <c r="E27" s="322" t="s">
        <v>244</v>
      </c>
      <c r="F27" s="322"/>
      <c r="G27" s="319"/>
      <c r="H27" s="319"/>
      <c r="I27" s="319"/>
      <c r="J27" s="319"/>
      <c r="K27" s="319"/>
      <c r="L27" s="319"/>
      <c r="M27" s="319"/>
      <c r="N27" s="319"/>
      <c r="O27" s="319"/>
      <c r="P27" s="319"/>
      <c r="Q27" s="319"/>
      <c r="R27" s="319"/>
    </row>
    <row r="28">
      <c r="A28" s="319" t="s">
        <v>261</v>
      </c>
      <c r="B28" s="319"/>
      <c r="C28" s="318"/>
      <c r="D28" s="322" t="s">
        <v>247</v>
      </c>
      <c r="E28" s="321">
        <v>554000.0</v>
      </c>
      <c r="F28" s="322" t="s">
        <v>248</v>
      </c>
      <c r="G28" s="319"/>
      <c r="H28" s="319"/>
      <c r="I28" s="319"/>
      <c r="J28" s="319"/>
      <c r="K28" s="319"/>
      <c r="L28" s="319"/>
      <c r="M28" s="319"/>
      <c r="N28" s="319"/>
      <c r="O28" s="319"/>
      <c r="P28" s="319"/>
      <c r="Q28" s="319"/>
      <c r="R28" s="319"/>
    </row>
    <row r="29">
      <c r="A29" s="326" t="s">
        <v>262</v>
      </c>
      <c r="B29" s="319"/>
      <c r="C29" s="318"/>
      <c r="D29" s="322"/>
      <c r="E29" s="321">
        <v>677000.0</v>
      </c>
      <c r="F29" s="322" t="s">
        <v>250</v>
      </c>
      <c r="G29" s="319"/>
      <c r="H29" s="319"/>
      <c r="I29" s="319"/>
      <c r="J29" s="319"/>
      <c r="K29" s="319"/>
      <c r="L29" s="319"/>
      <c r="M29" s="319"/>
      <c r="N29" s="319"/>
      <c r="O29" s="319"/>
      <c r="P29" s="319"/>
      <c r="Q29" s="319"/>
      <c r="R29" s="319"/>
    </row>
    <row r="30">
      <c r="A30" s="319"/>
      <c r="B30" s="319"/>
      <c r="C30" s="319"/>
      <c r="D30" s="326" t="s">
        <v>263</v>
      </c>
      <c r="E30" s="319"/>
      <c r="F30" s="319"/>
      <c r="G30" s="319"/>
      <c r="H30" s="319"/>
      <c r="I30" s="319"/>
      <c r="J30" s="319"/>
      <c r="K30" s="319"/>
      <c r="L30" s="319"/>
      <c r="M30" s="319"/>
      <c r="N30" s="319"/>
      <c r="O30" s="319"/>
      <c r="P30" s="319"/>
      <c r="Q30" s="319"/>
      <c r="R30" s="319"/>
    </row>
    <row r="31">
      <c r="A31" s="319"/>
      <c r="B31" s="319"/>
      <c r="C31" s="319"/>
      <c r="D31" s="319"/>
      <c r="E31" s="319"/>
      <c r="F31" s="319"/>
      <c r="G31" s="319"/>
      <c r="H31" s="319"/>
      <c r="I31" s="319"/>
      <c r="J31" s="319"/>
      <c r="K31" s="319"/>
      <c r="L31" s="319"/>
      <c r="M31" s="319"/>
      <c r="N31" s="319"/>
      <c r="O31" s="319"/>
      <c r="P31" s="319"/>
      <c r="Q31" s="319"/>
      <c r="R31" s="319"/>
    </row>
    <row r="32">
      <c r="A32" s="329" t="s">
        <v>264</v>
      </c>
      <c r="B32" s="319"/>
      <c r="C32" s="319"/>
      <c r="D32" s="319"/>
      <c r="E32" s="319"/>
      <c r="F32" s="319"/>
      <c r="G32" s="319"/>
      <c r="H32" s="319"/>
      <c r="I32" s="319"/>
      <c r="J32" s="319"/>
      <c r="K32" s="319"/>
      <c r="L32" s="319"/>
      <c r="M32" s="319"/>
      <c r="N32" s="319"/>
      <c r="O32" s="319"/>
      <c r="P32" s="319"/>
      <c r="Q32" s="319"/>
      <c r="R32" s="319"/>
    </row>
  </sheetData>
  <drawing r:id="rId1"/>
</worksheet>
</file>