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Google Drive\credit analysis-NYU else\"/>
    </mc:Choice>
  </mc:AlternateContent>
  <xr:revisionPtr revIDLastSave="0" documentId="13_ncr:1_{5C53B48B-C39C-4878-BF12-E4A855BB30D0}" xr6:coauthVersionLast="45" xr6:coauthVersionMax="45" xr10:uidLastSave="{00000000-0000-0000-0000-000000000000}"/>
  <bookViews>
    <workbookView xWindow="-110" yWindow="-110" windowWidth="19420" windowHeight="10420" xr2:uid="{1D5D7371-F10B-48DA-B69A-EB0163C9DA34}"/>
  </bookViews>
  <sheets>
    <sheet name="Valuation" sheetId="1" r:id="rId1"/>
    <sheet name="COP" sheetId="3" r:id="rId2"/>
    <sheet name="XOM" sheetId="5" r:id="rId3"/>
    <sheet name="CVX" sheetId="4" r:id="rId4"/>
    <sheet name="RDS" sheetId="7" r:id="rId5"/>
    <sheet name="B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6" l="1"/>
  <c r="P6" i="5"/>
  <c r="P6" i="3"/>
  <c r="P6" i="7"/>
  <c r="P6" i="4"/>
  <c r="F4" i="1" a="1"/>
  <c r="D4" i="1" a="1"/>
  <c r="D3" i="1" a="1"/>
  <c r="G3" i="1" a="1"/>
  <c r="G4" i="1" a="1"/>
  <c r="E3" i="1" a="1"/>
  <c r="F3" i="1" a="1"/>
  <c r="E4" i="1" a="1"/>
  <c r="G29" i="1" a="1"/>
  <c r="G29" i="1" l="1"/>
  <c r="G4" i="1"/>
  <c r="G3" i="1"/>
  <c r="F4" i="1"/>
  <c r="F3" i="1"/>
  <c r="E4" i="1"/>
  <c r="E3" i="1"/>
  <c r="D4" i="1"/>
  <c r="D3" i="1"/>
  <c r="P13" i="7"/>
  <c r="P15" i="7" s="1"/>
  <c r="P13" i="6"/>
  <c r="P15" i="6" s="1"/>
  <c r="P16" i="6" s="1"/>
  <c r="P13" i="5"/>
  <c r="P15" i="5" s="1"/>
  <c r="P13" i="3"/>
  <c r="P15" i="3" s="1"/>
  <c r="P13" i="4"/>
  <c r="P15" i="4" s="1"/>
  <c r="P18" i="7" l="1"/>
  <c r="P16" i="7"/>
  <c r="P19" i="7" s="1"/>
  <c r="P18" i="5"/>
  <c r="P16" i="5"/>
  <c r="P19" i="5" s="1"/>
  <c r="P16" i="4"/>
  <c r="P18" i="4"/>
  <c r="P18" i="3"/>
  <c r="P16" i="3"/>
  <c r="P18" i="6"/>
  <c r="D9" i="1"/>
  <c r="E9" i="1"/>
  <c r="E10" i="1"/>
  <c r="D10" i="1"/>
  <c r="E11" i="1"/>
  <c r="D11" i="1"/>
  <c r="E12" i="1"/>
  <c r="D12" i="1"/>
  <c r="P20" i="7" l="1"/>
  <c r="P20" i="5"/>
  <c r="F12" i="1"/>
  <c r="F11" i="1"/>
  <c r="F10" i="1"/>
  <c r="F9" i="1"/>
  <c r="F13" i="1" l="1"/>
  <c r="F14" i="1" l="1"/>
  <c r="F15" i="1" l="1"/>
  <c r="F16" i="1" l="1"/>
  <c r="F17" i="1" l="1"/>
  <c r="F18" i="1" l="1"/>
  <c r="F19" i="1" l="1"/>
  <c r="F20" i="1" l="1"/>
  <c r="F21" i="1" l="1"/>
  <c r="F22" i="1" l="1"/>
  <c r="F23" i="1" l="1"/>
  <c r="F25" i="1" l="1"/>
  <c r="P10" i="7" l="1"/>
  <c r="P10" i="6"/>
  <c r="P19" i="6" s="1"/>
  <c r="P20" i="6" s="1"/>
  <c r="P10" i="5"/>
  <c r="P10" i="4"/>
  <c r="P19" i="4" s="1"/>
  <c r="P20" i="4" s="1"/>
  <c r="P10" i="3"/>
  <c r="P19" i="3" s="1"/>
  <c r="P20" i="3" s="1"/>
  <c r="G7" i="1" a="1"/>
  <c r="G7" i="1" l="1"/>
  <c r="G13" i="1" l="1"/>
  <c r="G14" i="1"/>
  <c r="G15" i="1"/>
  <c r="G16" i="1"/>
  <c r="G17" i="1"/>
  <c r="G18" i="1"/>
  <c r="G19" i="1"/>
  <c r="G20" i="1"/>
  <c r="G21" i="1"/>
  <c r="G22" i="1"/>
  <c r="G26" i="1"/>
  <c r="G23" i="1" l="1"/>
  <c r="G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<sst xmlns="http://schemas.openxmlformats.org/spreadsheetml/2006/main" count="150" uniqueCount="51">
  <si>
    <t>TTM</t>
  </si>
  <si>
    <t>net cash from continuting operations</t>
  </si>
  <si>
    <t>net cash from investing activities</t>
  </si>
  <si>
    <t>wacc</t>
  </si>
  <si>
    <t>actual</t>
  </si>
  <si>
    <t>forecast</t>
  </si>
  <si>
    <t>WACC</t>
  </si>
  <si>
    <t>FCF</t>
  </si>
  <si>
    <t>Operating Cash Flow</t>
  </si>
  <si>
    <t>Investing Cash Flow</t>
  </si>
  <si>
    <t>beta</t>
  </si>
  <si>
    <t>rfr</t>
  </si>
  <si>
    <t>erp</t>
  </si>
  <si>
    <t>capm</t>
  </si>
  <si>
    <t>debt</t>
  </si>
  <si>
    <t>int</t>
  </si>
  <si>
    <t>cost of debt</t>
  </si>
  <si>
    <t>mkt cap</t>
  </si>
  <si>
    <t>ev</t>
  </si>
  <si>
    <t>wt equity</t>
  </si>
  <si>
    <t>wt debt</t>
  </si>
  <si>
    <t>wt coe</t>
  </si>
  <si>
    <t>wt cod</t>
  </si>
  <si>
    <t>valuation</t>
  </si>
  <si>
    <t>Valuation</t>
  </si>
  <si>
    <t>Financing Cash Flow</t>
  </si>
  <si>
    <t>End Cash Position</t>
  </si>
  <si>
    <t>Capital Expenditure</t>
  </si>
  <si>
    <t>RDS-A</t>
  </si>
  <si>
    <t>XOM</t>
  </si>
  <si>
    <t>BP</t>
  </si>
  <si>
    <t>CVX</t>
  </si>
  <si>
    <t>Breakdown</t>
  </si>
  <si>
    <t>Perpetual Growth</t>
  </si>
  <si>
    <t>Determine WACC (F7)</t>
  </si>
  <si>
    <t>Reformat, determine FCF</t>
  </si>
  <si>
    <t>Determine growth Rate (F9)</t>
  </si>
  <si>
    <t>(read analysts and company provided guidance/documents)</t>
  </si>
  <si>
    <t>Project CF based on history …</t>
  </si>
  <si>
    <t>Final forecasted CF</t>
  </si>
  <si>
    <t>PV of Forecasted CF</t>
  </si>
  <si>
    <t>PV of final CF</t>
  </si>
  <si>
    <t>Determine Terminal Value</t>
  </si>
  <si>
    <t>Value of Company (should equal Market Cap)</t>
  </si>
  <si>
    <t>Actual Market Capv (0000's)</t>
  </si>
  <si>
    <t>Net Cash from continuing operations (000's)</t>
  </si>
  <si>
    <t>Net Cash from investing activities (000s)</t>
  </si>
  <si>
    <t>final cf</t>
  </si>
  <si>
    <t>last forecasted cf??????</t>
  </si>
  <si>
    <t>COP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</si>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</sst>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4E9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3" fontId="0" fillId="0" borderId="0" xfId="0" applyNumberFormat="1"/>
    <xf numFmtId="3" fontId="2" fillId="0" borderId="1" xfId="0" applyNumberFormat="1" applyFont="1" applyBorder="1" applyAlignment="1">
      <alignment horizontal="center" vertical="center" wrapText="1"/>
    </xf>
    <xf numFmtId="0" fontId="3" fillId="0" borderId="0" xfId="2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2" borderId="0" xfId="0" applyFill="1"/>
    <xf numFmtId="3" fontId="0" fillId="2" borderId="0" xfId="0" applyNumberFormat="1" applyFill="1"/>
    <xf numFmtId="10" fontId="0" fillId="2" borderId="0" xfId="0" applyNumberFormat="1" applyFill="1"/>
    <xf numFmtId="8" fontId="0" fillId="0" borderId="0" xfId="0" applyNumberFormat="1"/>
    <xf numFmtId="0" fontId="4" fillId="0" borderId="0" xfId="0" applyFont="1" applyAlignment="1">
      <alignment horizontal="right"/>
    </xf>
    <xf numFmtId="165" fontId="0" fillId="3" borderId="0" xfId="1" applyNumberFormat="1" applyFont="1" applyFill="1"/>
    <xf numFmtId="44" fontId="0" fillId="0" borderId="2" xfId="0" applyNumberFormat="1" applyBorder="1"/>
    <xf numFmtId="8" fontId="0" fillId="0" borderId="2" xfId="0" applyNumberFormat="1" applyBorder="1"/>
    <xf numFmtId="8" fontId="0" fillId="4" borderId="0" xfId="0" applyNumberFormat="1" applyFill="1"/>
    <xf numFmtId="164" fontId="0" fillId="4" borderId="0" xfId="0" applyNumberFormat="1" applyFill="1"/>
    <xf numFmtId="1" fontId="0" fillId="0" borderId="0" xfId="0" applyNumberFormat="1"/>
    <xf numFmtId="0" fontId="3" fillId="0" borderId="0" xfId="2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quote/COP/cash-flow?p=C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xom/cash-flow?p=RDS-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cvx/cash-flow?p=RDS-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RDS-A?p=RDS-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bp/cash-flow?p=RDS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1496-AB23-49D8-BCF3-0E0142810764}">
  <dimension ref="A1:H29"/>
  <sheetViews>
    <sheetView tabSelected="1" zoomScale="66" workbookViewId="0">
      <selection activeCell="H16" sqref="H16"/>
    </sheetView>
  </sheetViews>
  <sheetFormatPr defaultRowHeight="14.5" x14ac:dyDescent="0.35"/>
  <cols>
    <col min="3" max="3" width="40" bestFit="1" customWidth="1"/>
    <col min="4" max="4" width="33.1796875" bestFit="1" customWidth="1"/>
    <col min="5" max="5" width="29.54296875" bestFit="1" customWidth="1"/>
    <col min="6" max="6" width="14" bestFit="1" customWidth="1"/>
    <col min="7" max="7" width="18" bestFit="1" customWidth="1"/>
    <col min="8" max="8" width="51.6328125" bestFit="1" customWidth="1"/>
  </cols>
  <sheetData>
    <row r="1" spans="1:8" x14ac:dyDescent="0.35">
      <c r="A1" t="s">
        <v>50</v>
      </c>
    </row>
    <row r="2" spans="1:8" x14ac:dyDescent="0.35">
      <c r="D2" t="s">
        <v>0</v>
      </c>
      <c r="E2">
        <v>2019</v>
      </c>
      <c r="F2">
        <v>2018</v>
      </c>
      <c r="G2">
        <v>2017</v>
      </c>
    </row>
    <row r="3" spans="1:8" x14ac:dyDescent="0.35">
      <c r="A3" s="2"/>
      <c r="B3" s="2"/>
      <c r="C3" s="2" t="s">
        <v>45</v>
      </c>
      <c r="D3" s="7" cm="1">
        <f t="array" aca="1" ref="D3" ca="1">INDIRECT($A$1&amp;"!d2")/1000</f>
        <v>17015</v>
      </c>
      <c r="E3" s="7" cm="1">
        <f t="array" aca="1" ref="E3" ca="1">INDIRECT($A$1&amp;"!e2")/1000</f>
        <v>29716</v>
      </c>
      <c r="F3" s="7" cm="1">
        <f t="array" aca="1" ref="F3" ca="1">INDIRECT($A$1&amp;"!f2")/1000</f>
        <v>36014</v>
      </c>
      <c r="G3" s="7" cm="1">
        <f t="array" aca="1" ref="G3" ca="1">INDIRECT($A$1&amp;"!g2")/1000</f>
        <v>30066</v>
      </c>
    </row>
    <row r="4" spans="1:8" x14ac:dyDescent="0.35">
      <c r="B4" s="2"/>
      <c r="C4" s="2" t="s">
        <v>46</v>
      </c>
      <c r="D4" s="7" cm="1">
        <f t="array" aca="1" ref="D4" ca="1">INDIRECT($A$1&amp;"!d6")/1000</f>
        <v>-20357</v>
      </c>
      <c r="E4" s="7" cm="1">
        <f t="array" aca="1" ref="E4" ca="1">INDIRECT($A$1&amp;"!e6")/1000</f>
        <v>-24361</v>
      </c>
      <c r="F4" s="7" cm="1">
        <f t="array" aca="1" ref="F4" ca="1">INDIRECT($A$1&amp;"!f6")/1000</f>
        <v>-19574</v>
      </c>
      <c r="G4" s="7" cm="1">
        <f t="array" aca="1" ref="G4" ca="1">INDIRECT($A$1&amp;"!g6")/1000</f>
        <v>-15402</v>
      </c>
    </row>
    <row r="6" spans="1:8" x14ac:dyDescent="0.35">
      <c r="G6" s="14">
        <v>2.5000000000000001E-2</v>
      </c>
      <c r="H6" t="s">
        <v>33</v>
      </c>
    </row>
    <row r="7" spans="1:8" x14ac:dyDescent="0.35">
      <c r="F7" t="s">
        <v>6</v>
      </c>
      <c r="G7" s="17" cm="1">
        <f t="array" aca="1" ref="G7" ca="1">INDIRECT(A1&amp;"!p20")</f>
        <v>7.3521230763928386E-2</v>
      </c>
      <c r="H7" t="s">
        <v>34</v>
      </c>
    </row>
    <row r="8" spans="1:8" x14ac:dyDescent="0.35">
      <c r="D8" t="s">
        <v>1</v>
      </c>
      <c r="E8" t="s">
        <v>2</v>
      </c>
      <c r="F8" t="s">
        <v>7</v>
      </c>
      <c r="H8" t="s">
        <v>35</v>
      </c>
    </row>
    <row r="9" spans="1:8" x14ac:dyDescent="0.35">
      <c r="A9" t="s">
        <v>4</v>
      </c>
      <c r="C9">
        <v>2017</v>
      </c>
      <c r="D9" s="7">
        <f ca="1">G3</f>
        <v>30066</v>
      </c>
      <c r="E9" s="7">
        <f ca="1">G4</f>
        <v>-15402</v>
      </c>
      <c r="F9" s="7">
        <f ca="1">D9+E9</f>
        <v>14664</v>
      </c>
      <c r="G9" s="14">
        <v>-5.6731765010496656E-3</v>
      </c>
      <c r="H9" t="s">
        <v>36</v>
      </c>
    </row>
    <row r="10" spans="1:8" x14ac:dyDescent="0.35">
      <c r="A10" t="s">
        <v>4</v>
      </c>
      <c r="C10">
        <v>2018</v>
      </c>
      <c r="D10" s="7">
        <f ca="1">F3</f>
        <v>36014</v>
      </c>
      <c r="E10" s="7">
        <f ca="1">F4</f>
        <v>-19574</v>
      </c>
      <c r="F10" s="7">
        <f t="shared" ref="F10:F12" ca="1" si="0">D10+E10</f>
        <v>16440</v>
      </c>
      <c r="H10" t="s">
        <v>37</v>
      </c>
    </row>
    <row r="11" spans="1:8" x14ac:dyDescent="0.35">
      <c r="A11" t="s">
        <v>4</v>
      </c>
      <c r="C11">
        <v>2019</v>
      </c>
      <c r="D11" s="7">
        <f ca="1">E3</f>
        <v>29716</v>
      </c>
      <c r="E11" s="7">
        <f ca="1">E4</f>
        <v>-24361</v>
      </c>
      <c r="F11" s="7">
        <f t="shared" ca="1" si="0"/>
        <v>5355</v>
      </c>
    </row>
    <row r="12" spans="1:8" x14ac:dyDescent="0.35">
      <c r="A12" t="s">
        <v>4</v>
      </c>
      <c r="C12">
        <v>2020</v>
      </c>
      <c r="D12" s="7">
        <f ca="1">D3</f>
        <v>17015</v>
      </c>
      <c r="E12" s="7">
        <f ca="1">D4</f>
        <v>-20357</v>
      </c>
      <c r="F12" s="7">
        <f t="shared" ca="1" si="0"/>
        <v>-3342</v>
      </c>
    </row>
    <row r="13" spans="1:8" x14ac:dyDescent="0.35">
      <c r="A13" t="s">
        <v>5</v>
      </c>
      <c r="B13">
        <v>0</v>
      </c>
      <c r="C13">
        <v>2021</v>
      </c>
      <c r="F13" s="7">
        <f ca="1">AVERAGE(F9:F12)</f>
        <v>8279.25</v>
      </c>
      <c r="G13" s="8">
        <f ca="1">F13/(1+$G$7)^B13</f>
        <v>8279.25</v>
      </c>
      <c r="H13" t="s">
        <v>38</v>
      </c>
    </row>
    <row r="14" spans="1:8" x14ac:dyDescent="0.35">
      <c r="A14" t="s">
        <v>5</v>
      </c>
      <c r="B14">
        <v>1</v>
      </c>
      <c r="C14">
        <v>2022</v>
      </c>
      <c r="F14" s="7">
        <f ca="1">F13*(1+$G$9)</f>
        <v>8232.2803534536833</v>
      </c>
      <c r="G14" s="8">
        <f t="shared" ref="G14:G22" ca="1" si="1">F14/(1+$G$7)^B14</f>
        <v>7668.4839736197027</v>
      </c>
    </row>
    <row r="15" spans="1:8" x14ac:dyDescent="0.35">
      <c r="A15" t="s">
        <v>5</v>
      </c>
      <c r="B15">
        <v>2</v>
      </c>
      <c r="C15">
        <v>2023</v>
      </c>
      <c r="F15" s="7">
        <f t="shared" ref="F15:F23" ca="1" si="2">F14*(1+$G$9)</f>
        <v>8185.5771740024165</v>
      </c>
      <c r="G15" s="8">
        <f t="shared" ca="1" si="1"/>
        <v>7102.7745814732289</v>
      </c>
    </row>
    <row r="16" spans="1:8" x14ac:dyDescent="0.35">
      <c r="A16" t="s">
        <v>5</v>
      </c>
      <c r="B16">
        <v>3</v>
      </c>
      <c r="C16">
        <v>2024</v>
      </c>
      <c r="F16" s="7">
        <f t="shared" ca="1" si="2"/>
        <v>8139.1389499313373</v>
      </c>
      <c r="G16" s="8">
        <f t="shared" ca="1" si="1"/>
        <v>6578.7979643398676</v>
      </c>
    </row>
    <row r="17" spans="1:8" x14ac:dyDescent="0.35">
      <c r="A17" t="s">
        <v>5</v>
      </c>
      <c r="B17">
        <v>4</v>
      </c>
      <c r="C17">
        <v>2025</v>
      </c>
      <c r="F17" s="7">
        <f t="shared" ca="1" si="2"/>
        <v>8092.9641781018081</v>
      </c>
      <c r="G17" s="8">
        <f t="shared" ca="1" si="1"/>
        <v>6093.4754664036245</v>
      </c>
    </row>
    <row r="18" spans="1:8" x14ac:dyDescent="0.35">
      <c r="A18" t="s">
        <v>5</v>
      </c>
      <c r="B18">
        <v>5</v>
      </c>
      <c r="C18">
        <v>2026</v>
      </c>
      <c r="F18" s="7">
        <f t="shared" ca="1" si="2"/>
        <v>8047.051363902764</v>
      </c>
      <c r="G18" s="8">
        <f t="shared" ca="1" si="1"/>
        <v>5643.95554642764</v>
      </c>
    </row>
    <row r="19" spans="1:8" x14ac:dyDescent="0.35">
      <c r="A19" t="s">
        <v>5</v>
      </c>
      <c r="B19">
        <v>6</v>
      </c>
      <c r="C19">
        <v>2027</v>
      </c>
      <c r="F19" s="7">
        <f t="shared" ca="1" si="2"/>
        <v>8001.3990212023309</v>
      </c>
      <c r="G19" s="8">
        <f t="shared" ca="1" si="1"/>
        <v>5227.5970233538537</v>
      </c>
    </row>
    <row r="20" spans="1:8" x14ac:dyDescent="0.35">
      <c r="A20" t="s">
        <v>5</v>
      </c>
      <c r="B20">
        <v>7</v>
      </c>
      <c r="C20">
        <v>2028</v>
      </c>
      <c r="F20" s="7">
        <f t="shared" ca="1" si="2"/>
        <v>7956.0056722997233</v>
      </c>
      <c r="G20" s="8">
        <f t="shared" ca="1" si="1"/>
        <v>4841.9535578864143</v>
      </c>
    </row>
    <row r="21" spans="1:8" x14ac:dyDescent="0.35">
      <c r="A21" t="s">
        <v>5</v>
      </c>
      <c r="B21">
        <v>8</v>
      </c>
      <c r="C21">
        <v>2029</v>
      </c>
      <c r="F21" s="7">
        <f t="shared" ca="1" si="2"/>
        <v>7910.869847877414</v>
      </c>
      <c r="G21" s="8">
        <f t="shared" ca="1" si="1"/>
        <v>4484.7592788794718</v>
      </c>
    </row>
    <row r="22" spans="1:8" x14ac:dyDescent="0.35">
      <c r="A22" t="s">
        <v>5</v>
      </c>
      <c r="B22">
        <v>9</v>
      </c>
      <c r="C22">
        <v>2030</v>
      </c>
      <c r="F22" s="7">
        <f t="shared" ca="1" si="2"/>
        <v>7865.9900869535732</v>
      </c>
      <c r="G22" s="18">
        <f t="shared" ca="1" si="1"/>
        <v>4153.9154700763338</v>
      </c>
      <c r="H22" t="s">
        <v>39</v>
      </c>
    </row>
    <row r="23" spans="1:8" x14ac:dyDescent="0.35">
      <c r="E23" s="1" t="s">
        <v>47</v>
      </c>
      <c r="F23" s="7">
        <f t="shared" ca="1" si="2"/>
        <v>7821.3649368347778</v>
      </c>
      <c r="G23" s="8">
        <f ca="1">SUM(G13:G22)</f>
        <v>60074.962862460139</v>
      </c>
      <c r="H23" t="s">
        <v>40</v>
      </c>
    </row>
    <row r="24" spans="1:8" x14ac:dyDescent="0.35">
      <c r="G24" s="8"/>
    </row>
    <row r="25" spans="1:8" x14ac:dyDescent="0.35">
      <c r="E25" s="16" t="s">
        <v>48</v>
      </c>
      <c r="F25" s="15">
        <f ca="1">PV(G6,10,,-F23)</f>
        <v>6110.0377879689704</v>
      </c>
      <c r="H25" t="s">
        <v>41</v>
      </c>
    </row>
    <row r="26" spans="1:8" x14ac:dyDescent="0.35">
      <c r="G26" s="19">
        <f ca="1">F25/(G7-G6)</f>
        <v>125925.03718003976</v>
      </c>
      <c r="H26" t="s">
        <v>42</v>
      </c>
    </row>
    <row r="27" spans="1:8" x14ac:dyDescent="0.35">
      <c r="G27" s="20">
        <f ca="1">G26+G23</f>
        <v>186000.00004249989</v>
      </c>
      <c r="H27" t="s">
        <v>43</v>
      </c>
    </row>
    <row r="29" spans="1:8" x14ac:dyDescent="0.35">
      <c r="G29" s="21" cm="1">
        <f t="array" aca="1" ref="G29" ca="1">INDIRECT(A1&amp;"!p12")</f>
        <v>185196000</v>
      </c>
      <c r="H2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FCEA-BFA0-4690-88D2-C349DD68B29D}">
  <dimension ref="A1:P37"/>
  <sheetViews>
    <sheetView zoomScale="74" workbookViewId="0"/>
  </sheetViews>
  <sheetFormatPr defaultRowHeight="14.5" x14ac:dyDescent="0.35"/>
  <cols>
    <col min="3" max="3" width="40.36328125" bestFit="1" customWidth="1"/>
    <col min="4" max="4" width="9.36328125" bestFit="1" customWidth="1"/>
    <col min="5" max="8" width="10.453125" bestFit="1" customWidth="1"/>
    <col min="15" max="15" width="10.6328125" bestFit="1" customWidth="1"/>
    <col min="16" max="16" width="22.08984375" bestFit="1" customWidth="1"/>
  </cols>
  <sheetData>
    <row r="1" spans="1:16" x14ac:dyDescent="0.35">
      <c r="A1" s="6" t="s">
        <v>23</v>
      </c>
      <c r="B1" s="23" t="s">
        <v>49</v>
      </c>
      <c r="C1" t="s">
        <v>32</v>
      </c>
      <c r="D1" t="s">
        <v>0</v>
      </c>
      <c r="E1" s="9">
        <v>43830</v>
      </c>
      <c r="F1" s="9">
        <v>43465</v>
      </c>
      <c r="G1" s="9">
        <v>43100</v>
      </c>
      <c r="H1" s="9">
        <v>42735</v>
      </c>
    </row>
    <row r="2" spans="1:16" x14ac:dyDescent="0.35">
      <c r="C2" t="s">
        <v>8</v>
      </c>
      <c r="D2" s="4">
        <v>6112000</v>
      </c>
      <c r="E2" s="4">
        <v>11104000</v>
      </c>
      <c r="F2" s="4">
        <v>12934000</v>
      </c>
      <c r="G2" s="4">
        <v>7077000</v>
      </c>
      <c r="H2" s="4">
        <v>4403000</v>
      </c>
      <c r="O2" t="s">
        <v>10</v>
      </c>
      <c r="P2">
        <v>1.9</v>
      </c>
    </row>
    <row r="3" spans="1:16" x14ac:dyDescent="0.35">
      <c r="C3" t="s">
        <v>9</v>
      </c>
      <c r="D3" s="4">
        <v>-7408000</v>
      </c>
      <c r="E3" s="4">
        <v>-6618000</v>
      </c>
      <c r="F3" s="4">
        <v>-3843000</v>
      </c>
      <c r="G3" s="4">
        <v>7762000</v>
      </c>
      <c r="H3" s="4">
        <v>-3859000</v>
      </c>
      <c r="O3" t="s">
        <v>11</v>
      </c>
      <c r="P3">
        <v>2</v>
      </c>
    </row>
    <row r="4" spans="1:16" x14ac:dyDescent="0.35">
      <c r="C4" t="s">
        <v>25</v>
      </c>
      <c r="D4" s="4">
        <v>-3326000</v>
      </c>
      <c r="E4" s="4">
        <v>-5229000</v>
      </c>
      <c r="F4" s="4">
        <v>-9359000</v>
      </c>
      <c r="G4" s="4">
        <v>-12356000</v>
      </c>
      <c r="H4" s="4">
        <v>764000</v>
      </c>
      <c r="O4" t="s">
        <v>12</v>
      </c>
      <c r="P4">
        <v>5</v>
      </c>
    </row>
    <row r="5" spans="1:16" x14ac:dyDescent="0.35">
      <c r="C5" t="s">
        <v>26</v>
      </c>
      <c r="D5" s="4">
        <v>2836000</v>
      </c>
      <c r="E5" s="4">
        <v>5362000</v>
      </c>
      <c r="F5" s="4">
        <v>6151000</v>
      </c>
      <c r="G5" s="4">
        <v>6325000</v>
      </c>
      <c r="H5" s="4">
        <v>3610000</v>
      </c>
    </row>
    <row r="6" spans="1:16" x14ac:dyDescent="0.35">
      <c r="C6" t="s">
        <v>27</v>
      </c>
      <c r="D6" s="4">
        <v>-5252000</v>
      </c>
      <c r="E6" s="4">
        <v>-6636000</v>
      </c>
      <c r="F6" s="4">
        <v>-6750000</v>
      </c>
      <c r="G6" s="4">
        <v>-4591000</v>
      </c>
      <c r="H6" s="4">
        <v>-4869000</v>
      </c>
      <c r="O6" t="s">
        <v>13</v>
      </c>
      <c r="P6" s="10">
        <f>(P3+P4*P2)/100</f>
        <v>0.115</v>
      </c>
    </row>
    <row r="8" spans="1:16" x14ac:dyDescent="0.35">
      <c r="E8" s="3"/>
      <c r="O8" t="s">
        <v>14</v>
      </c>
      <c r="P8" s="7">
        <v>14895000</v>
      </c>
    </row>
    <row r="9" spans="1:16" ht="15" thickBot="1" x14ac:dyDescent="0.4">
      <c r="E9" s="5"/>
      <c r="O9" t="s">
        <v>15</v>
      </c>
      <c r="P9" s="7">
        <v>800000</v>
      </c>
    </row>
    <row r="10" spans="1:16" ht="15" thickBot="1" x14ac:dyDescent="0.4">
      <c r="E10" s="5"/>
      <c r="O10" t="s">
        <v>16</v>
      </c>
      <c r="P10" s="10">
        <f>P9/P8</f>
        <v>5.3709298422289359E-2</v>
      </c>
    </row>
    <row r="11" spans="1:16" ht="15" thickBot="1" x14ac:dyDescent="0.4">
      <c r="E11" s="5"/>
      <c r="P11" s="10"/>
    </row>
    <row r="12" spans="1:16" ht="15" thickBot="1" x14ac:dyDescent="0.4">
      <c r="E12" s="5"/>
      <c r="O12" t="s">
        <v>17</v>
      </c>
      <c r="P12" s="7">
        <v>43767000</v>
      </c>
    </row>
    <row r="13" spans="1:16" ht="15" thickBot="1" x14ac:dyDescent="0.4">
      <c r="E13" s="5"/>
      <c r="O13" t="s">
        <v>18</v>
      </c>
      <c r="P13" s="7">
        <f>P12+P8</f>
        <v>58662000</v>
      </c>
    </row>
    <row r="14" spans="1:16" x14ac:dyDescent="0.35">
      <c r="E14" s="3"/>
    </row>
    <row r="15" spans="1:16" ht="15" thickBot="1" x14ac:dyDescent="0.4">
      <c r="E15" s="5"/>
      <c r="O15" t="s">
        <v>19</v>
      </c>
      <c r="P15" s="10">
        <f>P12/P13</f>
        <v>0.74608775698066887</v>
      </c>
    </row>
    <row r="16" spans="1:16" ht="15" thickBot="1" x14ac:dyDescent="0.4">
      <c r="E16" s="5"/>
      <c r="O16" t="s">
        <v>20</v>
      </c>
      <c r="P16" s="10">
        <f>1-P15</f>
        <v>0.25391224301933113</v>
      </c>
    </row>
    <row r="17" spans="5:16" ht="15" thickBot="1" x14ac:dyDescent="0.4">
      <c r="E17" s="5"/>
    </row>
    <row r="18" spans="5:16" ht="15" thickBot="1" x14ac:dyDescent="0.4">
      <c r="E18" s="5"/>
      <c r="O18" t="s">
        <v>21</v>
      </c>
      <c r="P18" s="10">
        <f>P15*P6</f>
        <v>8.580009205277693E-2</v>
      </c>
    </row>
    <row r="19" spans="5:16" ht="15" thickBot="1" x14ac:dyDescent="0.4">
      <c r="E19" s="5"/>
      <c r="O19" t="s">
        <v>22</v>
      </c>
      <c r="P19" s="10">
        <f>P16*P10</f>
        <v>1.3637448433398114E-2</v>
      </c>
    </row>
    <row r="20" spans="5:16" x14ac:dyDescent="0.35">
      <c r="E20" s="3"/>
      <c r="O20" t="s">
        <v>3</v>
      </c>
      <c r="P20" s="10">
        <f>SUM(P18:P19)</f>
        <v>9.9437540486175049E-2</v>
      </c>
    </row>
    <row r="21" spans="5:16" ht="15" thickBot="1" x14ac:dyDescent="0.4">
      <c r="E21" s="5"/>
    </row>
    <row r="22" spans="5:16" ht="15" thickBot="1" x14ac:dyDescent="0.4">
      <c r="E22" s="5"/>
    </row>
    <row r="23" spans="5:16" ht="15" thickBot="1" x14ac:dyDescent="0.4">
      <c r="E23" s="5"/>
    </row>
    <row r="24" spans="5:16" ht="15" thickBot="1" x14ac:dyDescent="0.4">
      <c r="E24" s="5"/>
    </row>
    <row r="25" spans="5:16" ht="15" thickBot="1" x14ac:dyDescent="0.4">
      <c r="E25" s="5"/>
    </row>
    <row r="26" spans="5:16" x14ac:dyDescent="0.35">
      <c r="E26" s="3"/>
    </row>
    <row r="27" spans="5:16" ht="15" thickBot="1" x14ac:dyDescent="0.4">
      <c r="E27" s="5"/>
    </row>
    <row r="28" spans="5:16" ht="15" thickBot="1" x14ac:dyDescent="0.4">
      <c r="E28" s="5"/>
    </row>
    <row r="29" spans="5:16" ht="15" thickBot="1" x14ac:dyDescent="0.4">
      <c r="E29" s="5"/>
    </row>
    <row r="30" spans="5:16" ht="15" thickBot="1" x14ac:dyDescent="0.4">
      <c r="E30" s="5"/>
    </row>
    <row r="31" spans="5:16" ht="15" thickBot="1" x14ac:dyDescent="0.4">
      <c r="E31" s="5"/>
    </row>
    <row r="32" spans="5:16" x14ac:dyDescent="0.35">
      <c r="E32" s="3"/>
    </row>
    <row r="33" spans="5:5" ht="15" thickBot="1" x14ac:dyDescent="0.4">
      <c r="E33" s="5"/>
    </row>
    <row r="34" spans="5:5" ht="15" thickBot="1" x14ac:dyDescent="0.4">
      <c r="E34" s="5"/>
    </row>
    <row r="35" spans="5:5" ht="15" thickBot="1" x14ac:dyDescent="0.4">
      <c r="E35" s="5"/>
    </row>
    <row r="36" spans="5:5" ht="15" thickBot="1" x14ac:dyDescent="0.4">
      <c r="E36" s="5"/>
    </row>
    <row r="37" spans="5:5" ht="15" thickBot="1" x14ac:dyDescent="0.4">
      <c r="E37" s="5"/>
    </row>
  </sheetData>
  <hyperlinks>
    <hyperlink ref="A1" location="Valuation!A1" display="valuation" xr:uid="{556D142F-3FC2-49D3-B7EF-4407D475EC31}"/>
    <hyperlink ref="B1" r:id="rId1" display="cop" xr:uid="{D48A1A16-3757-451F-B0FB-D3C13FCA08F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8118-FAD5-4EB4-BDE3-95248E6A8E7A}">
  <dimension ref="A1:P20"/>
  <sheetViews>
    <sheetView topLeftCell="C1" zoomScale="81" workbookViewId="0">
      <selection activeCell="D6" sqref="D6:G6"/>
    </sheetView>
  </sheetViews>
  <sheetFormatPr defaultRowHeight="14.5" x14ac:dyDescent="0.35"/>
  <cols>
    <col min="3" max="3" width="53.453125" bestFit="1" customWidth="1"/>
    <col min="4" max="8" width="10.6328125" bestFit="1" customWidth="1"/>
    <col min="15" max="15" width="10.6328125" bestFit="1" customWidth="1"/>
    <col min="16" max="16" width="22.08984375" bestFit="1" customWidth="1"/>
  </cols>
  <sheetData>
    <row r="1" spans="1:16" x14ac:dyDescent="0.35">
      <c r="A1" s="6" t="s">
        <v>24</v>
      </c>
      <c r="B1" s="6" t="s">
        <v>29</v>
      </c>
      <c r="C1" t="s">
        <v>32</v>
      </c>
      <c r="D1" t="s">
        <v>0</v>
      </c>
      <c r="E1" s="9">
        <v>43830</v>
      </c>
      <c r="F1" s="9">
        <v>43465</v>
      </c>
      <c r="G1" s="9">
        <v>43100</v>
      </c>
      <c r="H1" s="9">
        <v>42735</v>
      </c>
    </row>
    <row r="2" spans="1:16" x14ac:dyDescent="0.35">
      <c r="C2" t="s">
        <v>8</v>
      </c>
      <c r="D2" s="4">
        <v>17015000</v>
      </c>
      <c r="E2" s="4">
        <v>29716000</v>
      </c>
      <c r="F2" s="4">
        <v>36014000</v>
      </c>
      <c r="G2" s="4">
        <v>30066000</v>
      </c>
      <c r="H2" s="4">
        <v>22082000</v>
      </c>
      <c r="O2" t="s">
        <v>10</v>
      </c>
      <c r="P2">
        <v>1.33</v>
      </c>
    </row>
    <row r="3" spans="1:16" x14ac:dyDescent="0.35">
      <c r="C3" t="s">
        <v>9</v>
      </c>
      <c r="D3" s="4">
        <v>-19421000</v>
      </c>
      <c r="E3" s="4">
        <v>-23084000</v>
      </c>
      <c r="F3" s="4">
        <v>-16446000</v>
      </c>
      <c r="G3" s="4">
        <v>-15730000</v>
      </c>
      <c r="H3" s="4">
        <v>-12403000</v>
      </c>
      <c r="O3" t="s">
        <v>11</v>
      </c>
      <c r="P3" s="22">
        <v>2</v>
      </c>
    </row>
    <row r="4" spans="1:16" x14ac:dyDescent="0.35">
      <c r="C4" t="s">
        <v>25</v>
      </c>
      <c r="D4" s="4">
        <v>6112000</v>
      </c>
      <c r="E4" s="4">
        <v>-6618000</v>
      </c>
      <c r="F4" s="4">
        <v>-19446000</v>
      </c>
      <c r="G4" s="4">
        <v>-15130000</v>
      </c>
      <c r="H4" s="4">
        <v>-9293000</v>
      </c>
      <c r="O4" t="s">
        <v>12</v>
      </c>
      <c r="P4" s="22">
        <v>5</v>
      </c>
    </row>
    <row r="5" spans="1:16" x14ac:dyDescent="0.35">
      <c r="C5" t="s">
        <v>26</v>
      </c>
      <c r="D5" s="4">
        <v>9057000</v>
      </c>
      <c r="E5" s="4">
        <v>3089000</v>
      </c>
      <c r="F5" s="4">
        <v>3042000</v>
      </c>
      <c r="G5" s="4">
        <v>3177000</v>
      </c>
      <c r="H5" s="4">
        <v>3657000</v>
      </c>
    </row>
    <row r="6" spans="1:16" x14ac:dyDescent="0.35">
      <c r="C6" t="s">
        <v>27</v>
      </c>
      <c r="D6" s="4">
        <v>-20357000</v>
      </c>
      <c r="E6" s="4">
        <v>-24361000</v>
      </c>
      <c r="F6" s="4">
        <v>-19574000</v>
      </c>
      <c r="G6" s="4">
        <v>-15402000</v>
      </c>
      <c r="H6" s="4">
        <v>-16163000</v>
      </c>
      <c r="O6" t="s">
        <v>13</v>
      </c>
      <c r="P6" s="10">
        <f>(P3+P4*P2)/100</f>
        <v>8.6500000000000007E-2</v>
      </c>
    </row>
    <row r="8" spans="1:16" x14ac:dyDescent="0.35">
      <c r="O8" t="s">
        <v>14</v>
      </c>
      <c r="P8" s="7">
        <v>46920000</v>
      </c>
    </row>
    <row r="9" spans="1:16" x14ac:dyDescent="0.35">
      <c r="O9" t="s">
        <v>15</v>
      </c>
      <c r="P9" s="7">
        <v>1046000</v>
      </c>
    </row>
    <row r="10" spans="1:16" x14ac:dyDescent="0.35">
      <c r="O10" t="s">
        <v>16</v>
      </c>
      <c r="P10" s="10">
        <f>P9/P8</f>
        <v>2.2293265132139813E-2</v>
      </c>
    </row>
    <row r="11" spans="1:16" x14ac:dyDescent="0.35">
      <c r="P11" s="11"/>
    </row>
    <row r="12" spans="1:16" x14ac:dyDescent="0.35">
      <c r="O12" t="s">
        <v>17</v>
      </c>
      <c r="P12" s="7">
        <v>185196000</v>
      </c>
    </row>
    <row r="13" spans="1:16" x14ac:dyDescent="0.35">
      <c r="O13" t="s">
        <v>18</v>
      </c>
      <c r="P13" s="7">
        <f>P12+P8</f>
        <v>232116000</v>
      </c>
    </row>
    <row r="15" spans="1:16" x14ac:dyDescent="0.35">
      <c r="O15" t="s">
        <v>19</v>
      </c>
      <c r="P15" s="10">
        <f>P12/P13</f>
        <v>0.79785969084423303</v>
      </c>
    </row>
    <row r="16" spans="1:16" x14ac:dyDescent="0.35">
      <c r="O16" t="s">
        <v>20</v>
      </c>
      <c r="P16" s="11">
        <f>1-P15</f>
        <v>0.20214030915576697</v>
      </c>
    </row>
    <row r="18" spans="15:16" x14ac:dyDescent="0.35">
      <c r="O18" t="s">
        <v>21</v>
      </c>
      <c r="P18" s="10">
        <f>P15*P6</f>
        <v>6.9014863258026166E-2</v>
      </c>
    </row>
    <row r="19" spans="15:16" x14ac:dyDescent="0.35">
      <c r="O19" t="s">
        <v>22</v>
      </c>
      <c r="P19" s="10">
        <f>P16*P10</f>
        <v>4.5063675059022219E-3</v>
      </c>
    </row>
    <row r="20" spans="15:16" x14ac:dyDescent="0.35">
      <c r="O20" t="s">
        <v>3</v>
      </c>
      <c r="P20" s="10">
        <f>SUM(P18:P19)</f>
        <v>7.3521230763928386E-2</v>
      </c>
    </row>
  </sheetData>
  <hyperlinks>
    <hyperlink ref="A1" location="Valuation!A1" display="Valuation" xr:uid="{340E173F-3359-43BD-9D62-AE77DCC85F8A}"/>
    <hyperlink ref="B1" r:id="rId1" display="xom" xr:uid="{F9241EA9-F1A9-4726-8C1F-02A37E090A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6F31-729B-4A20-ACC2-35178AE54ACA}">
  <dimension ref="A1:P20"/>
  <sheetViews>
    <sheetView zoomScale="70" workbookViewId="0">
      <selection activeCell="P13" sqref="P13"/>
    </sheetView>
  </sheetViews>
  <sheetFormatPr defaultRowHeight="14.5" x14ac:dyDescent="0.35"/>
  <cols>
    <col min="3" max="3" width="53.453125" bestFit="1" customWidth="1"/>
    <col min="4" max="8" width="10.90625" bestFit="1" customWidth="1"/>
    <col min="15" max="15" width="10.6328125" bestFit="1" customWidth="1"/>
    <col min="16" max="16" width="22.08984375" bestFit="1" customWidth="1"/>
  </cols>
  <sheetData>
    <row r="1" spans="1:16" x14ac:dyDescent="0.35">
      <c r="A1" s="6" t="s">
        <v>24</v>
      </c>
      <c r="B1" s="6" t="s">
        <v>31</v>
      </c>
      <c r="C1" t="s">
        <v>32</v>
      </c>
      <c r="D1" t="s">
        <v>0</v>
      </c>
      <c r="E1" s="9">
        <v>43830</v>
      </c>
      <c r="F1" s="9">
        <v>43465</v>
      </c>
      <c r="G1" s="9">
        <v>43100</v>
      </c>
      <c r="H1" s="9">
        <v>42735</v>
      </c>
    </row>
    <row r="2" spans="1:16" x14ac:dyDescent="0.35">
      <c r="C2" t="s">
        <v>8</v>
      </c>
      <c r="D2" s="4">
        <v>13996000</v>
      </c>
      <c r="E2" s="4">
        <v>27314000</v>
      </c>
      <c r="F2" s="4">
        <v>30618000</v>
      </c>
      <c r="G2" s="4">
        <v>20515000</v>
      </c>
      <c r="H2" s="4">
        <v>12846000</v>
      </c>
      <c r="O2" t="s">
        <v>10</v>
      </c>
      <c r="P2">
        <v>1.33</v>
      </c>
    </row>
    <row r="3" spans="1:16" x14ac:dyDescent="0.35">
      <c r="C3" t="s">
        <v>9</v>
      </c>
      <c r="D3" s="4">
        <v>-8897000</v>
      </c>
      <c r="E3" s="4">
        <v>-11458000</v>
      </c>
      <c r="F3" s="4">
        <v>-12290000</v>
      </c>
      <c r="G3" s="4">
        <v>-8201000</v>
      </c>
      <c r="H3" s="4">
        <v>-16852000</v>
      </c>
      <c r="O3" t="s">
        <v>11</v>
      </c>
      <c r="P3">
        <v>2</v>
      </c>
    </row>
    <row r="4" spans="1:16" x14ac:dyDescent="0.35">
      <c r="C4" t="s">
        <v>25</v>
      </c>
      <c r="D4" s="4">
        <v>-10322000</v>
      </c>
      <c r="E4" s="4">
        <v>-19758000</v>
      </c>
      <c r="F4" s="4">
        <v>-13699000</v>
      </c>
      <c r="G4" s="4">
        <v>-14554000</v>
      </c>
      <c r="H4" s="4">
        <v>25000</v>
      </c>
      <c r="O4" t="s">
        <v>12</v>
      </c>
      <c r="P4">
        <v>5</v>
      </c>
    </row>
    <row r="5" spans="1:16" s="12" customFormat="1" x14ac:dyDescent="0.35">
      <c r="D5" s="13"/>
      <c r="E5" s="13"/>
      <c r="F5" s="13"/>
      <c r="G5" s="13"/>
      <c r="H5" s="13"/>
    </row>
    <row r="6" spans="1:16" x14ac:dyDescent="0.35">
      <c r="C6" t="s">
        <v>27</v>
      </c>
      <c r="D6" s="4">
        <v>-11065000</v>
      </c>
      <c r="E6" s="4">
        <v>-14116000</v>
      </c>
      <c r="F6" s="4">
        <v>-13792000</v>
      </c>
      <c r="G6" s="4">
        <v>-13404000</v>
      </c>
      <c r="H6" s="4">
        <v>-18109000</v>
      </c>
      <c r="O6" t="s">
        <v>13</v>
      </c>
      <c r="P6" s="10">
        <f>(P3+P4*P2)/100</f>
        <v>8.6500000000000007E-2</v>
      </c>
    </row>
    <row r="7" spans="1:16" x14ac:dyDescent="0.35">
      <c r="D7" s="4"/>
      <c r="E7" s="4"/>
      <c r="F7" s="4"/>
    </row>
    <row r="8" spans="1:16" x14ac:dyDescent="0.35">
      <c r="D8" s="4"/>
      <c r="E8" s="4"/>
      <c r="F8" s="4"/>
      <c r="O8" t="s">
        <v>14</v>
      </c>
      <c r="P8" s="7">
        <v>26973000</v>
      </c>
    </row>
    <row r="9" spans="1:16" x14ac:dyDescent="0.35">
      <c r="O9" t="s">
        <v>15</v>
      </c>
      <c r="P9" s="7">
        <v>676000</v>
      </c>
    </row>
    <row r="10" spans="1:16" x14ac:dyDescent="0.35">
      <c r="O10" t="s">
        <v>16</v>
      </c>
      <c r="P10" s="10">
        <f>P9/P8</f>
        <v>2.5062099136173209E-2</v>
      </c>
    </row>
    <row r="11" spans="1:16" x14ac:dyDescent="0.35">
      <c r="P11" s="7"/>
    </row>
    <row r="12" spans="1:16" x14ac:dyDescent="0.35">
      <c r="O12" t="s">
        <v>17</v>
      </c>
      <c r="P12" s="7">
        <v>177967000</v>
      </c>
    </row>
    <row r="13" spans="1:16" x14ac:dyDescent="0.35">
      <c r="O13" t="s">
        <v>18</v>
      </c>
      <c r="P13" s="7">
        <f>P12+P8</f>
        <v>204940000</v>
      </c>
    </row>
    <row r="15" spans="1:16" x14ac:dyDescent="0.35">
      <c r="O15" t="s">
        <v>19</v>
      </c>
      <c r="P15" s="10">
        <f>P12/P13</f>
        <v>0.8683858690348395</v>
      </c>
    </row>
    <row r="16" spans="1:16" x14ac:dyDescent="0.35">
      <c r="O16" t="s">
        <v>20</v>
      </c>
      <c r="P16" s="10">
        <f>1-P15</f>
        <v>0.1316141309651605</v>
      </c>
    </row>
    <row r="18" spans="15:16" x14ac:dyDescent="0.35">
      <c r="O18" t="s">
        <v>21</v>
      </c>
      <c r="P18" s="11">
        <f>P15*P6</f>
        <v>7.511537767151362E-2</v>
      </c>
    </row>
    <row r="19" spans="15:16" x14ac:dyDescent="0.35">
      <c r="O19" t="s">
        <v>22</v>
      </c>
      <c r="P19" s="10">
        <f>P16*P10</f>
        <v>3.2985263979701369E-3</v>
      </c>
    </row>
    <row r="20" spans="15:16" x14ac:dyDescent="0.35">
      <c r="O20" t="s">
        <v>3</v>
      </c>
      <c r="P20" s="11">
        <f>SUM(P18:P19)</f>
        <v>7.8413904069483759E-2</v>
      </c>
    </row>
  </sheetData>
  <hyperlinks>
    <hyperlink ref="A1" location="Valuation!A1" display="Valuation" xr:uid="{94692CD2-6473-4DD2-B4E2-7E758648A866}"/>
    <hyperlink ref="B1" r:id="rId1" xr:uid="{8BF1F904-CB25-4E3B-B438-4AD1AFA6DF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608A-BC1A-4191-BC36-96AF77430BD9}">
  <dimension ref="A1:P20"/>
  <sheetViews>
    <sheetView zoomScale="68" workbookViewId="0">
      <selection activeCell="AK12" sqref="AK12"/>
    </sheetView>
  </sheetViews>
  <sheetFormatPr defaultRowHeight="14.5" x14ac:dyDescent="0.35"/>
  <cols>
    <col min="2" max="2" width="5.90625" bestFit="1" customWidth="1"/>
    <col min="3" max="3" width="53.453125" bestFit="1" customWidth="1"/>
    <col min="4" max="8" width="10.36328125" bestFit="1" customWidth="1"/>
    <col min="15" max="15" width="10.6328125" bestFit="1" customWidth="1"/>
    <col min="16" max="16" width="22.08984375" bestFit="1" customWidth="1"/>
  </cols>
  <sheetData>
    <row r="1" spans="1:16" x14ac:dyDescent="0.35">
      <c r="A1" s="6" t="s">
        <v>24</v>
      </c>
      <c r="B1" s="6" t="s">
        <v>28</v>
      </c>
      <c r="C1" t="s">
        <v>32</v>
      </c>
      <c r="D1" t="s">
        <v>0</v>
      </c>
      <c r="E1" s="9">
        <v>43830</v>
      </c>
      <c r="F1" s="9">
        <v>43465</v>
      </c>
      <c r="G1" s="9">
        <v>43100</v>
      </c>
      <c r="H1" s="9">
        <v>42735</v>
      </c>
    </row>
    <row r="2" spans="1:16" x14ac:dyDescent="0.35">
      <c r="C2" t="s">
        <v>8</v>
      </c>
      <c r="D2" s="4">
        <v>38083000</v>
      </c>
      <c r="E2" s="4">
        <v>42178000</v>
      </c>
      <c r="F2" s="4">
        <v>53085000</v>
      </c>
      <c r="G2" s="4">
        <v>35650000</v>
      </c>
      <c r="H2" s="4">
        <v>20615000</v>
      </c>
      <c r="O2" t="s">
        <v>10</v>
      </c>
      <c r="P2">
        <v>0.99</v>
      </c>
    </row>
    <row r="3" spans="1:16" x14ac:dyDescent="0.35">
      <c r="C3" t="s">
        <v>9</v>
      </c>
      <c r="D3" s="4">
        <v>-12732000</v>
      </c>
      <c r="E3" s="4">
        <v>-15779000</v>
      </c>
      <c r="F3" s="4">
        <v>-13659000</v>
      </c>
      <c r="G3" s="4">
        <v>-8029000</v>
      </c>
      <c r="H3" s="4">
        <v>-30963000</v>
      </c>
      <c r="O3" t="s">
        <v>11</v>
      </c>
      <c r="P3">
        <v>2</v>
      </c>
    </row>
    <row r="4" spans="1:16" x14ac:dyDescent="0.35">
      <c r="C4" t="s">
        <v>25</v>
      </c>
      <c r="D4" s="4">
        <v>-4948000</v>
      </c>
      <c r="E4" s="4">
        <v>-35209000</v>
      </c>
      <c r="F4" s="4">
        <v>-32548000</v>
      </c>
      <c r="G4" s="4">
        <v>-27086000</v>
      </c>
      <c r="H4" s="4">
        <v>-771000</v>
      </c>
      <c r="O4" t="s">
        <v>12</v>
      </c>
      <c r="P4">
        <v>5</v>
      </c>
    </row>
    <row r="5" spans="1:16" x14ac:dyDescent="0.35">
      <c r="C5" t="s">
        <v>26</v>
      </c>
      <c r="D5" s="4">
        <v>35820000</v>
      </c>
      <c r="E5" s="4">
        <v>18055000</v>
      </c>
      <c r="F5" s="4">
        <v>26741000</v>
      </c>
      <c r="G5" s="4">
        <v>20312000</v>
      </c>
      <c r="H5" s="4">
        <v>19130000</v>
      </c>
    </row>
    <row r="6" spans="1:16" x14ac:dyDescent="0.35">
      <c r="C6" t="s">
        <v>27</v>
      </c>
      <c r="D6" s="4">
        <v>-18086000</v>
      </c>
      <c r="E6" s="4">
        <v>-22971000</v>
      </c>
      <c r="F6" s="4">
        <v>-23011000</v>
      </c>
      <c r="G6" s="4">
        <v>-20845000</v>
      </c>
      <c r="H6" s="4">
        <v>-22116000</v>
      </c>
      <c r="O6" t="s">
        <v>13</v>
      </c>
      <c r="P6" s="10">
        <f>(P3+P4*P2)/100</f>
        <v>6.9500000000000006E-2</v>
      </c>
    </row>
    <row r="8" spans="1:16" x14ac:dyDescent="0.35">
      <c r="O8" t="s">
        <v>14</v>
      </c>
      <c r="P8" s="7">
        <v>96424000</v>
      </c>
    </row>
    <row r="9" spans="1:16" x14ac:dyDescent="0.35">
      <c r="O9" t="s">
        <v>15</v>
      </c>
      <c r="P9" s="7">
        <v>3449000</v>
      </c>
    </row>
    <row r="10" spans="1:16" x14ac:dyDescent="0.35">
      <c r="O10" t="s">
        <v>16</v>
      </c>
      <c r="P10" s="10">
        <f>P9/P8</f>
        <v>3.5769103127851989E-2</v>
      </c>
    </row>
    <row r="12" spans="1:16" x14ac:dyDescent="0.35">
      <c r="O12" t="s">
        <v>17</v>
      </c>
      <c r="P12" s="7">
        <v>147246000</v>
      </c>
    </row>
    <row r="13" spans="1:16" x14ac:dyDescent="0.35">
      <c r="O13" t="s">
        <v>18</v>
      </c>
      <c r="P13" s="7">
        <f>P12+P8</f>
        <v>243670000</v>
      </c>
    </row>
    <row r="15" spans="1:16" x14ac:dyDescent="0.35">
      <c r="O15" t="s">
        <v>19</v>
      </c>
      <c r="P15" s="10">
        <f>P12/P13</f>
        <v>0.60428448311240612</v>
      </c>
    </row>
    <row r="16" spans="1:16" x14ac:dyDescent="0.35">
      <c r="O16" t="s">
        <v>20</v>
      </c>
      <c r="P16" s="11">
        <f>1-P15</f>
        <v>0.39571551688759388</v>
      </c>
    </row>
    <row r="18" spans="15:16" x14ac:dyDescent="0.35">
      <c r="O18" t="s">
        <v>21</v>
      </c>
      <c r="P18" s="11">
        <f>P15*P6</f>
        <v>4.199777157631223E-2</v>
      </c>
    </row>
    <row r="19" spans="15:16" x14ac:dyDescent="0.35">
      <c r="O19" t="s">
        <v>22</v>
      </c>
      <c r="P19" s="10">
        <f>P16*P10</f>
        <v>1.4154389132843601E-2</v>
      </c>
    </row>
    <row r="20" spans="15:16" x14ac:dyDescent="0.35">
      <c r="O20" t="s">
        <v>3</v>
      </c>
      <c r="P20" s="11">
        <f>SUM(P18:P19)</f>
        <v>5.6152160709155831E-2</v>
      </c>
    </row>
  </sheetData>
  <hyperlinks>
    <hyperlink ref="A1" location="Valuation!A1" display="Valuation" xr:uid="{8E0A6A2E-C895-4DCC-BF83-36F7949A56FB}"/>
    <hyperlink ref="B1" r:id="rId1" display="rds-a" xr:uid="{8CA8A3B7-A9D8-4F85-AE31-D70CFB039F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021-7443-4B9C-8517-8BE287702BE8}">
  <dimension ref="A1:P20"/>
  <sheetViews>
    <sheetView zoomScale="74" workbookViewId="0">
      <selection activeCell="C19" sqref="C19"/>
    </sheetView>
  </sheetViews>
  <sheetFormatPr defaultRowHeight="14.5" x14ac:dyDescent="0.35"/>
  <cols>
    <col min="3" max="3" width="53.453125" bestFit="1" customWidth="1"/>
    <col min="4" max="8" width="10.36328125" bestFit="1" customWidth="1"/>
    <col min="15" max="15" width="10.6328125" bestFit="1" customWidth="1"/>
    <col min="16" max="16" width="16.54296875" bestFit="1" customWidth="1"/>
    <col min="17" max="17" width="22.08984375" bestFit="1" customWidth="1"/>
  </cols>
  <sheetData>
    <row r="1" spans="1:16" x14ac:dyDescent="0.35">
      <c r="A1" s="6" t="s">
        <v>24</v>
      </c>
      <c r="B1" s="6" t="s">
        <v>30</v>
      </c>
      <c r="C1" t="s">
        <v>32</v>
      </c>
      <c r="D1" t="s">
        <v>0</v>
      </c>
      <c r="E1" s="9">
        <v>43830</v>
      </c>
      <c r="F1" s="9">
        <v>43465</v>
      </c>
      <c r="G1" s="9">
        <v>43100</v>
      </c>
      <c r="H1" s="9">
        <v>42735</v>
      </c>
    </row>
    <row r="2" spans="1:16" x14ac:dyDescent="0.35">
      <c r="C2" t="s">
        <v>8</v>
      </c>
      <c r="D2" s="4">
        <v>21426000</v>
      </c>
      <c r="E2" s="4">
        <v>25770000</v>
      </c>
      <c r="F2" s="4">
        <v>22873000</v>
      </c>
      <c r="G2" s="4">
        <v>18931000</v>
      </c>
      <c r="H2" s="4">
        <v>10691000</v>
      </c>
      <c r="O2" t="s">
        <v>10</v>
      </c>
      <c r="P2">
        <v>0.7</v>
      </c>
    </row>
    <row r="3" spans="1:16" x14ac:dyDescent="0.35">
      <c r="C3" t="s">
        <v>9</v>
      </c>
      <c r="D3" s="4">
        <v>-15111000</v>
      </c>
      <c r="E3" s="4">
        <v>-16974000</v>
      </c>
      <c r="F3" s="4">
        <v>-21571000</v>
      </c>
      <c r="G3" s="4">
        <v>-14077000</v>
      </c>
      <c r="H3" s="4">
        <v>-14753000</v>
      </c>
      <c r="O3" t="s">
        <v>11</v>
      </c>
      <c r="P3">
        <v>2</v>
      </c>
    </row>
    <row r="4" spans="1:16" x14ac:dyDescent="0.35">
      <c r="C4" t="s">
        <v>25</v>
      </c>
      <c r="D4" s="4">
        <v>-9242000</v>
      </c>
      <c r="E4" s="4">
        <v>-8817000</v>
      </c>
      <c r="F4" s="4">
        <v>-4079000</v>
      </c>
      <c r="G4" s="4">
        <v>-3296000</v>
      </c>
      <c r="H4" s="4">
        <v>1977000</v>
      </c>
      <c r="O4" t="s">
        <v>12</v>
      </c>
      <c r="P4">
        <v>5</v>
      </c>
    </row>
    <row r="5" spans="1:16" x14ac:dyDescent="0.35">
      <c r="C5" t="s">
        <v>26</v>
      </c>
      <c r="D5" s="4">
        <v>18329000</v>
      </c>
      <c r="E5" s="4">
        <v>22472000</v>
      </c>
      <c r="F5" s="4">
        <v>22468000</v>
      </c>
      <c r="G5" s="4">
        <v>25586000</v>
      </c>
      <c r="H5" s="4">
        <v>23484000</v>
      </c>
    </row>
    <row r="6" spans="1:16" x14ac:dyDescent="0.35">
      <c r="C6" t="s">
        <v>27</v>
      </c>
      <c r="D6" s="4">
        <v>-15512000</v>
      </c>
      <c r="E6" s="4">
        <v>-15418000</v>
      </c>
      <c r="F6" s="4">
        <v>-16707000</v>
      </c>
      <c r="G6" s="4">
        <v>-16562000</v>
      </c>
      <c r="H6" s="4">
        <v>-16701000</v>
      </c>
      <c r="O6" t="s">
        <v>13</v>
      </c>
      <c r="P6" s="10">
        <f>(P3+P4*P2)/100</f>
        <v>5.5E-2</v>
      </c>
    </row>
    <row r="8" spans="1:16" x14ac:dyDescent="0.35">
      <c r="O8" t="s">
        <v>14</v>
      </c>
      <c r="P8" s="7">
        <v>77446000</v>
      </c>
    </row>
    <row r="9" spans="1:16" x14ac:dyDescent="0.35">
      <c r="O9" t="s">
        <v>15</v>
      </c>
      <c r="P9" s="7">
        <v>2331000</v>
      </c>
    </row>
    <row r="10" spans="1:16" x14ac:dyDescent="0.35">
      <c r="O10" t="s">
        <v>16</v>
      </c>
      <c r="P10" s="10">
        <f>P9/P8</f>
        <v>3.0098391137050332E-2</v>
      </c>
    </row>
    <row r="11" spans="1:16" x14ac:dyDescent="0.35">
      <c r="P11" s="11"/>
    </row>
    <row r="12" spans="1:16" x14ac:dyDescent="0.35">
      <c r="O12" t="s">
        <v>17</v>
      </c>
      <c r="P12" s="7">
        <v>74219000</v>
      </c>
    </row>
    <row r="13" spans="1:16" x14ac:dyDescent="0.35">
      <c r="O13" t="s">
        <v>18</v>
      </c>
      <c r="P13" s="7">
        <f>P12+P8</f>
        <v>151665000</v>
      </c>
    </row>
    <row r="15" spans="1:16" x14ac:dyDescent="0.35">
      <c r="O15" t="s">
        <v>19</v>
      </c>
      <c r="P15" s="10">
        <f>P12/P13</f>
        <v>0.48936142155408302</v>
      </c>
    </row>
    <row r="16" spans="1:16" x14ac:dyDescent="0.35">
      <c r="O16" t="s">
        <v>20</v>
      </c>
      <c r="P16" s="11">
        <f>1-P15</f>
        <v>0.51063857844591698</v>
      </c>
    </row>
    <row r="18" spans="15:16" x14ac:dyDescent="0.35">
      <c r="O18" t="s">
        <v>21</v>
      </c>
      <c r="P18" s="10">
        <f>P15*P6</f>
        <v>2.6914878185474566E-2</v>
      </c>
    </row>
    <row r="19" spans="15:16" x14ac:dyDescent="0.35">
      <c r="O19" t="s">
        <v>22</v>
      </c>
      <c r="P19" s="10">
        <f>P16*P10</f>
        <v>1.5369399663732568E-2</v>
      </c>
    </row>
    <row r="20" spans="15:16" x14ac:dyDescent="0.35">
      <c r="O20" t="s">
        <v>3</v>
      </c>
      <c r="P20" s="10">
        <f>SUM(P18:P19)</f>
        <v>4.228427784920713E-2</v>
      </c>
    </row>
  </sheetData>
  <hyperlinks>
    <hyperlink ref="A1" location="Valuation!A1" display="Valuation" xr:uid="{408EB0EE-4C7A-4A93-81BF-F6E919C60055}"/>
    <hyperlink ref="B1" r:id="rId1" xr:uid="{F10D0F5F-DAE6-49AD-B507-FAB4A2F1D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Valuation</vt:lpstr>
      <vt:lpstr>COP</vt:lpstr>
      <vt:lpstr>XOM</vt:lpstr>
      <vt:lpstr>CVX</vt:lpstr>
      <vt:lpstr>RDS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</dc:creator>
  <cp:lastModifiedBy>mikec</cp:lastModifiedBy>
  <dcterms:created xsi:type="dcterms:W3CDTF">2020-12-12T21:32:45Z</dcterms:created>
  <dcterms:modified xsi:type="dcterms:W3CDTF">2020-12-20T17:40:17Z</dcterms:modified>
</cp:coreProperties>
</file>