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c\Google Drive\credit analysis-NYU else\"/>
    </mc:Choice>
  </mc:AlternateContent>
  <xr:revisionPtr revIDLastSave="0" documentId="13_ncr:1_{54ADD4D6-4C52-41A0-8C8D-06189182A6EC}" xr6:coauthVersionLast="45" xr6:coauthVersionMax="45" xr10:uidLastSave="{00000000-0000-0000-0000-000000000000}"/>
  <bookViews>
    <workbookView xWindow="-110" yWindow="-110" windowWidth="19420" windowHeight="10420" xr2:uid="{A24B36EC-07A5-43ED-8656-42B5C4CE9F26}"/>
  </bookViews>
  <sheets>
    <sheet name="q1" sheetId="8" r:id="rId1"/>
    <sheet name="q2" sheetId="1" r:id="rId2"/>
    <sheet name="q3" sheetId="2" r:id="rId3"/>
    <sheet name="q4" sheetId="3" r:id="rId4"/>
    <sheet name="q5" sheetId="4" r:id="rId5"/>
    <sheet name="q6" sheetId="5" r:id="rId6"/>
    <sheet name="q7" sheetId="6" r:id="rId7"/>
    <sheet name="q8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8" l="1"/>
  <c r="D24" i="8"/>
  <c r="D23" i="8"/>
  <c r="D16" i="8"/>
  <c r="B7" i="8"/>
  <c r="D8" i="8" s="1"/>
  <c r="G6" i="8"/>
  <c r="D5" i="8"/>
  <c r="D4" i="8"/>
  <c r="D15" i="8" s="1"/>
  <c r="E10" i="8"/>
  <c r="H6" i="8"/>
  <c r="E6" i="8"/>
  <c r="D25" i="8" l="1"/>
  <c r="F25" i="8" s="1"/>
  <c r="D6" i="8"/>
  <c r="F6" i="8" s="1"/>
  <c r="D17" i="8"/>
  <c r="D19" i="8" s="1"/>
  <c r="D10" i="8"/>
  <c r="D11" i="8" s="1"/>
  <c r="B11" i="7"/>
  <c r="B10" i="7"/>
  <c r="B9" i="7"/>
  <c r="B6" i="7"/>
  <c r="B5" i="7"/>
  <c r="E13" i="6" l="1"/>
  <c r="E12" i="6"/>
  <c r="Q8" i="6"/>
  <c r="Q7" i="6"/>
  <c r="P7" i="6"/>
  <c r="O7" i="6"/>
  <c r="Q6" i="6"/>
  <c r="Q5" i="6"/>
  <c r="Q4" i="6"/>
  <c r="N7" i="6"/>
  <c r="K6" i="6"/>
  <c r="K5" i="6"/>
  <c r="N6" i="6"/>
  <c r="P6" i="6"/>
  <c r="P5" i="6"/>
  <c r="P4" i="6"/>
  <c r="N8" i="6"/>
  <c r="D11" i="6" s="1"/>
  <c r="M7" i="6"/>
  <c r="M6" i="6"/>
  <c r="M5" i="6"/>
  <c r="M4" i="6"/>
  <c r="K7" i="6"/>
  <c r="D10" i="6" s="1"/>
  <c r="J6" i="6"/>
  <c r="J5" i="6"/>
  <c r="J4" i="6"/>
  <c r="O5" i="6"/>
  <c r="O6" i="6" s="1"/>
  <c r="N5" i="6"/>
  <c r="L6" i="6"/>
  <c r="L5" i="6"/>
  <c r="N4" i="6"/>
  <c r="I5" i="6"/>
  <c r="K4" i="6"/>
  <c r="D11" i="7"/>
  <c r="D3" i="7"/>
  <c r="D4" i="7"/>
  <c r="D5" i="7"/>
  <c r="D6" i="7"/>
  <c r="D7" i="7"/>
  <c r="D8" i="7"/>
  <c r="D9" i="7"/>
  <c r="D10" i="7"/>
  <c r="D2" i="7"/>
  <c r="D12" i="5" l="1"/>
  <c r="D11" i="5"/>
  <c r="D10" i="5"/>
  <c r="D9" i="5"/>
  <c r="E12" i="5"/>
  <c r="E11" i="5"/>
  <c r="E10" i="5"/>
  <c r="E9" i="5"/>
  <c r="F9" i="5" l="1"/>
  <c r="F11" i="5"/>
  <c r="F10" i="5"/>
  <c r="F12" i="5"/>
  <c r="F13" i="5" l="1"/>
  <c r="F14" i="5" s="1"/>
  <c r="G13" i="5"/>
  <c r="F15" i="5" l="1"/>
  <c r="G14" i="5"/>
  <c r="F16" i="5" l="1"/>
  <c r="G15" i="5"/>
  <c r="F17" i="5" l="1"/>
  <c r="G16" i="5"/>
  <c r="F18" i="5" l="1"/>
  <c r="G17" i="5"/>
  <c r="F19" i="5" l="1"/>
  <c r="G18" i="5"/>
  <c r="F20" i="5" l="1"/>
  <c r="G19" i="5"/>
  <c r="F21" i="5" l="1"/>
  <c r="G20" i="5"/>
  <c r="F22" i="5" l="1"/>
  <c r="G21" i="5"/>
  <c r="F23" i="5" l="1"/>
  <c r="F25" i="5" s="1"/>
  <c r="G26" i="5" s="1"/>
  <c r="G22" i="5"/>
  <c r="G23" i="5" s="1"/>
  <c r="G27" i="5" l="1"/>
  <c r="A18" i="4" l="1"/>
  <c r="A17" i="4"/>
  <c r="A16" i="4"/>
  <c r="A14" i="4"/>
  <c r="A13" i="4"/>
  <c r="A11" i="4"/>
  <c r="A10" i="4"/>
  <c r="D1" i="4"/>
  <c r="B6" i="4"/>
  <c r="B12" i="3"/>
  <c r="B16" i="3"/>
  <c r="B15" i="3"/>
  <c r="B14" i="3"/>
  <c r="B13" i="3"/>
  <c r="C13" i="3"/>
  <c r="C12" i="3"/>
  <c r="C15" i="3"/>
  <c r="C14" i="3"/>
  <c r="C16" i="3"/>
  <c r="B9" i="1" l="1"/>
  <c r="B16" i="1"/>
  <c r="E8" i="1"/>
  <c r="E3" i="1"/>
  <c r="E4" i="1"/>
  <c r="E5" i="1"/>
  <c r="E6" i="1"/>
  <c r="E7" i="1"/>
  <c r="E2" i="1"/>
  <c r="B15" i="1"/>
  <c r="C2" i="1"/>
  <c r="D2" i="1" s="1"/>
  <c r="B8" i="1"/>
  <c r="C9" i="1"/>
  <c r="C3" i="1" l="1"/>
  <c r="C4" i="1" l="1"/>
  <c r="D3" i="1"/>
  <c r="C5" i="1" l="1"/>
  <c r="D4" i="1"/>
  <c r="C6" i="1" l="1"/>
  <c r="D6" i="1" s="1"/>
  <c r="D5" i="1"/>
  <c r="C7" i="1" l="1"/>
  <c r="D7" i="1" s="1"/>
  <c r="B14" i="1" s="1"/>
</calcChain>
</file>

<file path=xl/sharedStrings.xml><?xml version="1.0" encoding="utf-8"?>
<sst xmlns="http://schemas.openxmlformats.org/spreadsheetml/2006/main" count="140" uniqueCount="98">
  <si>
    <t>period</t>
  </si>
  <si>
    <t>cash flow</t>
  </si>
  <si>
    <t>wacc</t>
  </si>
  <si>
    <t xml:space="preserve"> </t>
  </si>
  <si>
    <t>IRR reinvests the dollar bills</t>
  </si>
  <si>
    <t xml:space="preserve">mirr only reinvests x portion of the cash flows </t>
  </si>
  <si>
    <t>running cash flow</t>
  </si>
  <si>
    <t>payback</t>
  </si>
  <si>
    <t>npv</t>
  </si>
  <si>
    <t>dcf</t>
  </si>
  <si>
    <t xml:space="preserve">Yes this project is economically profitable. </t>
  </si>
  <si>
    <t xml:space="preserve">The irr reinvests every dollar generated from the project in contrast to investing only a portion of the cash flows generated. </t>
  </si>
  <si>
    <t>treasury</t>
  </si>
  <si>
    <t>avg return</t>
  </si>
  <si>
    <t>pps</t>
  </si>
  <si>
    <t>shares out</t>
  </si>
  <si>
    <t>p/e</t>
  </si>
  <si>
    <t>mkt value of debt</t>
  </si>
  <si>
    <t>equity</t>
  </si>
  <si>
    <t>int exp</t>
  </si>
  <si>
    <t>beta</t>
  </si>
  <si>
    <t>a</t>
  </si>
  <si>
    <t>b</t>
  </si>
  <si>
    <t>c</t>
  </si>
  <si>
    <t>d</t>
  </si>
  <si>
    <t>e</t>
  </si>
  <si>
    <t>mkt cap</t>
  </si>
  <si>
    <t>debt</t>
  </si>
  <si>
    <t>capm</t>
  </si>
  <si>
    <t>ev</t>
  </si>
  <si>
    <t>pct equity</t>
  </si>
  <si>
    <t>pct debt</t>
  </si>
  <si>
    <t>coe</t>
  </si>
  <si>
    <t>cod</t>
  </si>
  <si>
    <t>wtd coe</t>
  </si>
  <si>
    <t>wtd cod</t>
  </si>
  <si>
    <t>WACC</t>
  </si>
  <si>
    <t>xom</t>
  </si>
  <si>
    <t>TTM</t>
  </si>
  <si>
    <t>Net Cash from continuing operations (000's)</t>
  </si>
  <si>
    <t>Net Cash from investing activities (000s)</t>
  </si>
  <si>
    <t>Perpetual Growth</t>
  </si>
  <si>
    <t>Determine WACC (F7)</t>
  </si>
  <si>
    <t>net cash from continuting operations</t>
  </si>
  <si>
    <t>net cash from investing activities</t>
  </si>
  <si>
    <t>FCF</t>
  </si>
  <si>
    <t>Reformat, determine FCF</t>
  </si>
  <si>
    <t>actual</t>
  </si>
  <si>
    <t>Determine growth Rate (F9)</t>
  </si>
  <si>
    <t>(read analysts and company provided guidance/documents)</t>
  </si>
  <si>
    <t>forecast</t>
  </si>
  <si>
    <t>Project CF based on history …</t>
  </si>
  <si>
    <t>Final forecasted CF</t>
  </si>
  <si>
    <t>final cf</t>
  </si>
  <si>
    <t>PV of Forecasted CF</t>
  </si>
  <si>
    <t>last forecasted cf??????</t>
  </si>
  <si>
    <t>PV of final CF</t>
  </si>
  <si>
    <t>Determine Terminal Value</t>
  </si>
  <si>
    <t>Value of Company (should equal Market Cap)</t>
  </si>
  <si>
    <t>Actual Market Capv (0000's)</t>
  </si>
  <si>
    <t>&gt;10000</t>
  </si>
  <si>
    <t>&gt;20000</t>
  </si>
  <si>
    <t>&gt;50000</t>
  </si>
  <si>
    <t xml:space="preserve"> If a person makes 21,000 what is their total tax? </t>
  </si>
  <si>
    <t xml:space="preserve">If a person makes 51,000 what is their total tax?  </t>
  </si>
  <si>
    <t>If a person makes 52,500 what is their effective tax rate?</t>
  </si>
  <si>
    <t>Why is effective tax rate different from marginal tax rate?</t>
  </si>
  <si>
    <t>Income</t>
  </si>
  <si>
    <t>Tax Bins</t>
  </si>
  <si>
    <t>tax in $</t>
  </si>
  <si>
    <t>total tax $</t>
  </si>
  <si>
    <t>EFFECTIVE TAX RATE</t>
  </si>
  <si>
    <t>&lt;- aggregate taxes divided by income</t>
  </si>
  <si>
    <t>&lt;- the tax bracket in which your last dollar is taxed</t>
  </si>
  <si>
    <t>min expected rate</t>
  </si>
  <si>
    <t>duration</t>
  </si>
  <si>
    <t>amount</t>
  </si>
  <si>
    <t>pmt</t>
  </si>
  <si>
    <t>sum of pmt</t>
  </si>
  <si>
    <t>chance of default</t>
  </si>
  <si>
    <t>default duration</t>
  </si>
  <si>
    <t>default adjusted period payment</t>
  </si>
  <si>
    <t>risk adjusted rate</t>
  </si>
  <si>
    <t>payback year</t>
  </si>
  <si>
    <t>A</t>
  </si>
  <si>
    <t xml:space="preserve">current savings </t>
  </si>
  <si>
    <t>payment</t>
  </si>
  <si>
    <t>periods</t>
  </si>
  <si>
    <t>start age</t>
  </si>
  <si>
    <t>rate</t>
  </si>
  <si>
    <t>annual amt</t>
  </si>
  <si>
    <t>retirement age</t>
  </si>
  <si>
    <t>amt</t>
  </si>
  <si>
    <t>terminal age</t>
  </si>
  <si>
    <t>monthly</t>
  </si>
  <si>
    <t>B</t>
  </si>
  <si>
    <t>C</t>
  </si>
  <si>
    <t>MARGINAL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</si>
</sst>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0" tint="-4.9989318521683403E-2"/>
      <name val="Calibri"/>
      <family val="2"/>
      <scheme val="minor"/>
    </font>
    <font>
      <sz val="11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10" fontId="0" fillId="0" borderId="0" xfId="0" applyNumberFormat="1"/>
    <xf numFmtId="164" fontId="0" fillId="0" borderId="0" xfId="0" applyNumberFormat="1"/>
    <xf numFmtId="44" fontId="0" fillId="0" borderId="0" xfId="2" applyNumberFormat="1" applyFont="1"/>
    <xf numFmtId="2" fontId="0" fillId="0" borderId="0" xfId="0" applyNumberFormat="1"/>
    <xf numFmtId="1" fontId="0" fillId="0" borderId="0" xfId="0" applyNumberFormat="1"/>
    <xf numFmtId="9" fontId="0" fillId="0" borderId="0" xfId="0" applyNumberFormat="1"/>
    <xf numFmtId="6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right"/>
    </xf>
    <xf numFmtId="165" fontId="0" fillId="0" borderId="0" xfId="0" applyNumberFormat="1"/>
    <xf numFmtId="8" fontId="0" fillId="0" borderId="0" xfId="0" applyNumberFormat="1"/>
    <xf numFmtId="9" fontId="0" fillId="0" borderId="0" xfId="3" applyFont="1"/>
    <xf numFmtId="164" fontId="0" fillId="0" borderId="0" xfId="3" applyNumberFormat="1" applyFont="1"/>
    <xf numFmtId="10" fontId="0" fillId="0" borderId="0" xfId="1" applyNumberFormat="1" applyFont="1"/>
    <xf numFmtId="10" fontId="0" fillId="0" borderId="0" xfId="3" applyNumberFormat="1" applyFont="1"/>
    <xf numFmtId="10" fontId="0" fillId="0" borderId="1" xfId="3" applyNumberFormat="1" applyFont="1" applyBorder="1"/>
    <xf numFmtId="0" fontId="0" fillId="4" borderId="0" xfId="0" applyFill="1"/>
    <xf numFmtId="0" fontId="0" fillId="5" borderId="0" xfId="0" applyFill="1"/>
    <xf numFmtId="166" fontId="0" fillId="0" borderId="0" xfId="0" applyNumberFormat="1"/>
    <xf numFmtId="10" fontId="0" fillId="6" borderId="0" xfId="0" applyNumberFormat="1" applyFill="1"/>
    <xf numFmtId="44" fontId="0" fillId="0" borderId="0" xfId="0" applyNumberFormat="1"/>
    <xf numFmtId="44" fontId="0" fillId="0" borderId="1" xfId="0" applyNumberFormat="1" applyBorder="1"/>
    <xf numFmtId="0" fontId="2" fillId="0" borderId="0" xfId="0" applyFont="1" applyAlignment="1">
      <alignment horizontal="right"/>
    </xf>
    <xf numFmtId="8" fontId="0" fillId="0" borderId="1" xfId="0" applyNumberFormat="1" applyBorder="1"/>
    <xf numFmtId="8" fontId="0" fillId="2" borderId="0" xfId="0" applyNumberFormat="1" applyFill="1"/>
    <xf numFmtId="166" fontId="0" fillId="2" borderId="0" xfId="0" applyNumberFormat="1" applyFill="1"/>
    <xf numFmtId="3" fontId="0" fillId="0" borderId="0" xfId="0" applyNumberFormat="1"/>
    <xf numFmtId="10" fontId="0" fillId="7" borderId="0" xfId="3" applyNumberFormat="1" applyFont="1" applyFill="1"/>
    <xf numFmtId="0" fontId="0" fillId="0" borderId="0" xfId="0" applyAlignment="1"/>
    <xf numFmtId="0" fontId="3" fillId="0" borderId="2" xfId="0" applyFont="1" applyBorder="1" applyAlignment="1">
      <alignment horizontal="left" vertical="center" wrapText="1"/>
    </xf>
    <xf numFmtId="3" fontId="3" fillId="0" borderId="3" xfId="0" applyNumberFormat="1" applyFont="1" applyBorder="1" applyAlignment="1">
      <alignment horizontal="left" vertical="center" wrapText="1"/>
    </xf>
    <xf numFmtId="9" fontId="3" fillId="0" borderId="3" xfId="0" applyNumberFormat="1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3" fontId="3" fillId="0" borderId="5" xfId="0" applyNumberFormat="1" applyFont="1" applyBorder="1" applyAlignment="1">
      <alignment horizontal="left" vertical="center" wrapText="1"/>
    </xf>
    <xf numFmtId="9" fontId="3" fillId="0" borderId="5" xfId="0" applyNumberFormat="1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3" fontId="0" fillId="0" borderId="5" xfId="0" applyNumberFormat="1" applyBorder="1" applyAlignment="1">
      <alignment horizontal="left" vertical="center" wrapText="1"/>
    </xf>
    <xf numFmtId="165" fontId="0" fillId="0" borderId="0" xfId="1" applyNumberFormat="1" applyFont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165" fontId="0" fillId="0" borderId="6" xfId="1" applyNumberFormat="1" applyFont="1" applyBorder="1" applyAlignment="1">
      <alignment horizontal="left" vertical="center" wrapText="1"/>
    </xf>
    <xf numFmtId="165" fontId="0" fillId="2" borderId="6" xfId="1" applyNumberFormat="1" applyFont="1" applyFill="1" applyBorder="1" applyAlignment="1">
      <alignment horizontal="left" vertical="center" wrapText="1"/>
    </xf>
    <xf numFmtId="165" fontId="0" fillId="3" borderId="6" xfId="1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164" fontId="0" fillId="0" borderId="5" xfId="3" applyNumberFormat="1" applyFont="1" applyBorder="1" applyAlignment="1">
      <alignment horizontal="left" vertical="center" wrapText="1"/>
    </xf>
    <xf numFmtId="9" fontId="0" fillId="0" borderId="5" xfId="0" applyNumberFormat="1" applyBorder="1" applyAlignment="1">
      <alignment horizontal="left" vertical="center" wrapText="1"/>
    </xf>
    <xf numFmtId="44" fontId="0" fillId="0" borderId="0" xfId="2" applyFont="1"/>
    <xf numFmtId="0" fontId="4" fillId="8" borderId="0" xfId="0" applyFont="1" applyFill="1" applyAlignment="1">
      <alignment horizontal="right"/>
    </xf>
    <xf numFmtId="0" fontId="0" fillId="4" borderId="0" xfId="0" applyFill="1" applyAlignment="1">
      <alignment horizontal="center" vertical="center"/>
    </xf>
    <xf numFmtId="8" fontId="5" fillId="2" borderId="0" xfId="0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DBE10-9EBF-4182-B944-17A3B95AD667}">
  <dimension ref="A2:H25"/>
  <sheetViews>
    <sheetView tabSelected="1" topLeftCell="A7" workbookViewId="0">
      <selection activeCell="F13" sqref="F13"/>
    </sheetView>
  </sheetViews>
  <sheetFormatPr defaultRowHeight="14.5" x14ac:dyDescent="0.35"/>
  <cols>
    <col min="1" max="1" width="13.36328125" bestFit="1" customWidth="1"/>
    <col min="3" max="3" width="14" style="9" bestFit="1" customWidth="1"/>
    <col min="4" max="4" width="14" bestFit="1" customWidth="1"/>
    <col min="5" max="6" width="18.26953125" bestFit="1" customWidth="1"/>
    <col min="7" max="7" width="10.81640625" bestFit="1" customWidth="1"/>
  </cols>
  <sheetData>
    <row r="2" spans="1:8" x14ac:dyDescent="0.35">
      <c r="B2" s="52" t="s">
        <v>84</v>
      </c>
      <c r="C2" s="9" t="s">
        <v>85</v>
      </c>
      <c r="D2">
        <v>100000</v>
      </c>
      <c r="G2">
        <v>0</v>
      </c>
    </row>
    <row r="3" spans="1:8" x14ac:dyDescent="0.35">
      <c r="C3" s="9" t="s">
        <v>86</v>
      </c>
      <c r="D3">
        <v>10000</v>
      </c>
      <c r="G3">
        <v>4000</v>
      </c>
    </row>
    <row r="4" spans="1:8" x14ac:dyDescent="0.35">
      <c r="C4" s="9" t="s">
        <v>87</v>
      </c>
      <c r="D4">
        <f>B6-B5</f>
        <v>32</v>
      </c>
      <c r="G4">
        <v>15</v>
      </c>
    </row>
    <row r="5" spans="1:8" x14ac:dyDescent="0.35">
      <c r="A5" t="s">
        <v>88</v>
      </c>
      <c r="B5">
        <v>35</v>
      </c>
      <c r="C5" s="9" t="s">
        <v>89</v>
      </c>
      <c r="D5" s="6">
        <f>8%</f>
        <v>0.08</v>
      </c>
      <c r="E5" s="6"/>
      <c r="F5" s="53" t="s">
        <v>90</v>
      </c>
      <c r="G5" s="6">
        <v>0.06</v>
      </c>
    </row>
    <row r="6" spans="1:8" x14ac:dyDescent="0.35">
      <c r="A6" t="s">
        <v>91</v>
      </c>
      <c r="B6">
        <v>67</v>
      </c>
      <c r="C6" s="9" t="s">
        <v>92</v>
      </c>
      <c r="D6" s="11">
        <f>FV(D5,D4,-D3,-D2,1)</f>
        <v>2623214.5039225882</v>
      </c>
      <c r="E6" t="str">
        <f ca="1">_xlfn.FORMULATEXT(D6)</f>
        <v>=FV(D5,D4,-D3,-D2,1)</v>
      </c>
      <c r="F6" s="54">
        <f>D6/32</f>
        <v>81975.453247580881</v>
      </c>
      <c r="G6" s="11">
        <f>FV(G5,G4,-G3,,1)</f>
        <v>98690.112312378275</v>
      </c>
      <c r="H6" t="str">
        <f ca="1">_xlfn.FORMULATEXT(G6)</f>
        <v>=FV(G5,G4,-G3,,1)</v>
      </c>
    </row>
    <row r="7" spans="1:8" x14ac:dyDescent="0.35">
      <c r="A7" t="s">
        <v>93</v>
      </c>
      <c r="B7">
        <f>B6+25</f>
        <v>92</v>
      </c>
      <c r="E7" s="11"/>
    </row>
    <row r="8" spans="1:8" x14ac:dyDescent="0.35">
      <c r="C8" s="9" t="s">
        <v>87</v>
      </c>
      <c r="D8">
        <f>B7-B6</f>
        <v>25</v>
      </c>
    </row>
    <row r="9" spans="1:8" x14ac:dyDescent="0.35">
      <c r="C9" s="9" t="s">
        <v>89</v>
      </c>
      <c r="D9" s="6">
        <v>0.05</v>
      </c>
      <c r="E9" s="6"/>
    </row>
    <row r="10" spans="1:8" x14ac:dyDescent="0.35">
      <c r="C10" s="9" t="s">
        <v>86</v>
      </c>
      <c r="D10" s="11">
        <f>PMT(D9,D8,-D6)</f>
        <v>186123.51507628724</v>
      </c>
      <c r="E10" t="str">
        <f ca="1">_xlfn.FORMULATEXT(D10)</f>
        <v>=PMT(D9,D8,-D6)</v>
      </c>
    </row>
    <row r="11" spans="1:8" x14ac:dyDescent="0.35">
      <c r="C11" s="9" t="s">
        <v>94</v>
      </c>
      <c r="D11" s="11">
        <f>D10/12</f>
        <v>15510.292923023937</v>
      </c>
      <c r="E11" s="11"/>
    </row>
    <row r="13" spans="1:8" x14ac:dyDescent="0.35">
      <c r="B13" s="52" t="s">
        <v>95</v>
      </c>
      <c r="C13" s="9" t="s">
        <v>85</v>
      </c>
      <c r="D13">
        <v>100000</v>
      </c>
    </row>
    <row r="14" spans="1:8" x14ac:dyDescent="0.35">
      <c r="C14" s="9" t="s">
        <v>86</v>
      </c>
      <c r="D14">
        <v>13979.186114099455</v>
      </c>
    </row>
    <row r="15" spans="1:8" x14ac:dyDescent="0.35">
      <c r="C15" s="9" t="s">
        <v>87</v>
      </c>
      <c r="D15">
        <f>D4</f>
        <v>32</v>
      </c>
    </row>
    <row r="16" spans="1:8" x14ac:dyDescent="0.35">
      <c r="C16" s="9" t="s">
        <v>89</v>
      </c>
      <c r="D16" s="6">
        <f>8%</f>
        <v>0.08</v>
      </c>
    </row>
    <row r="17" spans="1:6" x14ac:dyDescent="0.35">
      <c r="C17" s="9" t="s">
        <v>92</v>
      </c>
      <c r="D17" s="11">
        <f>FV(D16,D15,-D14,-D13,1)</f>
        <v>3200000.0000000005</v>
      </c>
    </row>
    <row r="19" spans="1:6" x14ac:dyDescent="0.35">
      <c r="C19" s="53" t="s">
        <v>90</v>
      </c>
      <c r="D19" s="54">
        <f>D17/32</f>
        <v>100000.00000000001</v>
      </c>
    </row>
    <row r="21" spans="1:6" x14ac:dyDescent="0.35">
      <c r="B21" s="52" t="s">
        <v>96</v>
      </c>
      <c r="C21" s="9" t="s">
        <v>85</v>
      </c>
      <c r="D21">
        <v>100000</v>
      </c>
    </row>
    <row r="22" spans="1:6" x14ac:dyDescent="0.35">
      <c r="C22" s="9" t="s">
        <v>86</v>
      </c>
      <c r="D22">
        <v>13979.186114099455</v>
      </c>
    </row>
    <row r="23" spans="1:6" x14ac:dyDescent="0.35">
      <c r="A23" t="s">
        <v>88</v>
      </c>
      <c r="B23">
        <v>45</v>
      </c>
      <c r="C23" s="9" t="s">
        <v>87</v>
      </c>
      <c r="D23">
        <f>B24-B23</f>
        <v>22</v>
      </c>
    </row>
    <row r="24" spans="1:6" x14ac:dyDescent="0.35">
      <c r="A24" t="s">
        <v>91</v>
      </c>
      <c r="B24">
        <v>67</v>
      </c>
      <c r="C24" s="9" t="s">
        <v>89</v>
      </c>
      <c r="D24" s="6">
        <f>8%</f>
        <v>0.08</v>
      </c>
      <c r="F24" s="53" t="s">
        <v>90</v>
      </c>
    </row>
    <row r="25" spans="1:6" x14ac:dyDescent="0.35">
      <c r="A25" t="s">
        <v>93</v>
      </c>
      <c r="B25">
        <f>B24+25</f>
        <v>92</v>
      </c>
      <c r="C25" s="9" t="s">
        <v>92</v>
      </c>
      <c r="D25" s="11">
        <f>FV(D24,D23,-D22,-D21,1)</f>
        <v>1380913.5670171059</v>
      </c>
      <c r="F25" s="54">
        <f>D25/22</f>
        <v>62768.798500777542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C3621-EA54-4C3A-BA5D-220E6ECC361C}">
  <dimension ref="A1:F17"/>
  <sheetViews>
    <sheetView workbookViewId="0">
      <selection activeCell="F10" sqref="F10"/>
    </sheetView>
  </sheetViews>
  <sheetFormatPr defaultRowHeight="14.5" x14ac:dyDescent="0.35"/>
  <cols>
    <col min="2" max="2" width="9.81640625" bestFit="1" customWidth="1"/>
    <col min="3" max="3" width="15.6328125" bestFit="1" customWidth="1"/>
    <col min="4" max="4" width="11.7265625" bestFit="1" customWidth="1"/>
    <col min="5" max="5" width="10" bestFit="1" customWidth="1"/>
  </cols>
  <sheetData>
    <row r="1" spans="1:6" x14ac:dyDescent="0.35">
      <c r="A1" t="s">
        <v>0</v>
      </c>
      <c r="B1" t="s">
        <v>1</v>
      </c>
      <c r="C1" t="s">
        <v>6</v>
      </c>
      <c r="D1" t="s">
        <v>83</v>
      </c>
      <c r="E1" t="s">
        <v>9</v>
      </c>
    </row>
    <row r="2" spans="1:6" x14ac:dyDescent="0.35">
      <c r="A2">
        <v>0</v>
      </c>
      <c r="B2">
        <v>-1000</v>
      </c>
      <c r="C2">
        <f>B2</f>
        <v>-1000</v>
      </c>
      <c r="D2" t="str">
        <f>IF(AND(C1&lt;0,C2&gt;=0),A2,"")</f>
        <v/>
      </c>
      <c r="E2" s="5">
        <f>B2/(1+$B$10)^A2</f>
        <v>-1000</v>
      </c>
    </row>
    <row r="3" spans="1:6" x14ac:dyDescent="0.35">
      <c r="A3">
        <v>1</v>
      </c>
      <c r="B3">
        <v>300</v>
      </c>
      <c r="C3">
        <f>C2+B3</f>
        <v>-700</v>
      </c>
      <c r="D3" t="str">
        <f t="shared" ref="D3:D7" si="0">IF(AND(C2&lt;0,C3&gt;=0),A3,"")</f>
        <v/>
      </c>
      <c r="E3" s="4">
        <f t="shared" ref="E3:E7" si="1">B3/(1+$B$10)^A3</f>
        <v>272.72727272727269</v>
      </c>
    </row>
    <row r="4" spans="1:6" x14ac:dyDescent="0.35">
      <c r="A4">
        <v>2</v>
      </c>
      <c r="B4">
        <v>400</v>
      </c>
      <c r="C4">
        <f t="shared" ref="C4:C7" si="2">C3+B4</f>
        <v>-300</v>
      </c>
      <c r="D4" t="str">
        <f t="shared" si="0"/>
        <v/>
      </c>
      <c r="E4" s="4">
        <f t="shared" si="1"/>
        <v>330.57851239669418</v>
      </c>
      <c r="F4" t="s">
        <v>3</v>
      </c>
    </row>
    <row r="5" spans="1:6" x14ac:dyDescent="0.35">
      <c r="A5">
        <v>3</v>
      </c>
      <c r="B5">
        <v>400</v>
      </c>
      <c r="C5">
        <f t="shared" si="2"/>
        <v>100</v>
      </c>
      <c r="D5">
        <f t="shared" si="0"/>
        <v>3</v>
      </c>
      <c r="E5" s="4">
        <f t="shared" si="1"/>
        <v>300.52592036063101</v>
      </c>
    </row>
    <row r="6" spans="1:6" x14ac:dyDescent="0.35">
      <c r="A6">
        <v>4</v>
      </c>
      <c r="B6">
        <v>100</v>
      </c>
      <c r="C6">
        <f t="shared" si="2"/>
        <v>200</v>
      </c>
      <c r="D6" t="str">
        <f t="shared" si="0"/>
        <v/>
      </c>
      <c r="E6" s="4">
        <f t="shared" si="1"/>
        <v>68.301345536507057</v>
      </c>
    </row>
    <row r="7" spans="1:6" x14ac:dyDescent="0.35">
      <c r="A7">
        <v>5</v>
      </c>
      <c r="B7">
        <v>100</v>
      </c>
      <c r="C7">
        <f t="shared" si="2"/>
        <v>300</v>
      </c>
      <c r="D7" t="str">
        <f t="shared" si="0"/>
        <v/>
      </c>
      <c r="E7" s="4">
        <f t="shared" si="1"/>
        <v>62.092132305915499</v>
      </c>
    </row>
    <row r="8" spans="1:6" x14ac:dyDescent="0.35">
      <c r="B8" s="2">
        <f>IRR(B2:B7)</f>
        <v>0.11600190794867116</v>
      </c>
      <c r="E8" s="51">
        <f>SUM(E2:E7)</f>
        <v>34.225183327020488</v>
      </c>
    </row>
    <row r="9" spans="1:6" x14ac:dyDescent="0.35">
      <c r="B9" s="2">
        <f>MIRR(B2:B7,B10,0.02)</f>
        <v>6.4577763049601389E-2</v>
      </c>
      <c r="C9" t="str">
        <f ca="1">_xlfn.FORMULATEXT(B9)</f>
        <v>=MIRR(B2:B7,B10,0.02)</v>
      </c>
    </row>
    <row r="10" spans="1:6" x14ac:dyDescent="0.35">
      <c r="A10" t="s">
        <v>2</v>
      </c>
      <c r="B10" s="2">
        <v>0.1</v>
      </c>
    </row>
    <row r="11" spans="1:6" x14ac:dyDescent="0.35">
      <c r="B11" t="s">
        <v>4</v>
      </c>
    </row>
    <row r="12" spans="1:6" x14ac:dyDescent="0.35">
      <c r="B12" t="s">
        <v>5</v>
      </c>
    </row>
    <row r="14" spans="1:6" x14ac:dyDescent="0.35">
      <c r="A14" t="s">
        <v>7</v>
      </c>
      <c r="B14">
        <f>MAX(D:D)</f>
        <v>3</v>
      </c>
    </row>
    <row r="15" spans="1:6" x14ac:dyDescent="0.35">
      <c r="A15" t="s">
        <v>8</v>
      </c>
      <c r="B15" s="3">
        <f>NPV(B10,B3:B7)+B2</f>
        <v>34.225183327020659</v>
      </c>
    </row>
    <row r="16" spans="1:6" x14ac:dyDescent="0.35">
      <c r="A16" t="s">
        <v>9</v>
      </c>
      <c r="B16" s="51">
        <f>E8</f>
        <v>34.225183327020488</v>
      </c>
    </row>
    <row r="17" spans="1:1" x14ac:dyDescent="0.35">
      <c r="A17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58C7-97EF-4266-B180-D6989B7F2FDA}">
  <dimension ref="A1"/>
  <sheetViews>
    <sheetView workbookViewId="0"/>
  </sheetViews>
  <sheetFormatPr defaultRowHeight="14.5" x14ac:dyDescent="0.35"/>
  <sheetData>
    <row r="1" spans="1:1" x14ac:dyDescent="0.35">
      <c r="A1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1A97-84FF-46F7-9762-C55D8BD4B1C1}">
  <dimension ref="A1:C16"/>
  <sheetViews>
    <sheetView workbookViewId="0">
      <selection activeCell="B18" sqref="B18"/>
    </sheetView>
  </sheetViews>
  <sheetFormatPr defaultRowHeight="14.5" x14ac:dyDescent="0.35"/>
  <cols>
    <col min="1" max="1" width="12.54296875" bestFit="1" customWidth="1"/>
    <col min="2" max="2" width="13" bestFit="1" customWidth="1"/>
  </cols>
  <sheetData>
    <row r="1" spans="1:3" x14ac:dyDescent="0.35">
      <c r="A1" s="6">
        <v>0.02</v>
      </c>
      <c r="B1" t="s">
        <v>12</v>
      </c>
    </row>
    <row r="2" spans="1:3" x14ac:dyDescent="0.35">
      <c r="A2" s="6">
        <v>0.1</v>
      </c>
      <c r="B2" t="s">
        <v>13</v>
      </c>
    </row>
    <row r="4" spans="1:3" x14ac:dyDescent="0.35">
      <c r="A4" s="7">
        <v>20</v>
      </c>
      <c r="B4" t="s">
        <v>14</v>
      </c>
    </row>
    <row r="5" spans="1:3" x14ac:dyDescent="0.35">
      <c r="A5">
        <v>1000000</v>
      </c>
      <c r="B5" t="s">
        <v>15</v>
      </c>
    </row>
    <row r="6" spans="1:3" x14ac:dyDescent="0.35">
      <c r="A6">
        <v>10</v>
      </c>
      <c r="B6" t="s">
        <v>16</v>
      </c>
    </row>
    <row r="7" spans="1:3" x14ac:dyDescent="0.35">
      <c r="A7" s="8">
        <v>5000000</v>
      </c>
      <c r="B7" t="s">
        <v>17</v>
      </c>
    </row>
    <row r="8" spans="1:3" x14ac:dyDescent="0.35">
      <c r="A8" s="8">
        <v>1000000</v>
      </c>
      <c r="B8" t="s">
        <v>18</v>
      </c>
    </row>
    <row r="9" spans="1:3" x14ac:dyDescent="0.35">
      <c r="A9">
        <v>25000</v>
      </c>
      <c r="B9" t="s">
        <v>19</v>
      </c>
    </row>
    <row r="10" spans="1:3" x14ac:dyDescent="0.35">
      <c r="A10">
        <v>1.5</v>
      </c>
      <c r="B10" t="s">
        <v>20</v>
      </c>
    </row>
    <row r="12" spans="1:3" x14ac:dyDescent="0.35">
      <c r="A12" s="9" t="s">
        <v>21</v>
      </c>
      <c r="B12" s="11">
        <f>A5/(A6/A4)</f>
        <v>2000000</v>
      </c>
      <c r="C12" t="str">
        <f ca="1">_xlfn.FORMULATEXT(B12)</f>
        <v>=A5/(A6/A4)</v>
      </c>
    </row>
    <row r="13" spans="1:3" x14ac:dyDescent="0.35">
      <c r="A13" s="9" t="s">
        <v>22</v>
      </c>
      <c r="B13" s="7">
        <f>A5*A4</f>
        <v>20000000</v>
      </c>
      <c r="C13" t="str">
        <f t="shared" ref="C13:C16" ca="1" si="0">_xlfn.FORMULATEXT(B13)</f>
        <v>=A5*A4</v>
      </c>
    </row>
    <row r="14" spans="1:3" x14ac:dyDescent="0.35">
      <c r="A14" s="9" t="s">
        <v>23</v>
      </c>
      <c r="B14" s="10">
        <f>A8+A7</f>
        <v>6000000</v>
      </c>
      <c r="C14" t="str">
        <f t="shared" ca="1" si="0"/>
        <v>=A8+A7</v>
      </c>
    </row>
    <row r="15" spans="1:3" x14ac:dyDescent="0.35">
      <c r="A15" s="9" t="s">
        <v>24</v>
      </c>
      <c r="B15" s="1">
        <f>A1+(A2-A1)*A10</f>
        <v>0.13999999999999999</v>
      </c>
      <c r="C15" t="str">
        <f t="shared" ca="1" si="0"/>
        <v>=A1+(A2-A1)*A10</v>
      </c>
    </row>
    <row r="16" spans="1:3" x14ac:dyDescent="0.35">
      <c r="A16" s="9" t="s">
        <v>25</v>
      </c>
      <c r="B16" s="6">
        <f>A2-A1</f>
        <v>0.08</v>
      </c>
      <c r="C16" t="str">
        <f t="shared" ca="1" si="0"/>
        <v>=A2-A1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A4CCF-5725-4275-9D5E-2BF956295F3B}">
  <dimension ref="A1:E19"/>
  <sheetViews>
    <sheetView workbookViewId="0">
      <selection activeCell="J9" sqref="J9"/>
    </sheetView>
  </sheetViews>
  <sheetFormatPr defaultRowHeight="14.5" x14ac:dyDescent="0.35"/>
  <cols>
    <col min="1" max="1" width="12.54296875" bestFit="1" customWidth="1"/>
    <col min="2" max="2" width="10.26953125" bestFit="1" customWidth="1"/>
    <col min="4" max="4" width="10" bestFit="1" customWidth="1"/>
  </cols>
  <sheetData>
    <row r="1" spans="1:5" x14ac:dyDescent="0.35">
      <c r="A1" s="8">
        <v>1000000</v>
      </c>
      <c r="B1" t="s">
        <v>26</v>
      </c>
      <c r="D1" s="10">
        <f>A1+A2</f>
        <v>1750000</v>
      </c>
      <c r="E1" t="s">
        <v>29</v>
      </c>
    </row>
    <row r="2" spans="1:5" x14ac:dyDescent="0.35">
      <c r="A2" s="8">
        <v>750000</v>
      </c>
      <c r="B2" t="s">
        <v>27</v>
      </c>
    </row>
    <row r="3" spans="1:5" x14ac:dyDescent="0.35">
      <c r="A3" s="8">
        <v>50000</v>
      </c>
      <c r="B3" t="s">
        <v>19</v>
      </c>
    </row>
    <row r="4" spans="1:5" x14ac:dyDescent="0.35">
      <c r="A4" s="6">
        <v>0.1</v>
      </c>
      <c r="B4" t="s">
        <v>28</v>
      </c>
    </row>
    <row r="6" spans="1:5" x14ac:dyDescent="0.35">
      <c r="A6" t="s">
        <v>2</v>
      </c>
      <c r="B6" s="12">
        <f>A4*A1+(A3/A2)*A2</f>
        <v>150000</v>
      </c>
    </row>
    <row r="9" spans="1:5" x14ac:dyDescent="0.35">
      <c r="A9" s="8"/>
    </row>
    <row r="10" spans="1:5" x14ac:dyDescent="0.35">
      <c r="A10" s="13">
        <f>A1/D1</f>
        <v>0.5714285714285714</v>
      </c>
      <c r="B10" s="17" t="s">
        <v>30</v>
      </c>
    </row>
    <row r="11" spans="1:5" x14ac:dyDescent="0.35">
      <c r="A11" s="13">
        <f>A2/D1</f>
        <v>0.42857142857142855</v>
      </c>
      <c r="B11" s="18" t="s">
        <v>31</v>
      </c>
    </row>
    <row r="12" spans="1:5" x14ac:dyDescent="0.35">
      <c r="A12" s="14"/>
    </row>
    <row r="13" spans="1:5" x14ac:dyDescent="0.35">
      <c r="A13" s="15">
        <f>A4</f>
        <v>0.1</v>
      </c>
      <c r="B13" s="17" t="s">
        <v>32</v>
      </c>
    </row>
    <row r="14" spans="1:5" x14ac:dyDescent="0.35">
      <c r="A14" s="15">
        <f>A3/A2</f>
        <v>6.6666666666666666E-2</v>
      </c>
      <c r="B14" s="18" t="s">
        <v>33</v>
      </c>
    </row>
    <row r="15" spans="1:5" x14ac:dyDescent="0.35">
      <c r="A15" s="14"/>
    </row>
    <row r="16" spans="1:5" x14ac:dyDescent="0.35">
      <c r="A16" s="15">
        <f>A13*A10</f>
        <v>5.7142857142857141E-2</v>
      </c>
      <c r="B16" s="17" t="s">
        <v>34</v>
      </c>
    </row>
    <row r="17" spans="1:2" x14ac:dyDescent="0.35">
      <c r="A17" s="16">
        <f>A14*A11</f>
        <v>2.8571428571428571E-2</v>
      </c>
      <c r="B17" s="18" t="s">
        <v>35</v>
      </c>
    </row>
    <row r="18" spans="1:2" x14ac:dyDescent="0.35">
      <c r="A18" s="15">
        <f>SUM(A16:A17)</f>
        <v>8.5714285714285715E-2</v>
      </c>
      <c r="B18" t="s">
        <v>36</v>
      </c>
    </row>
    <row r="19" spans="1:2" x14ac:dyDescent="0.35">
      <c r="A19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5BCDD-8179-45FF-B4B1-9E5F0489ECEC}">
  <dimension ref="A1:H29"/>
  <sheetViews>
    <sheetView zoomScale="52" workbookViewId="0">
      <selection activeCell="D27" sqref="D27"/>
    </sheetView>
  </sheetViews>
  <sheetFormatPr defaultRowHeight="14.5" x14ac:dyDescent="0.35"/>
  <cols>
    <col min="1" max="1" width="7.54296875" bestFit="1" customWidth="1"/>
    <col min="2" max="2" width="2.1796875" bestFit="1" customWidth="1"/>
    <col min="3" max="3" width="38.08984375" bestFit="1" customWidth="1"/>
    <col min="4" max="4" width="32.08984375" bestFit="1" customWidth="1"/>
    <col min="5" max="5" width="28.1796875" bestFit="1" customWidth="1"/>
    <col min="6" max="6" width="13.08984375" bestFit="1" customWidth="1"/>
    <col min="7" max="7" width="15.81640625" bestFit="1" customWidth="1"/>
    <col min="8" max="8" width="51.6328125" bestFit="1" customWidth="1"/>
  </cols>
  <sheetData>
    <row r="1" spans="1:8" x14ac:dyDescent="0.35">
      <c r="A1" t="s">
        <v>37</v>
      </c>
    </row>
    <row r="2" spans="1:8" x14ac:dyDescent="0.35">
      <c r="D2" t="s">
        <v>38</v>
      </c>
      <c r="E2">
        <v>2019</v>
      </c>
      <c r="F2">
        <v>2018</v>
      </c>
      <c r="G2">
        <v>2017</v>
      </c>
    </row>
    <row r="3" spans="1:8" x14ac:dyDescent="0.35">
      <c r="C3" t="s">
        <v>39</v>
      </c>
      <c r="D3" s="27">
        <v>17015</v>
      </c>
      <c r="E3" s="27">
        <v>29716</v>
      </c>
      <c r="F3" s="27">
        <v>36014</v>
      </c>
      <c r="G3" s="27">
        <v>30066</v>
      </c>
      <c r="H3" s="27"/>
    </row>
    <row r="4" spans="1:8" x14ac:dyDescent="0.35">
      <c r="C4" t="s">
        <v>40</v>
      </c>
      <c r="D4" s="27">
        <v>-20357</v>
      </c>
      <c r="E4" s="27">
        <v>-24361</v>
      </c>
      <c r="F4" s="27">
        <v>-19574</v>
      </c>
      <c r="G4" s="27">
        <v>-15402</v>
      </c>
    </row>
    <row r="6" spans="1:8" x14ac:dyDescent="0.35">
      <c r="G6" s="20">
        <v>2.5000000000000001E-2</v>
      </c>
      <c r="H6" t="s">
        <v>41</v>
      </c>
    </row>
    <row r="7" spans="1:8" x14ac:dyDescent="0.35">
      <c r="F7" t="s">
        <v>36</v>
      </c>
      <c r="G7" s="28">
        <v>7.8600000000000003E-2</v>
      </c>
      <c r="H7" t="s">
        <v>42</v>
      </c>
    </row>
    <row r="8" spans="1:8" x14ac:dyDescent="0.35">
      <c r="D8" t="s">
        <v>43</v>
      </c>
      <c r="E8" t="s">
        <v>44</v>
      </c>
      <c r="F8" t="s">
        <v>45</v>
      </c>
      <c r="H8" t="s">
        <v>46</v>
      </c>
    </row>
    <row r="9" spans="1:8" x14ac:dyDescent="0.35">
      <c r="A9" t="s">
        <v>47</v>
      </c>
      <c r="C9">
        <v>2017</v>
      </c>
      <c r="D9" s="19">
        <f>G3</f>
        <v>30066</v>
      </c>
      <c r="E9" s="19">
        <f>G4</f>
        <v>-15402</v>
      </c>
      <c r="F9" s="19">
        <f>D9+E9</f>
        <v>14664</v>
      </c>
      <c r="G9" s="20">
        <v>3.4427867963573895E-3</v>
      </c>
      <c r="H9" t="s">
        <v>48</v>
      </c>
    </row>
    <row r="10" spans="1:8" x14ac:dyDescent="0.35">
      <c r="A10" t="s">
        <v>47</v>
      </c>
      <c r="C10">
        <v>2018</v>
      </c>
      <c r="D10" s="19">
        <f>F3</f>
        <v>36014</v>
      </c>
      <c r="E10" s="19">
        <f>F4</f>
        <v>-19574</v>
      </c>
      <c r="F10" s="19">
        <f t="shared" ref="F10:F12" si="0">D10+E10</f>
        <v>16440</v>
      </c>
      <c r="G10">
        <v>-335544.32000000001</v>
      </c>
      <c r="H10" t="s">
        <v>49</v>
      </c>
    </row>
    <row r="11" spans="1:8" x14ac:dyDescent="0.35">
      <c r="A11" t="s">
        <v>47</v>
      </c>
      <c r="C11">
        <v>2019</v>
      </c>
      <c r="D11" s="19">
        <f>E3</f>
        <v>29716</v>
      </c>
      <c r="E11" s="19">
        <f>E4</f>
        <v>-24361</v>
      </c>
      <c r="F11" s="19">
        <f t="shared" si="0"/>
        <v>5355</v>
      </c>
    </row>
    <row r="12" spans="1:8" x14ac:dyDescent="0.35">
      <c r="A12" t="s">
        <v>47</v>
      </c>
      <c r="C12">
        <v>2020</v>
      </c>
      <c r="D12" s="19">
        <f>D3</f>
        <v>17015</v>
      </c>
      <c r="E12" s="19">
        <f>D4</f>
        <v>-20357</v>
      </c>
      <c r="F12" s="19">
        <f t="shared" si="0"/>
        <v>-3342</v>
      </c>
    </row>
    <row r="13" spans="1:8" x14ac:dyDescent="0.35">
      <c r="A13" t="s">
        <v>50</v>
      </c>
      <c r="B13">
        <v>0</v>
      </c>
      <c r="C13">
        <v>2021</v>
      </c>
      <c r="F13" s="19">
        <f>AVERAGE(F9:F12)</f>
        <v>8279.25</v>
      </c>
      <c r="G13" s="21">
        <f>F13/(1+$G$7)^B13</f>
        <v>8279.25</v>
      </c>
      <c r="H13" t="s">
        <v>51</v>
      </c>
    </row>
    <row r="14" spans="1:8" x14ac:dyDescent="0.35">
      <c r="A14" t="s">
        <v>50</v>
      </c>
      <c r="B14">
        <v>1</v>
      </c>
      <c r="C14">
        <v>2022</v>
      </c>
      <c r="F14" s="19">
        <f>F13*(1+$G$9)</f>
        <v>8307.7536925837412</v>
      </c>
      <c r="G14" s="21">
        <f t="shared" ref="G14:G22" si="1">F14/(1+$G$7)^B14</f>
        <v>7702.3490567251447</v>
      </c>
    </row>
    <row r="15" spans="1:8" x14ac:dyDescent="0.35">
      <c r="A15" t="s">
        <v>50</v>
      </c>
      <c r="B15">
        <v>2</v>
      </c>
      <c r="C15">
        <v>2023</v>
      </c>
      <c r="F15" s="19">
        <f t="shared" ref="F15:F23" si="2">F14*(1+$G$9)</f>
        <v>8336.3555173039567</v>
      </c>
      <c r="G15" s="21">
        <f t="shared" si="1"/>
        <v>7165.6467665108221</v>
      </c>
    </row>
    <row r="16" spans="1:8" x14ac:dyDescent="0.35">
      <c r="A16" t="s">
        <v>50</v>
      </c>
      <c r="B16">
        <v>3</v>
      </c>
      <c r="C16">
        <v>2024</v>
      </c>
      <c r="F16" s="19">
        <f t="shared" si="2"/>
        <v>8365.0558120086716</v>
      </c>
      <c r="G16" s="21">
        <f t="shared" si="1"/>
        <v>6666.3420736008957</v>
      </c>
    </row>
    <row r="17" spans="1:8" x14ac:dyDescent="0.35">
      <c r="A17" t="s">
        <v>50</v>
      </c>
      <c r="B17">
        <v>4</v>
      </c>
      <c r="C17">
        <v>2025</v>
      </c>
      <c r="F17" s="19">
        <f t="shared" si="2"/>
        <v>8393.8549157090474</v>
      </c>
      <c r="G17" s="21">
        <f t="shared" si="1"/>
        <v>6201.8291007527259</v>
      </c>
    </row>
    <row r="18" spans="1:8" x14ac:dyDescent="0.35">
      <c r="A18" t="s">
        <v>50</v>
      </c>
      <c r="B18">
        <v>5</v>
      </c>
      <c r="C18">
        <v>2026</v>
      </c>
      <c r="F18" s="19">
        <f t="shared" si="2"/>
        <v>8422.7531685833892</v>
      </c>
      <c r="G18" s="21">
        <f t="shared" si="1"/>
        <v>5769.6835491322654</v>
      </c>
    </row>
    <row r="19" spans="1:8" x14ac:dyDescent="0.35">
      <c r="A19" t="s">
        <v>50</v>
      </c>
      <c r="B19">
        <v>6</v>
      </c>
      <c r="C19">
        <v>2027</v>
      </c>
      <c r="F19" s="19">
        <f t="shared" si="2"/>
        <v>8451.7509119811657</v>
      </c>
      <c r="G19" s="21">
        <f t="shared" si="1"/>
        <v>5367.6500458690698</v>
      </c>
    </row>
    <row r="20" spans="1:8" x14ac:dyDescent="0.35">
      <c r="A20" t="s">
        <v>50</v>
      </c>
      <c r="B20">
        <v>7</v>
      </c>
      <c r="C20">
        <v>2028</v>
      </c>
      <c r="F20" s="19">
        <f t="shared" si="2"/>
        <v>8480.8484884270365</v>
      </c>
      <c r="G20" s="21">
        <f t="shared" si="1"/>
        <v>4993.630373237952</v>
      </c>
    </row>
    <row r="21" spans="1:8" x14ac:dyDescent="0.35">
      <c r="A21" t="s">
        <v>50</v>
      </c>
      <c r="B21">
        <v>8</v>
      </c>
      <c r="C21">
        <v>2029</v>
      </c>
      <c r="F21" s="19">
        <f t="shared" si="2"/>
        <v>8510.0462416249011</v>
      </c>
      <c r="G21" s="21">
        <f t="shared" si="1"/>
        <v>4645.6725180352532</v>
      </c>
    </row>
    <row r="22" spans="1:8" x14ac:dyDescent="0.35">
      <c r="A22" t="s">
        <v>50</v>
      </c>
      <c r="B22">
        <v>9</v>
      </c>
      <c r="C22">
        <v>2030</v>
      </c>
      <c r="F22" s="19">
        <f t="shared" si="2"/>
        <v>8539.344516461957</v>
      </c>
      <c r="G22" s="22">
        <f t="shared" si="1"/>
        <v>4321.9604839982803</v>
      </c>
      <c r="H22" t="s">
        <v>52</v>
      </c>
    </row>
    <row r="23" spans="1:8" x14ac:dyDescent="0.35">
      <c r="E23" s="9" t="s">
        <v>53</v>
      </c>
      <c r="F23" s="19">
        <f t="shared" si="2"/>
        <v>8568.7436590127782</v>
      </c>
      <c r="G23" s="21">
        <f>SUM(G13:G22)</f>
        <v>61114.013967862411</v>
      </c>
      <c r="H23" t="s">
        <v>54</v>
      </c>
    </row>
    <row r="24" spans="1:8" x14ac:dyDescent="0.35">
      <c r="G24" s="21"/>
    </row>
    <row r="25" spans="1:8" x14ac:dyDescent="0.35">
      <c r="E25" s="23" t="s">
        <v>55</v>
      </c>
      <c r="F25" s="11">
        <f>PV(G6,10,,-F23)</f>
        <v>6693.8888512182411</v>
      </c>
      <c r="H25" t="s">
        <v>56</v>
      </c>
    </row>
    <row r="26" spans="1:8" x14ac:dyDescent="0.35">
      <c r="G26" s="24">
        <f>F25/(G7-G6)</f>
        <v>124885.98603019107</v>
      </c>
      <c r="H26" t="s">
        <v>57</v>
      </c>
    </row>
    <row r="27" spans="1:8" x14ac:dyDescent="0.35">
      <c r="G27" s="25">
        <f>G26+G23</f>
        <v>185999.99999805348</v>
      </c>
      <c r="H27" t="s">
        <v>58</v>
      </c>
    </row>
    <row r="29" spans="1:8" x14ac:dyDescent="0.35">
      <c r="G29" s="26">
        <v>186000</v>
      </c>
      <c r="H29" t="s">
        <v>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BE8AF-175B-485E-AF8E-E3FA8707A088}">
  <dimension ref="C2:Q15"/>
  <sheetViews>
    <sheetView zoomScale="61" workbookViewId="0">
      <selection activeCell="F15" sqref="F15"/>
    </sheetView>
  </sheetViews>
  <sheetFormatPr defaultRowHeight="14.5" x14ac:dyDescent="0.35"/>
  <cols>
    <col min="1" max="2" width="8.7265625" style="41"/>
    <col min="3" max="3" width="8.54296875" style="41" bestFit="1" customWidth="1"/>
    <col min="4" max="4" width="10.81640625" style="41" bestFit="1" customWidth="1"/>
    <col min="5" max="5" width="13.81640625" style="41" bestFit="1" customWidth="1"/>
    <col min="6" max="8" width="8.7265625" style="41"/>
    <col min="9" max="10" width="9.7265625" style="41" bestFit="1" customWidth="1"/>
    <col min="11" max="11" width="8.7265625" style="41"/>
    <col min="12" max="12" width="9.7265625" style="41" bestFit="1" customWidth="1"/>
    <col min="13" max="13" width="13.1796875" style="41" bestFit="1" customWidth="1"/>
    <col min="14" max="14" width="8.7265625" style="41"/>
    <col min="15" max="15" width="9.7265625" style="41" bestFit="1" customWidth="1"/>
    <col min="16" max="16" width="13.1796875" style="41" bestFit="1" customWidth="1"/>
    <col min="17" max="17" width="8.7265625" style="41" bestFit="1" customWidth="1"/>
    <col min="18" max="16384" width="8.7265625" style="41"/>
  </cols>
  <sheetData>
    <row r="2" spans="3:17" ht="15" thickBot="1" x14ac:dyDescent="0.4"/>
    <row r="3" spans="3:17" ht="15.5" thickTop="1" thickBot="1" x14ac:dyDescent="0.4">
      <c r="I3" s="44" t="s">
        <v>67</v>
      </c>
      <c r="J3" s="44" t="s">
        <v>68</v>
      </c>
      <c r="K3" s="44" t="s">
        <v>69</v>
      </c>
      <c r="L3" s="44" t="s">
        <v>67</v>
      </c>
      <c r="M3" s="44" t="s">
        <v>68</v>
      </c>
      <c r="N3" s="44" t="s">
        <v>69</v>
      </c>
      <c r="O3" s="44" t="s">
        <v>67</v>
      </c>
      <c r="P3" s="44" t="s">
        <v>68</v>
      </c>
      <c r="Q3" s="44" t="s">
        <v>69</v>
      </c>
    </row>
    <row r="4" spans="3:17" ht="15.5" thickTop="1" thickBot="1" x14ac:dyDescent="0.4">
      <c r="C4" s="30">
        <v>0</v>
      </c>
      <c r="D4" s="31">
        <v>10000</v>
      </c>
      <c r="E4" s="32">
        <v>0</v>
      </c>
      <c r="I4" s="47">
        <v>21000</v>
      </c>
      <c r="J4" s="45">
        <f>D4-C4</f>
        <v>10000</v>
      </c>
      <c r="K4" s="45">
        <f>J4*E4</f>
        <v>0</v>
      </c>
      <c r="L4" s="47">
        <v>51000</v>
      </c>
      <c r="M4" s="45">
        <f>D4-C4</f>
        <v>10000</v>
      </c>
      <c r="N4" s="45">
        <f>M4*E4</f>
        <v>0</v>
      </c>
      <c r="O4" s="47">
        <v>52500</v>
      </c>
      <c r="P4" s="45">
        <f>D4-C4</f>
        <v>10000</v>
      </c>
      <c r="Q4" s="45">
        <f>P4*E4</f>
        <v>0</v>
      </c>
    </row>
    <row r="5" spans="3:17" ht="15.5" thickTop="1" thickBot="1" x14ac:dyDescent="0.4">
      <c r="C5" s="33" t="s">
        <v>60</v>
      </c>
      <c r="D5" s="34">
        <v>20000</v>
      </c>
      <c r="E5" s="35">
        <v>0.05</v>
      </c>
      <c r="I5" s="45">
        <f>I4-J4</f>
        <v>11000</v>
      </c>
      <c r="J5" s="45">
        <f>D5-10000</f>
        <v>10000</v>
      </c>
      <c r="K5" s="45">
        <f>J5*E5</f>
        <v>500</v>
      </c>
      <c r="L5" s="45">
        <f>L4-M4</f>
        <v>41000</v>
      </c>
      <c r="M5" s="45">
        <f>D5-10000</f>
        <v>10000</v>
      </c>
      <c r="N5" s="45">
        <f>M5*E5</f>
        <v>500</v>
      </c>
      <c r="O5" s="45">
        <f>O4-P4</f>
        <v>42500</v>
      </c>
      <c r="P5" s="45">
        <f>D5-10000</f>
        <v>10000</v>
      </c>
      <c r="Q5" s="45">
        <f>P5*E5</f>
        <v>500</v>
      </c>
    </row>
    <row r="6" spans="3:17" ht="15.5" thickTop="1" thickBot="1" x14ac:dyDescent="0.4">
      <c r="C6" s="33" t="s">
        <v>61</v>
      </c>
      <c r="D6" s="34">
        <v>50000</v>
      </c>
      <c r="E6" s="35">
        <v>0.25</v>
      </c>
      <c r="I6" s="45">
        <v>1000</v>
      </c>
      <c r="J6" s="46">
        <f>D6-20000</f>
        <v>30000</v>
      </c>
      <c r="K6" s="45">
        <f>I6*E6</f>
        <v>250</v>
      </c>
      <c r="L6" s="45">
        <f>L5-M5</f>
        <v>31000</v>
      </c>
      <c r="M6" s="45">
        <f>D6-20000</f>
        <v>30000</v>
      </c>
      <c r="N6" s="45">
        <f>M6*E6</f>
        <v>7500</v>
      </c>
      <c r="O6" s="45">
        <f>O5-P5</f>
        <v>32500</v>
      </c>
      <c r="P6" s="45">
        <f>D6-20000</f>
        <v>30000</v>
      </c>
      <c r="Q6" s="45">
        <f>P6*E6</f>
        <v>7500</v>
      </c>
    </row>
    <row r="7" spans="3:17" ht="15.5" thickTop="1" thickBot="1" x14ac:dyDescent="0.4">
      <c r="C7" s="33" t="s">
        <v>62</v>
      </c>
      <c r="D7" s="36">
        <v>9999999999</v>
      </c>
      <c r="E7" s="35">
        <v>0.35</v>
      </c>
      <c r="I7"/>
      <c r="J7" s="45" t="s">
        <v>70</v>
      </c>
      <c r="K7" s="45">
        <f>SUM(K4:K6)</f>
        <v>750</v>
      </c>
      <c r="L7" s="45">
        <v>1000</v>
      </c>
      <c r="M7" s="46">
        <f>D7-50000</f>
        <v>9999949999</v>
      </c>
      <c r="N7" s="45">
        <f>L7*E7</f>
        <v>350</v>
      </c>
      <c r="O7" s="45">
        <f>O6-P6</f>
        <v>2500</v>
      </c>
      <c r="P7" s="46">
        <f>D7-O7</f>
        <v>9999997499</v>
      </c>
      <c r="Q7" s="45">
        <f>O7*E7</f>
        <v>875</v>
      </c>
    </row>
    <row r="8" spans="3:17" ht="15.5" thickTop="1" thickBot="1" x14ac:dyDescent="0.4">
      <c r="I8" s="43"/>
      <c r="J8" s="43"/>
      <c r="K8"/>
      <c r="L8"/>
      <c r="M8" s="45" t="s">
        <v>70</v>
      </c>
      <c r="N8" s="45">
        <f>SUM(N4:N7)</f>
        <v>8350</v>
      </c>
      <c r="O8"/>
      <c r="P8" s="45" t="s">
        <v>70</v>
      </c>
      <c r="Q8" s="45">
        <f>SUM(Q4:Q7)</f>
        <v>8875</v>
      </c>
    </row>
    <row r="9" spans="3:17" ht="15.5" thickTop="1" thickBot="1" x14ac:dyDescent="0.4">
      <c r="C9" s="37"/>
      <c r="D9" s="38"/>
      <c r="E9" s="38"/>
      <c r="I9" s="43"/>
      <c r="J9" s="43"/>
      <c r="K9"/>
      <c r="L9"/>
      <c r="M9"/>
      <c r="N9"/>
      <c r="O9"/>
      <c r="P9"/>
      <c r="Q9"/>
    </row>
    <row r="10" spans="3:17" ht="88" thickBot="1" x14ac:dyDescent="0.4">
      <c r="C10" s="33" t="s">
        <v>63</v>
      </c>
      <c r="D10" s="39">
        <f>K7</f>
        <v>750</v>
      </c>
      <c r="E10" s="39"/>
      <c r="J10" s="29"/>
      <c r="K10"/>
      <c r="L10"/>
      <c r="M10"/>
      <c r="N10"/>
      <c r="O10"/>
      <c r="P10" s="43"/>
      <c r="Q10" s="43"/>
    </row>
    <row r="11" spans="3:17" ht="102" thickBot="1" x14ac:dyDescent="0.4">
      <c r="C11" s="40" t="s">
        <v>64</v>
      </c>
      <c r="D11" s="42">
        <f>N8</f>
        <v>8350</v>
      </c>
      <c r="E11" s="39"/>
      <c r="J11"/>
      <c r="K11"/>
      <c r="L11"/>
      <c r="M11"/>
    </row>
    <row r="12" spans="3:17" ht="116.5" thickBot="1" x14ac:dyDescent="0.4">
      <c r="C12" s="40" t="s">
        <v>65</v>
      </c>
      <c r="D12" s="39"/>
      <c r="E12" s="49">
        <f>Q8/O4</f>
        <v>0.16904761904761906</v>
      </c>
    </row>
    <row r="13" spans="3:17" ht="102" thickBot="1" x14ac:dyDescent="0.4">
      <c r="C13" s="40" t="s">
        <v>66</v>
      </c>
      <c r="D13" s="39"/>
      <c r="E13" s="50">
        <f>E7</f>
        <v>0.35</v>
      </c>
    </row>
    <row r="14" spans="3:17" ht="58" x14ac:dyDescent="0.35">
      <c r="D14" s="48" t="s">
        <v>71</v>
      </c>
      <c r="E14" s="48" t="s">
        <v>72</v>
      </c>
    </row>
    <row r="15" spans="3:17" ht="58" x14ac:dyDescent="0.35">
      <c r="D15" s="48" t="s">
        <v>97</v>
      </c>
      <c r="E15" s="48" t="s">
        <v>73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FD7E7-DC52-4B47-8D96-C8A28C806F34}">
  <dimension ref="B2:D11"/>
  <sheetViews>
    <sheetView workbookViewId="0">
      <selection activeCell="B11" sqref="B11"/>
    </sheetView>
  </sheetViews>
  <sheetFormatPr defaultRowHeight="14.5" x14ac:dyDescent="0.35"/>
  <cols>
    <col min="2" max="2" width="11.453125" bestFit="1" customWidth="1"/>
    <col min="3" max="3" width="28.453125" bestFit="1" customWidth="1"/>
  </cols>
  <sheetData>
    <row r="2" spans="2:4" x14ac:dyDescent="0.35">
      <c r="B2" s="6">
        <v>0.05</v>
      </c>
      <c r="C2" t="s">
        <v>74</v>
      </c>
      <c r="D2" t="str">
        <f t="shared" ref="D2:D3" ca="1" si="0">IFERROR(_xlfn.FORMULATEXT(B2),"")</f>
        <v/>
      </c>
    </row>
    <row r="3" spans="2:4" x14ac:dyDescent="0.35">
      <c r="B3">
        <v>5</v>
      </c>
      <c r="C3" t="s">
        <v>75</v>
      </c>
      <c r="D3" t="str">
        <f t="shared" ca="1" si="0"/>
        <v/>
      </c>
    </row>
    <row r="4" spans="2:4" x14ac:dyDescent="0.35">
      <c r="B4">
        <v>500000</v>
      </c>
      <c r="C4" t="s">
        <v>76</v>
      </c>
      <c r="D4" t="str">
        <f ca="1">IFERROR(_xlfn.FORMULATEXT(B4),"")</f>
        <v/>
      </c>
    </row>
    <row r="5" spans="2:4" x14ac:dyDescent="0.35">
      <c r="B5" s="11">
        <f>PMT(B2,B3,-B4)</f>
        <v>115487.39906413406</v>
      </c>
      <c r="C5" t="s">
        <v>77</v>
      </c>
      <c r="D5" t="str">
        <f t="shared" ref="D5:D11" ca="1" si="1">IFERROR(_xlfn.FORMULATEXT(B5),"")</f>
        <v>=PMT(B2,B3,-B4)</v>
      </c>
    </row>
    <row r="6" spans="2:4" x14ac:dyDescent="0.35">
      <c r="B6" s="11">
        <f>B5*B3</f>
        <v>577436.99532067031</v>
      </c>
      <c r="C6" t="s">
        <v>78</v>
      </c>
      <c r="D6" t="str">
        <f t="shared" ca="1" si="1"/>
        <v>=B5*B3</v>
      </c>
    </row>
    <row r="7" spans="2:4" x14ac:dyDescent="0.35">
      <c r="D7" t="str">
        <f t="shared" ca="1" si="1"/>
        <v/>
      </c>
    </row>
    <row r="8" spans="2:4" x14ac:dyDescent="0.35">
      <c r="B8" s="6">
        <v>0.15</v>
      </c>
      <c r="C8" t="s">
        <v>79</v>
      </c>
      <c r="D8" t="str">
        <f t="shared" ca="1" si="1"/>
        <v/>
      </c>
    </row>
    <row r="9" spans="2:4" x14ac:dyDescent="0.35">
      <c r="B9">
        <f>B3-(B3*B8)</f>
        <v>4.25</v>
      </c>
      <c r="C9" t="s">
        <v>80</v>
      </c>
      <c r="D9" t="str">
        <f t="shared" ca="1" si="1"/>
        <v>=B3-(B3*B8)</v>
      </c>
    </row>
    <row r="10" spans="2:4" x14ac:dyDescent="0.35">
      <c r="B10" s="11">
        <f>B6/B9</f>
        <v>135867.52831074595</v>
      </c>
      <c r="C10" t="s">
        <v>81</v>
      </c>
      <c r="D10" t="str">
        <f t="shared" ca="1" si="1"/>
        <v>=B6/B9</v>
      </c>
    </row>
    <row r="11" spans="2:4" x14ac:dyDescent="0.35">
      <c r="B11" s="2">
        <f>RATE(B9,B10,-B4)</f>
        <v>5.7273528910582926E-2</v>
      </c>
      <c r="C11" t="s">
        <v>82</v>
      </c>
      <c r="D11" t="str">
        <f t="shared" ca="1" si="1"/>
        <v>=RATE(B9,B10,-B4)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q5</vt:lpstr>
      <vt:lpstr>q6</vt:lpstr>
      <vt:lpstr>q7</vt:lpstr>
      <vt:lpstr>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mikec</dc:creator>
  <cp:lastModifiedBy>mikec</cp:lastModifiedBy>
  <dcterms:created xsi:type="dcterms:W3CDTF">2020-12-19T21:04:37Z</dcterms:created>
  <dcterms:modified xsi:type="dcterms:W3CDTF">2020-12-20T17:37:17Z</dcterms:modified>
</cp:coreProperties>
</file>