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202300"/>
  <mc:AlternateContent xmlns:mc="http://schemas.openxmlformats.org/markup-compatibility/2006">
    <mc:Choice Requires="x15">
      <x15ac:absPath xmlns:x15ac="http://schemas.microsoft.com/office/spreadsheetml/2010/11/ac" url="/Users/miked/Library/CloudStorage/GoogleDrive-michael@dechellis.org/Shared drives/Working Lands Project/Financial and Expenses/"/>
    </mc:Choice>
  </mc:AlternateContent>
  <xr:revisionPtr revIDLastSave="0" documentId="13_ncr:1_{FF0C7C8D-C05A-7A45-812D-AF2AB95F980C}" xr6:coauthVersionLast="47" xr6:coauthVersionMax="47" xr10:uidLastSave="{00000000-0000-0000-0000-000000000000}"/>
  <bookViews>
    <workbookView xWindow="-51200" yWindow="500" windowWidth="51200" windowHeight="28300" xr2:uid="{AE5CC24F-54B9-0642-A8A4-64CC6C2E4C9C}"/>
  </bookViews>
  <sheets>
    <sheet name="Input and Summary Sheet" sheetId="3" r:id="rId1"/>
    <sheet name="Class Roster" sheetId="2" r:id="rId2"/>
    <sheet name="Staff Roster" sheetId="7" r:id="rId3"/>
    <sheet name="Task and Transaction List"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7" l="1"/>
  <c r="M13" i="7"/>
  <c r="E57" i="2"/>
  <c r="E55" i="2"/>
  <c r="E52" i="2"/>
  <c r="E53" i="2" s="1"/>
  <c r="E49" i="2"/>
  <c r="E50" i="2" s="1"/>
  <c r="E43" i="2"/>
  <c r="I16" i="3"/>
  <c r="I17" i="3" s="1"/>
  <c r="I24" i="3"/>
  <c r="I22" i="3"/>
  <c r="I19" i="3"/>
  <c r="I20" i="3" s="1"/>
  <c r="I9" i="3"/>
  <c r="D24" i="5"/>
  <c r="B21" i="5"/>
  <c r="M16" i="7"/>
  <c r="M17" i="7"/>
  <c r="M18" i="7"/>
  <c r="M19" i="7"/>
  <c r="M20" i="7"/>
  <c r="M21" i="7"/>
  <c r="M22" i="7"/>
  <c r="B10" i="7"/>
  <c r="D18" i="5"/>
  <c r="F10" i="3" s="1"/>
  <c r="B17" i="5"/>
  <c r="B18" i="5"/>
  <c r="D14" i="5"/>
  <c r="F13" i="3" s="1"/>
  <c r="B14" i="5"/>
  <c r="D10" i="5"/>
  <c r="D13" i="5"/>
  <c r="D12" i="5"/>
  <c r="D11" i="5"/>
  <c r="D7" i="5"/>
  <c r="B8" i="5"/>
  <c r="B10" i="5"/>
  <c r="B19" i="5"/>
  <c r="B16" i="5"/>
  <c r="J37" i="2"/>
  <c r="I37" i="2"/>
  <c r="H37" i="2"/>
  <c r="F37" i="2"/>
  <c r="B15" i="5"/>
  <c r="B6" i="5"/>
  <c r="B9" i="5"/>
  <c r="B20" i="5"/>
  <c r="B22" i="5"/>
  <c r="B23" i="5"/>
  <c r="B24" i="5"/>
  <c r="B7" i="5"/>
  <c r="B11" i="5"/>
  <c r="B12" i="5"/>
  <c r="B13" i="5"/>
  <c r="B5" i="5"/>
  <c r="B7" i="7"/>
  <c r="G13" i="7" s="1"/>
  <c r="J13" i="7" s="1"/>
  <c r="J16" i="7"/>
  <c r="J17" i="7"/>
  <c r="J18" i="7"/>
  <c r="J19" i="7"/>
  <c r="J20" i="7"/>
  <c r="J21" i="7"/>
  <c r="J22" i="7"/>
  <c r="K16" i="7"/>
  <c r="K17" i="7"/>
  <c r="K18" i="7"/>
  <c r="K19" i="7"/>
  <c r="K20" i="7"/>
  <c r="K21" i="7"/>
  <c r="K22" i="7"/>
  <c r="L16" i="7"/>
  <c r="L17" i="7"/>
  <c r="L18" i="7"/>
  <c r="L19" i="7"/>
  <c r="L20" i="7"/>
  <c r="L21" i="7"/>
  <c r="L22" i="7"/>
  <c r="I13" i="7"/>
  <c r="I14" i="7"/>
  <c r="I15" i="7"/>
  <c r="I16" i="7"/>
  <c r="I17" i="7"/>
  <c r="I18" i="7"/>
  <c r="I19" i="7"/>
  <c r="I20" i="7"/>
  <c r="I21" i="7"/>
  <c r="I22" i="7"/>
  <c r="G16" i="7"/>
  <c r="G17" i="7"/>
  <c r="G18" i="7"/>
  <c r="G19" i="7"/>
  <c r="G20" i="7"/>
  <c r="G21" i="7"/>
  <c r="G22" i="7"/>
  <c r="B8" i="7"/>
  <c r="K14" i="7" s="1"/>
  <c r="B9" i="7"/>
  <c r="L15" i="7" s="1"/>
  <c r="B11" i="2"/>
  <c r="J15" i="2" s="1"/>
  <c r="B8" i="2"/>
  <c r="F20" i="2" s="1"/>
  <c r="G38" i="2"/>
  <c r="B10" i="2"/>
  <c r="I20" i="2" s="1"/>
  <c r="B9" i="2"/>
  <c r="H15" i="2" s="1"/>
  <c r="K38" i="2"/>
  <c r="B52" i="2" l="1"/>
  <c r="F32" i="2"/>
  <c r="F31" i="2"/>
  <c r="F36" i="2"/>
  <c r="F35" i="2"/>
  <c r="F34" i="2"/>
  <c r="J36" i="2"/>
  <c r="I34" i="2"/>
  <c r="I32" i="2"/>
  <c r="J35" i="2"/>
  <c r="I31" i="2"/>
  <c r="F33" i="2"/>
  <c r="J34" i="2"/>
  <c r="H36" i="2"/>
  <c r="J33" i="2"/>
  <c r="H35" i="2"/>
  <c r="F30" i="2"/>
  <c r="H30" i="2"/>
  <c r="I30" i="2"/>
  <c r="J30" i="2"/>
  <c r="J32" i="2"/>
  <c r="H34" i="2"/>
  <c r="F29" i="2"/>
  <c r="H29" i="2"/>
  <c r="I29" i="2"/>
  <c r="J29" i="2"/>
  <c r="J31" i="2"/>
  <c r="H33" i="2"/>
  <c r="I36" i="2"/>
  <c r="H32" i="2"/>
  <c r="I33" i="2"/>
  <c r="I35" i="2"/>
  <c r="H31" i="2"/>
  <c r="J28" i="2"/>
  <c r="J27" i="2"/>
  <c r="F28" i="2"/>
  <c r="F27" i="2"/>
  <c r="I27" i="2"/>
  <c r="H28" i="2"/>
  <c r="H27" i="2"/>
  <c r="I28" i="2"/>
  <c r="B44" i="2"/>
  <c r="B47" i="2"/>
  <c r="E51" i="2"/>
  <c r="I18" i="3"/>
  <c r="F18" i="3"/>
  <c r="J18" i="2"/>
  <c r="J14" i="2"/>
  <c r="F16" i="2"/>
  <c r="J22" i="2"/>
  <c r="F14" i="2"/>
  <c r="J21" i="2"/>
  <c r="J19" i="2"/>
  <c r="F26" i="2"/>
  <c r="F24" i="2"/>
  <c r="F19" i="2"/>
  <c r="J24" i="2"/>
  <c r="F18" i="2"/>
  <c r="J23" i="2"/>
  <c r="I19" i="2"/>
  <c r="I26" i="2"/>
  <c r="I18" i="2"/>
  <c r="I16" i="2"/>
  <c r="H24" i="2"/>
  <c r="H14" i="2"/>
  <c r="H23" i="2"/>
  <c r="F17" i="2"/>
  <c r="H22" i="2"/>
  <c r="I17" i="2"/>
  <c r="F25" i="2"/>
  <c r="F15" i="2"/>
  <c r="H20" i="2"/>
  <c r="I25" i="2"/>
  <c r="I15" i="2"/>
  <c r="J20" i="2"/>
  <c r="H21" i="2"/>
  <c r="H19" i="2"/>
  <c r="I24" i="2"/>
  <c r="F22" i="2"/>
  <c r="H17" i="2"/>
  <c r="I22" i="2"/>
  <c r="J17" i="2"/>
  <c r="I14" i="2"/>
  <c r="F23" i="2"/>
  <c r="H18" i="2"/>
  <c r="I23" i="2"/>
  <c r="F21" i="2"/>
  <c r="H26" i="2"/>
  <c r="I21" i="2"/>
  <c r="J26" i="2"/>
  <c r="J16" i="2"/>
  <c r="M14" i="7"/>
  <c r="H16" i="2"/>
  <c r="H25" i="2"/>
  <c r="J25" i="2"/>
  <c r="L13" i="7"/>
  <c r="I23" i="7"/>
  <c r="D5" i="5" s="1"/>
  <c r="L14" i="7"/>
  <c r="K13" i="7"/>
  <c r="K15" i="7"/>
  <c r="G15" i="7"/>
  <c r="J15" i="7" s="1"/>
  <c r="G14" i="7"/>
  <c r="I23" i="3" l="1"/>
  <c r="E46" i="2"/>
  <c r="E56" i="2"/>
  <c r="F5" i="5"/>
  <c r="F6" i="5" s="1"/>
  <c r="F7" i="5" s="1"/>
  <c r="F8" i="5" s="1"/>
  <c r="E45" i="2"/>
  <c r="I12" i="3"/>
  <c r="I11" i="3"/>
  <c r="M23" i="7"/>
  <c r="D21" i="5" s="1"/>
  <c r="J14" i="7"/>
  <c r="J23" i="7" s="1"/>
  <c r="D20" i="5" s="1"/>
  <c r="F19" i="3" s="1"/>
  <c r="K23" i="7"/>
  <c r="L23" i="7"/>
  <c r="J38" i="2"/>
  <c r="D9" i="5" s="1"/>
  <c r="F38" i="2"/>
  <c r="H38" i="2"/>
  <c r="I38" i="2"/>
  <c r="I13" i="3" l="1"/>
  <c r="E44" i="2"/>
  <c r="I10" i="3"/>
  <c r="F14" i="3"/>
  <c r="B48" i="2"/>
  <c r="B53" i="2"/>
  <c r="F15" i="3"/>
  <c r="B49" i="2"/>
  <c r="F9" i="5"/>
  <c r="F10" i="5" s="1"/>
  <c r="F11" i="5" s="1"/>
  <c r="F12" i="5" s="1"/>
  <c r="F13" i="5" s="1"/>
  <c r="F14" i="5" s="1"/>
  <c r="F15" i="5" s="1"/>
  <c r="F16" i="5" s="1"/>
  <c r="D17" i="5"/>
  <c r="D22" i="5"/>
  <c r="D23" i="5"/>
  <c r="F16" i="3" l="1"/>
  <c r="B50" i="2"/>
  <c r="F9" i="3"/>
  <c r="F11" i="3" s="1"/>
  <c r="B43" i="2"/>
  <c r="B45" i="2" s="1"/>
  <c r="F17" i="3"/>
  <c r="B51" i="2"/>
  <c r="F17" i="5"/>
  <c r="F18" i="5" s="1"/>
  <c r="B54" i="2" l="1"/>
  <c r="B57" i="2" s="1"/>
  <c r="A56" i="2" s="1"/>
  <c r="F20" i="3"/>
  <c r="F23" i="3" s="1"/>
  <c r="E22" i="3" s="1"/>
  <c r="F19" i="5"/>
  <c r="F20" i="5" s="1"/>
  <c r="F21" i="5" s="1"/>
  <c r="F22" i="5" s="1"/>
  <c r="F23" i="5" s="1"/>
  <c r="F24" i="5" s="1"/>
  <c r="F24" i="3" l="1"/>
</calcChain>
</file>

<file path=xl/sharedStrings.xml><?xml version="1.0" encoding="utf-8"?>
<sst xmlns="http://schemas.openxmlformats.org/spreadsheetml/2006/main" count="223" uniqueCount="168">
  <si>
    <t>Final Payment to Venue</t>
  </si>
  <si>
    <t>Venue</t>
  </si>
  <si>
    <t>Final Payment to Lodging</t>
  </si>
  <si>
    <t>Lodging</t>
  </si>
  <si>
    <t>Instructor</t>
  </si>
  <si>
    <t>Grants</t>
  </si>
  <si>
    <t>Tuition</t>
  </si>
  <si>
    <t>Materials</t>
  </si>
  <si>
    <t>Deposit to Venue</t>
  </si>
  <si>
    <t>Deposit to Catering / Food</t>
  </si>
  <si>
    <t>Deposit to Lodging</t>
  </si>
  <si>
    <t>Category</t>
  </si>
  <si>
    <t>Assume policy per event</t>
  </si>
  <si>
    <t>Total Insurance Cost</t>
  </si>
  <si>
    <t>Additional Class Materials</t>
  </si>
  <si>
    <t>Class Materials Per Paid Attendee</t>
  </si>
  <si>
    <t>Venue Deposit</t>
  </si>
  <si>
    <t>Food Cost Per Attendee Per Day</t>
  </si>
  <si>
    <t>Lodging Deposit</t>
  </si>
  <si>
    <t>Lodging Cost Per Attendee per Night</t>
  </si>
  <si>
    <t>EXPENSES</t>
  </si>
  <si>
    <t>INCOME</t>
  </si>
  <si>
    <t>Number of Class Days</t>
  </si>
  <si>
    <t>SCHEDULING</t>
  </si>
  <si>
    <t>Comments</t>
  </si>
  <si>
    <t>Input (White Cells Only)</t>
  </si>
  <si>
    <t>Parameter</t>
  </si>
  <si>
    <t>Insurance</t>
  </si>
  <si>
    <t>Expenses</t>
  </si>
  <si>
    <t>Income</t>
  </si>
  <si>
    <t>Start date of class</t>
  </si>
  <si>
    <t>Name</t>
  </si>
  <si>
    <t>Email</t>
  </si>
  <si>
    <t>Address</t>
  </si>
  <si>
    <t>Mobile Number</t>
  </si>
  <si>
    <t>Tuition Due</t>
  </si>
  <si>
    <t>Tuition Paid</t>
  </si>
  <si>
    <t>Meal Cost</t>
  </si>
  <si>
    <t>Lodging Cost</t>
  </si>
  <si>
    <t>Materials Cost</t>
  </si>
  <si>
    <t>Notes</t>
  </si>
  <si>
    <t>Organization</t>
  </si>
  <si>
    <t>Student 1</t>
  </si>
  <si>
    <t>Student 2</t>
  </si>
  <si>
    <t>Student 3</t>
  </si>
  <si>
    <t>Student 4</t>
  </si>
  <si>
    <t>Student 5</t>
  </si>
  <si>
    <t>Student 6</t>
  </si>
  <si>
    <t>Student 7</t>
  </si>
  <si>
    <t>Student 8</t>
  </si>
  <si>
    <t>Student 9</t>
  </si>
  <si>
    <t>Student 10</t>
  </si>
  <si>
    <t>Student 11</t>
  </si>
  <si>
    <t>Student 12</t>
  </si>
  <si>
    <t>Total</t>
  </si>
  <si>
    <t>Meal Costs per Student</t>
  </si>
  <si>
    <t>Lodging Costs per Student</t>
  </si>
  <si>
    <t>Income per Student</t>
  </si>
  <si>
    <t>Standard Tuition</t>
  </si>
  <si>
    <t>Material Costs per Student</t>
  </si>
  <si>
    <t>Food/Catering Deposit</t>
  </si>
  <si>
    <t>Venue Cost per Day</t>
  </si>
  <si>
    <t>Additional Venue Cost</t>
  </si>
  <si>
    <t>Fill out the following table with students.</t>
  </si>
  <si>
    <t>Material cost per student</t>
  </si>
  <si>
    <t>Use the Tuition Paid column to keep track of who has paid.</t>
  </si>
  <si>
    <t>Cleaning fees, Miscellaneous</t>
  </si>
  <si>
    <t>Input Table</t>
  </si>
  <si>
    <t>Grant or Other Funding</t>
  </si>
  <si>
    <t>Use this for any income in the class that is not based on attendees tuition</t>
  </si>
  <si>
    <t>Fill out the following table with staff, including the instructor.</t>
  </si>
  <si>
    <t>Instructor 1</t>
  </si>
  <si>
    <t>Facilitator 1</t>
  </si>
  <si>
    <t>Facilitator 2</t>
  </si>
  <si>
    <t>Formulas in the table will fill out the columns automatically If there is anything in the Name column, but you can always overwrite with manual numbers if you are charging someone different tuition or something like that.</t>
  </si>
  <si>
    <t>Quick Calcs - DO NOT EDIT HERE</t>
  </si>
  <si>
    <t>Useful calculations if you're just trying to get some numbers in - based on Input Sheet.  If you want to make changes, consider doing it in the Input Sheet.</t>
  </si>
  <si>
    <t>Food cost per class 
(Per Day * Number of Days)</t>
  </si>
  <si>
    <t>Lodging cost per class 
(Per Day * Number of Days - 1)</t>
  </si>
  <si>
    <t>Instructor Deposit</t>
  </si>
  <si>
    <t>Class Hours</t>
  </si>
  <si>
    <t>Class Hours per Day</t>
  </si>
  <si>
    <t>Tools, Online Fees, Miscellaneous</t>
  </si>
  <si>
    <t>Travel for Instructor and staff</t>
  </si>
  <si>
    <t>Pre-Class Organization Hours</t>
  </si>
  <si>
    <t>Total Class Hours</t>
  </si>
  <si>
    <t>Class hours per day * Number of Days</t>
  </si>
  <si>
    <t>Meal Costs per Staff</t>
  </si>
  <si>
    <t>Lodging Costs per Staff</t>
  </si>
  <si>
    <t>USE NEGATIVE NUMBERS FOR ALL WAGES AND COST (will appear in parentheses)</t>
  </si>
  <si>
    <t>Hourly Rate</t>
  </si>
  <si>
    <t>Pre-Class Organization Wages</t>
  </si>
  <si>
    <t>Post-Class Hours</t>
  </si>
  <si>
    <t>Class and Post-Class Wages</t>
  </si>
  <si>
    <t>This drives a lot of things, including lodging, food, and staff time costs</t>
  </si>
  <si>
    <t>Put $0 if this is online or lodging not included</t>
  </si>
  <si>
    <t>Put $0 if this is online or meals not included</t>
  </si>
  <si>
    <t>This is mainly for how much to pay instructors/facilitators/staff for class days</t>
  </si>
  <si>
    <t>Initial Planning/Coordination of the Event</t>
  </si>
  <si>
    <t>Date (Calculated)</t>
  </si>
  <si>
    <t>Role</t>
  </si>
  <si>
    <t>Class Coordinator</t>
  </si>
  <si>
    <t>On-Site Coordinator</t>
  </si>
  <si>
    <t>Send out class announcement</t>
  </si>
  <si>
    <t>Final Payment to Instructor / Coordinators</t>
  </si>
  <si>
    <t>Deposit to Instructor</t>
  </si>
  <si>
    <t>Send Out Final Logistics Details</t>
  </si>
  <si>
    <t>Printed Materials and Books.  Online access if applicable.</t>
  </si>
  <si>
    <t>Default Costs per Class Day</t>
  </si>
  <si>
    <t>Useful calculations if you're just trying to get some numbers in - based on Input Sheet.  If you want to make changes, consider doing it in the Input Sheet, or edit the roster below directly.</t>
  </si>
  <si>
    <t>Send Out Waivers for Signature</t>
  </si>
  <si>
    <r>
      <rPr>
        <b/>
        <sz val="12"/>
        <color theme="1"/>
        <rFont val="Aptos"/>
      </rPr>
      <t>Overview</t>
    </r>
    <r>
      <rPr>
        <sz val="12"/>
        <color theme="1"/>
        <rFont val="Aptos"/>
        <family val="2"/>
      </rPr>
      <t xml:space="preserve">
This is a useful sheet that helps you plan a Savory Holistic Comprehensive Management Class.  You can use it for online classes and for in person classes with lodging and meals (or not).  It helps to understand the costs involved and plan.  You can use it to plan with generic attendees, or you can use it to plan an actual class, putting actual attendees in.  It comes with default values that may or may not apply in your context.  These are values that may make sense in Montana, USA.
</t>
    </r>
    <r>
      <rPr>
        <b/>
        <sz val="12"/>
        <color theme="1"/>
        <rFont val="Aptos"/>
      </rPr>
      <t>Key Features:</t>
    </r>
    <r>
      <rPr>
        <sz val="12"/>
        <color theme="1"/>
        <rFont val="Aptos"/>
        <family val="2"/>
      </rPr>
      <t xml:space="preserve">
</t>
    </r>
    <r>
      <rPr>
        <i/>
        <sz val="12"/>
        <color theme="1"/>
        <rFont val="Aptos"/>
      </rPr>
      <t>Input Sheet</t>
    </r>
    <r>
      <rPr>
        <sz val="12"/>
        <color theme="1"/>
        <rFont val="Aptos"/>
        <family val="2"/>
      </rPr>
      <t xml:space="preserve"> - Assumptions are put here
</t>
    </r>
    <r>
      <rPr>
        <i/>
        <sz val="12"/>
        <color theme="1"/>
        <rFont val="Aptos"/>
      </rPr>
      <t>Class Roster</t>
    </r>
    <r>
      <rPr>
        <sz val="12"/>
        <color theme="1"/>
        <rFont val="Aptos"/>
        <family val="2"/>
      </rPr>
      <t xml:space="preserve"> - Put in class attendees and paid instructors and facilitators, customizing pay and tuition values from the default if necessary.
</t>
    </r>
    <r>
      <rPr>
        <i/>
        <sz val="12"/>
        <color theme="1"/>
        <rFont val="Aptos"/>
      </rPr>
      <t>Summary Sheet</t>
    </r>
    <r>
      <rPr>
        <sz val="12"/>
        <color theme="1"/>
        <rFont val="Aptos"/>
        <family val="2"/>
      </rPr>
      <t xml:space="preserve"> - See what the economics of the class are - will you lose or gain money on it?
</t>
    </r>
    <r>
      <rPr>
        <i/>
        <sz val="12"/>
        <color theme="1"/>
        <rFont val="Aptos"/>
      </rPr>
      <t>Task and Transaction List</t>
    </r>
    <r>
      <rPr>
        <sz val="12"/>
        <color theme="1"/>
        <rFont val="Aptos"/>
        <family val="2"/>
      </rPr>
      <t xml:space="preserve"> - A suggested list of tasks with deadlines to help organize getting the class done and a detailed list of transactions that will likely happen as a result of the inputs</t>
    </r>
  </si>
  <si>
    <r>
      <t xml:space="preserve">Tips for Using
</t>
    </r>
    <r>
      <rPr>
        <sz val="12"/>
        <color theme="1"/>
        <rFont val="Aptos"/>
      </rPr>
      <t>- Save a copy of this workbook so you can play with it.  Try different cost scenarios if you're planning your class structure (online vs in person, for example).
- You can edit things in the class roster directly (like different tuition for different attendees), but remember it will overwrite formulas when you do and make them not update from this input sheet.</t>
    </r>
    <r>
      <rPr>
        <b/>
        <sz val="12"/>
        <color theme="1"/>
        <rFont val="Aptos"/>
      </rPr>
      <t xml:space="preserve">
</t>
    </r>
    <r>
      <rPr>
        <sz val="12"/>
        <color theme="1"/>
        <rFont val="Aptos"/>
      </rPr>
      <t>- The transaction list is used to determine the summary.  If it's not working, that might be where to look.</t>
    </r>
  </si>
  <si>
    <t>Instructors / Facilitators</t>
  </si>
  <si>
    <t>Food</t>
  </si>
  <si>
    <t>Tuition Deposited</t>
  </si>
  <si>
    <t>Grant Money Deposited</t>
  </si>
  <si>
    <t>Gather and Order Class Materials</t>
  </si>
  <si>
    <t>Send out "Last Call" for registrations</t>
  </si>
  <si>
    <t>Task / Transaction</t>
  </si>
  <si>
    <t>Days from Class Start</t>
  </si>
  <si>
    <t>Amount (if Transaction)</t>
  </si>
  <si>
    <t>Print and Order of Materials for Students</t>
  </si>
  <si>
    <t>Purchase Insurance Policy</t>
  </si>
  <si>
    <t>Default Costs per Class (One time expenses)</t>
  </si>
  <si>
    <t>Deposit Amounts if Necessary</t>
  </si>
  <si>
    <t>Teach Class!</t>
  </si>
  <si>
    <t>Final Payment to Catering / Food</t>
  </si>
  <si>
    <t>Task and Transaction List</t>
  </si>
  <si>
    <t>Travel Costs per Staff</t>
  </si>
  <si>
    <t>Travel Cost</t>
  </si>
  <si>
    <t>Formulas in the table will fill out the columns automatically, but you can always overwrite with manual numbers (if travel costs are different, for example)</t>
  </si>
  <si>
    <t>Travel Reimbursement to Instructor / Coordinators</t>
  </si>
  <si>
    <t>Travel</t>
  </si>
  <si>
    <t>This is a list of tasks / transactions and days before/after class that they need to happen.
You can use it as a "to do" list  
Edit the Days column and not the Date column.
Add tasks as you want by adding rows.  Don't delete the transactions unless you're SURE you don't need them, because you'll lose the formulas.</t>
  </si>
  <si>
    <t>Default Costs per Person</t>
  </si>
  <si>
    <t>Travel Expenses per Staff</t>
  </si>
  <si>
    <t>Total Income</t>
  </si>
  <si>
    <t>Total Expenses</t>
  </si>
  <si>
    <t>Number of attendees</t>
  </si>
  <si>
    <t>Average Tuition per Attendee</t>
  </si>
  <si>
    <t>You can customize tuition per attendee in the Class Roster</t>
  </si>
  <si>
    <t>Default Tuition Fee Per Student</t>
  </si>
  <si>
    <t>Number of attendees with lodging</t>
  </si>
  <si>
    <t>Number of attendees with meals</t>
  </si>
  <si>
    <t>Staff Roster</t>
  </si>
  <si>
    <t>Theoretical Bank Account Balance</t>
  </si>
  <si>
    <t>Summary</t>
  </si>
  <si>
    <t>Class Net Total</t>
  </si>
  <si>
    <t>Instructors</t>
  </si>
  <si>
    <t>Coordinators</t>
  </si>
  <si>
    <t>Total pre-class hours</t>
  </si>
  <si>
    <t>Total class hours</t>
  </si>
  <si>
    <t>Average Instructor Fee per class day</t>
  </si>
  <si>
    <t>Class Roster Info</t>
  </si>
  <si>
    <t>Staff Roster Info</t>
  </si>
  <si>
    <t>Total post-class hours</t>
  </si>
  <si>
    <t>Work Breakdown</t>
  </si>
  <si>
    <t>Average Coordinator Hourly Wage</t>
  </si>
  <si>
    <t>Average Instructor Hourly Wage</t>
  </si>
  <si>
    <t>Cash Needed to Cover Expenses</t>
  </si>
  <si>
    <t>Student Roster</t>
  </si>
  <si>
    <t>Average Income per Attendee</t>
  </si>
  <si>
    <t>Holistic Comprehensive Management and Ecological Outcome Verification Class Organizer</t>
  </si>
  <si>
    <t>Student 13</t>
  </si>
  <si>
    <t>Student 14</t>
  </si>
  <si>
    <t>Student 15</t>
  </si>
  <si>
    <t>Student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</si>
</sst>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2" x14ac:knownFonts="1">
    <font>
      <sz val="12"/>
      <color theme="1"/>
      <name val="Aptos"/>
      <family val="2"/>
    </font>
    <font>
      <sz val="12"/>
      <color theme="1"/>
      <name val="Aptos"/>
      <family val="2"/>
    </font>
    <font>
      <b/>
      <sz val="12"/>
      <color theme="1"/>
      <name val="Aptos"/>
    </font>
    <font>
      <sz val="12"/>
      <color theme="1"/>
      <name val="Aptos"/>
    </font>
    <font>
      <i/>
      <sz val="12"/>
      <color theme="1"/>
      <name val="Aptos"/>
    </font>
    <font>
      <b/>
      <sz val="12"/>
      <color theme="1"/>
      <name val="Aptos"/>
      <family val="2"/>
    </font>
    <font>
      <sz val="8"/>
      <name val="Aptos"/>
      <family val="2"/>
    </font>
    <font>
      <b/>
      <i/>
      <sz val="12"/>
      <color theme="1"/>
      <name val="Aptos"/>
    </font>
    <font>
      <i/>
      <sz val="12"/>
      <color theme="0" tint="-0.499984740745262"/>
      <name val="Aptos"/>
    </font>
    <font>
      <b/>
      <i/>
      <sz val="12"/>
      <color theme="0" tint="-0.499984740745262"/>
      <name val="Aptos"/>
    </font>
    <font>
      <b/>
      <sz val="24"/>
      <color theme="1"/>
      <name val="Aptos"/>
    </font>
    <font>
      <b/>
      <sz val="18"/>
      <color theme="1"/>
      <name val="Aptos"/>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3" tint="0.749992370372631"/>
        <bgColor indexed="64"/>
      </patternFill>
    </fill>
  </fills>
  <borders count="17">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0" fontId="2" fillId="0" borderId="0" xfId="0" applyFont="1"/>
    <xf numFmtId="44" fontId="2" fillId="0" borderId="0" xfId="0" applyNumberFormat="1" applyFont="1"/>
    <xf numFmtId="44" fontId="0" fillId="0" borderId="0" xfId="0" applyNumberFormat="1"/>
    <xf numFmtId="44" fontId="5" fillId="0" borderId="0" xfId="0" applyNumberFormat="1" applyFont="1"/>
    <xf numFmtId="0" fontId="2" fillId="2" borderId="0" xfId="0" applyFont="1" applyFill="1" applyAlignment="1">
      <alignment wrapText="1"/>
    </xf>
    <xf numFmtId="0" fontId="0" fillId="2" borderId="0" xfId="0" applyFill="1" applyAlignment="1">
      <alignment wrapText="1"/>
    </xf>
    <xf numFmtId="0" fontId="0" fillId="0" borderId="0" xfId="0" applyAlignment="1">
      <alignment wrapText="1"/>
    </xf>
    <xf numFmtId="0" fontId="2" fillId="2" borderId="4" xfId="0" applyFont="1" applyFill="1" applyBorder="1" applyAlignment="1">
      <alignment vertical="top"/>
    </xf>
    <xf numFmtId="0" fontId="2" fillId="2" borderId="0" xfId="0" applyFont="1" applyFill="1" applyAlignment="1">
      <alignment vertical="top"/>
    </xf>
    <xf numFmtId="14" fontId="0" fillId="0" borderId="0" xfId="0" applyNumberFormat="1" applyAlignment="1">
      <alignment vertical="top"/>
    </xf>
    <xf numFmtId="0" fontId="0" fillId="0" borderId="0" xfId="0" applyAlignment="1">
      <alignment vertical="top"/>
    </xf>
    <xf numFmtId="0" fontId="4" fillId="2" borderId="0" xfId="0" applyFont="1" applyFill="1" applyAlignment="1">
      <alignment vertical="top"/>
    </xf>
    <xf numFmtId="44" fontId="0" fillId="0" borderId="0" xfId="1" applyFont="1" applyFill="1" applyBorder="1" applyAlignment="1">
      <alignment vertical="top"/>
    </xf>
    <xf numFmtId="44" fontId="0" fillId="2" borderId="0" xfId="1" applyFont="1" applyFill="1" applyBorder="1" applyAlignment="1">
      <alignment vertical="top"/>
    </xf>
    <xf numFmtId="0" fontId="0" fillId="2" borderId="1" xfId="0" applyFill="1" applyBorder="1" applyAlignment="1">
      <alignment vertical="top"/>
    </xf>
    <xf numFmtId="0" fontId="2" fillId="2" borderId="5" xfId="0" applyFont="1" applyFill="1" applyBorder="1" applyAlignment="1">
      <alignment horizontal="left" vertical="top"/>
    </xf>
    <xf numFmtId="0" fontId="0" fillId="2" borderId="3" xfId="0" applyFill="1" applyBorder="1" applyAlignment="1">
      <alignment horizontal="left" vertical="top"/>
    </xf>
    <xf numFmtId="0" fontId="2" fillId="2" borderId="3" xfId="0" applyFont="1" applyFill="1" applyBorder="1" applyAlignment="1">
      <alignment horizontal="left" vertical="top"/>
    </xf>
    <xf numFmtId="0" fontId="3" fillId="2" borderId="3" xfId="0" applyFont="1" applyFill="1" applyBorder="1" applyAlignment="1">
      <alignment horizontal="left" vertical="top"/>
    </xf>
    <xf numFmtId="0" fontId="0" fillId="2" borderId="2" xfId="0" applyFill="1" applyBorder="1" applyAlignment="1">
      <alignment horizontal="left" vertical="top"/>
    </xf>
    <xf numFmtId="0" fontId="2" fillId="0" borderId="0" xfId="0" applyFont="1" applyAlignment="1">
      <alignment vertical="top"/>
    </xf>
    <xf numFmtId="0" fontId="2" fillId="0" borderId="0" xfId="0" applyFont="1" applyAlignment="1">
      <alignment vertical="top" wrapText="1"/>
    </xf>
    <xf numFmtId="0" fontId="7" fillId="2" borderId="3" xfId="0" applyFont="1" applyFill="1" applyBorder="1" applyAlignment="1">
      <alignment horizontal="left" vertical="top"/>
    </xf>
    <xf numFmtId="0" fontId="0" fillId="0" borderId="0" xfId="0" applyAlignment="1">
      <alignment vertical="top" wrapText="1"/>
    </xf>
    <xf numFmtId="0" fontId="2" fillId="2" borderId="4" xfId="0" applyFont="1" applyFill="1" applyBorder="1" applyAlignment="1">
      <alignment vertical="top" wrapText="1"/>
    </xf>
    <xf numFmtId="0" fontId="2" fillId="2" borderId="0" xfId="0" applyFont="1" applyFill="1" applyAlignment="1">
      <alignment vertical="top" wrapText="1"/>
    </xf>
    <xf numFmtId="0" fontId="0" fillId="2" borderId="1" xfId="0" applyFill="1" applyBorder="1" applyAlignment="1">
      <alignment vertical="top" wrapText="1"/>
    </xf>
    <xf numFmtId="0" fontId="0" fillId="3" borderId="6" xfId="0" applyFill="1" applyBorder="1"/>
    <xf numFmtId="44" fontId="0" fillId="3" borderId="6" xfId="0" applyNumberFormat="1" applyFill="1" applyBorder="1"/>
    <xf numFmtId="0" fontId="0" fillId="3" borderId="6" xfId="0" applyFill="1" applyBorder="1" applyAlignment="1">
      <alignment wrapText="1"/>
    </xf>
    <xf numFmtId="44" fontId="0" fillId="3" borderId="6" xfId="1" applyFont="1" applyFill="1" applyBorder="1"/>
    <xf numFmtId="0" fontId="2" fillId="0" borderId="0" xfId="0" applyFont="1" applyAlignment="1">
      <alignment wrapText="1"/>
    </xf>
    <xf numFmtId="0" fontId="5" fillId="0" borderId="0" xfId="0" applyFont="1" applyAlignment="1">
      <alignment vertical="top" wrapText="1"/>
    </xf>
    <xf numFmtId="44" fontId="5" fillId="0" borderId="0" xfId="0" applyNumberFormat="1" applyFont="1" applyAlignment="1">
      <alignment vertical="top" wrapText="1"/>
    </xf>
    <xf numFmtId="44" fontId="0" fillId="0" borderId="0" xfId="0" applyNumberFormat="1" applyAlignment="1">
      <alignment vertical="top" wrapText="1"/>
    </xf>
    <xf numFmtId="14" fontId="0" fillId="0" borderId="0" xfId="0" applyNumberFormat="1" applyAlignment="1">
      <alignment vertical="top" wrapText="1"/>
    </xf>
    <xf numFmtId="0" fontId="3" fillId="0" borderId="0" xfId="0" applyFont="1"/>
    <xf numFmtId="44" fontId="3" fillId="0" borderId="0" xfId="0" applyNumberFormat="1" applyFont="1"/>
    <xf numFmtId="0" fontId="8" fillId="2" borderId="0" xfId="0" applyFont="1" applyFill="1" applyAlignment="1">
      <alignment vertical="top" wrapText="1"/>
    </xf>
    <xf numFmtId="0" fontId="9" fillId="2" borderId="0" xfId="0" applyFont="1" applyFill="1" applyAlignment="1">
      <alignment vertical="top" wrapText="1"/>
    </xf>
    <xf numFmtId="44" fontId="0" fillId="0" borderId="0" xfId="0" applyNumberFormat="1" applyAlignment="1">
      <alignment vertical="top"/>
    </xf>
    <xf numFmtId="0" fontId="2" fillId="4" borderId="7" xfId="0" applyFont="1" applyFill="1" applyBorder="1" applyAlignment="1">
      <alignment vertical="top"/>
    </xf>
    <xf numFmtId="0" fontId="0" fillId="4" borderId="8" xfId="0" applyFill="1" applyBorder="1" applyAlignment="1">
      <alignment vertical="top"/>
    </xf>
    <xf numFmtId="0" fontId="2" fillId="6" borderId="7" xfId="0" applyFont="1" applyFill="1" applyBorder="1" applyAlignment="1">
      <alignment vertical="top" wrapText="1"/>
    </xf>
    <xf numFmtId="0" fontId="2" fillId="6" borderId="8" xfId="0" applyFont="1" applyFill="1" applyBorder="1" applyAlignment="1">
      <alignment vertical="top"/>
    </xf>
    <xf numFmtId="164" fontId="0" fillId="0" borderId="9" xfId="0" applyNumberFormat="1" applyBorder="1" applyAlignment="1">
      <alignment horizontal="left" vertical="top"/>
    </xf>
    <xf numFmtId="164" fontId="0" fillId="0" borderId="10" xfId="1" applyNumberFormat="1" applyFont="1" applyBorder="1" applyAlignment="1">
      <alignment vertical="top"/>
    </xf>
    <xf numFmtId="0" fontId="0" fillId="0" borderId="9" xfId="0" applyBorder="1" applyAlignment="1">
      <alignment horizontal="left" vertical="top" wrapText="1"/>
    </xf>
    <xf numFmtId="0" fontId="0" fillId="0" borderId="10" xfId="0" applyBorder="1" applyAlignment="1">
      <alignment vertical="top"/>
    </xf>
    <xf numFmtId="164" fontId="0" fillId="0" borderId="13" xfId="0" applyNumberFormat="1" applyBorder="1" applyAlignment="1">
      <alignment horizontal="left" vertical="top"/>
    </xf>
    <xf numFmtId="164" fontId="0" fillId="0" borderId="14" xfId="1" applyNumberFormat="1" applyFont="1" applyBorder="1" applyAlignment="1">
      <alignment vertical="top"/>
    </xf>
    <xf numFmtId="164" fontId="0" fillId="0" borderId="10" xfId="0" applyNumberFormat="1" applyBorder="1" applyAlignment="1">
      <alignment vertical="top"/>
    </xf>
    <xf numFmtId="164" fontId="2" fillId="0" borderId="11" xfId="0" applyNumberFormat="1" applyFont="1" applyBorder="1" applyAlignment="1">
      <alignment horizontal="left" vertical="top"/>
    </xf>
    <xf numFmtId="164" fontId="2" fillId="0" borderId="12" xfId="1" applyNumberFormat="1" applyFont="1" applyBorder="1" applyAlignment="1">
      <alignment vertical="top"/>
    </xf>
    <xf numFmtId="0" fontId="0" fillId="0" borderId="9" xfId="0" applyBorder="1" applyAlignment="1">
      <alignment vertical="top" wrapText="1"/>
    </xf>
    <xf numFmtId="164" fontId="2" fillId="5" borderId="7" xfId="0" applyNumberFormat="1" applyFont="1" applyFill="1" applyBorder="1" applyAlignment="1">
      <alignment horizontal="left" vertical="top"/>
    </xf>
    <xf numFmtId="164" fontId="0" fillId="5" borderId="8" xfId="1" applyNumberFormat="1" applyFont="1" applyFill="1" applyBorder="1" applyAlignment="1">
      <alignment vertical="top"/>
    </xf>
    <xf numFmtId="0" fontId="0" fillId="0" borderId="11" xfId="0" applyBorder="1" applyAlignment="1">
      <alignment vertical="top" wrapText="1"/>
    </xf>
    <xf numFmtId="0" fontId="0" fillId="0" borderId="12" xfId="0" applyBorder="1" applyAlignment="1">
      <alignment vertical="top"/>
    </xf>
    <xf numFmtId="0" fontId="0" fillId="6" borderId="8" xfId="0" applyFill="1" applyBorder="1" applyAlignment="1">
      <alignment vertical="top"/>
    </xf>
    <xf numFmtId="164" fontId="2" fillId="0" borderId="12" xfId="0" applyNumberFormat="1" applyFont="1" applyBorder="1" applyAlignment="1">
      <alignment vertical="top"/>
    </xf>
    <xf numFmtId="164" fontId="2" fillId="6" borderId="11" xfId="0" applyNumberFormat="1" applyFont="1" applyFill="1" applyBorder="1" applyAlignment="1">
      <alignment horizontal="left" vertical="top"/>
    </xf>
    <xf numFmtId="164" fontId="2" fillId="6" borderId="12" xfId="0" applyNumberFormat="1" applyFont="1" applyFill="1" applyBorder="1" applyAlignment="1">
      <alignment vertical="top"/>
    </xf>
    <xf numFmtId="164" fontId="2" fillId="0" borderId="15" xfId="0" applyNumberFormat="1" applyFont="1" applyBorder="1" applyAlignment="1">
      <alignment horizontal="left" vertical="top"/>
    </xf>
    <xf numFmtId="164" fontId="0" fillId="0" borderId="16" xfId="0" applyNumberFormat="1" applyBorder="1" applyAlignment="1">
      <alignment vertical="top"/>
    </xf>
    <xf numFmtId="0" fontId="0" fillId="0" borderId="9" xfId="0" applyBorder="1" applyAlignment="1">
      <alignment horizontal="left" vertical="top" wrapText="1" indent="1"/>
    </xf>
    <xf numFmtId="0" fontId="0" fillId="0" borderId="11" xfId="0" applyBorder="1" applyAlignment="1">
      <alignment horizontal="left" vertical="top" wrapText="1" indent="1"/>
    </xf>
    <xf numFmtId="0" fontId="2" fillId="0" borderId="7" xfId="0" applyFont="1" applyBorder="1" applyAlignment="1">
      <alignment vertical="top" wrapText="1"/>
    </xf>
    <xf numFmtId="0" fontId="0" fillId="0" borderId="8" xfId="0" applyBorder="1" applyAlignment="1">
      <alignment vertical="top"/>
    </xf>
    <xf numFmtId="164" fontId="2" fillId="0" borderId="15" xfId="0" applyNumberFormat="1" applyFont="1" applyBorder="1" applyAlignment="1">
      <alignment horizontal="left" vertical="top" wrapText="1"/>
    </xf>
    <xf numFmtId="0" fontId="2" fillId="2" borderId="3" xfId="0" applyFont="1" applyFill="1" applyBorder="1" applyAlignment="1">
      <alignment horizontal="left"/>
    </xf>
    <xf numFmtId="0" fontId="7" fillId="2" borderId="3" xfId="0" applyFont="1" applyFill="1" applyBorder="1" applyAlignment="1">
      <alignment horizontal="left"/>
    </xf>
    <xf numFmtId="0" fontId="11" fillId="0" borderId="0" xfId="0" applyFont="1"/>
    <xf numFmtId="44" fontId="0" fillId="0" borderId="12" xfId="0" applyNumberFormat="1" applyBorder="1" applyAlignment="1">
      <alignment vertical="top"/>
    </xf>
    <xf numFmtId="0" fontId="10" fillId="0" borderId="0" xfId="0" applyFont="1" applyAlignment="1">
      <alignment vertical="top" wrapText="1"/>
    </xf>
    <xf numFmtId="164" fontId="2" fillId="0" borderId="15" xfId="0" applyNumberFormat="1" applyFont="1" applyBorder="1" applyAlignment="1">
      <alignment horizontal="left" vertical="top"/>
    </xf>
    <xf numFmtId="164" fontId="2" fillId="0" borderId="16" xfId="0" applyNumberFormat="1" applyFont="1" applyBorder="1" applyAlignment="1">
      <alignment horizontal="left" vertical="top"/>
    </xf>
    <xf numFmtId="0" fontId="3"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4" fillId="3" borderId="6" xfId="0" applyFont="1" applyFill="1" applyBorder="1" applyAlignment="1">
      <alignment vertical="top" wrapText="1"/>
    </xf>
    <xf numFmtId="0" fontId="2" fillId="3" borderId="6" xfId="0" applyFont="1" applyFill="1" applyBorder="1"/>
    <xf numFmtId="0" fontId="2" fillId="0" borderId="0" xfId="0" applyFont="1" applyAlignment="1">
      <alignment horizontal="center" wrapText="1"/>
    </xf>
    <xf numFmtId="0" fontId="0" fillId="0" borderId="0" xfId="0" applyAlignment="1">
      <alignment vertical="top" wrapText="1"/>
    </xf>
  </cellXfs>
  <cellStyles count="2">
    <cellStyle name="Currency" xfId="1" builtinId="4"/>
    <cellStyle name="Normal" xfId="0" builtinId="0"/>
  </cellStyles>
  <dxfs count="4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general" vertical="top" textRotation="0" indent="0" justifyLastLine="0" shrinkToFit="0" readingOrder="0"/>
    </dxf>
    <dxf>
      <numFmt numFmtId="19" formatCode="yyyy/mm/dd"/>
      <alignment horizontal="general" vertical="top" textRotation="0" wrapText="1" indent="0" justifyLastLine="0" shrinkToFit="0" readingOrder="0"/>
    </dxf>
    <dxf>
      <numFmt numFmtId="34" formatCode="_(&quot;$&quot;* #,##0.00_);_(&quot;$&quot;* \(#,##0.00\);_(&quot;$&quot;* &quot;-&quot;??_);_(@_)"/>
      <alignment horizontal="general" vertical="top" textRotation="0" wrapText="1" indent="0" justifyLastLine="0" shrinkToFit="0" readingOrder="0"/>
    </dxf>
    <dxf>
      <font>
        <b/>
      </font>
      <alignment horizontal="general" vertical="top" textRotation="0" wrapText="1" indent="0" justifyLastLine="0" shrinkToFit="0" readingOrder="0"/>
    </dxf>
    <dxf>
      <numFmt numFmtId="19" formatCode="yyyy/mm/dd"/>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ont>
        <b val="0"/>
      </font>
    </dxf>
    <dxf>
      <font>
        <b val="0"/>
        <i val="0"/>
        <strike val="0"/>
        <condense val="0"/>
        <extend val="0"/>
        <outline val="0"/>
        <shadow val="0"/>
        <u val="none"/>
        <vertAlign val="baseline"/>
        <sz val="12"/>
        <color theme="1"/>
        <name val="Aptos"/>
        <scheme val="none"/>
      </font>
      <numFmt numFmtId="34" formatCode="_(&quot;$&quot;* #,##0.00_);_(&quot;$&quot;* \(#,##0.00\);_(&quot;$&quot;* &quot;-&quot;??_);_(@_)"/>
    </dxf>
    <dxf>
      <font>
        <b val="0"/>
      </font>
      <numFmt numFmtId="34" formatCode="_(&quot;$&quot;* #,##0.00_);_(&quot;$&quot;* \(#,##0.00\);_(&quot;$&quot;* &quot;-&quot;??_);_(@_)"/>
    </dxf>
    <dxf>
      <font>
        <b val="0"/>
      </font>
      <numFmt numFmtId="34" formatCode="_(&quot;$&quot;* #,##0.00_);_(&quot;$&quot;* \(#,##0.00\);_(&quot;$&quot;* &quot;-&quot;??_);_(@_)"/>
    </dxf>
    <dxf>
      <font>
        <b val="0"/>
      </font>
      <numFmt numFmtId="34" formatCode="_(&quot;$&quot;* #,##0.00_);_(&quot;$&quot;* \(#,##0.00\);_(&quot;$&quot;* &quot;-&quot;??_);_(@_)"/>
    </dxf>
    <dxf>
      <font>
        <b val="0"/>
      </font>
      <numFmt numFmtId="34" formatCode="_(&quot;$&quot;* #,##0.00_);_(&quot;$&quot;* \(#,##0.00\);_(&quot;$&quot;* &quot;-&quot;??_);_(@_)"/>
    </dxf>
    <dxf>
      <font>
        <b val="0"/>
      </font>
      <numFmt numFmtId="0" formatCode="General"/>
    </dxf>
    <dxf>
      <font>
        <b val="0"/>
      </font>
      <numFmt numFmtId="0" formatCode="General"/>
    </dxf>
    <dxf>
      <font>
        <b val="0"/>
      </font>
      <numFmt numFmtId="0" formatCode="General"/>
    </dxf>
    <dxf>
      <font>
        <b val="0"/>
      </font>
      <numFmt numFmtId="34" formatCode="_(&quot;$&quot;* #,##0.00_);_(&quot;$&quot;* \(#,##0.00\);_(&quot;$&quot;* &quot;-&quot;??_);_(@_)"/>
    </dxf>
    <dxf>
      <font>
        <b val="0"/>
      </font>
    </dxf>
    <dxf>
      <font>
        <b val="0"/>
      </font>
    </dxf>
    <dxf>
      <font>
        <b val="0"/>
      </font>
    </dxf>
    <dxf>
      <font>
        <b val="0"/>
      </font>
    </dxf>
    <dxf>
      <font>
        <b val="0"/>
      </font>
    </dxf>
    <dxf>
      <font>
        <b/>
        <i val="0"/>
        <strike val="0"/>
        <condense val="0"/>
        <extend val="0"/>
        <outline val="0"/>
        <shadow val="0"/>
        <u val="none"/>
        <vertAlign val="baseline"/>
        <sz val="12"/>
        <color theme="1"/>
        <name val="Aptos"/>
        <scheme val="none"/>
      </font>
      <alignment horizontal="general" vertical="top" textRotation="0" wrapText="1"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12"/>
        <color theme="1"/>
        <name val="Aptos"/>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63F44F-B1D3-F34F-AF38-7518EF5D28F8}" name="Students" displayName="Students" ref="A13:K38" totalsRowCount="1" headerRowDxfId="44">
  <autoFilter ref="A13:K37" xr:uid="{1D63F44F-B1D3-F34F-AF38-7518EF5D28F8}"/>
  <tableColumns count="11">
    <tableColumn id="1" xr3:uid="{C05A2B3D-B0A5-3B4A-9AF0-102E5E3E233C}" name="Name" totalsRowLabel="Total"/>
    <tableColumn id="2" xr3:uid="{031E02D2-B8A8-9A44-BAFF-47F0D80BAE6A}" name="Organization"/>
    <tableColumn id="3" xr3:uid="{CC11EA7F-D4E3-4C4A-B227-51292680FB4B}" name="Email"/>
    <tableColumn id="4" xr3:uid="{EE72D971-7EC4-9A4B-AB1F-62878B99082E}" name="Address"/>
    <tableColumn id="5" xr3:uid="{0344D43C-DB3C-A145-A396-950E6C730CCF}" name="Mobile Number"/>
    <tableColumn id="6" xr3:uid="{D7BACA6A-F6E7-9345-857C-6E0E55B556A9}" name="Tuition Due" totalsRowFunction="sum" dataDxfId="43" totalsRowDxfId="4">
      <calculatedColumnFormula>IF(ISBLANK(Students[[#This Row],[Name]]),"",$B$8)</calculatedColumnFormula>
    </tableColumn>
    <tableColumn id="7" xr3:uid="{E3CED347-333E-0F44-97DB-6E5BC089268C}" name="Tuition Paid" totalsRowFunction="sum" dataDxfId="42" totalsRowDxfId="3"/>
    <tableColumn id="8" xr3:uid="{C5DA6E51-2B18-FB4D-AE42-E0D0BE1C90D2}" name="Meal Cost" totalsRowFunction="sum" dataDxfId="41" totalsRowDxfId="2">
      <calculatedColumnFormula>IF(ISBLANK(Students[[#This Row],[Name]]),"",-1*$B$9)</calculatedColumnFormula>
    </tableColumn>
    <tableColumn id="9" xr3:uid="{ABD6C1FF-20C6-9541-98B1-F2C6F31B3E91}" name="Lodging Cost" totalsRowFunction="sum" dataDxfId="40" totalsRowDxfId="1">
      <calculatedColumnFormula>IF(ISBLANK(Students[[#This Row],[Name]]),"",-1*$B$10)</calculatedColumnFormula>
    </tableColumn>
    <tableColumn id="10" xr3:uid="{DE1CD562-5D77-2642-8B40-1872A7CAD857}" name="Materials Cost" totalsRowFunction="sum" dataDxfId="39" totalsRowDxfId="0">
      <calculatedColumnFormula>IF(ISBLANK(Students[[#This Row],[Name]]),"",-1*$B$11)</calculatedColumnFormula>
    </tableColumn>
    <tableColumn id="11" xr3:uid="{71CBC9DA-090D-CE4F-8A19-5B52E0618076}" name="Notes"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2D6F6E-1758-3D48-AF5F-3832AA2585B4}" name="Staff" displayName="Staff" ref="A12:N23" totalsRowCount="1" headerRowDxfId="38" dataDxfId="37">
  <autoFilter ref="A12:N22" xr:uid="{1D63F44F-B1D3-F34F-AF38-7518EF5D28F8}"/>
  <tableColumns count="14">
    <tableColumn id="1" xr3:uid="{38806A82-63E1-2546-B7EF-91FDD8904A65}" name="Name" totalsRowLabel="Total" dataDxfId="36"/>
    <tableColumn id="15" xr3:uid="{2563529E-D057-C547-9DC5-899EA6B260BA}" name="Role" dataDxfId="35"/>
    <tableColumn id="3" xr3:uid="{AAC6877A-0723-7C41-83F8-F8940A3B56F5}" name="Email" dataDxfId="34"/>
    <tableColumn id="5" xr3:uid="{555B92D7-F351-D64F-9A79-811E19D4FDC5}" name="Mobile Number" dataDxfId="33"/>
    <tableColumn id="6" xr3:uid="{6019EB3F-A0F0-7B42-B5C7-600DD3911293}" name="Hourly Rate" dataDxfId="32" totalsRowDxfId="10"/>
    <tableColumn id="7" xr3:uid="{3FD51523-9304-724D-9FEF-675C399F284A}" name="Pre-Class Organization Hours" dataDxfId="31"/>
    <tableColumn id="8" xr3:uid="{5E0B6E10-3B4C-884F-BA1A-0C2847B44CDB}" name="Class Hours" dataDxfId="30">
      <calculatedColumnFormula>IF(ISBLANK(Staff[[#This Row],[Name]]),"",$B$7)</calculatedColumnFormula>
    </tableColumn>
    <tableColumn id="14" xr3:uid="{141EFF21-383C-9345-B391-05BDD4AC3788}" name="Post-Class Hours" dataDxfId="29"/>
    <tableColumn id="4" xr3:uid="{9C6049AE-7697-5F40-9589-D4C56EBB492B}" name="Pre-Class Organization Wages" totalsRowFunction="sum" dataDxfId="28" totalsRowDxfId="9">
      <calculatedColumnFormula>IF(ISBLANK(Staff[[#This Row],[Name]]),"",-1*Staff[[#This Row],[Pre-Class Organization Hours]]*Staff[[#This Row],[Hourly Rate]])</calculatedColumnFormula>
    </tableColumn>
    <tableColumn id="2" xr3:uid="{7E49F000-9D2B-A74A-B2F4-4C2362EB39BD}" name="Class and Post-Class Wages" totalsRowFunction="sum" dataDxfId="27" totalsRowDxfId="8">
      <calculatedColumnFormula>IF(ISBLANK(Staff[[#This Row],[Name]]),"",-1*Staff[[#This Row],[Class Hours]]*Staff[[#This Row],[Hourly Rate]]+-1*Staff[[#This Row],[Post-Class Hours]]*Staff[[#This Row],[Hourly Rate]])</calculatedColumnFormula>
    </tableColumn>
    <tableColumn id="13" xr3:uid="{FA355173-B22A-4243-8E2D-ABC8AC204CEA}" name="Meal Cost" totalsRowFunction="sum" dataDxfId="26" totalsRowDxfId="7">
      <calculatedColumnFormula>IF(ISBLANK(Staff[[#This Row],[Name]]),"",-1*$B$8)</calculatedColumnFormula>
    </tableColumn>
    <tableColumn id="9" xr3:uid="{FCC24152-3EAD-8742-9EA4-7250BC5A058C}" name="Lodging Cost" totalsRowFunction="sum" dataDxfId="25" totalsRowDxfId="6">
      <calculatedColumnFormula>IF(ISBLANK(Staff[[#This Row],[Name]]),"",-1*$B$9)</calculatedColumnFormula>
    </tableColumn>
    <tableColumn id="10" xr3:uid="{DA138967-5112-2F4E-8C91-82F1411A4EBC}" name="Travel Cost" totalsRowFunction="sum" dataDxfId="24" totalsRowDxfId="5">
      <calculatedColumnFormula>IF(ISBLANK(Staff[[#This Row],[Name]]),"",-1*$B$10)</calculatedColumnFormula>
    </tableColumn>
    <tableColumn id="11" xr3:uid="{984D518F-DB50-AE46-A05C-7C149CCA7A68}" name="Notes"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6EB40D-FF87-174C-A3CD-05EB583B1C47}" name="TaskList" displayName="TaskList" ref="A4:F24" totalsRowShown="0" headerRowDxfId="22" dataDxfId="21">
  <autoFilter ref="A4:F24" xr:uid="{7E6EB40D-FF87-174C-A3CD-05EB583B1C47}"/>
  <tableColumns count="6">
    <tableColumn id="2" xr3:uid="{666AA9F3-B30C-2848-946C-71188F3A3828}" name="Days from Class Start" dataDxfId="20"/>
    <tableColumn id="3" xr3:uid="{1A85D1DF-6374-C446-B492-7771DCC51F71}" name="Date (Calculated)" dataDxfId="19">
      <calculatedColumnFormula>'Input and Summary Sheet'!$B$10+TaskList[[#This Row],[Days from Class Start]]</calculatedColumnFormula>
    </tableColumn>
    <tableColumn id="1" xr3:uid="{70F6B0B6-915C-9C45-9066-8975EF6ACDD2}" name="Task / Transaction" dataDxfId="18"/>
    <tableColumn id="9" xr3:uid="{97D1A271-559E-EB45-83FA-58FF0A44A291}" name="Amount (if Transaction)" dataDxfId="17"/>
    <tableColumn id="5" xr3:uid="{C764A5D9-A85A-4240-A3AA-2D7C2394E644}" name="Category" dataDxfId="16"/>
    <tableColumn id="4" xr3:uid="{BE25C22E-7E03-B841-9673-360D3A21AC33}" name="Theoretical Bank Account Balance"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BF0D-4AE2-7B4C-9DB1-72FFC89C3179}">
  <dimension ref="A1:I33"/>
  <sheetViews>
    <sheetView tabSelected="1" zoomScale="150" zoomScaleNormal="150" workbookViewId="0">
      <selection activeCell="A5" sqref="A5:C5"/>
    </sheetView>
  </sheetViews>
  <sheetFormatPr baseColWidth="10" defaultRowHeight="16" x14ac:dyDescent="0.2"/>
  <cols>
    <col min="1" max="1" width="53.83203125" style="11" customWidth="1"/>
    <col min="2" max="2" width="25.6640625" style="11" customWidth="1"/>
    <col min="3" max="3" width="38.6640625" style="24" customWidth="1"/>
    <col min="5" max="5" width="24.5" style="7" customWidth="1"/>
    <col min="6" max="6" width="12.6640625" bestFit="1" customWidth="1"/>
    <col min="8" max="8" width="27" style="7" customWidth="1"/>
    <col min="9" max="9" width="12.6640625" bestFit="1" customWidth="1"/>
  </cols>
  <sheetData>
    <row r="1" spans="1:9" ht="66" customHeight="1" x14ac:dyDescent="0.2">
      <c r="A1" s="75" t="s">
        <v>163</v>
      </c>
      <c r="B1" s="75"/>
      <c r="C1" s="75"/>
    </row>
    <row r="2" spans="1:9" x14ac:dyDescent="0.2">
      <c r="A2" s="21"/>
    </row>
    <row r="3" spans="1:9" ht="203" customHeight="1" x14ac:dyDescent="0.2">
      <c r="A3" s="78" t="s">
        <v>111</v>
      </c>
      <c r="B3" s="79"/>
      <c r="C3" s="79"/>
    </row>
    <row r="4" spans="1:9" x14ac:dyDescent="0.2">
      <c r="A4" s="79"/>
      <c r="B4" s="79"/>
      <c r="C4" s="79"/>
    </row>
    <row r="5" spans="1:9" ht="100" customHeight="1" x14ac:dyDescent="0.2">
      <c r="A5" s="80" t="s">
        <v>112</v>
      </c>
      <c r="B5" s="79"/>
      <c r="C5" s="79"/>
    </row>
    <row r="6" spans="1:9" x14ac:dyDescent="0.2">
      <c r="A6" s="79"/>
      <c r="B6" s="79"/>
      <c r="C6" s="79"/>
    </row>
    <row r="7" spans="1:9" ht="34" customHeight="1" thickBot="1" x14ac:dyDescent="0.25">
      <c r="A7" s="21" t="s">
        <v>67</v>
      </c>
      <c r="E7" s="32"/>
      <c r="F7" s="32"/>
    </row>
    <row r="8" spans="1:9" ht="17" x14ac:dyDescent="0.2">
      <c r="A8" s="16" t="s">
        <v>26</v>
      </c>
      <c r="B8" s="8" t="s">
        <v>25</v>
      </c>
      <c r="C8" s="25" t="s">
        <v>24</v>
      </c>
      <c r="E8" s="42" t="s">
        <v>29</v>
      </c>
      <c r="F8" s="43"/>
      <c r="G8" s="11"/>
      <c r="H8" s="44" t="s">
        <v>154</v>
      </c>
      <c r="I8" s="45"/>
    </row>
    <row r="9" spans="1:9" ht="17" x14ac:dyDescent="0.2">
      <c r="A9" s="23" t="s">
        <v>23</v>
      </c>
      <c r="B9" s="9"/>
      <c r="C9" s="26"/>
      <c r="E9" s="46" t="s">
        <v>6</v>
      </c>
      <c r="F9" s="47">
        <f>SUMIF(TaskList[Category],'Input and Summary Sheet'!E9,TaskList[Amount (if Transaction)])</f>
        <v>24000</v>
      </c>
      <c r="G9" s="11"/>
      <c r="H9" s="48" t="s">
        <v>139</v>
      </c>
      <c r="I9" s="49">
        <f>COUNTA(Students[Name])</f>
        <v>16</v>
      </c>
    </row>
    <row r="10" spans="1:9" ht="18" thickBot="1" x14ac:dyDescent="0.25">
      <c r="A10" s="17" t="s">
        <v>30</v>
      </c>
      <c r="B10" s="10">
        <v>45566</v>
      </c>
      <c r="C10" s="39"/>
      <c r="E10" s="50" t="s">
        <v>5</v>
      </c>
      <c r="F10" s="51">
        <f>SUMIF(TaskList[Category],'Input and Summary Sheet'!E10,TaskList[Amount (if Transaction)])</f>
        <v>2000</v>
      </c>
      <c r="G10" s="11"/>
      <c r="H10" s="48" t="s">
        <v>140</v>
      </c>
      <c r="I10" s="52">
        <f>Students[[#Totals],[Tuition Due]]/'Input and Summary Sheet'!I9</f>
        <v>1500</v>
      </c>
    </row>
    <row r="11" spans="1:9" ht="36" thickTop="1" thickBot="1" x14ac:dyDescent="0.25">
      <c r="A11" s="17" t="s">
        <v>22</v>
      </c>
      <c r="B11" s="11">
        <v>5</v>
      </c>
      <c r="C11" s="39" t="s">
        <v>94</v>
      </c>
      <c r="E11" s="53" t="s">
        <v>137</v>
      </c>
      <c r="F11" s="54">
        <f>SUM(F9:F10)</f>
        <v>26000</v>
      </c>
      <c r="G11" s="11"/>
      <c r="H11" s="55" t="s">
        <v>143</v>
      </c>
      <c r="I11" s="49">
        <f>COUNTIF(Students[Lodging Cost],"&lt;0")</f>
        <v>16</v>
      </c>
    </row>
    <row r="12" spans="1:9" ht="34" x14ac:dyDescent="0.2">
      <c r="A12" s="17" t="s">
        <v>81</v>
      </c>
      <c r="B12" s="11">
        <v>10</v>
      </c>
      <c r="C12" s="39" t="s">
        <v>97</v>
      </c>
      <c r="E12" s="56" t="s">
        <v>28</v>
      </c>
      <c r="F12" s="57"/>
      <c r="G12" s="11"/>
      <c r="H12" s="55" t="s">
        <v>144</v>
      </c>
      <c r="I12" s="49">
        <f>COUNTIF(Students[Meal Cost],"&lt;0")</f>
        <v>16</v>
      </c>
    </row>
    <row r="13" spans="1:9" ht="18" thickBot="1" x14ac:dyDescent="0.25">
      <c r="A13" s="72" t="s">
        <v>21</v>
      </c>
      <c r="B13" s="12"/>
      <c r="C13" s="39"/>
      <c r="E13" s="46" t="s">
        <v>27</v>
      </c>
      <c r="F13" s="47">
        <f>SUMIF(TaskList[Category],'Input and Summary Sheet'!E13,TaskList[Amount (if Transaction)])</f>
        <v>-500</v>
      </c>
      <c r="G13" s="11"/>
      <c r="H13" s="58" t="s">
        <v>162</v>
      </c>
      <c r="I13" s="74">
        <f>(Students[[#Totals],[Tuition Due]]+Students[[#Totals],[Meal Cost]]+Students[[#Totals],[Lodging Cost]]+Students[[#Totals],[Materials Cost]])/I9</f>
        <v>1040</v>
      </c>
    </row>
    <row r="14" spans="1:9" ht="35" thickBot="1" x14ac:dyDescent="0.25">
      <c r="A14" s="17" t="s">
        <v>142</v>
      </c>
      <c r="B14" s="13">
        <v>1500</v>
      </c>
      <c r="C14" s="39" t="s">
        <v>141</v>
      </c>
      <c r="E14" s="46" t="s">
        <v>133</v>
      </c>
      <c r="F14" s="47">
        <f>SUMIF(TaskList[Category],'Input and Summary Sheet'!E14,TaskList[Amount (if Transaction)])</f>
        <v>-600</v>
      </c>
      <c r="G14" s="11"/>
      <c r="H14" s="24"/>
      <c r="I14" s="11"/>
    </row>
    <row r="15" spans="1:9" ht="34" x14ac:dyDescent="0.2">
      <c r="A15" s="17" t="s">
        <v>68</v>
      </c>
      <c r="B15" s="13">
        <v>2000</v>
      </c>
      <c r="C15" s="39" t="s">
        <v>69</v>
      </c>
      <c r="E15" s="46" t="s">
        <v>7</v>
      </c>
      <c r="F15" s="47">
        <f>SUMIF(TaskList[Category],'Input and Summary Sheet'!E15,TaskList[Amount (if Transaction)])</f>
        <v>-840</v>
      </c>
      <c r="G15" s="11"/>
      <c r="H15" s="44" t="s">
        <v>155</v>
      </c>
      <c r="I15" s="60"/>
    </row>
    <row r="16" spans="1:9" ht="17" x14ac:dyDescent="0.2">
      <c r="A16" s="72" t="s">
        <v>20</v>
      </c>
      <c r="B16" s="14"/>
      <c r="C16" s="39"/>
      <c r="E16" s="46" t="s">
        <v>114</v>
      </c>
      <c r="F16" s="47">
        <f>SUMIF(TaskList[Category],'Input and Summary Sheet'!E16,TaskList[Amount (if Transaction)])</f>
        <v>-1900</v>
      </c>
      <c r="G16" s="11"/>
      <c r="H16" s="55" t="s">
        <v>149</v>
      </c>
      <c r="I16" s="49">
        <f>COUNTIF(Staff[Role],"*Instructor*")</f>
        <v>1</v>
      </c>
    </row>
    <row r="17" spans="1:9" ht="34" x14ac:dyDescent="0.2">
      <c r="A17" s="71" t="s">
        <v>135</v>
      </c>
      <c r="B17" s="14"/>
      <c r="C17" s="39"/>
      <c r="E17" s="46" t="s">
        <v>3</v>
      </c>
      <c r="F17" s="47">
        <f>SUMIF(TaskList[Category],'Input and Summary Sheet'!E17,TaskList[Amount (if Transaction)])</f>
        <v>-6080</v>
      </c>
      <c r="G17" s="11"/>
      <c r="H17" s="55" t="s">
        <v>159</v>
      </c>
      <c r="I17" s="47">
        <f>SUMIF(Staff[Role],"*Instructor*",Staff[Hourly Rate])/I16</f>
        <v>100</v>
      </c>
    </row>
    <row r="18" spans="1:9" ht="34" x14ac:dyDescent="0.2">
      <c r="A18" s="17" t="s">
        <v>19</v>
      </c>
      <c r="B18" s="13">
        <v>80</v>
      </c>
      <c r="C18" s="39" t="s">
        <v>95</v>
      </c>
      <c r="E18" s="46" t="s">
        <v>1</v>
      </c>
      <c r="F18" s="47">
        <f>SUMIF(TaskList[Category],'Input and Summary Sheet'!E18,TaskList[Amount (if Transaction)])</f>
        <v>-2500</v>
      </c>
      <c r="G18" s="11"/>
      <c r="H18" s="55" t="s">
        <v>153</v>
      </c>
      <c r="I18" s="47">
        <f>(SUMIF(Staff[Role],"*nstructor*",Staff[Class Hours])+SUMIF(Staff[Role],"*nstructor*",Staff[Post-Class Hours]))*SUMIF(Staff[Role],"*nstructor*",Staff[Hourly Rate])/('Input and Summary Sheet'!I16*B11)</f>
        <v>1000</v>
      </c>
    </row>
    <row r="19" spans="1:9" ht="35" thickBot="1" x14ac:dyDescent="0.25">
      <c r="A19" s="17" t="s">
        <v>17</v>
      </c>
      <c r="B19" s="13">
        <v>20</v>
      </c>
      <c r="C19" s="39" t="s">
        <v>96</v>
      </c>
      <c r="E19" s="50" t="s">
        <v>113</v>
      </c>
      <c r="F19" s="51">
        <f>SUMIF(TaskList[Category],'Input and Summary Sheet'!E19,TaskList[Amount (if Transaction)])</f>
        <v>-12700</v>
      </c>
      <c r="G19" s="11"/>
      <c r="H19" s="55" t="s">
        <v>150</v>
      </c>
      <c r="I19" s="49">
        <f>COUNTIF(Staff[Role],"*Coordinator*")</f>
        <v>2</v>
      </c>
    </row>
    <row r="20" spans="1:9" ht="36" thickTop="1" thickBot="1" x14ac:dyDescent="0.25">
      <c r="A20" s="17" t="s">
        <v>15</v>
      </c>
      <c r="B20" s="13">
        <v>40</v>
      </c>
      <c r="C20" s="39" t="s">
        <v>107</v>
      </c>
      <c r="E20" s="53" t="s">
        <v>138</v>
      </c>
      <c r="F20" s="61">
        <f>SUM(F13:F19)</f>
        <v>-25120</v>
      </c>
      <c r="G20" s="11"/>
      <c r="H20" s="55" t="s">
        <v>158</v>
      </c>
      <c r="I20" s="47">
        <f>SUMIF(Staff[Role],"*Coordinator*",Staff[Hourly Rate])/I19</f>
        <v>55</v>
      </c>
    </row>
    <row r="21" spans="1:9" ht="18" thickBot="1" x14ac:dyDescent="0.25">
      <c r="A21" s="17" t="s">
        <v>136</v>
      </c>
      <c r="B21" s="13">
        <v>200</v>
      </c>
      <c r="C21" s="39" t="s">
        <v>83</v>
      </c>
      <c r="E21" s="62" t="s">
        <v>147</v>
      </c>
      <c r="F21" s="63"/>
      <c r="G21" s="11"/>
      <c r="H21" s="68" t="s">
        <v>157</v>
      </c>
      <c r="I21" s="69"/>
    </row>
    <row r="22" spans="1:9" ht="18" thickBot="1" x14ac:dyDescent="0.25">
      <c r="A22" s="18" t="s">
        <v>108</v>
      </c>
      <c r="B22" s="6"/>
      <c r="C22" s="39"/>
      <c r="E22" s="76" t="str">
        <f>IF(F23&lt;0,"Class loses money","Class pays for itself")</f>
        <v>Class pays for itself</v>
      </c>
      <c r="F22" s="77"/>
      <c r="G22" s="11"/>
      <c r="H22" s="66" t="s">
        <v>151</v>
      </c>
      <c r="I22" s="49">
        <f>SUM(Staff[Pre-Class Organization Hours])</f>
        <v>30</v>
      </c>
    </row>
    <row r="23" spans="1:9" ht="18" thickBot="1" x14ac:dyDescent="0.25">
      <c r="A23" s="19" t="s">
        <v>61</v>
      </c>
      <c r="B23" s="13">
        <v>500</v>
      </c>
      <c r="C23" s="39"/>
      <c r="E23" s="64" t="s">
        <v>148</v>
      </c>
      <c r="F23" s="65">
        <f>F11+F20</f>
        <v>880</v>
      </c>
      <c r="G23" s="11"/>
      <c r="H23" s="66" t="s">
        <v>152</v>
      </c>
      <c r="I23" s="49">
        <f>SUM(Staff[Class Hours])</f>
        <v>150</v>
      </c>
    </row>
    <row r="24" spans="1:9" ht="35" thickBot="1" x14ac:dyDescent="0.25">
      <c r="A24" s="71" t="s">
        <v>124</v>
      </c>
      <c r="B24" s="6"/>
      <c r="C24" s="39"/>
      <c r="E24" s="70" t="s">
        <v>160</v>
      </c>
      <c r="F24" s="65">
        <f>MIN(TaskList[Theoretical Bank Account Balance])</f>
        <v>-6490</v>
      </c>
      <c r="H24" s="67" t="s">
        <v>156</v>
      </c>
      <c r="I24" s="59">
        <f>SUM(Staff[Post-Class Hours])</f>
        <v>10</v>
      </c>
    </row>
    <row r="25" spans="1:9" ht="17" x14ac:dyDescent="0.2">
      <c r="A25" s="17" t="s">
        <v>14</v>
      </c>
      <c r="B25" s="13">
        <v>200</v>
      </c>
      <c r="C25" s="39" t="s">
        <v>82</v>
      </c>
    </row>
    <row r="26" spans="1:9" ht="17" x14ac:dyDescent="0.2">
      <c r="A26" s="19" t="s">
        <v>62</v>
      </c>
      <c r="B26" s="13">
        <v>0</v>
      </c>
      <c r="C26" s="39" t="s">
        <v>66</v>
      </c>
    </row>
    <row r="27" spans="1:9" ht="17" x14ac:dyDescent="0.2">
      <c r="A27" s="19" t="s">
        <v>13</v>
      </c>
      <c r="B27" s="13">
        <v>500</v>
      </c>
      <c r="C27" s="39" t="s">
        <v>12</v>
      </c>
    </row>
    <row r="28" spans="1:9" x14ac:dyDescent="0.2">
      <c r="A28" s="71" t="s">
        <v>125</v>
      </c>
      <c r="B28" s="5"/>
      <c r="C28" s="40"/>
    </row>
    <row r="29" spans="1:9" x14ac:dyDescent="0.2">
      <c r="A29" s="17" t="s">
        <v>60</v>
      </c>
      <c r="B29" s="13">
        <v>500</v>
      </c>
      <c r="C29" s="39"/>
    </row>
    <row r="30" spans="1:9" x14ac:dyDescent="0.2">
      <c r="A30" s="17" t="s">
        <v>16</v>
      </c>
      <c r="B30" s="13">
        <v>1000</v>
      </c>
      <c r="C30" s="39"/>
    </row>
    <row r="31" spans="1:9" x14ac:dyDescent="0.2">
      <c r="A31" s="17" t="s">
        <v>79</v>
      </c>
      <c r="B31" s="13">
        <v>1000</v>
      </c>
      <c r="C31" s="39"/>
    </row>
    <row r="32" spans="1:9" x14ac:dyDescent="0.2">
      <c r="A32" s="17" t="s">
        <v>18</v>
      </c>
      <c r="B32" s="13">
        <v>1000</v>
      </c>
      <c r="C32" s="39"/>
    </row>
    <row r="33" spans="1:3" x14ac:dyDescent="0.2">
      <c r="A33" s="20"/>
      <c r="B33" s="15"/>
      <c r="C33" s="27"/>
    </row>
  </sheetData>
  <mergeCells count="6">
    <mergeCell ref="A1:C1"/>
    <mergeCell ref="E22:F22"/>
    <mergeCell ref="A3:C3"/>
    <mergeCell ref="A6:C6"/>
    <mergeCell ref="A4:C4"/>
    <mergeCell ref="A5:C5"/>
  </mergeCells>
  <conditionalFormatting sqref="E22:F22">
    <cfRule type="containsText" dxfId="14" priority="1" operator="containsText" text="Class pays for itself">
      <formula>NOT(ISERROR(SEARCH("Class pays for itself",E22)))</formula>
    </cfRule>
    <cfRule type="containsText" dxfId="13" priority="2" operator="containsText" text="Class loses money">
      <formula>NOT(ISERROR(SEARCH("Class loses money",E22)))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4A54-4EBD-9143-B491-626BBDC9BB34}">
  <dimension ref="A1:K57"/>
  <sheetViews>
    <sheetView topLeftCell="A9" zoomScale="150" zoomScaleNormal="150" workbookViewId="0">
      <selection activeCell="B33" sqref="B33"/>
    </sheetView>
  </sheetViews>
  <sheetFormatPr baseColWidth="10" defaultRowHeight="16" x14ac:dyDescent="0.2"/>
  <cols>
    <col min="1" max="1" width="28.6640625" customWidth="1"/>
    <col min="2" max="2" width="21.5" customWidth="1"/>
    <col min="3" max="3" width="26.83203125" customWidth="1"/>
    <col min="4" max="4" width="37.6640625" customWidth="1"/>
    <col min="5" max="5" width="21.83203125" customWidth="1"/>
    <col min="6" max="6" width="18.1640625" customWidth="1"/>
    <col min="7" max="7" width="16.33203125" customWidth="1"/>
    <col min="8" max="8" width="12.6640625" customWidth="1"/>
    <col min="9" max="9" width="15" customWidth="1"/>
    <col min="10" max="10" width="16.6640625" customWidth="1"/>
    <col min="11" max="11" width="52.83203125" customWidth="1"/>
  </cols>
  <sheetData>
    <row r="1" spans="1:11" ht="24" x14ac:dyDescent="0.3">
      <c r="A1" s="73" t="s">
        <v>161</v>
      </c>
    </row>
    <row r="2" spans="1:11" x14ac:dyDescent="0.2">
      <c r="A2" t="s">
        <v>63</v>
      </c>
    </row>
    <row r="3" spans="1:11" x14ac:dyDescent="0.2">
      <c r="A3" t="s">
        <v>65</v>
      </c>
    </row>
    <row r="4" spans="1:11" x14ac:dyDescent="0.2">
      <c r="A4" t="s">
        <v>74</v>
      </c>
    </row>
    <row r="6" spans="1:11" x14ac:dyDescent="0.2">
      <c r="A6" s="82" t="s">
        <v>75</v>
      </c>
      <c r="B6" s="82"/>
      <c r="C6" s="82"/>
    </row>
    <row r="7" spans="1:11" ht="52" customHeight="1" x14ac:dyDescent="0.2">
      <c r="A7" s="81" t="s">
        <v>109</v>
      </c>
      <c r="B7" s="81"/>
      <c r="C7" s="81"/>
    </row>
    <row r="8" spans="1:11" ht="17" x14ac:dyDescent="0.2">
      <c r="A8" s="28" t="s">
        <v>57</v>
      </c>
      <c r="B8" s="29">
        <f>'Input and Summary Sheet'!B14</f>
        <v>1500</v>
      </c>
      <c r="C8" s="30" t="s">
        <v>58</v>
      </c>
    </row>
    <row r="9" spans="1:11" ht="34" x14ac:dyDescent="0.2">
      <c r="A9" s="28" t="s">
        <v>55</v>
      </c>
      <c r="B9" s="29">
        <f>'Input and Summary Sheet'!B19*'Input and Summary Sheet'!B11</f>
        <v>100</v>
      </c>
      <c r="C9" s="30" t="s">
        <v>77</v>
      </c>
    </row>
    <row r="10" spans="1:11" ht="34" x14ac:dyDescent="0.2">
      <c r="A10" s="28" t="s">
        <v>56</v>
      </c>
      <c r="B10" s="31">
        <f>'Input and Summary Sheet'!B18*('Input and Summary Sheet'!B11 - 1)</f>
        <v>320</v>
      </c>
      <c r="C10" s="30" t="s">
        <v>78</v>
      </c>
    </row>
    <row r="11" spans="1:11" ht="17" x14ac:dyDescent="0.2">
      <c r="A11" s="28" t="s">
        <v>59</v>
      </c>
      <c r="B11" s="29">
        <f>'Input and Summary Sheet'!B20</f>
        <v>40</v>
      </c>
      <c r="C11" s="30" t="s">
        <v>64</v>
      </c>
    </row>
    <row r="12" spans="1:11" x14ac:dyDescent="0.2">
      <c r="B12" s="1"/>
    </row>
    <row r="13" spans="1:11" x14ac:dyDescent="0.2">
      <c r="A13" s="1" t="s">
        <v>31</v>
      </c>
      <c r="B13" s="1" t="s">
        <v>41</v>
      </c>
      <c r="C13" s="1" t="s">
        <v>32</v>
      </c>
      <c r="D13" s="1" t="s">
        <v>33</v>
      </c>
      <c r="E13" s="1" t="s">
        <v>34</v>
      </c>
      <c r="F13" s="1" t="s">
        <v>35</v>
      </c>
      <c r="G13" s="1" t="s">
        <v>36</v>
      </c>
      <c r="H13" s="1" t="s">
        <v>37</v>
      </c>
      <c r="I13" s="1" t="s">
        <v>38</v>
      </c>
      <c r="J13" s="1" t="s">
        <v>39</v>
      </c>
      <c r="K13" s="1" t="s">
        <v>40</v>
      </c>
    </row>
    <row r="14" spans="1:11" x14ac:dyDescent="0.2">
      <c r="A14" t="s">
        <v>42</v>
      </c>
      <c r="B14" s="1"/>
      <c r="C14" s="1"/>
      <c r="D14" s="1"/>
      <c r="E14" s="1"/>
      <c r="F14" s="2">
        <f>IF(ISBLANK(Students[[#This Row],[Name]]),"",$B$8)</f>
        <v>1500</v>
      </c>
      <c r="G14" s="2"/>
      <c r="H14" s="2">
        <f>IF(ISBLANK(Students[[#This Row],[Name]]),"",-1*$B$9)</f>
        <v>-100</v>
      </c>
      <c r="I14" s="2">
        <f>IF(ISBLANK(Students[[#This Row],[Name]]),"",-1*$B$10)</f>
        <v>-320</v>
      </c>
      <c r="J14" s="2">
        <f>IF(ISBLANK(Students[[#This Row],[Name]]),"",-1*$B$11)</f>
        <v>-40</v>
      </c>
      <c r="K14" s="1"/>
    </row>
    <row r="15" spans="1:11" x14ac:dyDescent="0.2">
      <c r="A15" t="s">
        <v>43</v>
      </c>
      <c r="B15" s="1"/>
      <c r="C15" s="1"/>
      <c r="D15" s="1"/>
      <c r="E15" s="1"/>
      <c r="F15" s="2">
        <f>IF(ISBLANK(Students[[#This Row],[Name]]),"",$B$8)</f>
        <v>1500</v>
      </c>
      <c r="G15" s="2"/>
      <c r="H15" s="4">
        <f>IF(ISBLANK(Students[[#This Row],[Name]]),"",-1*$B$9)</f>
        <v>-100</v>
      </c>
      <c r="I15" s="2">
        <f>IF(ISBLANK(Students[[#This Row],[Name]]),"",-1*$B$10)</f>
        <v>-320</v>
      </c>
      <c r="J15" s="2">
        <f>IF(ISBLANK(Students[[#This Row],[Name]]),"",-1*$B$11)</f>
        <v>-40</v>
      </c>
      <c r="K15" s="1"/>
    </row>
    <row r="16" spans="1:11" x14ac:dyDescent="0.2">
      <c r="A16" t="s">
        <v>44</v>
      </c>
      <c r="F16" s="3">
        <f>IF(ISBLANK(Students[[#This Row],[Name]]),"",$B$8)</f>
        <v>1500</v>
      </c>
      <c r="G16" s="3"/>
      <c r="H16" s="3">
        <f>IF(ISBLANK(Students[[#This Row],[Name]]),"",-1*$B$9)</f>
        <v>-100</v>
      </c>
      <c r="I16" s="2">
        <f>IF(ISBLANK(Students[[#This Row],[Name]]),"",-1*$B$10)</f>
        <v>-320</v>
      </c>
      <c r="J16" s="3">
        <f>IF(ISBLANK(Students[[#This Row],[Name]]),"",-1*$B$11)</f>
        <v>-40</v>
      </c>
    </row>
    <row r="17" spans="1:10" x14ac:dyDescent="0.2">
      <c r="A17" t="s">
        <v>45</v>
      </c>
      <c r="F17" s="3">
        <f>IF(ISBLANK(Students[[#This Row],[Name]]),"",$B$8)</f>
        <v>1500</v>
      </c>
      <c r="G17" s="3"/>
      <c r="H17" s="3">
        <f>IF(ISBLANK(Students[[#This Row],[Name]]),"",-1*$B$9)</f>
        <v>-100</v>
      </c>
      <c r="I17" s="2">
        <f>IF(ISBLANK(Students[[#This Row],[Name]]),"",-1*$B$10)</f>
        <v>-320</v>
      </c>
      <c r="J17" s="3">
        <f>IF(ISBLANK(Students[[#This Row],[Name]]),"",-1*$B$11)</f>
        <v>-40</v>
      </c>
    </row>
    <row r="18" spans="1:10" x14ac:dyDescent="0.2">
      <c r="A18" t="s">
        <v>46</v>
      </c>
      <c r="F18" s="3">
        <f>IF(ISBLANK(Students[[#This Row],[Name]]),"",$B$8)</f>
        <v>1500</v>
      </c>
      <c r="G18" s="3"/>
      <c r="H18" s="3">
        <f>IF(ISBLANK(Students[[#This Row],[Name]]),"",-1*$B$9)</f>
        <v>-100</v>
      </c>
      <c r="I18" s="2">
        <f>IF(ISBLANK(Students[[#This Row],[Name]]),"",-1*$B$10)</f>
        <v>-320</v>
      </c>
      <c r="J18" s="3">
        <f>IF(ISBLANK(Students[[#This Row],[Name]]),"",-1*$B$11)</f>
        <v>-40</v>
      </c>
    </row>
    <row r="19" spans="1:10" x14ac:dyDescent="0.2">
      <c r="A19" t="s">
        <v>47</v>
      </c>
      <c r="F19" s="3">
        <f>IF(ISBLANK(Students[[#This Row],[Name]]),"",$B$8)</f>
        <v>1500</v>
      </c>
      <c r="G19" s="3"/>
      <c r="H19" s="3">
        <f>IF(ISBLANK(Students[[#This Row],[Name]]),"",-1*$B$9)</f>
        <v>-100</v>
      </c>
      <c r="I19" s="2">
        <f>IF(ISBLANK(Students[[#This Row],[Name]]),"",-1*$B$10)</f>
        <v>-320</v>
      </c>
      <c r="J19" s="3">
        <f>IF(ISBLANK(Students[[#This Row],[Name]]),"",-1*$B$11)</f>
        <v>-40</v>
      </c>
    </row>
    <row r="20" spans="1:10" x14ac:dyDescent="0.2">
      <c r="A20" t="s">
        <v>48</v>
      </c>
      <c r="F20" s="3">
        <f>IF(ISBLANK(Students[[#This Row],[Name]]),"",$B$8)</f>
        <v>1500</v>
      </c>
      <c r="G20" s="3"/>
      <c r="H20" s="3">
        <f>IF(ISBLANK(Students[[#This Row],[Name]]),"",-1*$B$9)</f>
        <v>-100</v>
      </c>
      <c r="I20" s="2">
        <f>IF(ISBLANK(Students[[#This Row],[Name]]),"",-1*$B$10)</f>
        <v>-320</v>
      </c>
      <c r="J20" s="3">
        <f>IF(ISBLANK(Students[[#This Row],[Name]]),"",-1*$B$11)</f>
        <v>-40</v>
      </c>
    </row>
    <row r="21" spans="1:10" x14ac:dyDescent="0.2">
      <c r="A21" t="s">
        <v>49</v>
      </c>
      <c r="F21" s="3">
        <f>IF(ISBLANK(Students[[#This Row],[Name]]),"",$B$8)</f>
        <v>1500</v>
      </c>
      <c r="G21" s="3"/>
      <c r="H21" s="3">
        <f>IF(ISBLANK(Students[[#This Row],[Name]]),"",-1*$B$9)</f>
        <v>-100</v>
      </c>
      <c r="I21" s="2">
        <f>IF(ISBLANK(Students[[#This Row],[Name]]),"",-1*$B$10)</f>
        <v>-320</v>
      </c>
      <c r="J21" s="3">
        <f>IF(ISBLANK(Students[[#This Row],[Name]]),"",-1*$B$11)</f>
        <v>-40</v>
      </c>
    </row>
    <row r="22" spans="1:10" x14ac:dyDescent="0.2">
      <c r="A22" t="s">
        <v>50</v>
      </c>
      <c r="F22" s="3">
        <f>IF(ISBLANK(Students[[#This Row],[Name]]),"",$B$8)</f>
        <v>1500</v>
      </c>
      <c r="G22" s="3"/>
      <c r="H22" s="3">
        <f>IF(ISBLANK(Students[[#This Row],[Name]]),"",-1*$B$9)</f>
        <v>-100</v>
      </c>
      <c r="I22" s="2">
        <f>IF(ISBLANK(Students[[#This Row],[Name]]),"",-1*$B$10)</f>
        <v>-320</v>
      </c>
      <c r="J22" s="3">
        <f>IF(ISBLANK(Students[[#This Row],[Name]]),"",-1*$B$11)</f>
        <v>-40</v>
      </c>
    </row>
    <row r="23" spans="1:10" x14ac:dyDescent="0.2">
      <c r="A23" t="s">
        <v>51</v>
      </c>
      <c r="F23" s="3">
        <f>IF(ISBLANK(Students[[#This Row],[Name]]),"",$B$8)</f>
        <v>1500</v>
      </c>
      <c r="G23" s="3"/>
      <c r="H23" s="3">
        <f>IF(ISBLANK(Students[[#This Row],[Name]]),"",-1*$B$9)</f>
        <v>-100</v>
      </c>
      <c r="I23" s="2">
        <f>IF(ISBLANK(Students[[#This Row],[Name]]),"",-1*$B$10)</f>
        <v>-320</v>
      </c>
      <c r="J23" s="3">
        <f>IF(ISBLANK(Students[[#This Row],[Name]]),"",-1*$B$11)</f>
        <v>-40</v>
      </c>
    </row>
    <row r="24" spans="1:10" x14ac:dyDescent="0.2">
      <c r="A24" t="s">
        <v>52</v>
      </c>
      <c r="F24" s="3">
        <f>IF(ISBLANK(Students[[#This Row],[Name]]),"",$B$8)</f>
        <v>1500</v>
      </c>
      <c r="G24" s="3"/>
      <c r="H24" s="3">
        <f>IF(ISBLANK(Students[[#This Row],[Name]]),"",-1*$B$9)</f>
        <v>-100</v>
      </c>
      <c r="I24" s="2">
        <f>IF(ISBLANK(Students[[#This Row],[Name]]),"",-1*$B$10)</f>
        <v>-320</v>
      </c>
      <c r="J24" s="3">
        <f>IF(ISBLANK(Students[[#This Row],[Name]]),"",-1*$B$11)</f>
        <v>-40</v>
      </c>
    </row>
    <row r="25" spans="1:10" x14ac:dyDescent="0.2">
      <c r="A25" t="s">
        <v>53</v>
      </c>
      <c r="F25" s="3">
        <f>IF(ISBLANK(Students[[#This Row],[Name]]),"",$B$8)</f>
        <v>1500</v>
      </c>
      <c r="G25" s="3"/>
      <c r="H25" s="3">
        <f>IF(ISBLANK(Students[[#This Row],[Name]]),"",-1*$B$9)</f>
        <v>-100</v>
      </c>
      <c r="I25" s="2">
        <f>IF(ISBLANK(Students[[#This Row],[Name]]),"",-1*$B$10)</f>
        <v>-320</v>
      </c>
      <c r="J25" s="3">
        <f>IF(ISBLANK(Students[[#This Row],[Name]]),"",-1*$B$11)</f>
        <v>-40</v>
      </c>
    </row>
    <row r="26" spans="1:10" x14ac:dyDescent="0.2">
      <c r="A26" t="s">
        <v>164</v>
      </c>
      <c r="F26" s="3">
        <f>IF(ISBLANK(Students[[#This Row],[Name]]),"",$B$8)</f>
        <v>1500</v>
      </c>
      <c r="G26" s="3"/>
      <c r="H26" s="3">
        <f>IF(ISBLANK(Students[[#This Row],[Name]]),"",-1*$B$9)</f>
        <v>-100</v>
      </c>
      <c r="I26" s="2">
        <f>IF(ISBLANK(Students[[#This Row],[Name]]),"",-1*$B$10)</f>
        <v>-320</v>
      </c>
      <c r="J26" s="3">
        <f>IF(ISBLANK(Students[[#This Row],[Name]]),"",-1*$B$11)</f>
        <v>-40</v>
      </c>
    </row>
    <row r="27" spans="1:10" x14ac:dyDescent="0.2">
      <c r="A27" t="s">
        <v>165</v>
      </c>
      <c r="F27" s="3">
        <f>IF(ISBLANK(Students[[#This Row],[Name]]),"",$B$8)</f>
        <v>1500</v>
      </c>
      <c r="G27" s="3"/>
      <c r="H27" s="3">
        <f>IF(ISBLANK(Students[[#This Row],[Name]]),"",-1*$B$9)</f>
        <v>-100</v>
      </c>
      <c r="I27" s="2">
        <f>IF(ISBLANK(Students[[#This Row],[Name]]),"",-1*$B$10)</f>
        <v>-320</v>
      </c>
      <c r="J27" s="3">
        <f>IF(ISBLANK(Students[[#This Row],[Name]]),"",-1*$B$11)</f>
        <v>-40</v>
      </c>
    </row>
    <row r="28" spans="1:10" x14ac:dyDescent="0.2">
      <c r="A28" t="s">
        <v>166</v>
      </c>
      <c r="F28" s="3">
        <f>IF(ISBLANK(Students[[#This Row],[Name]]),"",$B$8)</f>
        <v>1500</v>
      </c>
      <c r="G28" s="3"/>
      <c r="H28" s="3">
        <f>IF(ISBLANK(Students[[#This Row],[Name]]),"",-1*$B$9)</f>
        <v>-100</v>
      </c>
      <c r="I28" s="2">
        <f>IF(ISBLANK(Students[[#This Row],[Name]]),"",-1*$B$10)</f>
        <v>-320</v>
      </c>
      <c r="J28" s="3">
        <f>IF(ISBLANK(Students[[#This Row],[Name]]),"",-1*$B$11)</f>
        <v>-40</v>
      </c>
    </row>
    <row r="29" spans="1:10" x14ac:dyDescent="0.2">
      <c r="A29" t="s">
        <v>167</v>
      </c>
      <c r="F29" s="3">
        <f>IF(ISBLANK(Students[[#This Row],[Name]]),"",$B$8)</f>
        <v>1500</v>
      </c>
      <c r="G29" s="3"/>
      <c r="H29" s="3">
        <f>IF(ISBLANK(Students[[#This Row],[Name]]),"",-1*$B$9)</f>
        <v>-100</v>
      </c>
      <c r="I29" s="2">
        <f>IF(ISBLANK(Students[[#This Row],[Name]]),"",-1*$B$10)</f>
        <v>-320</v>
      </c>
      <c r="J29" s="3">
        <f>IF(ISBLANK(Students[[#This Row],[Name]]),"",-1*$B$11)</f>
        <v>-40</v>
      </c>
    </row>
    <row r="30" spans="1:10" x14ac:dyDescent="0.2">
      <c r="F30" s="3" t="str">
        <f>IF(ISBLANK(Students[[#This Row],[Name]]),"",$B$8)</f>
        <v/>
      </c>
      <c r="G30" s="3"/>
      <c r="H30" s="3" t="str">
        <f>IF(ISBLANK(Students[[#This Row],[Name]]),"",-1*$B$9)</f>
        <v/>
      </c>
      <c r="I30" s="2" t="str">
        <f>IF(ISBLANK(Students[[#This Row],[Name]]),"",-1*$B$10)</f>
        <v/>
      </c>
      <c r="J30" s="3" t="str">
        <f>IF(ISBLANK(Students[[#This Row],[Name]]),"",-1*$B$11)</f>
        <v/>
      </c>
    </row>
    <row r="31" spans="1:10" x14ac:dyDescent="0.2">
      <c r="F31" s="3" t="str">
        <f>IF(ISBLANK(Students[[#This Row],[Name]]),"",$B$8)</f>
        <v/>
      </c>
      <c r="G31" s="3"/>
      <c r="H31" s="3" t="str">
        <f>IF(ISBLANK(Students[[#This Row],[Name]]),"",-1*$B$9)</f>
        <v/>
      </c>
      <c r="I31" s="2" t="str">
        <f>IF(ISBLANK(Students[[#This Row],[Name]]),"",-1*$B$10)</f>
        <v/>
      </c>
      <c r="J31" s="3" t="str">
        <f>IF(ISBLANK(Students[[#This Row],[Name]]),"",-1*$B$11)</f>
        <v/>
      </c>
    </row>
    <row r="32" spans="1:10" x14ac:dyDescent="0.2">
      <c r="F32" s="3" t="str">
        <f>IF(ISBLANK(Students[[#This Row],[Name]]),"",$B$8)</f>
        <v/>
      </c>
      <c r="G32" s="3"/>
      <c r="H32" s="3" t="str">
        <f>IF(ISBLANK(Students[[#This Row],[Name]]),"",-1*$B$9)</f>
        <v/>
      </c>
      <c r="I32" s="2" t="str">
        <f>IF(ISBLANK(Students[[#This Row],[Name]]),"",-1*$B$10)</f>
        <v/>
      </c>
      <c r="J32" s="3" t="str">
        <f>IF(ISBLANK(Students[[#This Row],[Name]]),"",-1*$B$11)</f>
        <v/>
      </c>
    </row>
    <row r="33" spans="1:11" x14ac:dyDescent="0.2">
      <c r="F33" s="3" t="str">
        <f>IF(ISBLANK(Students[[#This Row],[Name]]),"",$B$8)</f>
        <v/>
      </c>
      <c r="G33" s="3"/>
      <c r="H33" s="3" t="str">
        <f>IF(ISBLANK(Students[[#This Row],[Name]]),"",-1*$B$9)</f>
        <v/>
      </c>
      <c r="I33" s="2" t="str">
        <f>IF(ISBLANK(Students[[#This Row],[Name]]),"",-1*$B$10)</f>
        <v/>
      </c>
      <c r="J33" s="3" t="str">
        <f>IF(ISBLANK(Students[[#This Row],[Name]]),"",-1*$B$11)</f>
        <v/>
      </c>
    </row>
    <row r="34" spans="1:11" x14ac:dyDescent="0.2">
      <c r="F34" s="3" t="str">
        <f>IF(ISBLANK(Students[[#This Row],[Name]]),"",$B$8)</f>
        <v/>
      </c>
      <c r="G34" s="3"/>
      <c r="H34" s="3" t="str">
        <f>IF(ISBLANK(Students[[#This Row],[Name]]),"",-1*$B$9)</f>
        <v/>
      </c>
      <c r="I34" s="2" t="str">
        <f>IF(ISBLANK(Students[[#This Row],[Name]]),"",-1*$B$10)</f>
        <v/>
      </c>
      <c r="J34" s="3" t="str">
        <f>IF(ISBLANK(Students[[#This Row],[Name]]),"",-1*$B$11)</f>
        <v/>
      </c>
    </row>
    <row r="35" spans="1:11" x14ac:dyDescent="0.2">
      <c r="F35" s="3" t="str">
        <f>IF(ISBLANK(Students[[#This Row],[Name]]),"",$B$8)</f>
        <v/>
      </c>
      <c r="G35" s="3"/>
      <c r="H35" s="3" t="str">
        <f>IF(ISBLANK(Students[[#This Row],[Name]]),"",-1*$B$9)</f>
        <v/>
      </c>
      <c r="I35" s="2" t="str">
        <f>IF(ISBLANK(Students[[#This Row],[Name]]),"",-1*$B$10)</f>
        <v/>
      </c>
      <c r="J35" s="3" t="str">
        <f>IF(ISBLANK(Students[[#This Row],[Name]]),"",-1*$B$11)</f>
        <v/>
      </c>
    </row>
    <row r="36" spans="1:11" x14ac:dyDescent="0.2">
      <c r="F36" s="3" t="str">
        <f>IF(ISBLANK(Students[[#This Row],[Name]]),"",$B$8)</f>
        <v/>
      </c>
      <c r="G36" s="3"/>
      <c r="H36" s="3" t="str">
        <f>IF(ISBLANK(Students[[#This Row],[Name]]),"",-1*$B$9)</f>
        <v/>
      </c>
      <c r="I36" s="2" t="str">
        <f>IF(ISBLANK(Students[[#This Row],[Name]]),"",-1*$B$10)</f>
        <v/>
      </c>
      <c r="J36" s="3" t="str">
        <f>IF(ISBLANK(Students[[#This Row],[Name]]),"",-1*$B$11)</f>
        <v/>
      </c>
    </row>
    <row r="37" spans="1:11" x14ac:dyDescent="0.2">
      <c r="F37" s="3" t="str">
        <f>IF(ISBLANK(Students[[#This Row],[Name]]),"",$B$8)</f>
        <v/>
      </c>
      <c r="G37" s="3"/>
      <c r="H37" s="3" t="str">
        <f>IF(ISBLANK(Students[[#This Row],[Name]]),"",-1*$B$9)</f>
        <v/>
      </c>
      <c r="I37" s="2" t="str">
        <f>IF(ISBLANK(Students[[#This Row],[Name]]),"",-1*$B$10)</f>
        <v/>
      </c>
      <c r="J37" s="3" t="str">
        <f>IF(ISBLANK(Students[[#This Row],[Name]]),"",-1*$B$11)</f>
        <v/>
      </c>
    </row>
    <row r="38" spans="1:11" x14ac:dyDescent="0.2">
      <c r="A38" t="s">
        <v>54</v>
      </c>
      <c r="F38" s="3">
        <f>SUBTOTAL(109,Students[Tuition Due])</f>
        <v>24000</v>
      </c>
      <c r="G38" s="3">
        <f>SUBTOTAL(109,Students[Tuition Paid])</f>
        <v>0</v>
      </c>
      <c r="H38" s="3">
        <f>SUBTOTAL(109,Students[Meal Cost])</f>
        <v>-1600</v>
      </c>
      <c r="I38" s="3">
        <f>SUBTOTAL(109,Students[Lodging Cost])</f>
        <v>-5120</v>
      </c>
      <c r="J38" s="3">
        <f>SUBTOTAL(109,Students[Materials Cost])</f>
        <v>-640</v>
      </c>
      <c r="K38">
        <f>SUBTOTAL(103,Students[Notes])</f>
        <v>0</v>
      </c>
    </row>
    <row r="41" spans="1:11" ht="17" thickBot="1" x14ac:dyDescent="0.25"/>
    <row r="42" spans="1:11" ht="17" x14ac:dyDescent="0.2">
      <c r="A42" s="42" t="s">
        <v>29</v>
      </c>
      <c r="B42" s="43"/>
      <c r="C42" s="11"/>
      <c r="D42" s="44" t="s">
        <v>154</v>
      </c>
      <c r="E42" s="45"/>
    </row>
    <row r="43" spans="1:11" ht="17" x14ac:dyDescent="0.2">
      <c r="A43" s="46" t="s">
        <v>6</v>
      </c>
      <c r="B43" s="47">
        <f>SUMIF(TaskList[Category],A43,TaskList[Amount (if Transaction)])</f>
        <v>24000</v>
      </c>
      <c r="C43" s="11"/>
      <c r="D43" s="48" t="s">
        <v>139</v>
      </c>
      <c r="E43" s="49">
        <f>COUNTA(Students[Name])</f>
        <v>16</v>
      </c>
    </row>
    <row r="44" spans="1:11" ht="18" thickBot="1" x14ac:dyDescent="0.25">
      <c r="A44" s="50" t="s">
        <v>5</v>
      </c>
      <c r="B44" s="51">
        <f>SUMIF(TaskList[Category],A44,TaskList[Amount (if Transaction)])</f>
        <v>2000</v>
      </c>
      <c r="C44" s="11"/>
      <c r="D44" s="48" t="s">
        <v>140</v>
      </c>
      <c r="E44" s="52">
        <f>Students[[#Totals],[Tuition Due]]/E43</f>
        <v>1500</v>
      </c>
    </row>
    <row r="45" spans="1:11" ht="19" thickTop="1" thickBot="1" x14ac:dyDescent="0.25">
      <c r="A45" s="53" t="s">
        <v>137</v>
      </c>
      <c r="B45" s="54">
        <f>SUM(B43:B44)</f>
        <v>26000</v>
      </c>
      <c r="C45" s="11"/>
      <c r="D45" s="55" t="s">
        <v>143</v>
      </c>
      <c r="E45" s="49">
        <f>COUNTIF(Students[Lodging Cost],"&lt;0")</f>
        <v>16</v>
      </c>
    </row>
    <row r="46" spans="1:11" ht="18" thickBot="1" x14ac:dyDescent="0.25">
      <c r="A46" s="56" t="s">
        <v>28</v>
      </c>
      <c r="B46" s="57"/>
      <c r="C46" s="11"/>
      <c r="D46" s="58" t="s">
        <v>144</v>
      </c>
      <c r="E46" s="59">
        <f>COUNTIF(Students[Meal Cost],"&lt;0")</f>
        <v>16</v>
      </c>
    </row>
    <row r="47" spans="1:11" ht="17" thickBot="1" x14ac:dyDescent="0.25">
      <c r="A47" s="46" t="s">
        <v>27</v>
      </c>
      <c r="B47" s="47">
        <f>SUMIF(TaskList[Category],A47,TaskList[Amount (if Transaction)])</f>
        <v>-500</v>
      </c>
      <c r="C47" s="11"/>
      <c r="D47" s="24"/>
      <c r="E47" s="11"/>
    </row>
    <row r="48" spans="1:11" ht="17" x14ac:dyDescent="0.2">
      <c r="A48" s="46" t="s">
        <v>133</v>
      </c>
      <c r="B48" s="47">
        <f>SUMIF(TaskList[Category],A48,TaskList[Amount (if Transaction)])</f>
        <v>-600</v>
      </c>
      <c r="C48" s="11"/>
      <c r="D48" s="44" t="s">
        <v>155</v>
      </c>
      <c r="E48" s="60"/>
    </row>
    <row r="49" spans="1:5" ht="17" x14ac:dyDescent="0.2">
      <c r="A49" s="46" t="s">
        <v>7</v>
      </c>
      <c r="B49" s="47">
        <f>SUMIF(TaskList[Category],A49,TaskList[Amount (if Transaction)])</f>
        <v>-840</v>
      </c>
      <c r="C49" s="11"/>
      <c r="D49" s="55" t="s">
        <v>149</v>
      </c>
      <c r="E49" s="49">
        <f>COUNTIF(Staff[Role],"*Instructor*")</f>
        <v>1</v>
      </c>
    </row>
    <row r="50" spans="1:5" ht="17" x14ac:dyDescent="0.2">
      <c r="A50" s="46" t="s">
        <v>114</v>
      </c>
      <c r="B50" s="47">
        <f>SUMIF(TaskList[Category],A50,TaskList[Amount (if Transaction)])</f>
        <v>-1900</v>
      </c>
      <c r="C50" s="11"/>
      <c r="D50" s="55" t="s">
        <v>159</v>
      </c>
      <c r="E50" s="47">
        <f>SUMIF(Staff[Role],"*Instructor*",Staff[Hourly Rate])/E49</f>
        <v>100</v>
      </c>
    </row>
    <row r="51" spans="1:5" ht="17" x14ac:dyDescent="0.2">
      <c r="A51" s="46" t="s">
        <v>3</v>
      </c>
      <c r="B51" s="47">
        <f>SUMIF(TaskList[Category],A51,TaskList[Amount (if Transaction)])</f>
        <v>-6080</v>
      </c>
      <c r="C51" s="11"/>
      <c r="D51" s="55" t="s">
        <v>153</v>
      </c>
      <c r="E51" s="47">
        <f>(SUMIF(Staff[Role],"*nstructor*",Staff[Class Hours])+SUMIF(Staff[Role],"*nstructor*",Staff[Post-Class Hours]))*SUMIF(Staff[Role],"*nstructor*",Staff[Hourly Rate])/(E49*'Input and Summary Sheet'!$B$11)</f>
        <v>1000</v>
      </c>
    </row>
    <row r="52" spans="1:5" ht="17" x14ac:dyDescent="0.2">
      <c r="A52" s="46" t="s">
        <v>1</v>
      </c>
      <c r="B52" s="47">
        <f>SUMIF(TaskList[Category],A52,TaskList[Amount (if Transaction)])</f>
        <v>-2500</v>
      </c>
      <c r="C52" s="11"/>
      <c r="D52" s="55" t="s">
        <v>150</v>
      </c>
      <c r="E52" s="49">
        <f>COUNTIF(Staff[Role],"*Coordinator*")</f>
        <v>2</v>
      </c>
    </row>
    <row r="53" spans="1:5" ht="18" thickBot="1" x14ac:dyDescent="0.25">
      <c r="A53" s="50" t="s">
        <v>113</v>
      </c>
      <c r="B53" s="51">
        <f>SUMIF(TaskList[Category],A53,TaskList[Amount (if Transaction)])</f>
        <v>-12700</v>
      </c>
      <c r="C53" s="11"/>
      <c r="D53" s="55" t="s">
        <v>158</v>
      </c>
      <c r="E53" s="47">
        <f>SUMIF(Staff[Role],"*Coordinator*",Staff[Hourly Rate])/E52</f>
        <v>55</v>
      </c>
    </row>
    <row r="54" spans="1:5" ht="19" thickTop="1" thickBot="1" x14ac:dyDescent="0.25">
      <c r="A54" s="53" t="s">
        <v>138</v>
      </c>
      <c r="B54" s="61">
        <f>SUM(B47:B53)</f>
        <v>-25120</v>
      </c>
      <c r="C54" s="11"/>
      <c r="D54" s="68" t="s">
        <v>157</v>
      </c>
      <c r="E54" s="69"/>
    </row>
    <row r="55" spans="1:5" ht="18" thickBot="1" x14ac:dyDescent="0.25">
      <c r="A55" s="62" t="s">
        <v>147</v>
      </c>
      <c r="B55" s="63"/>
      <c r="C55" s="11"/>
      <c r="D55" s="66" t="s">
        <v>151</v>
      </c>
      <c r="E55" s="49">
        <f>SUM(Staff[Pre-Class Organization Hours])</f>
        <v>30</v>
      </c>
    </row>
    <row r="56" spans="1:5" ht="18" thickBot="1" x14ac:dyDescent="0.25">
      <c r="A56" s="76" t="str">
        <f>IF(B57&lt;0,"Class loses money","Class pays for itself")</f>
        <v>Class pays for itself</v>
      </c>
      <c r="B56" s="77"/>
      <c r="C56" s="11"/>
      <c r="D56" s="66" t="s">
        <v>152</v>
      </c>
      <c r="E56" s="49">
        <f>SUM(Staff[Class Hours])</f>
        <v>150</v>
      </c>
    </row>
    <row r="57" spans="1:5" ht="18" thickBot="1" x14ac:dyDescent="0.25">
      <c r="A57" s="64" t="s">
        <v>148</v>
      </c>
      <c r="B57" s="65">
        <f>B45+B54</f>
        <v>880</v>
      </c>
      <c r="C57" s="11"/>
      <c r="D57" s="67" t="s">
        <v>156</v>
      </c>
      <c r="E57" s="59">
        <f>SUM(Staff[Post-Class Hours])</f>
        <v>10</v>
      </c>
    </row>
  </sheetData>
  <mergeCells count="3">
    <mergeCell ref="A7:C7"/>
    <mergeCell ref="A6:C6"/>
    <mergeCell ref="A56:B56"/>
  </mergeCells>
  <phoneticPr fontId="6" type="noConversion"/>
  <conditionalFormatting sqref="A56:B56">
    <cfRule type="containsText" dxfId="12" priority="1" operator="containsText" text="Class pays for itself">
      <formula>NOT(ISERROR(SEARCH("Class pays for itself",A56)))</formula>
    </cfRule>
    <cfRule type="containsText" dxfId="11" priority="2" operator="containsText" text="Class loses money">
      <formula>NOT(ISERROR(SEARCH("Class loses money",A56)))</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2F0E-C548-D14F-A04D-FCE78702BC97}">
  <dimension ref="A1:N23"/>
  <sheetViews>
    <sheetView zoomScale="150" zoomScaleNormal="150" workbookViewId="0">
      <selection activeCell="F14" sqref="F14"/>
    </sheetView>
  </sheetViews>
  <sheetFormatPr baseColWidth="10" defaultRowHeight="16" x14ac:dyDescent="0.2"/>
  <cols>
    <col min="1" max="1" width="23.83203125" customWidth="1"/>
    <col min="2" max="2" width="25.6640625" customWidth="1"/>
    <col min="3" max="3" width="26.83203125" customWidth="1"/>
    <col min="4" max="4" width="13.83203125" bestFit="1" customWidth="1"/>
    <col min="5" max="5" width="14.1640625" customWidth="1"/>
    <col min="6" max="6" width="9.33203125" customWidth="1"/>
    <col min="7" max="7" width="15.6640625" customWidth="1"/>
    <col min="8" max="8" width="15.33203125" bestFit="1" customWidth="1"/>
    <col min="9" max="9" width="15" customWidth="1"/>
    <col min="10" max="10" width="16.6640625" customWidth="1"/>
    <col min="11" max="11" width="15.33203125" customWidth="1"/>
    <col min="12" max="12" width="15.1640625" bestFit="1" customWidth="1"/>
    <col min="13" max="13" width="16.83203125" customWidth="1"/>
    <col min="14" max="14" width="35.6640625" customWidth="1"/>
  </cols>
  <sheetData>
    <row r="1" spans="1:14" ht="24" x14ac:dyDescent="0.3">
      <c r="A1" s="73" t="s">
        <v>145</v>
      </c>
    </row>
    <row r="2" spans="1:14" x14ac:dyDescent="0.2">
      <c r="A2" t="s">
        <v>70</v>
      </c>
    </row>
    <row r="3" spans="1:14" x14ac:dyDescent="0.2">
      <c r="A3" t="s">
        <v>131</v>
      </c>
    </row>
    <row r="5" spans="1:14" x14ac:dyDescent="0.2">
      <c r="A5" s="82" t="s">
        <v>75</v>
      </c>
      <c r="B5" s="82"/>
      <c r="C5" s="82"/>
    </row>
    <row r="6" spans="1:14" x14ac:dyDescent="0.2">
      <c r="A6" s="81" t="s">
        <v>76</v>
      </c>
      <c r="B6" s="81"/>
      <c r="C6" s="81"/>
    </row>
    <row r="7" spans="1:14" ht="34" x14ac:dyDescent="0.2">
      <c r="A7" s="28" t="s">
        <v>85</v>
      </c>
      <c r="B7" s="28">
        <f>'Input and Summary Sheet'!B12*'Input and Summary Sheet'!B11</f>
        <v>50</v>
      </c>
      <c r="C7" s="30" t="s">
        <v>86</v>
      </c>
    </row>
    <row r="8" spans="1:14" ht="34" x14ac:dyDescent="0.2">
      <c r="A8" s="28" t="s">
        <v>87</v>
      </c>
      <c r="B8" s="29">
        <f>'Input and Summary Sheet'!B19*'Input and Summary Sheet'!B11</f>
        <v>100</v>
      </c>
      <c r="C8" s="30" t="s">
        <v>77</v>
      </c>
    </row>
    <row r="9" spans="1:14" ht="34" x14ac:dyDescent="0.2">
      <c r="A9" s="28" t="s">
        <v>88</v>
      </c>
      <c r="B9" s="31">
        <f>'Input and Summary Sheet'!B18*('Input and Summary Sheet'!B11 - 1)</f>
        <v>320</v>
      </c>
      <c r="C9" s="30" t="s">
        <v>78</v>
      </c>
    </row>
    <row r="10" spans="1:14" x14ac:dyDescent="0.2">
      <c r="A10" s="28" t="s">
        <v>129</v>
      </c>
      <c r="B10" s="31">
        <f>'Input and Summary Sheet'!B21</f>
        <v>200</v>
      </c>
      <c r="C10" s="30"/>
    </row>
    <row r="11" spans="1:14" s="7" customFormat="1" ht="35" customHeight="1" x14ac:dyDescent="0.2">
      <c r="B11" s="32"/>
      <c r="G11" s="32"/>
      <c r="H11" s="32"/>
      <c r="I11" s="83" t="s">
        <v>89</v>
      </c>
      <c r="J11" s="83"/>
      <c r="K11" s="83"/>
      <c r="L11" s="83"/>
      <c r="M11" s="83"/>
    </row>
    <row r="12" spans="1:14" s="24" customFormat="1" ht="52" customHeight="1" x14ac:dyDescent="0.2">
      <c r="A12" s="22" t="s">
        <v>31</v>
      </c>
      <c r="B12" s="33" t="s">
        <v>100</v>
      </c>
      <c r="C12" s="22" t="s">
        <v>32</v>
      </c>
      <c r="D12" s="22" t="s">
        <v>34</v>
      </c>
      <c r="E12" s="33" t="s">
        <v>90</v>
      </c>
      <c r="F12" s="33" t="s">
        <v>84</v>
      </c>
      <c r="G12" s="33" t="s">
        <v>80</v>
      </c>
      <c r="H12" s="33" t="s">
        <v>92</v>
      </c>
      <c r="I12" s="33" t="s">
        <v>91</v>
      </c>
      <c r="J12" s="33" t="s">
        <v>93</v>
      </c>
      <c r="K12" s="34" t="s">
        <v>37</v>
      </c>
      <c r="L12" s="22" t="s">
        <v>38</v>
      </c>
      <c r="M12" s="33" t="s">
        <v>130</v>
      </c>
      <c r="N12" s="22" t="s">
        <v>40</v>
      </c>
    </row>
    <row r="13" spans="1:14" s="37" customFormat="1" x14ac:dyDescent="0.2">
      <c r="A13" s="37" t="s">
        <v>71</v>
      </c>
      <c r="B13" s="37" t="s">
        <v>4</v>
      </c>
      <c r="E13" s="38">
        <v>100</v>
      </c>
      <c r="F13" s="37">
        <v>0</v>
      </c>
      <c r="G13" s="37">
        <f>IF(ISBLANK(Staff[[#This Row],[Name]]),"",$B$7)</f>
        <v>50</v>
      </c>
      <c r="H13" s="37">
        <v>0</v>
      </c>
      <c r="I13" s="38">
        <f>IF(ISBLANK(Staff[[#This Row],[Name]]),"",-1*Staff[[#This Row],[Pre-Class Organization Hours]]*Staff[[#This Row],[Hourly Rate]])</f>
        <v>0</v>
      </c>
      <c r="J13" s="38">
        <f>IF(ISBLANK(Staff[[#This Row],[Name]]),"",-1*Staff[[#This Row],[Class Hours]]*Staff[[#This Row],[Hourly Rate]]+-1*Staff[[#This Row],[Post-Class Hours]]*Staff[[#This Row],[Hourly Rate]])</f>
        <v>-5000</v>
      </c>
      <c r="K13" s="38">
        <f>IF(ISBLANK(Staff[[#This Row],[Name]]),"",-1*$B$8)</f>
        <v>-100</v>
      </c>
      <c r="L13" s="38">
        <f>IF(ISBLANK(Staff[[#This Row],[Name]]),"",-1*$B$9)</f>
        <v>-320</v>
      </c>
      <c r="M13" s="38">
        <f>IF(ISBLANK(Staff[[#This Row],[Name]]),"",-1*$B$10)</f>
        <v>-200</v>
      </c>
    </row>
    <row r="14" spans="1:14" s="37" customFormat="1" x14ac:dyDescent="0.2">
      <c r="A14" s="37" t="s">
        <v>72</v>
      </c>
      <c r="B14" s="37" t="s">
        <v>101</v>
      </c>
      <c r="E14" s="38">
        <v>55</v>
      </c>
      <c r="F14" s="37">
        <v>20</v>
      </c>
      <c r="G14" s="37">
        <f>IF(ISBLANK(Staff[[#This Row],[Name]]),"",$B$7)</f>
        <v>50</v>
      </c>
      <c r="H14" s="37">
        <v>10</v>
      </c>
      <c r="I14" s="38">
        <f>IF(ISBLANK(Staff[[#This Row],[Name]]),"",-1*Staff[[#This Row],[Pre-Class Organization Hours]]*Staff[[#This Row],[Hourly Rate]])</f>
        <v>-1100</v>
      </c>
      <c r="J14" s="38">
        <f>IF(ISBLANK(Staff[[#This Row],[Name]]),"",-1*Staff[[#This Row],[Class Hours]]*Staff[[#This Row],[Hourly Rate]]+-1*Staff[[#This Row],[Post-Class Hours]]*Staff[[#This Row],[Hourly Rate]])</f>
        <v>-3300</v>
      </c>
      <c r="K14" s="38">
        <f>IF(ISBLANK(Staff[[#This Row],[Name]]),"",-1*$B$8)</f>
        <v>-100</v>
      </c>
      <c r="L14" s="38">
        <f>IF(ISBLANK(Staff[[#This Row],[Name]]),"",-1*$B$9)</f>
        <v>-320</v>
      </c>
      <c r="M14" s="38">
        <f>IF(ISBLANK(Staff[[#This Row],[Name]]),"",-1*$B$10)</f>
        <v>-200</v>
      </c>
    </row>
    <row r="15" spans="1:14" s="37" customFormat="1" x14ac:dyDescent="0.2">
      <c r="A15" s="37" t="s">
        <v>73</v>
      </c>
      <c r="B15" s="37" t="s">
        <v>102</v>
      </c>
      <c r="E15" s="38">
        <v>55</v>
      </c>
      <c r="F15" s="37">
        <v>10</v>
      </c>
      <c r="G15" s="37">
        <f>IF(ISBLANK(Staff[[#This Row],[Name]]),"",$B$7)</f>
        <v>50</v>
      </c>
      <c r="H15" s="37">
        <v>0</v>
      </c>
      <c r="I15" s="38">
        <f>IF(ISBLANK(Staff[[#This Row],[Name]]),"",-1*Staff[[#This Row],[Pre-Class Organization Hours]]*Staff[[#This Row],[Hourly Rate]])</f>
        <v>-550</v>
      </c>
      <c r="J15" s="38">
        <f>IF(ISBLANK(Staff[[#This Row],[Name]]),"",-1*Staff[[#This Row],[Class Hours]]*Staff[[#This Row],[Hourly Rate]]+-1*Staff[[#This Row],[Post-Class Hours]]*Staff[[#This Row],[Hourly Rate]])</f>
        <v>-2750</v>
      </c>
      <c r="K15" s="38">
        <f>IF(ISBLANK(Staff[[#This Row],[Name]]),"",-1*$B$8)</f>
        <v>-100</v>
      </c>
      <c r="L15" s="38">
        <f>IF(ISBLANK(Staff[[#This Row],[Name]]),"",-1*$B$9)</f>
        <v>-320</v>
      </c>
      <c r="M15" s="38">
        <f>IF(ISBLANK(Staff[[#This Row],[Name]]),"",-1*$B$10)</f>
        <v>-200</v>
      </c>
    </row>
    <row r="16" spans="1:14" s="37" customFormat="1" x14ac:dyDescent="0.2">
      <c r="E16" s="38"/>
      <c r="G16" s="37" t="str">
        <f>IF(ISBLANK(Staff[[#This Row],[Name]]),"",$B$7)</f>
        <v/>
      </c>
      <c r="I16" s="38" t="str">
        <f>IF(ISBLANK(Staff[[#This Row],[Name]]),"",-1*Staff[[#This Row],[Pre-Class Organization Hours]]*Staff[[#This Row],[Hourly Rate]])</f>
        <v/>
      </c>
      <c r="J16" s="38" t="str">
        <f>IF(ISBLANK(Staff[[#This Row],[Name]]),"",-1*Staff[[#This Row],[Class Hours]]*Staff[[#This Row],[Hourly Rate]]+-1*Staff[[#This Row],[Post-Class Hours]]*Staff[[#This Row],[Hourly Rate]])</f>
        <v/>
      </c>
      <c r="K16" s="38" t="str">
        <f>IF(ISBLANK(Staff[[#This Row],[Name]]),"",-1*$B$8)</f>
        <v/>
      </c>
      <c r="L16" s="38" t="str">
        <f>IF(ISBLANK(Staff[[#This Row],[Name]]),"",-1*$B$9)</f>
        <v/>
      </c>
      <c r="M16" s="38" t="str">
        <f>IF(ISBLANK(Staff[[#This Row],[Name]]),"",-1*$B$10)</f>
        <v/>
      </c>
    </row>
    <row r="17" spans="1:13" s="37" customFormat="1" x14ac:dyDescent="0.2">
      <c r="E17" s="38"/>
      <c r="G17" s="37" t="str">
        <f>IF(ISBLANK(Staff[[#This Row],[Name]]),"",$B$7)</f>
        <v/>
      </c>
      <c r="I17" s="38" t="str">
        <f>IF(ISBLANK(Staff[[#This Row],[Name]]),"",-1*Staff[[#This Row],[Pre-Class Organization Hours]]*Staff[[#This Row],[Hourly Rate]])</f>
        <v/>
      </c>
      <c r="J17" s="38" t="str">
        <f>IF(ISBLANK(Staff[[#This Row],[Name]]),"",-1*Staff[[#This Row],[Class Hours]]*Staff[[#This Row],[Hourly Rate]]+-1*Staff[[#This Row],[Post-Class Hours]]*Staff[[#This Row],[Hourly Rate]])</f>
        <v/>
      </c>
      <c r="K17" s="38" t="str">
        <f>IF(ISBLANK(Staff[[#This Row],[Name]]),"",-1*$B$8)</f>
        <v/>
      </c>
      <c r="L17" s="38" t="str">
        <f>IF(ISBLANK(Staff[[#This Row],[Name]]),"",-1*$B$9)</f>
        <v/>
      </c>
      <c r="M17" s="38" t="str">
        <f>IF(ISBLANK(Staff[[#This Row],[Name]]),"",-1*$B$10)</f>
        <v/>
      </c>
    </row>
    <row r="18" spans="1:13" s="37" customFormat="1" x14ac:dyDescent="0.2">
      <c r="E18" s="38"/>
      <c r="G18" s="37" t="str">
        <f>IF(ISBLANK(Staff[[#This Row],[Name]]),"",$B$7)</f>
        <v/>
      </c>
      <c r="I18" s="38" t="str">
        <f>IF(ISBLANK(Staff[[#This Row],[Name]]),"",-1*Staff[[#This Row],[Pre-Class Organization Hours]]*Staff[[#This Row],[Hourly Rate]])</f>
        <v/>
      </c>
      <c r="J18" s="38" t="str">
        <f>IF(ISBLANK(Staff[[#This Row],[Name]]),"",-1*Staff[[#This Row],[Class Hours]]*Staff[[#This Row],[Hourly Rate]]+-1*Staff[[#This Row],[Post-Class Hours]]*Staff[[#This Row],[Hourly Rate]])</f>
        <v/>
      </c>
      <c r="K18" s="38" t="str">
        <f>IF(ISBLANK(Staff[[#This Row],[Name]]),"",-1*$B$8)</f>
        <v/>
      </c>
      <c r="L18" s="38" t="str">
        <f>IF(ISBLANK(Staff[[#This Row],[Name]]),"",-1*$B$9)</f>
        <v/>
      </c>
      <c r="M18" s="38" t="str">
        <f>IF(ISBLANK(Staff[[#This Row],[Name]]),"",-1*$B$10)</f>
        <v/>
      </c>
    </row>
    <row r="19" spans="1:13" s="37" customFormat="1" x14ac:dyDescent="0.2">
      <c r="E19" s="38"/>
      <c r="G19" s="37" t="str">
        <f>IF(ISBLANK(Staff[[#This Row],[Name]]),"",$B$7)</f>
        <v/>
      </c>
      <c r="I19" s="38" t="str">
        <f>IF(ISBLANK(Staff[[#This Row],[Name]]),"",-1*Staff[[#This Row],[Pre-Class Organization Hours]]*Staff[[#This Row],[Hourly Rate]])</f>
        <v/>
      </c>
      <c r="J19" s="38" t="str">
        <f>IF(ISBLANK(Staff[[#This Row],[Name]]),"",-1*Staff[[#This Row],[Class Hours]]*Staff[[#This Row],[Hourly Rate]]+-1*Staff[[#This Row],[Post-Class Hours]]*Staff[[#This Row],[Hourly Rate]])</f>
        <v/>
      </c>
      <c r="K19" s="38" t="str">
        <f>IF(ISBLANK(Staff[[#This Row],[Name]]),"",-1*$B$8)</f>
        <v/>
      </c>
      <c r="L19" s="38" t="str">
        <f>IF(ISBLANK(Staff[[#This Row],[Name]]),"",-1*$B$9)</f>
        <v/>
      </c>
      <c r="M19" s="38" t="str">
        <f>IF(ISBLANK(Staff[[#This Row],[Name]]),"",-1*$B$10)</f>
        <v/>
      </c>
    </row>
    <row r="20" spans="1:13" s="37" customFormat="1" x14ac:dyDescent="0.2">
      <c r="E20" s="38"/>
      <c r="G20" s="37" t="str">
        <f>IF(ISBLANK(Staff[[#This Row],[Name]]),"",$B$7)</f>
        <v/>
      </c>
      <c r="I20" s="38" t="str">
        <f>IF(ISBLANK(Staff[[#This Row],[Name]]),"",-1*Staff[[#This Row],[Pre-Class Organization Hours]]*Staff[[#This Row],[Hourly Rate]])</f>
        <v/>
      </c>
      <c r="J20" s="38" t="str">
        <f>IF(ISBLANK(Staff[[#This Row],[Name]]),"",-1*Staff[[#This Row],[Class Hours]]*Staff[[#This Row],[Hourly Rate]]+-1*Staff[[#This Row],[Post-Class Hours]]*Staff[[#This Row],[Hourly Rate]])</f>
        <v/>
      </c>
      <c r="K20" s="38" t="str">
        <f>IF(ISBLANK(Staff[[#This Row],[Name]]),"",-1*$B$8)</f>
        <v/>
      </c>
      <c r="L20" s="38" t="str">
        <f>IF(ISBLANK(Staff[[#This Row],[Name]]),"",-1*$B$9)</f>
        <v/>
      </c>
      <c r="M20" s="38" t="str">
        <f>IF(ISBLANK(Staff[[#This Row],[Name]]),"",-1*$B$10)</f>
        <v/>
      </c>
    </row>
    <row r="21" spans="1:13" s="37" customFormat="1" x14ac:dyDescent="0.2">
      <c r="E21" s="38"/>
      <c r="G21" s="37" t="str">
        <f>IF(ISBLANK(Staff[[#This Row],[Name]]),"",$B$7)</f>
        <v/>
      </c>
      <c r="I21" s="38" t="str">
        <f>IF(ISBLANK(Staff[[#This Row],[Name]]),"",-1*Staff[[#This Row],[Pre-Class Organization Hours]]*Staff[[#This Row],[Hourly Rate]])</f>
        <v/>
      </c>
      <c r="J21" s="38" t="str">
        <f>IF(ISBLANK(Staff[[#This Row],[Name]]),"",-1*Staff[[#This Row],[Class Hours]]*Staff[[#This Row],[Hourly Rate]]+-1*Staff[[#This Row],[Post-Class Hours]]*Staff[[#This Row],[Hourly Rate]])</f>
        <v/>
      </c>
      <c r="K21" s="38" t="str">
        <f>IF(ISBLANK(Staff[[#This Row],[Name]]),"",-1*$B$8)</f>
        <v/>
      </c>
      <c r="L21" s="38" t="str">
        <f>IF(ISBLANK(Staff[[#This Row],[Name]]),"",-1*$B$9)</f>
        <v/>
      </c>
      <c r="M21" s="38" t="str">
        <f>IF(ISBLANK(Staff[[#This Row],[Name]]),"",-1*$B$10)</f>
        <v/>
      </c>
    </row>
    <row r="22" spans="1:13" s="37" customFormat="1" x14ac:dyDescent="0.2">
      <c r="E22" s="38"/>
      <c r="G22" s="37" t="str">
        <f>IF(ISBLANK(Staff[[#This Row],[Name]]),"",$B$7)</f>
        <v/>
      </c>
      <c r="I22" s="38" t="str">
        <f>IF(ISBLANK(Staff[[#This Row],[Name]]),"",-1*Staff[[#This Row],[Pre-Class Organization Hours]]*Staff[[#This Row],[Hourly Rate]])</f>
        <v/>
      </c>
      <c r="J22" s="38" t="str">
        <f>IF(ISBLANK(Staff[[#This Row],[Name]]),"",-1*Staff[[#This Row],[Class Hours]]*Staff[[#This Row],[Hourly Rate]]+-1*Staff[[#This Row],[Post-Class Hours]]*Staff[[#This Row],[Hourly Rate]])</f>
        <v/>
      </c>
      <c r="K22" s="38" t="str">
        <f>IF(ISBLANK(Staff[[#This Row],[Name]]),"",-1*$B$8)</f>
        <v/>
      </c>
      <c r="L22" s="38" t="str">
        <f>IF(ISBLANK(Staff[[#This Row],[Name]]),"",-1*$B$9)</f>
        <v/>
      </c>
      <c r="M22" s="38" t="str">
        <f>IF(ISBLANK(Staff[[#This Row],[Name]]),"",-1*$B$10)</f>
        <v/>
      </c>
    </row>
    <row r="23" spans="1:13" x14ac:dyDescent="0.2">
      <c r="A23" t="s">
        <v>54</v>
      </c>
      <c r="E23" s="3"/>
      <c r="I23" s="3">
        <f>SUBTOTAL(109,Staff[Pre-Class Organization Wages])</f>
        <v>-1650</v>
      </c>
      <c r="J23" s="3">
        <f>SUBTOTAL(109,Staff[Class and Post-Class Wages])</f>
        <v>-11050</v>
      </c>
      <c r="K23" s="3">
        <f>SUBTOTAL(109,Staff[Meal Cost])</f>
        <v>-300</v>
      </c>
      <c r="L23" s="3">
        <f>SUBTOTAL(109,Staff[Lodging Cost])</f>
        <v>-960</v>
      </c>
      <c r="M23" s="3">
        <f>SUBTOTAL(109,Staff[Travel Cost])</f>
        <v>-600</v>
      </c>
    </row>
  </sheetData>
  <mergeCells count="3">
    <mergeCell ref="A5:C5"/>
    <mergeCell ref="A6:C6"/>
    <mergeCell ref="I11:M1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AEBD-62F6-3542-A080-2BE28DE35C57}">
  <dimension ref="A1:I24"/>
  <sheetViews>
    <sheetView zoomScale="150" zoomScaleNormal="150" workbookViewId="0">
      <selection activeCell="C31" sqref="C31"/>
    </sheetView>
  </sheetViews>
  <sheetFormatPr baseColWidth="10" defaultRowHeight="16" x14ac:dyDescent="0.2"/>
  <cols>
    <col min="1" max="1" width="13.1640625" style="11" customWidth="1"/>
    <col min="2" max="2" width="15" style="24" customWidth="1"/>
    <col min="3" max="3" width="43.33203125" style="24" customWidth="1"/>
    <col min="4" max="4" width="16.5" style="24" customWidth="1"/>
    <col min="5" max="5" width="23.83203125" style="24" customWidth="1"/>
    <col min="6" max="6" width="29.33203125" style="24" customWidth="1"/>
    <col min="7" max="9" width="10.83203125" style="24"/>
    <col min="10" max="16384" width="10.83203125" style="11"/>
  </cols>
  <sheetData>
    <row r="1" spans="1:9" x14ac:dyDescent="0.2">
      <c r="A1" s="21" t="s">
        <v>128</v>
      </c>
    </row>
    <row r="2" spans="1:9" ht="83" customHeight="1" x14ac:dyDescent="0.2">
      <c r="A2" s="84" t="s">
        <v>134</v>
      </c>
      <c r="B2" s="84"/>
      <c r="C2" s="84"/>
      <c r="D2" s="84"/>
      <c r="E2" s="84"/>
    </row>
    <row r="4" spans="1:9" s="24" customFormat="1" ht="34" x14ac:dyDescent="0.2">
      <c r="A4" s="24" t="s">
        <v>120</v>
      </c>
      <c r="B4" s="24" t="s">
        <v>99</v>
      </c>
      <c r="C4" s="24" t="s">
        <v>119</v>
      </c>
      <c r="D4" s="24" t="s">
        <v>121</v>
      </c>
      <c r="E4" s="24" t="s">
        <v>11</v>
      </c>
      <c r="F4" s="24" t="s">
        <v>146</v>
      </c>
    </row>
    <row r="5" spans="1:9" ht="17" x14ac:dyDescent="0.2">
      <c r="A5" s="11">
        <v>-180</v>
      </c>
      <c r="B5" s="36">
        <f>'Input and Summary Sheet'!$B$10+TaskList[[#This Row],[Days from Class Start]]</f>
        <v>45386</v>
      </c>
      <c r="C5" s="22" t="s">
        <v>98</v>
      </c>
      <c r="D5" s="35">
        <f>Staff[[#Totals],[Pre-Class Organization Wages]]</f>
        <v>-1650</v>
      </c>
      <c r="E5" s="24" t="s">
        <v>113</v>
      </c>
      <c r="F5" s="41">
        <f>TaskList[[#This Row],[Amount (if Transaction)]]</f>
        <v>-1650</v>
      </c>
      <c r="G5" s="11"/>
      <c r="H5" s="11"/>
      <c r="I5" s="11"/>
    </row>
    <row r="6" spans="1:9" ht="17" x14ac:dyDescent="0.2">
      <c r="A6" s="11">
        <v>-150</v>
      </c>
      <c r="B6" s="36">
        <f>'Input and Summary Sheet'!$B$10+TaskList[[#This Row],[Days from Class Start]]</f>
        <v>45416</v>
      </c>
      <c r="C6" s="22" t="s">
        <v>103</v>
      </c>
      <c r="D6" s="35"/>
      <c r="F6" s="41">
        <f>F5+TaskList[[#This Row],[Amount (if Transaction)]]</f>
        <v>-1650</v>
      </c>
      <c r="G6" s="11"/>
      <c r="H6" s="11"/>
      <c r="I6" s="11"/>
    </row>
    <row r="7" spans="1:9" ht="17" x14ac:dyDescent="0.2">
      <c r="A7" s="11">
        <v>-90</v>
      </c>
      <c r="B7" s="36">
        <f>'Input and Summary Sheet'!$B$10+TaskList[[#This Row],[Days from Class Start]]</f>
        <v>45476</v>
      </c>
      <c r="C7" s="22" t="s">
        <v>105</v>
      </c>
      <c r="D7" s="35">
        <f>'Input and Summary Sheet'!B31*-1</f>
        <v>-1000</v>
      </c>
      <c r="E7" s="24" t="s">
        <v>113</v>
      </c>
      <c r="F7" s="41">
        <f>F6+TaskList[[#This Row],[Amount (if Transaction)]]</f>
        <v>-2650</v>
      </c>
      <c r="G7" s="11"/>
      <c r="H7" s="11"/>
      <c r="I7" s="11"/>
    </row>
    <row r="8" spans="1:9" ht="17" x14ac:dyDescent="0.2">
      <c r="A8" s="11">
        <v>-45</v>
      </c>
      <c r="B8" s="36">
        <f>'Input and Summary Sheet'!$B$10+TaskList[[#This Row],[Days from Class Start]]</f>
        <v>45521</v>
      </c>
      <c r="C8" s="22" t="s">
        <v>118</v>
      </c>
      <c r="D8" s="35"/>
      <c r="F8" s="41">
        <f>F7+TaskList[[#This Row],[Amount (if Transaction)]]</f>
        <v>-2650</v>
      </c>
      <c r="G8" s="11"/>
      <c r="H8" s="11"/>
      <c r="I8" s="11"/>
    </row>
    <row r="9" spans="1:9" ht="17" x14ac:dyDescent="0.2">
      <c r="A9" s="11">
        <v>-30</v>
      </c>
      <c r="B9" s="36">
        <f>'Input and Summary Sheet'!$B$10+TaskList[[#This Row],[Days from Class Start]]</f>
        <v>45536</v>
      </c>
      <c r="C9" s="22" t="s">
        <v>122</v>
      </c>
      <c r="D9" s="35">
        <f>Students[[#Totals],[Materials Cost]]</f>
        <v>-640</v>
      </c>
      <c r="E9" s="24" t="s">
        <v>7</v>
      </c>
      <c r="F9" s="41">
        <f>F8+TaskList[[#This Row],[Amount (if Transaction)]]</f>
        <v>-3290</v>
      </c>
      <c r="G9" s="11"/>
      <c r="H9" s="11"/>
      <c r="I9" s="11"/>
    </row>
    <row r="10" spans="1:9" ht="17" x14ac:dyDescent="0.2">
      <c r="A10" s="11">
        <v>-30</v>
      </c>
      <c r="B10" s="36">
        <f>'Input and Summary Sheet'!$B$10+TaskList[[#This Row],[Days from Class Start]]</f>
        <v>45536</v>
      </c>
      <c r="C10" s="22" t="s">
        <v>117</v>
      </c>
      <c r="D10" s="35">
        <f>'Input and Summary Sheet'!B25*-1</f>
        <v>-200</v>
      </c>
      <c r="E10" s="24" t="s">
        <v>7</v>
      </c>
      <c r="F10" s="41">
        <f>F9+TaskList[[#This Row],[Amount (if Transaction)]]</f>
        <v>-3490</v>
      </c>
      <c r="G10" s="11"/>
      <c r="H10" s="11"/>
      <c r="I10" s="11"/>
    </row>
    <row r="11" spans="1:9" ht="17" x14ac:dyDescent="0.2">
      <c r="A11" s="11">
        <v>-30</v>
      </c>
      <c r="B11" s="36">
        <f>'Input and Summary Sheet'!$B$10+TaskList[[#This Row],[Days from Class Start]]</f>
        <v>45536</v>
      </c>
      <c r="C11" s="22" t="s">
        <v>10</v>
      </c>
      <c r="D11" s="35">
        <f>'Input and Summary Sheet'!B32*-1</f>
        <v>-1000</v>
      </c>
      <c r="E11" s="24" t="s">
        <v>3</v>
      </c>
      <c r="F11" s="41">
        <f>F10+TaskList[[#This Row],[Amount (if Transaction)]]</f>
        <v>-4490</v>
      </c>
      <c r="G11" s="11"/>
      <c r="H11" s="11"/>
      <c r="I11" s="11"/>
    </row>
    <row r="12" spans="1:9" ht="17" x14ac:dyDescent="0.2">
      <c r="A12" s="11">
        <v>-30</v>
      </c>
      <c r="B12" s="36">
        <f>'Input and Summary Sheet'!$B$10+TaskList[[#This Row],[Days from Class Start]]</f>
        <v>45536</v>
      </c>
      <c r="C12" s="22" t="s">
        <v>9</v>
      </c>
      <c r="D12" s="35">
        <f>'Input and Summary Sheet'!B29*-1</f>
        <v>-500</v>
      </c>
      <c r="E12" s="24" t="s">
        <v>114</v>
      </c>
      <c r="F12" s="41">
        <f>F11+TaskList[[#This Row],[Amount (if Transaction)]]</f>
        <v>-4990</v>
      </c>
      <c r="G12" s="11"/>
      <c r="H12" s="11"/>
      <c r="I12" s="11"/>
    </row>
    <row r="13" spans="1:9" ht="17" x14ac:dyDescent="0.2">
      <c r="A13" s="11">
        <v>-30</v>
      </c>
      <c r="B13" s="36">
        <f>'Input and Summary Sheet'!$B$10+TaskList[[#This Row],[Days from Class Start]]</f>
        <v>45536</v>
      </c>
      <c r="C13" s="22" t="s">
        <v>8</v>
      </c>
      <c r="D13" s="35">
        <f>'Input and Summary Sheet'!B30*-1</f>
        <v>-1000</v>
      </c>
      <c r="E13" s="24" t="s">
        <v>1</v>
      </c>
      <c r="F13" s="41">
        <f>F12+TaskList[[#This Row],[Amount (if Transaction)]]</f>
        <v>-5990</v>
      </c>
      <c r="G13" s="11"/>
      <c r="H13" s="11"/>
      <c r="I13" s="11"/>
    </row>
    <row r="14" spans="1:9" ht="17" x14ac:dyDescent="0.2">
      <c r="A14" s="11">
        <v>-30</v>
      </c>
      <c r="B14" s="36">
        <f>'Input and Summary Sheet'!$B$10+TaskList[[#This Row],[Days from Class Start]]</f>
        <v>45536</v>
      </c>
      <c r="C14" s="22" t="s">
        <v>123</v>
      </c>
      <c r="D14" s="35">
        <f>'Input and Summary Sheet'!B27*-1</f>
        <v>-500</v>
      </c>
      <c r="E14" s="36" t="s">
        <v>27</v>
      </c>
      <c r="F14" s="41">
        <f>F13+TaskList[[#This Row],[Amount (if Transaction)]]</f>
        <v>-6490</v>
      </c>
      <c r="G14" s="11"/>
      <c r="H14" s="11"/>
      <c r="I14" s="11"/>
    </row>
    <row r="15" spans="1:9" ht="17" x14ac:dyDescent="0.2">
      <c r="A15" s="11">
        <v>-30</v>
      </c>
      <c r="B15" s="36">
        <f>'Input and Summary Sheet'!$B$10+TaskList[[#This Row],[Days from Class Start]]</f>
        <v>45536</v>
      </c>
      <c r="C15" s="22" t="s">
        <v>106</v>
      </c>
      <c r="D15" s="35"/>
      <c r="F15" s="41">
        <f>F14+TaskList[[#This Row],[Amount (if Transaction)]]</f>
        <v>-6490</v>
      </c>
      <c r="G15" s="11"/>
      <c r="H15" s="11"/>
      <c r="I15" s="11"/>
    </row>
    <row r="16" spans="1:9" ht="17" x14ac:dyDescent="0.2">
      <c r="A16" s="11">
        <v>-30</v>
      </c>
      <c r="B16" s="36">
        <f>'Input and Summary Sheet'!$B$10+TaskList[[#This Row],[Days from Class Start]]</f>
        <v>45536</v>
      </c>
      <c r="C16" s="22" t="s">
        <v>110</v>
      </c>
      <c r="D16" s="35"/>
      <c r="F16" s="41">
        <f>F15+TaskList[[#This Row],[Amount (if Transaction)]]</f>
        <v>-6490</v>
      </c>
      <c r="G16" s="11"/>
      <c r="H16" s="11"/>
      <c r="I16" s="11"/>
    </row>
    <row r="17" spans="1:9" ht="17" x14ac:dyDescent="0.2">
      <c r="A17" s="11">
        <v>0</v>
      </c>
      <c r="B17" s="36">
        <f>'Input and Summary Sheet'!$B$10+TaskList[[#This Row],[Days from Class Start]]</f>
        <v>45566</v>
      </c>
      <c r="C17" s="22" t="s">
        <v>115</v>
      </c>
      <c r="D17" s="35">
        <f>Students[[#Totals],[Tuition Due]]</f>
        <v>24000</v>
      </c>
      <c r="E17" s="36" t="s">
        <v>6</v>
      </c>
      <c r="F17" s="41">
        <f>F16+TaskList[[#This Row],[Amount (if Transaction)]]</f>
        <v>17510</v>
      </c>
      <c r="G17" s="11"/>
      <c r="H17" s="11"/>
      <c r="I17" s="11"/>
    </row>
    <row r="18" spans="1:9" ht="17" x14ac:dyDescent="0.2">
      <c r="A18" s="11">
        <v>0</v>
      </c>
      <c r="B18" s="36">
        <f>'Input and Summary Sheet'!$B$10+TaskList[[#This Row],[Days from Class Start]]</f>
        <v>45566</v>
      </c>
      <c r="C18" s="22" t="s">
        <v>116</v>
      </c>
      <c r="D18" s="35">
        <f>'Input and Summary Sheet'!B15</f>
        <v>2000</v>
      </c>
      <c r="E18" s="36" t="s">
        <v>5</v>
      </c>
      <c r="F18" s="41">
        <f>F17+TaskList[[#This Row],[Amount (if Transaction)]]</f>
        <v>19510</v>
      </c>
      <c r="G18" s="11"/>
      <c r="H18" s="11"/>
      <c r="I18" s="11"/>
    </row>
    <row r="19" spans="1:9" ht="17" x14ac:dyDescent="0.2">
      <c r="A19" s="11">
        <v>0</v>
      </c>
      <c r="B19" s="36">
        <f>'Input and Summary Sheet'!$B$10+TaskList[[#This Row],[Days from Class Start]]</f>
        <v>45566</v>
      </c>
      <c r="C19" s="22" t="s">
        <v>126</v>
      </c>
      <c r="D19" s="35"/>
      <c r="F19" s="41">
        <f>F18+TaskList[[#This Row],[Amount (if Transaction)]]</f>
        <v>19510</v>
      </c>
      <c r="G19" s="11"/>
      <c r="H19" s="11"/>
      <c r="I19" s="11"/>
    </row>
    <row r="20" spans="1:9" ht="17" x14ac:dyDescent="0.2">
      <c r="A20" s="11">
        <v>15</v>
      </c>
      <c r="B20" s="36">
        <f>'Input and Summary Sheet'!$B$10+TaskList[[#This Row],[Days from Class Start]]</f>
        <v>45581</v>
      </c>
      <c r="C20" s="22" t="s">
        <v>104</v>
      </c>
      <c r="D20" s="35">
        <f>Staff[[#Totals],[Class and Post-Class Wages]]+'Input and Summary Sheet'!B31</f>
        <v>-10050</v>
      </c>
      <c r="E20" s="24" t="s">
        <v>113</v>
      </c>
      <c r="F20" s="41">
        <f>F19+TaskList[[#This Row],[Amount (if Transaction)]]</f>
        <v>9460</v>
      </c>
      <c r="G20" s="11"/>
      <c r="H20" s="11"/>
      <c r="I20" s="11"/>
    </row>
    <row r="21" spans="1:9" ht="34" x14ac:dyDescent="0.2">
      <c r="A21" s="11">
        <v>15</v>
      </c>
      <c r="B21" s="36">
        <f>'Input and Summary Sheet'!$B$10+TaskList[[#This Row],[Days from Class Start]]</f>
        <v>45581</v>
      </c>
      <c r="C21" s="33" t="s">
        <v>132</v>
      </c>
      <c r="D21" s="35">
        <f>Staff[[#Totals],[Travel Cost]]</f>
        <v>-600</v>
      </c>
      <c r="E21" s="36" t="s">
        <v>133</v>
      </c>
      <c r="F21" s="41">
        <f>F20+TaskList[[#This Row],[Amount (if Transaction)]]</f>
        <v>8860</v>
      </c>
      <c r="G21" s="11"/>
      <c r="H21" s="11"/>
      <c r="I21" s="11"/>
    </row>
    <row r="22" spans="1:9" ht="17" x14ac:dyDescent="0.2">
      <c r="A22" s="11">
        <v>30</v>
      </c>
      <c r="B22" s="36">
        <f>'Input and Summary Sheet'!$B$10+TaskList[[#This Row],[Days from Class Start]]</f>
        <v>45596</v>
      </c>
      <c r="C22" s="22" t="s">
        <v>2</v>
      </c>
      <c r="D22" s="35">
        <f>Staff[[#Totals],[Lodging Cost]]+Students[[#Totals],[Lodging Cost]]+'Input and Summary Sheet'!B32</f>
        <v>-5080</v>
      </c>
      <c r="E22" s="24" t="s">
        <v>3</v>
      </c>
      <c r="F22" s="41">
        <f>F21+TaskList[[#This Row],[Amount (if Transaction)]]</f>
        <v>3780</v>
      </c>
      <c r="G22" s="11"/>
      <c r="H22" s="11"/>
      <c r="I22" s="11"/>
    </row>
    <row r="23" spans="1:9" ht="17" x14ac:dyDescent="0.2">
      <c r="A23" s="11">
        <v>30</v>
      </c>
      <c r="B23" s="36">
        <f>'Input and Summary Sheet'!$B$10+TaskList[[#This Row],[Days from Class Start]]</f>
        <v>45596</v>
      </c>
      <c r="C23" s="22" t="s">
        <v>127</v>
      </c>
      <c r="D23" s="35">
        <f>Staff[[#Totals],[Meal Cost]]+Students[[#Totals],[Meal Cost]]+'Input and Summary Sheet'!B29</f>
        <v>-1400</v>
      </c>
      <c r="E23" s="24" t="s">
        <v>114</v>
      </c>
      <c r="F23" s="41">
        <f>F22+TaskList[[#This Row],[Amount (if Transaction)]]</f>
        <v>2380</v>
      </c>
      <c r="G23" s="11"/>
      <c r="H23" s="11"/>
      <c r="I23" s="11"/>
    </row>
    <row r="24" spans="1:9" ht="17" x14ac:dyDescent="0.2">
      <c r="A24" s="11">
        <v>30</v>
      </c>
      <c r="B24" s="36">
        <f>'Input and Summary Sheet'!$B$10+TaskList[[#This Row],[Days from Class Start]]</f>
        <v>45596</v>
      </c>
      <c r="C24" s="22" t="s">
        <v>0</v>
      </c>
      <c r="D24" s="35">
        <f>-1*('Input and Summary Sheet'!B23*'Input and Summary Sheet'!B11)-'Input and Summary Sheet'!B26+'Input and Summary Sheet'!B30</f>
        <v>-1500</v>
      </c>
      <c r="E24" s="24" t="s">
        <v>1</v>
      </c>
      <c r="F24" s="41">
        <f>F23+TaskList[[#This Row],[Amount (if Transaction)]]</f>
        <v>880</v>
      </c>
      <c r="G24" s="11"/>
      <c r="H24" s="11"/>
      <c r="I24" s="11"/>
    </row>
  </sheetData>
  <mergeCells count="1">
    <mergeCell ref="A2:E2"/>
  </mergeCells>
  <phoneticPr fontId="6"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 and Summary Sheet</vt:lpstr>
      <vt:lpstr>Class Roster</vt:lpstr>
      <vt:lpstr>Staff Roster</vt:lpstr>
      <vt:lpstr>Task and Transaction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DeChellis</dc:creator>
  <cp:lastModifiedBy>Michael DeChellis</cp:lastModifiedBy>
  <dcterms:created xsi:type="dcterms:W3CDTF">2024-02-17T19:08:08Z</dcterms:created>
  <dcterms:modified xsi:type="dcterms:W3CDTF">2024-02-28T19:51:57Z</dcterms:modified>
</cp:coreProperties>
</file>