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omments5.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omments6.xml" ContentType="application/vnd.openxmlformats-officedocument.spreadsheetml.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omments7.xml" ContentType="application/vnd.openxmlformats-officedocument.spreadsheetml.comment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9.xml" ContentType="application/vnd.openxmlformats-officedocument.drawing+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0.xml" ContentType="application/vnd.openxmlformats-officedocument.drawing+xml"/>
  <Override PartName="/xl/comments8.xml" ContentType="application/vnd.openxmlformats-officedocument.spreadsheetml.comments+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xl/charts/chart33.xml" ContentType="application/vnd.openxmlformats-officedocument.drawingml.chart+xml"/>
  <Override PartName="/xl/charts/style32.xml" ContentType="application/vnd.ms-office.chartstyle+xml"/>
  <Override PartName="/xl/charts/colors32.xml" ContentType="application/vnd.ms-office.chartcolorstyle+xml"/>
  <Override PartName="/xl/charts/chart34.xml" ContentType="application/vnd.openxmlformats-officedocument.drawingml.chart+xml"/>
  <Override PartName="/xl/charts/style33.xml" ContentType="application/vnd.ms-office.chartstyle+xml"/>
  <Override PartName="/xl/charts/colors33.xml" ContentType="application/vnd.ms-office.chartcolorstyle+xml"/>
  <Override PartName="/xl/charts/chart35.xml" ContentType="application/vnd.openxmlformats-officedocument.drawingml.chart+xml"/>
  <Override PartName="/xl/charts/style34.xml" ContentType="application/vnd.ms-office.chartstyle+xml"/>
  <Override PartName="/xl/charts/colors34.xml" ContentType="application/vnd.ms-office.chartcolorstyle+xml"/>
  <Override PartName="/xl/charts/chart36.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11.xml" ContentType="application/vnd.openxmlformats-officedocument.drawing+xml"/>
  <Override PartName="/xl/charts/chart37.xml" ContentType="application/vnd.openxmlformats-officedocument.drawingml.chart+xml"/>
  <Override PartName="/xl/charts/style36.xml" ContentType="application/vnd.ms-office.chartstyle+xml"/>
  <Override PartName="/xl/charts/colors36.xml" ContentType="application/vnd.ms-office.chartcolorstyle+xml"/>
  <Override PartName="/xl/charts/chart38.xml" ContentType="application/vnd.openxmlformats-officedocument.drawingml.chart+xml"/>
  <Override PartName="/xl/charts/style37.xml" ContentType="application/vnd.ms-office.chartstyle+xml"/>
  <Override PartName="/xl/charts/colors37.xml" ContentType="application/vnd.ms-office.chartcolorstyle+xml"/>
  <Override PartName="/xl/charts/chart39.xml" ContentType="application/vnd.openxmlformats-officedocument.drawingml.chart+xml"/>
  <Override PartName="/xl/charts/style38.xml" ContentType="application/vnd.ms-office.chartstyle+xml"/>
  <Override PartName="/xl/charts/colors38.xml" ContentType="application/vnd.ms-office.chartcolorstyle+xml"/>
  <Override PartName="/xl/charts/chart40.xml" ContentType="application/vnd.openxmlformats-officedocument.drawingml.chart+xml"/>
  <Override PartName="/xl/charts/style39.xml" ContentType="application/vnd.ms-office.chartstyle+xml"/>
  <Override PartName="/xl/charts/colors39.xml" ContentType="application/vnd.ms-office.chartcolorstyle+xml"/>
  <Override PartName="/xl/charts/chart41.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2.xml" ContentType="application/vnd.openxmlformats-officedocument.drawing+xml"/>
  <Override PartName="/xl/charts/chart42.xml" ContentType="application/vnd.openxmlformats-officedocument.drawingml.chart+xml"/>
  <Override PartName="/xl/charts/style41.xml" ContentType="application/vnd.ms-office.chartstyle+xml"/>
  <Override PartName="/xl/charts/colors41.xml" ContentType="application/vnd.ms-office.chartcolorstyle+xml"/>
  <Override PartName="/xl/charts/chart43.xml" ContentType="application/vnd.openxmlformats-officedocument.drawingml.chart+xml"/>
  <Override PartName="/xl/charts/style42.xml" ContentType="application/vnd.ms-office.chartstyle+xml"/>
  <Override PartName="/xl/charts/colors42.xml" ContentType="application/vnd.ms-office.chartcolorstyle+xml"/>
  <Override PartName="/xl/charts/chart44.xml" ContentType="application/vnd.openxmlformats-officedocument.drawingml.chart+xml"/>
  <Override PartName="/xl/charts/style43.xml" ContentType="application/vnd.ms-office.chartstyle+xml"/>
  <Override PartName="/xl/charts/colors43.xml" ContentType="application/vnd.ms-office.chartcolorstyle+xml"/>
  <Override PartName="/xl/charts/chart45.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46.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defaultThemeVersion="166925"/>
  <mc:AlternateContent xmlns:mc="http://schemas.openxmlformats.org/markup-compatibility/2006">
    <mc:Choice Requires="x15">
      <x15ac:absPath xmlns:x15ac="http://schemas.microsoft.com/office/spreadsheetml/2010/11/ac" url="https://d.docs.live.net/61cba2dbc69c9d38/Statistics/R/Projects/Model/02_ExcelModelling/"/>
    </mc:Choice>
  </mc:AlternateContent>
  <xr:revisionPtr revIDLastSave="0" documentId="8_{E598E189-0275-4FDF-AA7F-452E38A797EB}" xr6:coauthVersionLast="45" xr6:coauthVersionMax="45" xr10:uidLastSave="{00000000-0000-0000-0000-000000000000}"/>
  <bookViews>
    <workbookView xWindow="-20610" yWindow="-120" windowWidth="20730" windowHeight="11760" tabRatio="714" xr2:uid="{AC3C868E-94DD-43D3-A43C-CFD36F2E5362}"/>
  </bookViews>
  <sheets>
    <sheet name="data" sheetId="27" r:id="rId1"/>
    <sheet name="Sheet1" sheetId="45" r:id="rId2"/>
    <sheet name="weibull" sheetId="43" r:id="rId3"/>
    <sheet name="RR" sheetId="4" r:id="rId4"/>
    <sheet name="RR (2)" sheetId="44" r:id="rId5"/>
    <sheet name="RR 1pc" sheetId="25" r:id="rId6"/>
    <sheet name="RR 1pc (2)" sheetId="42" r:id="rId7"/>
    <sheet name="RR 2pc" sheetId="41" r:id="rId8"/>
    <sheet name="GGS" sheetId="5" r:id="rId9"/>
    <sheet name="GGS_1pc" sheetId="6" r:id="rId10"/>
    <sheet name="PWGGS group" sheetId="24" r:id="rId11"/>
    <sheet name="PWGGS mean 2pc" sheetId="40" r:id="rId12"/>
    <sheet name="PWGGS mean 3pc" sheetId="26" r:id="rId13"/>
    <sheet name="PWGGS mean 4pc" sheetId="37" r:id="rId14"/>
    <sheet name="PWGGS mean 5pc" sheetId="35" r:id="rId15"/>
    <sheet name="model comparison" sheetId="34" r:id="rId16"/>
    <sheet name="hypotheses" sheetId="29" r:id="rId17"/>
    <sheet name="compare model to forecast funct" sheetId="22" r:id="rId18"/>
    <sheet name="notes_Piecewise_GGS" sheetId="9" r:id="rId19"/>
    <sheet name="error notes" sheetId="10" r:id="rId20"/>
    <sheet name="Formulas used" sheetId="11" r:id="rId21"/>
    <sheet name="compering 2 models_notes on" sheetId="21" r:id="rId22"/>
  </sheets>
  <externalReferences>
    <externalReference r:id="rId23"/>
  </externalReferences>
  <definedNames>
    <definedName name="bp_1" localSheetId="11">'PWGGS mean 2pc'!$J$5</definedName>
    <definedName name="bp_1" localSheetId="13">'PWGGS mean 4pc'!$J$5</definedName>
    <definedName name="bp_1">'PWGGS mean 5pc'!$M$5</definedName>
    <definedName name="bp_10" localSheetId="11">'PWGGS mean 2pc'!$J$14</definedName>
    <definedName name="bp_10" localSheetId="13">'PWGGS mean 4pc'!$J$14</definedName>
    <definedName name="bp_10">'PWGGS mean 5pc'!#REF!</definedName>
    <definedName name="bp_2" localSheetId="11">'PWGGS mean 2pc'!$J$6</definedName>
    <definedName name="bp_2" localSheetId="13">'PWGGS mean 4pc'!$J$6</definedName>
    <definedName name="bp_2">'PWGGS mean 5pc'!$M$6</definedName>
    <definedName name="bp_3" localSheetId="11">'PWGGS mean 2pc'!$J$7</definedName>
    <definedName name="bp_3" localSheetId="13">'PWGGS mean 4pc'!$J$7</definedName>
    <definedName name="bp_3">'PWGGS mean 5pc'!$M$7</definedName>
    <definedName name="bp_4" localSheetId="11">'PWGGS mean 2pc'!$J$8</definedName>
    <definedName name="bp_4" localSheetId="13">'PWGGS mean 4pc'!$J$8</definedName>
    <definedName name="bp_4">'PWGGS mean 5pc'!$M$8</definedName>
    <definedName name="bp_5">'PWGGS mean 5pc'!$M$9</definedName>
    <definedName name="bp_6">'PWGGS mean 5pc'!#REF!</definedName>
    <definedName name="bp_7" localSheetId="11">'PWGGS mean 2pc'!$J$11</definedName>
    <definedName name="bp_7" localSheetId="13">'PWGGS mean 4pc'!$J$11</definedName>
    <definedName name="bp_7">'PWGGS mean 5pc'!#REF!</definedName>
    <definedName name="bp_8" localSheetId="11">'PWGGS mean 2pc'!$J$12</definedName>
    <definedName name="bp_8" localSheetId="13">'PWGGS mean 4pc'!$J$12</definedName>
    <definedName name="bp_8">'PWGGS mean 5pc'!#REF!</definedName>
    <definedName name="bp_9" localSheetId="11">'PWGGS mean 2pc'!$J$13</definedName>
    <definedName name="bp_9" localSheetId="13">'PWGGS mean 4pc'!$J$13</definedName>
    <definedName name="bp_9">'PWGGS mean 5pc'!#REF!</definedName>
    <definedName name="breakpoint1" localSheetId="11">'PWGGS mean 2pc'!$B$29</definedName>
    <definedName name="breakpoint1" localSheetId="13">'PWGGS mean 4pc'!$B$29</definedName>
    <definedName name="breakpoint1" localSheetId="14">'PWGGS mean 5pc'!$B$29</definedName>
    <definedName name="breakpoint1">'PWGGS mean 3pc'!$B$29</definedName>
    <definedName name="breakpoint2" localSheetId="11">'PWGGS mean 2pc'!$B$30</definedName>
    <definedName name="breakpoint2" localSheetId="13">'PWGGS mean 4pc'!$B$30</definedName>
    <definedName name="breakpoint2" localSheetId="14">'PWGGS mean 5pc'!$B$30</definedName>
    <definedName name="breakpoint2">'PWGGS mean 3pc'!$B$30</definedName>
    <definedName name="breakpoint3" localSheetId="11">'PWGGS mean 2pc'!$B$31</definedName>
    <definedName name="breakpoint3" localSheetId="13">'PWGGS mean 4pc'!$B$31</definedName>
    <definedName name="breakpoint3" localSheetId="14">'PWGGS mean 5pc'!$B$31</definedName>
    <definedName name="breakpoint3">'PWGGS mean 3pc'!$B$31</definedName>
    <definedName name="e_y1" localSheetId="11">'PWGGS mean 2pc'!$K$5</definedName>
    <definedName name="e_y1" localSheetId="13">'PWGGS mean 4pc'!$K$5</definedName>
    <definedName name="e_y1">'PWGGS mean 5pc'!$N$5</definedName>
    <definedName name="e_y2" localSheetId="11">'PWGGS mean 2pc'!$K$6</definedName>
    <definedName name="e_y2" localSheetId="13">'PWGGS mean 4pc'!$K$6</definedName>
    <definedName name="e_y2">'PWGGS mean 5pc'!$N$6</definedName>
    <definedName name="e_y3" localSheetId="11">'PWGGS mean 2pc'!$K$7</definedName>
    <definedName name="e_y3" localSheetId="13">'PWGGS mean 4pc'!$K$7</definedName>
    <definedName name="e_y3">'PWGGS mean 5pc'!$N$7</definedName>
    <definedName name="e_y4" localSheetId="11">'PWGGS mean 2pc'!$K$8</definedName>
    <definedName name="e_y4" localSheetId="13">'PWGGS mean 4pc'!$K$8</definedName>
    <definedName name="e_y4">'PWGGS mean 5pc'!$N$8</definedName>
    <definedName name="k_1" localSheetId="11">'PWGGS mean 2pc'!$M$5</definedName>
    <definedName name="k_1" localSheetId="13">'PWGGS mean 4pc'!$M$5</definedName>
    <definedName name="k_1" localSheetId="14">'PWGGS mean 5pc'!$P$5</definedName>
    <definedName name="k_1">'PWGGS mean 3pc'!$C$27</definedName>
    <definedName name="k_2" localSheetId="11">'PWGGS mean 2pc'!$M$6</definedName>
    <definedName name="k_2" localSheetId="13">'PWGGS mean 4pc'!$M$6</definedName>
    <definedName name="k_2" localSheetId="14">'PWGGS mean 5pc'!$P$6</definedName>
    <definedName name="k_2">'PWGGS mean 3pc'!$D$27</definedName>
    <definedName name="k_3" localSheetId="11">'PWGGS mean 2pc'!$M$7</definedName>
    <definedName name="k_3" localSheetId="13">'PWGGS mean 4pc'!$M$7</definedName>
    <definedName name="k_3" localSheetId="14">'PWGGS mean 5pc'!$P$7</definedName>
    <definedName name="k_3">'PWGGS mean 3pc'!$E$27</definedName>
    <definedName name="k_4" localSheetId="11">'PWGGS mean 2pc'!$M$8</definedName>
    <definedName name="k_4" localSheetId="13">'PWGGS mean 4pc'!$M$8</definedName>
    <definedName name="k_4" localSheetId="14">'PWGGS mean 5pc'!$P$8</definedName>
    <definedName name="k_5" localSheetId="11">'PWGGS mean 2pc'!$M$9</definedName>
    <definedName name="k_5">'PWGGS mean 5pc'!$P$9</definedName>
    <definedName name="n_1" localSheetId="11">'PWGGS mean 2pc'!$L$5</definedName>
    <definedName name="n_1" localSheetId="13">'PWGGS mean 4pc'!$L$5</definedName>
    <definedName name="n_1" localSheetId="14">'PWGGS mean 5pc'!$O$5</definedName>
    <definedName name="n_1">'PWGGS mean 3pc'!$C$26</definedName>
    <definedName name="n_2" localSheetId="11">'PWGGS mean 2pc'!$L$6</definedName>
    <definedName name="n_2" localSheetId="13">'PWGGS mean 4pc'!$L$6</definedName>
    <definedName name="n_2" localSheetId="14">'PWGGS mean 5pc'!$O$6</definedName>
    <definedName name="n_2">'PWGGS mean 3pc'!$D$26</definedName>
    <definedName name="n_3" localSheetId="11">'PWGGS mean 2pc'!$L$7</definedName>
    <definedName name="n_3" localSheetId="13">'PWGGS mean 4pc'!$L$7</definedName>
    <definedName name="n_3" localSheetId="14">'PWGGS mean 5pc'!$O$7</definedName>
    <definedName name="n_3">'PWGGS mean 3pc'!$E$26</definedName>
    <definedName name="n_4" localSheetId="11">'PWGGS mean 2pc'!$L$8</definedName>
    <definedName name="n_4" localSheetId="13">'PWGGS mean 4pc'!$L$8</definedName>
    <definedName name="n_4" localSheetId="14">'PWGGS mean 5pc'!$O$8</definedName>
    <definedName name="n_4">#REF!</definedName>
    <definedName name="n_5" localSheetId="11">'PWGGS mean 2pc'!$L$9</definedName>
    <definedName name="n_5">'PWGGS mean 5pc'!$O$9</definedName>
    <definedName name="phi">'[1]Plot Percentiles'!$K$1</definedName>
    <definedName name="solver_adj" localSheetId="8" hidden="1">GGS!$L$35</definedName>
    <definedName name="solver_adj" localSheetId="18" hidden="1">notes_Piecewise_GGS!$J$8</definedName>
    <definedName name="solver_adj" localSheetId="10" hidden="1">'PWGGS group'!$I$68</definedName>
    <definedName name="solver_adj" localSheetId="11" hidden="1">'PWGGS mean 2pc'!$M$5:$M$6</definedName>
    <definedName name="solver_adj" localSheetId="12" hidden="1">'PWGGS mean 3pc'!$C$27:$E$27</definedName>
    <definedName name="solver_adj" localSheetId="13" hidden="1">'PWGGS mean 4pc'!$M$5:$M$8</definedName>
    <definedName name="solver_adj" localSheetId="14" hidden="1">'PWGGS mean 5pc'!$P$9</definedName>
    <definedName name="solver_cvg" localSheetId="8" hidden="1">0.0001</definedName>
    <definedName name="solver_cvg" localSheetId="18" hidden="1">0.0001</definedName>
    <definedName name="solver_cvg" localSheetId="10" hidden="1">0.0001</definedName>
    <definedName name="solver_cvg" localSheetId="11" hidden="1">0.0001</definedName>
    <definedName name="solver_cvg" localSheetId="12" hidden="1">0.0001</definedName>
    <definedName name="solver_cvg" localSheetId="13" hidden="1">0.0001</definedName>
    <definedName name="solver_cvg" localSheetId="14" hidden="1">0.0001</definedName>
    <definedName name="solver_drv" localSheetId="8" hidden="1">1</definedName>
    <definedName name="solver_drv" localSheetId="18" hidden="1">1</definedName>
    <definedName name="solver_drv" localSheetId="10" hidden="1">1</definedName>
    <definedName name="solver_drv" localSheetId="11" hidden="1">1</definedName>
    <definedName name="solver_drv" localSheetId="12" hidden="1">1</definedName>
    <definedName name="solver_drv" localSheetId="13" hidden="1">1</definedName>
    <definedName name="solver_drv" localSheetId="14" hidden="1">1</definedName>
    <definedName name="solver_eng" localSheetId="8" hidden="1">1</definedName>
    <definedName name="solver_eng" localSheetId="18" hidden="1">1</definedName>
    <definedName name="solver_eng" localSheetId="10" hidden="1">1</definedName>
    <definedName name="solver_eng" localSheetId="11" hidden="1">1</definedName>
    <definedName name="solver_eng" localSheetId="12" hidden="1">1</definedName>
    <definedName name="solver_eng" localSheetId="13" hidden="1">1</definedName>
    <definedName name="solver_eng" localSheetId="14" hidden="1">1</definedName>
    <definedName name="solver_est" localSheetId="8" hidden="1">1</definedName>
    <definedName name="solver_est" localSheetId="18" hidden="1">1</definedName>
    <definedName name="solver_est" localSheetId="10" hidden="1">1</definedName>
    <definedName name="solver_est" localSheetId="11" hidden="1">1</definedName>
    <definedName name="solver_est" localSheetId="12" hidden="1">1</definedName>
    <definedName name="solver_est" localSheetId="13" hidden="1">1</definedName>
    <definedName name="solver_est" localSheetId="14" hidden="1">1</definedName>
    <definedName name="solver_itr" localSheetId="8" hidden="1">2147483647</definedName>
    <definedName name="solver_itr" localSheetId="18" hidden="1">2147483647</definedName>
    <definedName name="solver_itr" localSheetId="10" hidden="1">2147483647</definedName>
    <definedName name="solver_itr" localSheetId="11" hidden="1">2147483647</definedName>
    <definedName name="solver_itr" localSheetId="12" hidden="1">2147483647</definedName>
    <definedName name="solver_itr" localSheetId="13" hidden="1">2147483647</definedName>
    <definedName name="solver_itr" localSheetId="14" hidden="1">2147483647</definedName>
    <definedName name="solver_mip" localSheetId="8" hidden="1">2147483647</definedName>
    <definedName name="solver_mip" localSheetId="18" hidden="1">2147483647</definedName>
    <definedName name="solver_mip" localSheetId="10" hidden="1">2147483647</definedName>
    <definedName name="solver_mip" localSheetId="11" hidden="1">2147483647</definedName>
    <definedName name="solver_mip" localSheetId="12" hidden="1">2147483647</definedName>
    <definedName name="solver_mip" localSheetId="13" hidden="1">2147483647</definedName>
    <definedName name="solver_mip" localSheetId="14" hidden="1">2147483647</definedName>
    <definedName name="solver_mni" localSheetId="8" hidden="1">30</definedName>
    <definedName name="solver_mni" localSheetId="18" hidden="1">30</definedName>
    <definedName name="solver_mni" localSheetId="10" hidden="1">30</definedName>
    <definedName name="solver_mni" localSheetId="11" hidden="1">30</definedName>
    <definedName name="solver_mni" localSheetId="12" hidden="1">30</definedName>
    <definedName name="solver_mni" localSheetId="13" hidden="1">30</definedName>
    <definedName name="solver_mni" localSheetId="14" hidden="1">30</definedName>
    <definedName name="solver_mrt" localSheetId="8" hidden="1">0.075</definedName>
    <definedName name="solver_mrt" localSheetId="18" hidden="1">0.075</definedName>
    <definedName name="solver_mrt" localSheetId="10" hidden="1">0.075</definedName>
    <definedName name="solver_mrt" localSheetId="11" hidden="1">0.075</definedName>
    <definedName name="solver_mrt" localSheetId="12" hidden="1">0.075</definedName>
    <definedName name="solver_mrt" localSheetId="13" hidden="1">0.075</definedName>
    <definedName name="solver_mrt" localSheetId="14" hidden="1">0.075</definedName>
    <definedName name="solver_msl" localSheetId="8" hidden="1">2</definedName>
    <definedName name="solver_msl" localSheetId="18" hidden="1">2</definedName>
    <definedName name="solver_msl" localSheetId="10" hidden="1">2</definedName>
    <definedName name="solver_msl" localSheetId="11" hidden="1">2</definedName>
    <definedName name="solver_msl" localSheetId="12" hidden="1">2</definedName>
    <definedName name="solver_msl" localSheetId="13" hidden="1">2</definedName>
    <definedName name="solver_msl" localSheetId="14" hidden="1">2</definedName>
    <definedName name="solver_neg" localSheetId="8" hidden="1">1</definedName>
    <definedName name="solver_neg" localSheetId="18" hidden="1">1</definedName>
    <definedName name="solver_neg" localSheetId="10" hidden="1">1</definedName>
    <definedName name="solver_neg" localSheetId="11" hidden="1">1</definedName>
    <definedName name="solver_neg" localSheetId="12" hidden="1">1</definedName>
    <definedName name="solver_neg" localSheetId="13" hidden="1">1</definedName>
    <definedName name="solver_neg" localSheetId="14" hidden="1">1</definedName>
    <definedName name="solver_nod" localSheetId="8" hidden="1">2147483647</definedName>
    <definedName name="solver_nod" localSheetId="18" hidden="1">2147483647</definedName>
    <definedName name="solver_nod" localSheetId="10" hidden="1">2147483647</definedName>
    <definedName name="solver_nod" localSheetId="11" hidden="1">2147483647</definedName>
    <definedName name="solver_nod" localSheetId="12" hidden="1">2147483647</definedName>
    <definedName name="solver_nod" localSheetId="13" hidden="1">2147483647</definedName>
    <definedName name="solver_nod" localSheetId="14" hidden="1">2147483647</definedName>
    <definedName name="solver_num" localSheetId="8" hidden="1">0</definedName>
    <definedName name="solver_num" localSheetId="18" hidden="1">0</definedName>
    <definedName name="solver_num" localSheetId="10" hidden="1">0</definedName>
    <definedName name="solver_num" localSheetId="11" hidden="1">0</definedName>
    <definedName name="solver_num" localSheetId="12" hidden="1">0</definedName>
    <definedName name="solver_num" localSheetId="13" hidden="1">0</definedName>
    <definedName name="solver_num" localSheetId="14" hidden="1">0</definedName>
    <definedName name="solver_nwt" localSheetId="8" hidden="1">1</definedName>
    <definedName name="solver_nwt" localSheetId="18" hidden="1">1</definedName>
    <definedName name="solver_nwt" localSheetId="10" hidden="1">1</definedName>
    <definedName name="solver_nwt" localSheetId="11" hidden="1">1</definedName>
    <definedName name="solver_nwt" localSheetId="12" hidden="1">1</definedName>
    <definedName name="solver_nwt" localSheetId="13" hidden="1">1</definedName>
    <definedName name="solver_nwt" localSheetId="14" hidden="1">1</definedName>
    <definedName name="solver_opt" localSheetId="8" hidden="1">GGS!$H$52</definedName>
    <definedName name="solver_opt" localSheetId="18" hidden="1">notes_Piecewise_GGS!$F$28</definedName>
    <definedName name="solver_opt" localSheetId="10" hidden="1">'PWGGS group'!$I$125</definedName>
    <definedName name="solver_opt" localSheetId="11" hidden="1">'PWGGS mean 2pc'!$D$39</definedName>
    <definedName name="solver_opt" localSheetId="12" hidden="1">'PWGGS mean 3pc'!$H$39</definedName>
    <definedName name="solver_opt" localSheetId="13" hidden="1">'PWGGS mean 4pc'!$D$39</definedName>
    <definedName name="solver_opt" localSheetId="14" hidden="1">'PWGGS mean 5pc'!$D$39</definedName>
    <definedName name="solver_pre" localSheetId="8" hidden="1">0.000001</definedName>
    <definedName name="solver_pre" localSheetId="18" hidden="1">0.000001</definedName>
    <definedName name="solver_pre" localSheetId="10" hidden="1">0.000001</definedName>
    <definedName name="solver_pre" localSheetId="11" hidden="1">0.000001</definedName>
    <definedName name="solver_pre" localSheetId="12" hidden="1">0.000001</definedName>
    <definedName name="solver_pre" localSheetId="13" hidden="1">0.000001</definedName>
    <definedName name="solver_pre" localSheetId="14" hidden="1">0.000001</definedName>
    <definedName name="solver_rbv" localSheetId="8" hidden="1">1</definedName>
    <definedName name="solver_rbv" localSheetId="18" hidden="1">1</definedName>
    <definedName name="solver_rbv" localSheetId="10" hidden="1">1</definedName>
    <definedName name="solver_rbv" localSheetId="11" hidden="1">1</definedName>
    <definedName name="solver_rbv" localSheetId="12" hidden="1">1</definedName>
    <definedName name="solver_rbv" localSheetId="13" hidden="1">1</definedName>
    <definedName name="solver_rbv" localSheetId="14" hidden="1">1</definedName>
    <definedName name="solver_rlx" localSheetId="8" hidden="1">2</definedName>
    <definedName name="solver_rlx" localSheetId="18" hidden="1">2</definedName>
    <definedName name="solver_rlx" localSheetId="10" hidden="1">2</definedName>
    <definedName name="solver_rlx" localSheetId="11" hidden="1">2</definedName>
    <definedName name="solver_rlx" localSheetId="12" hidden="1">2</definedName>
    <definedName name="solver_rlx" localSheetId="13" hidden="1">2</definedName>
    <definedName name="solver_rlx" localSheetId="14" hidden="1">2</definedName>
    <definedName name="solver_rsd" localSheetId="8" hidden="1">0</definedName>
    <definedName name="solver_rsd" localSheetId="18" hidden="1">0</definedName>
    <definedName name="solver_rsd" localSheetId="10" hidden="1">0</definedName>
    <definedName name="solver_rsd" localSheetId="11" hidden="1">0</definedName>
    <definedName name="solver_rsd" localSheetId="12" hidden="1">0</definedName>
    <definedName name="solver_rsd" localSheetId="13" hidden="1">0</definedName>
    <definedName name="solver_rsd" localSheetId="14" hidden="1">0</definedName>
    <definedName name="solver_scl" localSheetId="8" hidden="1">1</definedName>
    <definedName name="solver_scl" localSheetId="18" hidden="1">1</definedName>
    <definedName name="solver_scl" localSheetId="10" hidden="1">1</definedName>
    <definedName name="solver_scl" localSheetId="11" hidden="1">1</definedName>
    <definedName name="solver_scl" localSheetId="12" hidden="1">1</definedName>
    <definedName name="solver_scl" localSheetId="13" hidden="1">1</definedName>
    <definedName name="solver_scl" localSheetId="14" hidden="1">1</definedName>
    <definedName name="solver_sho" localSheetId="8" hidden="1">2</definedName>
    <definedName name="solver_sho" localSheetId="18" hidden="1">2</definedName>
    <definedName name="solver_sho" localSheetId="10" hidden="1">2</definedName>
    <definedName name="solver_sho" localSheetId="11" hidden="1">2</definedName>
    <definedName name="solver_sho" localSheetId="12" hidden="1">2</definedName>
    <definedName name="solver_sho" localSheetId="13" hidden="1">2</definedName>
    <definedName name="solver_sho" localSheetId="14" hidden="1">2</definedName>
    <definedName name="solver_ssz" localSheetId="8" hidden="1">100</definedName>
    <definedName name="solver_ssz" localSheetId="18" hidden="1">100</definedName>
    <definedName name="solver_ssz" localSheetId="10" hidden="1">100</definedName>
    <definedName name="solver_ssz" localSheetId="11" hidden="1">100</definedName>
    <definedName name="solver_ssz" localSheetId="12" hidden="1">100</definedName>
    <definedName name="solver_ssz" localSheetId="13" hidden="1">100</definedName>
    <definedName name="solver_ssz" localSheetId="14" hidden="1">100</definedName>
    <definedName name="solver_tim" localSheetId="8" hidden="1">2147483647</definedName>
    <definedName name="solver_tim" localSheetId="18" hidden="1">2147483647</definedName>
    <definedName name="solver_tim" localSheetId="10" hidden="1">2147483647</definedName>
    <definedName name="solver_tim" localSheetId="11" hidden="1">2147483647</definedName>
    <definedName name="solver_tim" localSheetId="12" hidden="1">2147483647</definedName>
    <definedName name="solver_tim" localSheetId="13" hidden="1">2147483647</definedName>
    <definedName name="solver_tim" localSheetId="14" hidden="1">2147483647</definedName>
    <definedName name="solver_tol" localSheetId="8" hidden="1">0.01</definedName>
    <definedName name="solver_tol" localSheetId="18" hidden="1">0.01</definedName>
    <definedName name="solver_tol" localSheetId="10" hidden="1">0.01</definedName>
    <definedName name="solver_tol" localSheetId="11" hidden="1">0.01</definedName>
    <definedName name="solver_tol" localSheetId="12" hidden="1">0.01</definedName>
    <definedName name="solver_tol" localSheetId="13" hidden="1">0.01</definedName>
    <definedName name="solver_tol" localSheetId="14" hidden="1">0.01</definedName>
    <definedName name="solver_typ" localSheetId="8" hidden="1">2</definedName>
    <definedName name="solver_typ" localSheetId="18" hidden="1">2</definedName>
    <definedName name="solver_typ" localSheetId="10" hidden="1">2</definedName>
    <definedName name="solver_typ" localSheetId="11" hidden="1">2</definedName>
    <definedName name="solver_typ" localSheetId="12" hidden="1">2</definedName>
    <definedName name="solver_typ" localSheetId="13" hidden="1">2</definedName>
    <definedName name="solver_typ" localSheetId="14" hidden="1">2</definedName>
    <definedName name="solver_val" localSheetId="8" hidden="1">0</definedName>
    <definedName name="solver_val" localSheetId="18" hidden="1">0</definedName>
    <definedName name="solver_val" localSheetId="10" hidden="1">0</definedName>
    <definedName name="solver_val" localSheetId="11" hidden="1">0</definedName>
    <definedName name="solver_val" localSheetId="12" hidden="1">0</definedName>
    <definedName name="solver_val" localSheetId="13" hidden="1">0</definedName>
    <definedName name="solver_val" localSheetId="14" hidden="1">0</definedName>
    <definedName name="solver_ver" localSheetId="8" hidden="1">3</definedName>
    <definedName name="solver_ver" localSheetId="18" hidden="1">3</definedName>
    <definedName name="solver_ver" localSheetId="10" hidden="1">3</definedName>
    <definedName name="solver_ver" localSheetId="11" hidden="1">3</definedName>
    <definedName name="solver_ver" localSheetId="12" hidden="1">3</definedName>
    <definedName name="solver_ver" localSheetId="13" hidden="1">3</definedName>
    <definedName name="solver_ver" localSheetId="1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1" i="41" l="1"/>
  <c r="E60" i="41"/>
  <c r="E59" i="41"/>
  <c r="E58" i="41"/>
  <c r="E57" i="41"/>
  <c r="E56" i="41"/>
  <c r="E55" i="41"/>
  <c r="E54" i="41"/>
  <c r="E53" i="41"/>
  <c r="U31" i="41"/>
  <c r="Q32" i="41"/>
  <c r="R32" i="41"/>
  <c r="Q33" i="41"/>
  <c r="R33" i="41"/>
  <c r="Q34" i="41"/>
  <c r="R34" i="41"/>
  <c r="Q35" i="41"/>
  <c r="R35" i="41"/>
  <c r="Q36" i="41"/>
  <c r="R36" i="41"/>
  <c r="Q37" i="41"/>
  <c r="R37" i="41"/>
  <c r="Q38" i="41"/>
  <c r="R38" i="41"/>
  <c r="Q39" i="41"/>
  <c r="R39" i="41"/>
  <c r="Q40" i="41"/>
  <c r="R40" i="41"/>
  <c r="Q41" i="41"/>
  <c r="R41" i="41"/>
  <c r="R31" i="41"/>
  <c r="Q31" i="41"/>
  <c r="X31" i="4" l="1"/>
  <c r="W33" i="4"/>
  <c r="W32" i="4"/>
  <c r="W31" i="4"/>
  <c r="J40" i="6" l="1"/>
  <c r="E52" i="25"/>
  <c r="C46" i="25"/>
  <c r="E30" i="44" l="1"/>
  <c r="E31" i="44"/>
  <c r="E32" i="44"/>
  <c r="E33" i="44"/>
  <c r="E34" i="44"/>
  <c r="E35" i="44"/>
  <c r="E36" i="44"/>
  <c r="E37" i="44"/>
  <c r="E38" i="44"/>
  <c r="E39" i="44"/>
  <c r="E40" i="44"/>
  <c r="E41" i="44"/>
  <c r="S31" i="44" l="1"/>
  <c r="S32" i="44"/>
  <c r="S33" i="44"/>
  <c r="S34" i="44"/>
  <c r="S35" i="44"/>
  <c r="S36" i="44"/>
  <c r="S37" i="44"/>
  <c r="S38" i="44"/>
  <c r="S39" i="44"/>
  <c r="E59" i="6" l="1"/>
  <c r="E60" i="6"/>
  <c r="E61" i="6"/>
  <c r="E62" i="6"/>
  <c r="E63" i="6"/>
  <c r="E64" i="6"/>
  <c r="E65" i="6"/>
  <c r="E66" i="6"/>
  <c r="E67" i="6"/>
  <c r="E68" i="6"/>
  <c r="E69" i="6"/>
  <c r="E58" i="6"/>
  <c r="D52" i="42"/>
  <c r="I30" i="4" l="1"/>
  <c r="H30" i="44" l="1"/>
  <c r="A31" i="44"/>
  <c r="A32" i="44"/>
  <c r="A33" i="44"/>
  <c r="A34" i="44"/>
  <c r="G34" i="44" s="1"/>
  <c r="A35" i="44"/>
  <c r="A36" i="44"/>
  <c r="A37" i="44"/>
  <c r="A38" i="44"/>
  <c r="G38" i="44" s="1"/>
  <c r="A39" i="44"/>
  <c r="A40" i="44"/>
  <c r="A41" i="44"/>
  <c r="A30" i="44"/>
  <c r="G30" i="44" s="1"/>
  <c r="E42" i="44"/>
  <c r="H40" i="44"/>
  <c r="G40" i="44"/>
  <c r="G39" i="44"/>
  <c r="H39" i="44"/>
  <c r="H38" i="44"/>
  <c r="G37" i="44"/>
  <c r="H37" i="44"/>
  <c r="H36" i="44"/>
  <c r="G36" i="44"/>
  <c r="H35" i="44"/>
  <c r="G35" i="44"/>
  <c r="H34" i="44"/>
  <c r="G33" i="44"/>
  <c r="H33" i="44"/>
  <c r="S42" i="44"/>
  <c r="H32" i="44"/>
  <c r="G32" i="44"/>
  <c r="H31" i="44"/>
  <c r="G31" i="44"/>
  <c r="K29" i="44"/>
  <c r="G1" i="44"/>
  <c r="C46" i="44" l="1"/>
  <c r="C47" i="44"/>
  <c r="G30" i="42"/>
  <c r="C12" i="43"/>
  <c r="C11" i="43"/>
  <c r="C10" i="43"/>
  <c r="C9" i="43"/>
  <c r="C8" i="43"/>
  <c r="C7" i="43"/>
  <c r="C6" i="43"/>
  <c r="C5" i="43"/>
  <c r="C4" i="43"/>
  <c r="C3" i="43"/>
  <c r="G2" i="43"/>
  <c r="C2" i="43"/>
  <c r="G31" i="42"/>
  <c r="G32" i="42"/>
  <c r="G33" i="42"/>
  <c r="G34" i="42"/>
  <c r="G35" i="42"/>
  <c r="G36" i="42"/>
  <c r="G37" i="42"/>
  <c r="G38" i="42"/>
  <c r="G39" i="42"/>
  <c r="G40" i="42"/>
  <c r="C60" i="42"/>
  <c r="C59" i="42"/>
  <c r="S42" i="42" s="1"/>
  <c r="C58" i="42"/>
  <c r="C57" i="42"/>
  <c r="C56" i="42"/>
  <c r="C55" i="42"/>
  <c r="C54" i="42"/>
  <c r="C53" i="42"/>
  <c r="C52" i="42"/>
  <c r="E42" i="42"/>
  <c r="A42" i="42"/>
  <c r="E41" i="42"/>
  <c r="A41" i="42"/>
  <c r="E40" i="42"/>
  <c r="H40" i="42" s="1"/>
  <c r="A40" i="42"/>
  <c r="E39" i="42"/>
  <c r="H39" i="42" s="1"/>
  <c r="A39" i="42"/>
  <c r="E38" i="42"/>
  <c r="H38" i="42" s="1"/>
  <c r="A38" i="42"/>
  <c r="E37" i="42"/>
  <c r="H37" i="42" s="1"/>
  <c r="A37" i="42"/>
  <c r="E36" i="42"/>
  <c r="H36" i="42" s="1"/>
  <c r="A36" i="42"/>
  <c r="E35" i="42"/>
  <c r="H35" i="42" s="1"/>
  <c r="A35" i="42"/>
  <c r="E34" i="42"/>
  <c r="H34" i="42" s="1"/>
  <c r="C45" i="42" s="1"/>
  <c r="A34" i="42"/>
  <c r="E33" i="42"/>
  <c r="H33" i="42" s="1"/>
  <c r="A33" i="42"/>
  <c r="E32" i="42"/>
  <c r="H32" i="42" s="1"/>
  <c r="A32" i="42"/>
  <c r="E31" i="42"/>
  <c r="H31" i="42" s="1"/>
  <c r="A31" i="42"/>
  <c r="E30" i="42"/>
  <c r="H30" i="42" s="1"/>
  <c r="A30" i="42"/>
  <c r="K29" i="42"/>
  <c r="G1" i="42"/>
  <c r="I30" i="44" l="1"/>
  <c r="L30" i="44" s="1"/>
  <c r="I38" i="44"/>
  <c r="C48" i="44"/>
  <c r="T31" i="44" s="1"/>
  <c r="I31" i="44"/>
  <c r="I37" i="44"/>
  <c r="I32" i="44"/>
  <c r="I40" i="44"/>
  <c r="I39" i="44"/>
  <c r="J30" i="44"/>
  <c r="K30" i="44" s="1"/>
  <c r="M30" i="44" s="1"/>
  <c r="I34" i="44"/>
  <c r="I36" i="44"/>
  <c r="I33" i="44"/>
  <c r="I35" i="44"/>
  <c r="C44" i="42"/>
  <c r="D6" i="43"/>
  <c r="D10" i="43"/>
  <c r="D5" i="43"/>
  <c r="D9" i="43"/>
  <c r="D8" i="43"/>
  <c r="D11" i="43"/>
  <c r="D12" i="43"/>
  <c r="D4" i="43"/>
  <c r="D3" i="43"/>
  <c r="D2" i="43"/>
  <c r="D7" i="43"/>
  <c r="I33" i="42"/>
  <c r="J33" i="42" s="1"/>
  <c r="I32" i="42"/>
  <c r="J32" i="42" s="1"/>
  <c r="I35" i="42"/>
  <c r="J35" i="42" s="1"/>
  <c r="I40" i="42"/>
  <c r="J40" i="42" s="1"/>
  <c r="G3" i="43"/>
  <c r="G6" i="43"/>
  <c r="G9" i="43"/>
  <c r="G5" i="43"/>
  <c r="T34" i="44" l="1"/>
  <c r="T38" i="44"/>
  <c r="T39" i="44"/>
  <c r="T36" i="44"/>
  <c r="T33" i="44"/>
  <c r="T37" i="44"/>
  <c r="T35" i="44"/>
  <c r="T32" i="44"/>
  <c r="J37" i="44"/>
  <c r="K37" i="44" s="1"/>
  <c r="M37" i="44" s="1"/>
  <c r="L37" i="44"/>
  <c r="J39" i="44"/>
  <c r="K39" i="44" s="1"/>
  <c r="M39" i="44" s="1"/>
  <c r="L39" i="44"/>
  <c r="J31" i="44"/>
  <c r="K31" i="44" s="1"/>
  <c r="M31" i="44" s="1"/>
  <c r="L31" i="44"/>
  <c r="J35" i="44"/>
  <c r="K35" i="44" s="1"/>
  <c r="M35" i="44" s="1"/>
  <c r="L35" i="44"/>
  <c r="J36" i="44"/>
  <c r="K36" i="44" s="1"/>
  <c r="M36" i="44" s="1"/>
  <c r="L36" i="44"/>
  <c r="J40" i="44"/>
  <c r="K40" i="44" s="1"/>
  <c r="M40" i="44" s="1"/>
  <c r="L40" i="44"/>
  <c r="J33" i="44"/>
  <c r="K33" i="44" s="1"/>
  <c r="M33" i="44" s="1"/>
  <c r="L33" i="44"/>
  <c r="J34" i="44"/>
  <c r="K34" i="44" s="1"/>
  <c r="M34" i="44" s="1"/>
  <c r="L34" i="44"/>
  <c r="J32" i="44"/>
  <c r="K32" i="44" s="1"/>
  <c r="M32" i="44" s="1"/>
  <c r="L32" i="44"/>
  <c r="J38" i="44"/>
  <c r="K38" i="44" s="1"/>
  <c r="M38" i="44" s="1"/>
  <c r="L38" i="44"/>
  <c r="I36" i="42"/>
  <c r="J36" i="42" s="1"/>
  <c r="I30" i="42"/>
  <c r="J30" i="42" s="1"/>
  <c r="I39" i="42"/>
  <c r="J39" i="42" s="1"/>
  <c r="K39" i="42" s="1"/>
  <c r="M39" i="42" s="1"/>
  <c r="I31" i="42"/>
  <c r="J31" i="42" s="1"/>
  <c r="K31" i="42" s="1"/>
  <c r="M31" i="42" s="1"/>
  <c r="K35" i="42"/>
  <c r="M35" i="42" s="1"/>
  <c r="K40" i="42"/>
  <c r="M40" i="42" s="1"/>
  <c r="K32" i="42"/>
  <c r="M32" i="42" s="1"/>
  <c r="K33" i="42"/>
  <c r="M33" i="42" s="1"/>
  <c r="K36" i="42"/>
  <c r="M36" i="42" s="1"/>
  <c r="G7" i="43"/>
  <c r="G8" i="43" s="1"/>
  <c r="I38" i="42"/>
  <c r="J38" i="42" s="1"/>
  <c r="I34" i="42"/>
  <c r="J34" i="42" s="1"/>
  <c r="C46" i="42"/>
  <c r="D56" i="42" s="1"/>
  <c r="I37" i="42"/>
  <c r="J37" i="42" s="1"/>
  <c r="T42" i="44" l="1"/>
  <c r="M42" i="44"/>
  <c r="H49" i="44"/>
  <c r="L42" i="44"/>
  <c r="D54" i="42"/>
  <c r="D60" i="42"/>
  <c r="D57" i="42"/>
  <c r="D58" i="42"/>
  <c r="D53" i="42"/>
  <c r="K38" i="42"/>
  <c r="M38" i="42" s="1"/>
  <c r="K37" i="42"/>
  <c r="M37" i="42" s="1"/>
  <c r="D55" i="42"/>
  <c r="D59" i="42"/>
  <c r="T42" i="42" s="1"/>
  <c r="K34" i="42"/>
  <c r="M34" i="42" s="1"/>
  <c r="K30" i="42"/>
  <c r="M30" i="42" s="1"/>
  <c r="C61" i="41"/>
  <c r="C60" i="41"/>
  <c r="S43" i="41" s="1"/>
  <c r="C59" i="41"/>
  <c r="C58" i="41"/>
  <c r="C57" i="41"/>
  <c r="C56" i="41"/>
  <c r="C55" i="41"/>
  <c r="C54" i="41"/>
  <c r="C53" i="41"/>
  <c r="E43" i="41"/>
  <c r="A43" i="41"/>
  <c r="E42" i="41"/>
  <c r="A42" i="41"/>
  <c r="H41" i="41"/>
  <c r="E41" i="41"/>
  <c r="A41" i="41"/>
  <c r="G41" i="41" s="1"/>
  <c r="E40" i="41"/>
  <c r="H40" i="41" s="1"/>
  <c r="A40" i="41"/>
  <c r="G40" i="41" s="1"/>
  <c r="E39" i="41"/>
  <c r="H39" i="41" s="1"/>
  <c r="A39" i="41"/>
  <c r="G39" i="41" s="1"/>
  <c r="E38" i="41"/>
  <c r="H38" i="41" s="1"/>
  <c r="A38" i="41"/>
  <c r="G38" i="41" s="1"/>
  <c r="H37" i="41"/>
  <c r="E37" i="41"/>
  <c r="A37" i="41"/>
  <c r="G37" i="41" s="1"/>
  <c r="E36" i="41"/>
  <c r="H36" i="41" s="1"/>
  <c r="A36" i="41"/>
  <c r="G36" i="41" s="1"/>
  <c r="E35" i="41"/>
  <c r="H35" i="41" s="1"/>
  <c r="A35" i="41"/>
  <c r="G35" i="41" s="1"/>
  <c r="E34" i="41"/>
  <c r="H34" i="41" s="1"/>
  <c r="A34" i="41"/>
  <c r="G34" i="41" s="1"/>
  <c r="H33" i="41"/>
  <c r="E33" i="41"/>
  <c r="A33" i="41"/>
  <c r="G33" i="41" s="1"/>
  <c r="E32" i="41"/>
  <c r="H32" i="41" s="1"/>
  <c r="A32" i="41"/>
  <c r="G32" i="41" s="1"/>
  <c r="E31" i="41"/>
  <c r="H31" i="41" s="1"/>
  <c r="A31" i="41"/>
  <c r="G31" i="41" s="1"/>
  <c r="K30" i="41"/>
  <c r="G1" i="41"/>
  <c r="P16" i="35"/>
  <c r="P15" i="35"/>
  <c r="P14" i="35"/>
  <c r="P13" i="35"/>
  <c r="P12" i="35"/>
  <c r="D46" i="41" l="1"/>
  <c r="D45" i="41"/>
  <c r="C46" i="41"/>
  <c r="C45" i="41"/>
  <c r="I32" i="41" s="1"/>
  <c r="J32" i="41" s="1"/>
  <c r="K32" i="41" s="1"/>
  <c r="I41" i="41"/>
  <c r="I33" i="41"/>
  <c r="I40" i="41"/>
  <c r="J40" i="41" s="1"/>
  <c r="K40" i="41" s="1"/>
  <c r="M40" i="41" s="1"/>
  <c r="I36" i="41"/>
  <c r="J36" i="41" s="1"/>
  <c r="K36" i="41" s="1"/>
  <c r="M36" i="41" s="1"/>
  <c r="I39" i="41"/>
  <c r="I35" i="41"/>
  <c r="D47" i="41"/>
  <c r="I38" i="41"/>
  <c r="G56" i="42"/>
  <c r="G54" i="42"/>
  <c r="G52" i="42"/>
  <c r="G55" i="42"/>
  <c r="G57" i="42"/>
  <c r="G53" i="42"/>
  <c r="I31" i="41"/>
  <c r="J33" i="41"/>
  <c r="K33" i="41" s="1"/>
  <c r="M33" i="41" s="1"/>
  <c r="J41" i="41"/>
  <c r="K41" i="41" s="1"/>
  <c r="M41" i="41" s="1"/>
  <c r="J5" i="40"/>
  <c r="B15" i="40"/>
  <c r="B14" i="40"/>
  <c r="B13" i="40"/>
  <c r="B12" i="40"/>
  <c r="B11" i="40"/>
  <c r="B10" i="40"/>
  <c r="B9" i="40"/>
  <c r="B8" i="40"/>
  <c r="B7" i="40"/>
  <c r="J6" i="40"/>
  <c r="B6" i="40"/>
  <c r="O5" i="40"/>
  <c r="B5" i="40"/>
  <c r="B4" i="40"/>
  <c r="G3" i="40"/>
  <c r="M9" i="35"/>
  <c r="B15" i="37"/>
  <c r="B14" i="37"/>
  <c r="B13" i="37"/>
  <c r="B12" i="37"/>
  <c r="B11" i="37"/>
  <c r="B10" i="37"/>
  <c r="B9" i="37"/>
  <c r="J8" i="37"/>
  <c r="B8" i="37"/>
  <c r="J7" i="37"/>
  <c r="B7" i="37"/>
  <c r="J6" i="37"/>
  <c r="B6" i="37"/>
  <c r="J5" i="37"/>
  <c r="B5" i="37"/>
  <c r="B4" i="37"/>
  <c r="G3" i="37"/>
  <c r="C47" i="41" l="1"/>
  <c r="I34" i="41"/>
  <c r="I37" i="41"/>
  <c r="J37" i="41" s="1"/>
  <c r="K37" i="41" s="1"/>
  <c r="M37" i="41" s="1"/>
  <c r="M42" i="42"/>
  <c r="M32" i="41"/>
  <c r="D56" i="41"/>
  <c r="D60" i="41"/>
  <c r="D57" i="41"/>
  <c r="D61" i="41"/>
  <c r="D54" i="41"/>
  <c r="D58" i="41"/>
  <c r="D55" i="41"/>
  <c r="D59" i="41"/>
  <c r="D53" i="41"/>
  <c r="J31" i="41"/>
  <c r="K31" i="41" s="1"/>
  <c r="J39" i="41"/>
  <c r="K39" i="41" s="1"/>
  <c r="M39" i="41" s="1"/>
  <c r="J35" i="41"/>
  <c r="K35" i="41" s="1"/>
  <c r="M35" i="41" s="1"/>
  <c r="J38" i="41"/>
  <c r="K38" i="41" s="1"/>
  <c r="M38" i="41" s="1"/>
  <c r="J34" i="41"/>
  <c r="K34" i="41" s="1"/>
  <c r="M34" i="41" s="1"/>
  <c r="O6" i="40"/>
  <c r="M6" i="35"/>
  <c r="M7" i="35"/>
  <c r="M8" i="35"/>
  <c r="M5" i="35"/>
  <c r="B15" i="35"/>
  <c r="B14" i="35"/>
  <c r="B13" i="35"/>
  <c r="B12" i="35"/>
  <c r="B11" i="35"/>
  <c r="B10" i="35"/>
  <c r="B9" i="35"/>
  <c r="B8" i="35"/>
  <c r="B7" i="35"/>
  <c r="B6" i="35"/>
  <c r="B5" i="35"/>
  <c r="B4" i="35"/>
  <c r="T43" i="41" l="1"/>
  <c r="M31" i="41"/>
  <c r="M43" i="41" s="1"/>
  <c r="G3" i="26" l="1"/>
  <c r="D4" i="26" l="1"/>
  <c r="I39" i="27"/>
  <c r="H39" i="27"/>
  <c r="G39" i="27"/>
  <c r="F39" i="27"/>
  <c r="E39" i="27"/>
  <c r="D39" i="27"/>
  <c r="C33" i="27"/>
  <c r="C32" i="27"/>
  <c r="C31" i="27"/>
  <c r="C30" i="27"/>
  <c r="C29" i="27"/>
  <c r="C28" i="27"/>
  <c r="C27" i="27"/>
  <c r="C26" i="27"/>
  <c r="D25" i="27"/>
  <c r="C25" i="27"/>
  <c r="C24" i="27"/>
  <c r="C23" i="27"/>
  <c r="C22" i="27"/>
  <c r="J21" i="27"/>
  <c r="I21" i="27"/>
  <c r="H21" i="27"/>
  <c r="G21" i="27"/>
  <c r="F21" i="27"/>
  <c r="E21" i="27"/>
  <c r="D21" i="27"/>
  <c r="I20" i="27"/>
  <c r="H20" i="27"/>
  <c r="G20" i="27"/>
  <c r="F20" i="27"/>
  <c r="E20" i="27"/>
  <c r="D20" i="27"/>
  <c r="I17" i="27"/>
  <c r="I31" i="27" s="1"/>
  <c r="H17" i="27"/>
  <c r="H40" i="27" s="1"/>
  <c r="H41" i="27" s="1"/>
  <c r="H42" i="27" s="1"/>
  <c r="H43" i="27" s="1"/>
  <c r="H44" i="27" s="1"/>
  <c r="H45" i="27" s="1"/>
  <c r="H46" i="27" s="1"/>
  <c r="H47" i="27" s="1"/>
  <c r="H48" i="27" s="1"/>
  <c r="H49" i="27" s="1"/>
  <c r="H50" i="27" s="1"/>
  <c r="G17" i="27"/>
  <c r="G33" i="27" s="1"/>
  <c r="F17" i="27"/>
  <c r="F32" i="27" s="1"/>
  <c r="E17" i="27"/>
  <c r="E31" i="27" s="1"/>
  <c r="D17" i="27"/>
  <c r="D40" i="27" s="1"/>
  <c r="J16" i="27"/>
  <c r="B16" i="27"/>
  <c r="J15" i="27"/>
  <c r="B15" i="27"/>
  <c r="J14" i="27"/>
  <c r="D13" i="26" s="1"/>
  <c r="B14" i="27"/>
  <c r="J13" i="27"/>
  <c r="D12" i="26" s="1"/>
  <c r="B13" i="27"/>
  <c r="J12" i="27"/>
  <c r="B12" i="27"/>
  <c r="J11" i="27"/>
  <c r="B11" i="27"/>
  <c r="J10" i="27"/>
  <c r="D9" i="26" s="1"/>
  <c r="B10" i="27"/>
  <c r="J9" i="27"/>
  <c r="D8" i="26" s="1"/>
  <c r="B9" i="27"/>
  <c r="J8" i="27"/>
  <c r="B8" i="27"/>
  <c r="J7" i="27"/>
  <c r="B7" i="27"/>
  <c r="J6" i="27"/>
  <c r="B6" i="27"/>
  <c r="J5" i="27"/>
  <c r="B5" i="27"/>
  <c r="B15" i="26"/>
  <c r="B14" i="26"/>
  <c r="B13" i="26"/>
  <c r="B12" i="26"/>
  <c r="B11" i="26"/>
  <c r="B10" i="26"/>
  <c r="B9" i="26"/>
  <c r="B8" i="26"/>
  <c r="B7" i="26"/>
  <c r="B6" i="26"/>
  <c r="B5" i="26"/>
  <c r="B4" i="26"/>
  <c r="E42" i="25"/>
  <c r="A42" i="25"/>
  <c r="E41" i="25"/>
  <c r="A41" i="25"/>
  <c r="E40" i="25"/>
  <c r="H40" i="25" s="1"/>
  <c r="A40" i="25"/>
  <c r="G40" i="25" s="1"/>
  <c r="C60" i="25"/>
  <c r="E39" i="25"/>
  <c r="H39" i="25" s="1"/>
  <c r="A39" i="25"/>
  <c r="G39" i="25" s="1"/>
  <c r="C59" i="25"/>
  <c r="E38" i="25"/>
  <c r="H38" i="25" s="1"/>
  <c r="A38" i="25"/>
  <c r="G38" i="25" s="1"/>
  <c r="C58" i="25"/>
  <c r="E37" i="25"/>
  <c r="H37" i="25" s="1"/>
  <c r="A37" i="25"/>
  <c r="G37" i="25" s="1"/>
  <c r="C57" i="25"/>
  <c r="H36" i="25"/>
  <c r="E36" i="25"/>
  <c r="A36" i="25"/>
  <c r="G36" i="25" s="1"/>
  <c r="C56" i="25"/>
  <c r="E35" i="25"/>
  <c r="H35" i="25" s="1"/>
  <c r="A35" i="25"/>
  <c r="G35" i="25" s="1"/>
  <c r="C55" i="25"/>
  <c r="E34" i="25"/>
  <c r="H34" i="25" s="1"/>
  <c r="A34" i="25"/>
  <c r="G34" i="25" s="1"/>
  <c r="C54" i="25"/>
  <c r="E33" i="25"/>
  <c r="H33" i="25" s="1"/>
  <c r="A33" i="25"/>
  <c r="G33" i="25" s="1"/>
  <c r="C53" i="25"/>
  <c r="S42" i="25" s="1"/>
  <c r="E32" i="25"/>
  <c r="H32" i="25" s="1"/>
  <c r="A32" i="25"/>
  <c r="G32" i="25" s="1"/>
  <c r="C52" i="25"/>
  <c r="E31" i="25"/>
  <c r="H31" i="25" s="1"/>
  <c r="A31" i="25"/>
  <c r="G31" i="25" s="1"/>
  <c r="E30" i="25"/>
  <c r="H30" i="25" s="1"/>
  <c r="A30" i="25"/>
  <c r="G30" i="25" s="1"/>
  <c r="K29" i="25"/>
  <c r="G1" i="25"/>
  <c r="H25" i="27" l="1"/>
  <c r="E30" i="27"/>
  <c r="D5" i="37"/>
  <c r="D5" i="40"/>
  <c r="D5" i="35"/>
  <c r="D7" i="37"/>
  <c r="D7" i="40"/>
  <c r="D7" i="35"/>
  <c r="D9" i="37"/>
  <c r="D9" i="40"/>
  <c r="D9" i="35"/>
  <c r="D11" i="40"/>
  <c r="D11" i="37"/>
  <c r="D11" i="35"/>
  <c r="D13" i="40"/>
  <c r="D13" i="37"/>
  <c r="D13" i="35"/>
  <c r="D15" i="40"/>
  <c r="D15" i="37"/>
  <c r="D15" i="35"/>
  <c r="D5" i="26"/>
  <c r="C44" i="25"/>
  <c r="C45" i="25"/>
  <c r="J17" i="27"/>
  <c r="D4" i="37"/>
  <c r="D4" i="40"/>
  <c r="D4" i="35"/>
  <c r="D6" i="40"/>
  <c r="D6" i="37"/>
  <c r="D6" i="35"/>
  <c r="D8" i="37"/>
  <c r="D8" i="40"/>
  <c r="D8" i="35"/>
  <c r="D10" i="37"/>
  <c r="D10" i="40"/>
  <c r="D10" i="35"/>
  <c r="D12" i="37"/>
  <c r="D12" i="40"/>
  <c r="D12" i="35"/>
  <c r="D14" i="37"/>
  <c r="D14" i="40"/>
  <c r="D14" i="35"/>
  <c r="I30" i="27"/>
  <c r="D15" i="26"/>
  <c r="D11" i="26"/>
  <c r="D7" i="26"/>
  <c r="J20" i="27"/>
  <c r="I26" i="27"/>
  <c r="D29" i="27"/>
  <c r="D14" i="26"/>
  <c r="D10" i="26"/>
  <c r="D6" i="26"/>
  <c r="F23" i="27"/>
  <c r="E22" i="27"/>
  <c r="F27" i="27"/>
  <c r="H29" i="27"/>
  <c r="D33" i="27"/>
  <c r="E40" i="27"/>
  <c r="E41" i="27" s="1"/>
  <c r="E42" i="27" s="1"/>
  <c r="E43" i="27" s="1"/>
  <c r="E44" i="27" s="1"/>
  <c r="E45" i="27" s="1"/>
  <c r="E46" i="27" s="1"/>
  <c r="E47" i="27" s="1"/>
  <c r="E48" i="27" s="1"/>
  <c r="E49" i="27" s="1"/>
  <c r="E50" i="27" s="1"/>
  <c r="I22" i="27"/>
  <c r="E26" i="27"/>
  <c r="F31" i="27"/>
  <c r="H33" i="27"/>
  <c r="I40" i="27"/>
  <c r="I41" i="27" s="1"/>
  <c r="I42" i="27" s="1"/>
  <c r="I43" i="27" s="1"/>
  <c r="I44" i="27" s="1"/>
  <c r="I45" i="27" s="1"/>
  <c r="I46" i="27" s="1"/>
  <c r="I47" i="27" s="1"/>
  <c r="I48" i="27" s="1"/>
  <c r="I49" i="27" s="1"/>
  <c r="I50" i="27" s="1"/>
  <c r="D41" i="27"/>
  <c r="G28" i="27"/>
  <c r="G32" i="27"/>
  <c r="F22" i="27"/>
  <c r="G23" i="27"/>
  <c r="D24" i="27"/>
  <c r="H24" i="27"/>
  <c r="E25" i="27"/>
  <c r="I25" i="27"/>
  <c r="F26" i="27"/>
  <c r="G27" i="27"/>
  <c r="D28" i="27"/>
  <c r="H28" i="27"/>
  <c r="E29" i="27"/>
  <c r="I29" i="27"/>
  <c r="F30" i="27"/>
  <c r="G31" i="27"/>
  <c r="D32" i="27"/>
  <c r="H32" i="27"/>
  <c r="E33" i="27"/>
  <c r="I33" i="27"/>
  <c r="F40" i="27"/>
  <c r="F41" i="27" s="1"/>
  <c r="F42" i="27" s="1"/>
  <c r="F43" i="27" s="1"/>
  <c r="F44" i="27" s="1"/>
  <c r="F45" i="27" s="1"/>
  <c r="F46" i="27" s="1"/>
  <c r="F47" i="27" s="1"/>
  <c r="F48" i="27" s="1"/>
  <c r="F49" i="27" s="1"/>
  <c r="F50" i="27" s="1"/>
  <c r="G22" i="27"/>
  <c r="D23" i="27"/>
  <c r="H23" i="27"/>
  <c r="E24" i="27"/>
  <c r="I24" i="27"/>
  <c r="F25" i="27"/>
  <c r="G26" i="27"/>
  <c r="D27" i="27"/>
  <c r="H27" i="27"/>
  <c r="E28" i="27"/>
  <c r="I28" i="27"/>
  <c r="F29" i="27"/>
  <c r="G30" i="27"/>
  <c r="D31" i="27"/>
  <c r="H31" i="27"/>
  <c r="E32" i="27"/>
  <c r="I32" i="27"/>
  <c r="F33" i="27"/>
  <c r="G40" i="27"/>
  <c r="G41" i="27" s="1"/>
  <c r="G42" i="27" s="1"/>
  <c r="G43" i="27" s="1"/>
  <c r="G44" i="27" s="1"/>
  <c r="G45" i="27" s="1"/>
  <c r="G46" i="27" s="1"/>
  <c r="G47" i="27" s="1"/>
  <c r="G48" i="27" s="1"/>
  <c r="G49" i="27" s="1"/>
  <c r="G50" i="27" s="1"/>
  <c r="G24" i="27"/>
  <c r="D22" i="27"/>
  <c r="K22" i="27" s="1"/>
  <c r="H22" i="27"/>
  <c r="E23" i="27"/>
  <c r="I23" i="27"/>
  <c r="F24" i="27"/>
  <c r="G25" i="27"/>
  <c r="D26" i="27"/>
  <c r="H26" i="27"/>
  <c r="E27" i="27"/>
  <c r="I27" i="27"/>
  <c r="F28" i="27"/>
  <c r="G29" i="27"/>
  <c r="D30" i="27"/>
  <c r="H30" i="27"/>
  <c r="I30" i="25" l="1"/>
  <c r="J30" i="25" s="1"/>
  <c r="K30" i="25" s="1"/>
  <c r="M30" i="25" s="1"/>
  <c r="E10" i="35"/>
  <c r="D16" i="37"/>
  <c r="E13" i="37" s="1"/>
  <c r="D16" i="40"/>
  <c r="E13" i="40" s="1"/>
  <c r="D16" i="35"/>
  <c r="E15" i="35" s="1"/>
  <c r="D16" i="26"/>
  <c r="E10" i="26" s="1"/>
  <c r="E13" i="35"/>
  <c r="E5" i="35"/>
  <c r="K33" i="27"/>
  <c r="K25" i="27"/>
  <c r="I34" i="27"/>
  <c r="K29" i="27"/>
  <c r="E34" i="27"/>
  <c r="K30" i="27"/>
  <c r="J30" i="27"/>
  <c r="D34" i="27"/>
  <c r="J22" i="27"/>
  <c r="J31" i="27"/>
  <c r="K31" i="27"/>
  <c r="J32" i="27"/>
  <c r="K32" i="27"/>
  <c r="J24" i="27"/>
  <c r="K24" i="27"/>
  <c r="J40" i="27"/>
  <c r="J25" i="27"/>
  <c r="J41" i="27"/>
  <c r="D42" i="27"/>
  <c r="J29" i="27"/>
  <c r="K23" i="27"/>
  <c r="J23" i="27"/>
  <c r="J28" i="27"/>
  <c r="K28" i="27"/>
  <c r="F34" i="27"/>
  <c r="K26" i="27"/>
  <c r="J26" i="27"/>
  <c r="H34" i="27"/>
  <c r="J33" i="27"/>
  <c r="K27" i="27"/>
  <c r="J27" i="27"/>
  <c r="G34" i="27"/>
  <c r="I39" i="25"/>
  <c r="J39" i="25" s="1"/>
  <c r="K39" i="25" s="1"/>
  <c r="M39" i="25" s="1"/>
  <c r="I34" i="25"/>
  <c r="J34" i="25" s="1"/>
  <c r="K34" i="25" s="1"/>
  <c r="M34" i="25" s="1"/>
  <c r="I37" i="25"/>
  <c r="J37" i="25" s="1"/>
  <c r="K37" i="25" s="1"/>
  <c r="M37" i="25" s="1"/>
  <c r="I32" i="25"/>
  <c r="J32" i="25" s="1"/>
  <c r="K32" i="25" s="1"/>
  <c r="M32" i="25" s="1"/>
  <c r="I36" i="25"/>
  <c r="J36" i="25" s="1"/>
  <c r="K36" i="25" s="1"/>
  <c r="M36" i="25" s="1"/>
  <c r="I40" i="25"/>
  <c r="J40" i="25" s="1"/>
  <c r="K40" i="25" s="1"/>
  <c r="M40" i="25" s="1"/>
  <c r="I35" i="25"/>
  <c r="J35" i="25" s="1"/>
  <c r="K35" i="25" s="1"/>
  <c r="M35" i="25" s="1"/>
  <c r="D52" i="25"/>
  <c r="I38" i="25"/>
  <c r="J38" i="25" s="1"/>
  <c r="K38" i="25" s="1"/>
  <c r="M38" i="25" s="1"/>
  <c r="I31" i="25"/>
  <c r="J31" i="25" s="1"/>
  <c r="K31" i="25" s="1"/>
  <c r="M31" i="25" s="1"/>
  <c r="I33" i="25"/>
  <c r="J33" i="25" s="1"/>
  <c r="K33" i="25" s="1"/>
  <c r="M33" i="25" s="1"/>
  <c r="J217" i="24"/>
  <c r="J264" i="24" s="1"/>
  <c r="I217" i="24"/>
  <c r="I264" i="24" s="1"/>
  <c r="H217" i="24"/>
  <c r="H264" i="24" s="1"/>
  <c r="G217" i="24"/>
  <c r="G264" i="24" s="1"/>
  <c r="F217" i="24"/>
  <c r="F264" i="24" s="1"/>
  <c r="E217" i="24"/>
  <c r="E264" i="24" s="1"/>
  <c r="D217" i="24"/>
  <c r="D264" i="24" s="1"/>
  <c r="C188" i="24"/>
  <c r="C204" i="24" s="1"/>
  <c r="C187" i="24"/>
  <c r="C203" i="24" s="1"/>
  <c r="C186" i="24"/>
  <c r="C202" i="24" s="1"/>
  <c r="C185" i="24"/>
  <c r="C201" i="24" s="1"/>
  <c r="C184" i="24"/>
  <c r="C200" i="24" s="1"/>
  <c r="C183" i="24"/>
  <c r="C199" i="24" s="1"/>
  <c r="C182" i="24"/>
  <c r="C198" i="24" s="1"/>
  <c r="C181" i="24"/>
  <c r="C197" i="24" s="1"/>
  <c r="C180" i="24"/>
  <c r="C196" i="24" s="1"/>
  <c r="C179" i="24"/>
  <c r="C195" i="24" s="1"/>
  <c r="C178" i="24"/>
  <c r="C194" i="24" s="1"/>
  <c r="C177" i="24"/>
  <c r="C193" i="24" s="1"/>
  <c r="J145" i="24"/>
  <c r="I145" i="24"/>
  <c r="H145" i="24"/>
  <c r="G145" i="24"/>
  <c r="F145" i="24"/>
  <c r="E145" i="24"/>
  <c r="D145" i="24"/>
  <c r="I134" i="24"/>
  <c r="C123" i="24"/>
  <c r="C122" i="24"/>
  <c r="C121" i="24"/>
  <c r="C120" i="24"/>
  <c r="C119" i="24"/>
  <c r="C118" i="24"/>
  <c r="C117" i="24"/>
  <c r="C116" i="24"/>
  <c r="C115" i="24"/>
  <c r="C114" i="24"/>
  <c r="C113" i="24"/>
  <c r="C104" i="24"/>
  <c r="C103" i="24"/>
  <c r="C102" i="24"/>
  <c r="C101" i="24"/>
  <c r="C100" i="24"/>
  <c r="C99" i="24"/>
  <c r="C98" i="24"/>
  <c r="C97" i="24"/>
  <c r="C96" i="24"/>
  <c r="C95" i="24"/>
  <c r="C94" i="24"/>
  <c r="C91" i="24"/>
  <c r="I89" i="24"/>
  <c r="I131" i="24" s="1"/>
  <c r="H89" i="24"/>
  <c r="H131" i="24" s="1"/>
  <c r="G89" i="24"/>
  <c r="G131" i="24" s="1"/>
  <c r="F89" i="24"/>
  <c r="F131" i="24" s="1"/>
  <c r="E89" i="24"/>
  <c r="E131" i="24" s="1"/>
  <c r="D89" i="24"/>
  <c r="D131" i="24" s="1"/>
  <c r="J70" i="24"/>
  <c r="J68" i="24"/>
  <c r="B68" i="24"/>
  <c r="B71" i="24" s="1"/>
  <c r="J66" i="24"/>
  <c r="J64" i="24"/>
  <c r="I64" i="24"/>
  <c r="I51" i="24"/>
  <c r="I52" i="24" s="1"/>
  <c r="I50" i="24"/>
  <c r="H50" i="24"/>
  <c r="H64" i="24" s="1"/>
  <c r="G50" i="24"/>
  <c r="G64" i="24" s="1"/>
  <c r="F50" i="24"/>
  <c r="F64" i="24" s="1"/>
  <c r="E50" i="24"/>
  <c r="E64" i="24" s="1"/>
  <c r="D50" i="24"/>
  <c r="D64" i="24" s="1"/>
  <c r="C44" i="24"/>
  <c r="H142" i="24" s="1"/>
  <c r="C43" i="24"/>
  <c r="G141" i="24" s="1"/>
  <c r="C42" i="24"/>
  <c r="F140" i="24" s="1"/>
  <c r="I41" i="24"/>
  <c r="C41" i="24"/>
  <c r="I139" i="24" s="1"/>
  <c r="I40" i="24"/>
  <c r="C40" i="24"/>
  <c r="H138" i="24" s="1"/>
  <c r="E39" i="24"/>
  <c r="C39" i="24"/>
  <c r="G137" i="24" s="1"/>
  <c r="C38" i="24"/>
  <c r="F136" i="24" s="1"/>
  <c r="C37" i="24"/>
  <c r="I135" i="24" s="1"/>
  <c r="D36" i="24"/>
  <c r="C36" i="24"/>
  <c r="H134" i="24" s="1"/>
  <c r="C35" i="24"/>
  <c r="G133" i="24" s="1"/>
  <c r="I34" i="24"/>
  <c r="H34" i="24"/>
  <c r="C34" i="24"/>
  <c r="F132" i="24" s="1"/>
  <c r="I33" i="24"/>
  <c r="C33" i="24"/>
  <c r="J32" i="24"/>
  <c r="I32" i="24"/>
  <c r="H32" i="24"/>
  <c r="G32" i="24"/>
  <c r="F32" i="24"/>
  <c r="E32" i="24"/>
  <c r="D32" i="24"/>
  <c r="I31" i="24"/>
  <c r="H31" i="24"/>
  <c r="G31" i="24"/>
  <c r="F31" i="24"/>
  <c r="E31" i="24"/>
  <c r="D31" i="24"/>
  <c r="I28" i="24"/>
  <c r="I44" i="24" s="1"/>
  <c r="H28" i="24"/>
  <c r="H41" i="24" s="1"/>
  <c r="G28" i="24"/>
  <c r="F28" i="24"/>
  <c r="F44" i="24" s="1"/>
  <c r="E28" i="24"/>
  <c r="E41" i="24" s="1"/>
  <c r="D28" i="24"/>
  <c r="D42" i="24" s="1"/>
  <c r="J27" i="24"/>
  <c r="B27" i="24"/>
  <c r="J26" i="24"/>
  <c r="B26" i="24"/>
  <c r="J25" i="24"/>
  <c r="B25" i="24"/>
  <c r="J24" i="24"/>
  <c r="B24" i="24"/>
  <c r="J23" i="24"/>
  <c r="B23" i="24"/>
  <c r="J22" i="24"/>
  <c r="B22" i="24"/>
  <c r="J21" i="24"/>
  <c r="B21" i="24"/>
  <c r="J20" i="24"/>
  <c r="B20" i="24"/>
  <c r="J19" i="24"/>
  <c r="B19" i="24"/>
  <c r="J18" i="24"/>
  <c r="B18" i="24"/>
  <c r="J17" i="24"/>
  <c r="B17" i="24"/>
  <c r="J16" i="24"/>
  <c r="B16" i="24"/>
  <c r="R15" i="22"/>
  <c r="R14" i="22"/>
  <c r="J4" i="22"/>
  <c r="F4" i="37" l="1"/>
  <c r="F5" i="37" s="1"/>
  <c r="E9" i="37"/>
  <c r="E11" i="35"/>
  <c r="F4" i="35"/>
  <c r="F5" i="35" s="1"/>
  <c r="F6" i="35" s="1"/>
  <c r="F7" i="35" s="1"/>
  <c r="E11" i="37"/>
  <c r="E12" i="35"/>
  <c r="E7" i="40"/>
  <c r="E4" i="40"/>
  <c r="H35" i="24"/>
  <c r="E36" i="24"/>
  <c r="D37" i="24"/>
  <c r="E38" i="24"/>
  <c r="F39" i="24"/>
  <c r="D40" i="24"/>
  <c r="E43" i="24"/>
  <c r="E44" i="24"/>
  <c r="G136" i="24"/>
  <c r="I142" i="24"/>
  <c r="E14" i="37"/>
  <c r="E15" i="40"/>
  <c r="E6" i="37"/>
  <c r="E5" i="40"/>
  <c r="E9" i="35"/>
  <c r="F4" i="40"/>
  <c r="E14" i="35"/>
  <c r="E4" i="35"/>
  <c r="F35" i="24"/>
  <c r="H141" i="24"/>
  <c r="L5" i="37"/>
  <c r="F6" i="37"/>
  <c r="F7" i="37" s="1"/>
  <c r="E14" i="40"/>
  <c r="E12" i="40"/>
  <c r="D33" i="24"/>
  <c r="E34" i="24"/>
  <c r="E45" i="24" s="1"/>
  <c r="D35" i="24"/>
  <c r="I35" i="24"/>
  <c r="H36" i="24"/>
  <c r="E37" i="24"/>
  <c r="I38" i="24"/>
  <c r="H39" i="24"/>
  <c r="E40" i="24"/>
  <c r="D41" i="24"/>
  <c r="E42" i="24"/>
  <c r="F43" i="24"/>
  <c r="H44" i="24"/>
  <c r="E51" i="24"/>
  <c r="E52" i="24" s="1"/>
  <c r="E53" i="24" s="1"/>
  <c r="E54" i="24" s="1"/>
  <c r="H137" i="24"/>
  <c r="E13" i="26"/>
  <c r="E8" i="26"/>
  <c r="E12" i="26"/>
  <c r="E9" i="26"/>
  <c r="E4" i="26"/>
  <c r="F4" i="26"/>
  <c r="F5" i="26" s="1"/>
  <c r="E14" i="26"/>
  <c r="E7" i="26"/>
  <c r="E5" i="26"/>
  <c r="E11" i="26"/>
  <c r="E6" i="40"/>
  <c r="E7" i="37"/>
  <c r="E8" i="35"/>
  <c r="E11" i="40"/>
  <c r="E15" i="37"/>
  <c r="E6" i="35"/>
  <c r="E7" i="35"/>
  <c r="E8" i="37"/>
  <c r="E6" i="26"/>
  <c r="E33" i="24"/>
  <c r="E35" i="24"/>
  <c r="I36" i="24"/>
  <c r="I37" i="24"/>
  <c r="I39" i="24"/>
  <c r="H40" i="24"/>
  <c r="I42" i="24"/>
  <c r="I43" i="24"/>
  <c r="F51" i="24"/>
  <c r="I138" i="24"/>
  <c r="E8" i="40"/>
  <c r="E9" i="40"/>
  <c r="E4" i="37"/>
  <c r="E12" i="37"/>
  <c r="E5" i="37"/>
  <c r="E10" i="37"/>
  <c r="E10" i="40"/>
  <c r="E15" i="26"/>
  <c r="M27" i="27"/>
  <c r="L27" i="27"/>
  <c r="L26" i="27"/>
  <c r="M26" i="27"/>
  <c r="M28" i="27"/>
  <c r="L28" i="27"/>
  <c r="J42" i="27"/>
  <c r="D43" i="27"/>
  <c r="J34" i="27"/>
  <c r="M32" i="27"/>
  <c r="L32" i="27"/>
  <c r="M23" i="27"/>
  <c r="L23" i="27"/>
  <c r="M24" i="27"/>
  <c r="L24" i="27"/>
  <c r="M31" i="27"/>
  <c r="L31" i="27"/>
  <c r="L30" i="27"/>
  <c r="M30" i="27"/>
  <c r="L29" i="27"/>
  <c r="M29" i="27"/>
  <c r="M33" i="27"/>
  <c r="L33" i="27"/>
  <c r="M25" i="27"/>
  <c r="L25" i="27"/>
  <c r="L22" i="27"/>
  <c r="M22" i="27"/>
  <c r="G52" i="25"/>
  <c r="G56" i="25"/>
  <c r="D59" i="25"/>
  <c r="D56" i="25"/>
  <c r="D57" i="25"/>
  <c r="D53" i="25"/>
  <c r="D60" i="25"/>
  <c r="D58" i="25"/>
  <c r="D54" i="25"/>
  <c r="D55" i="25"/>
  <c r="M42" i="25"/>
  <c r="G53" i="25"/>
  <c r="G55" i="25"/>
  <c r="G57" i="25"/>
  <c r="G54" i="25"/>
  <c r="G132" i="24"/>
  <c r="H132" i="24"/>
  <c r="I133" i="24"/>
  <c r="F135" i="24"/>
  <c r="H136" i="24"/>
  <c r="I137" i="24"/>
  <c r="F139" i="24"/>
  <c r="H140" i="24"/>
  <c r="I141" i="24"/>
  <c r="H133" i="24"/>
  <c r="J28" i="24"/>
  <c r="D133" i="24"/>
  <c r="E134" i="24"/>
  <c r="G135" i="24"/>
  <c r="D137" i="24"/>
  <c r="E138" i="24"/>
  <c r="G139" i="24"/>
  <c r="D141" i="24"/>
  <c r="E142" i="24"/>
  <c r="G140" i="24"/>
  <c r="D132" i="24"/>
  <c r="E133" i="24"/>
  <c r="F134" i="24"/>
  <c r="D136" i="24"/>
  <c r="E137" i="24"/>
  <c r="F138" i="24"/>
  <c r="D140" i="24"/>
  <c r="E141" i="24"/>
  <c r="F142" i="24"/>
  <c r="E55" i="24"/>
  <c r="E56" i="24" s="1"/>
  <c r="E57" i="24" s="1"/>
  <c r="E58" i="24" s="1"/>
  <c r="E59" i="24" s="1"/>
  <c r="E60" i="24" s="1"/>
  <c r="E61" i="24" s="1"/>
  <c r="J131" i="24"/>
  <c r="I53" i="24"/>
  <c r="I54" i="24" s="1"/>
  <c r="I65" i="24"/>
  <c r="I94" i="24" s="1"/>
  <c r="F34" i="24"/>
  <c r="F38" i="24"/>
  <c r="F42" i="24"/>
  <c r="K42" i="24" s="1"/>
  <c r="H43" i="24"/>
  <c r="D44" i="24"/>
  <c r="H51" i="24"/>
  <c r="F52" i="24"/>
  <c r="G51" i="24"/>
  <c r="G44" i="24"/>
  <c r="G43" i="24"/>
  <c r="G42" i="24"/>
  <c r="G41" i="24"/>
  <c r="G40" i="24"/>
  <c r="G39" i="24"/>
  <c r="G38" i="24"/>
  <c r="G37" i="24"/>
  <c r="G36" i="24"/>
  <c r="G35" i="24"/>
  <c r="K35" i="24" s="1"/>
  <c r="G34" i="24"/>
  <c r="G33" i="24"/>
  <c r="J31" i="24"/>
  <c r="F33" i="24"/>
  <c r="F37" i="24"/>
  <c r="H38" i="24"/>
  <c r="D39" i="24"/>
  <c r="F41" i="24"/>
  <c r="H42" i="24"/>
  <c r="D43" i="24"/>
  <c r="I45" i="24"/>
  <c r="D51" i="24"/>
  <c r="H33" i="24"/>
  <c r="D34" i="24"/>
  <c r="J35" i="24"/>
  <c r="F36" i="24"/>
  <c r="H37" i="24"/>
  <c r="D38" i="24"/>
  <c r="F40" i="24"/>
  <c r="K40" i="24" s="1"/>
  <c r="E132" i="24"/>
  <c r="I132" i="24"/>
  <c r="F133" i="24"/>
  <c r="G134" i="24"/>
  <c r="D135" i="24"/>
  <c r="H135" i="24"/>
  <c r="E136" i="24"/>
  <c r="I136" i="24"/>
  <c r="F137" i="24"/>
  <c r="G138" i="24"/>
  <c r="D139" i="24"/>
  <c r="H139" i="24"/>
  <c r="E140" i="24"/>
  <c r="I140" i="24"/>
  <c r="J140" i="24" s="1"/>
  <c r="F141" i="24"/>
  <c r="G142" i="24"/>
  <c r="D134" i="24"/>
  <c r="E135" i="24"/>
  <c r="D138" i="24"/>
  <c r="E139" i="24"/>
  <c r="D142" i="24"/>
  <c r="L6" i="37" l="1"/>
  <c r="G6" i="37" s="1"/>
  <c r="O5" i="35"/>
  <c r="G5" i="35" s="1"/>
  <c r="O7" i="35"/>
  <c r="F8" i="35"/>
  <c r="O8" i="35" s="1"/>
  <c r="C26" i="26"/>
  <c r="C30" i="26" s="1"/>
  <c r="F6" i="26"/>
  <c r="L7" i="37"/>
  <c r="G7" i="37" s="1"/>
  <c r="H7" i="37" s="1"/>
  <c r="D29" i="37" s="1"/>
  <c r="F8" i="37"/>
  <c r="F9" i="37" s="1"/>
  <c r="F10" i="37" s="1"/>
  <c r="F11" i="37" s="1"/>
  <c r="F12" i="37" s="1"/>
  <c r="F13" i="37" s="1"/>
  <c r="F14" i="37" s="1"/>
  <c r="F15" i="37" s="1"/>
  <c r="L8" i="37"/>
  <c r="O12" i="35"/>
  <c r="G4" i="35"/>
  <c r="L35" i="24"/>
  <c r="M35" i="24"/>
  <c r="K38" i="24"/>
  <c r="K39" i="24"/>
  <c r="K44" i="24"/>
  <c r="C28" i="37"/>
  <c r="K6" i="37"/>
  <c r="E67" i="24"/>
  <c r="E96" i="24" s="1"/>
  <c r="E115" i="24" s="1"/>
  <c r="K43" i="24"/>
  <c r="K37" i="24"/>
  <c r="K36" i="24"/>
  <c r="E65" i="24"/>
  <c r="E94" i="24" s="1"/>
  <c r="E113" i="24" s="1"/>
  <c r="G4" i="37"/>
  <c r="G5" i="37"/>
  <c r="F107" i="24"/>
  <c r="F204" i="24" s="1"/>
  <c r="J137" i="24"/>
  <c r="F5" i="40"/>
  <c r="L5" i="40"/>
  <c r="O6" i="35"/>
  <c r="T42" i="25"/>
  <c r="D44" i="27"/>
  <c r="J43" i="27"/>
  <c r="J142" i="24"/>
  <c r="J134" i="24"/>
  <c r="J41" i="24"/>
  <c r="K41" i="24"/>
  <c r="F199" i="24"/>
  <c r="J132" i="24"/>
  <c r="K34" i="24"/>
  <c r="J138" i="24"/>
  <c r="J141" i="24"/>
  <c r="J133" i="24"/>
  <c r="J40" i="24"/>
  <c r="K33" i="24"/>
  <c r="I113" i="24"/>
  <c r="I146" i="24"/>
  <c r="E146" i="24"/>
  <c r="D107" i="24"/>
  <c r="D201" i="24" s="1"/>
  <c r="I95" i="24"/>
  <c r="J38" i="24"/>
  <c r="F53" i="24"/>
  <c r="F54" i="24" s="1"/>
  <c r="F65" i="24"/>
  <c r="F200" i="24"/>
  <c r="D45" i="24"/>
  <c r="D52" i="24"/>
  <c r="J51" i="24"/>
  <c r="J43" i="24"/>
  <c r="F197" i="24"/>
  <c r="I107" i="24"/>
  <c r="I109" i="24" s="1"/>
  <c r="H52" i="24"/>
  <c r="H65" i="24" s="1"/>
  <c r="F202" i="24"/>
  <c r="F198" i="24"/>
  <c r="F194" i="24"/>
  <c r="F203" i="24"/>
  <c r="F196" i="24"/>
  <c r="D194" i="24"/>
  <c r="J34" i="24"/>
  <c r="J36" i="24"/>
  <c r="F193" i="24"/>
  <c r="F109" i="24"/>
  <c r="F45" i="24"/>
  <c r="E107" i="24"/>
  <c r="E201" i="24" s="1"/>
  <c r="I67" i="24"/>
  <c r="I96" i="24" s="1"/>
  <c r="J37" i="24"/>
  <c r="J42" i="24"/>
  <c r="E69" i="24"/>
  <c r="G107" i="24"/>
  <c r="G202" i="24" s="1"/>
  <c r="G45" i="24"/>
  <c r="G52" i="24"/>
  <c r="G65" i="24" s="1"/>
  <c r="J136" i="24"/>
  <c r="H203" i="24"/>
  <c r="D196" i="24"/>
  <c r="F195" i="24"/>
  <c r="J33" i="24"/>
  <c r="J139" i="24"/>
  <c r="J135" i="24"/>
  <c r="H45" i="24"/>
  <c r="H107" i="24"/>
  <c r="H201" i="24" s="1"/>
  <c r="D109" i="24"/>
  <c r="F201" i="24"/>
  <c r="D199" i="24"/>
  <c r="J39" i="24"/>
  <c r="G200" i="24"/>
  <c r="D204" i="24"/>
  <c r="J44" i="24"/>
  <c r="I55" i="24"/>
  <c r="I56" i="24" s="1"/>
  <c r="I57" i="24" s="1"/>
  <c r="I58" i="24" s="1"/>
  <c r="I59" i="24" s="1"/>
  <c r="I60" i="24" s="1"/>
  <c r="I61" i="24" s="1"/>
  <c r="C32" i="26" l="1"/>
  <c r="L37" i="24"/>
  <c r="M37" i="24"/>
  <c r="G8" i="37"/>
  <c r="G9" i="37"/>
  <c r="G12" i="37"/>
  <c r="G13" i="37"/>
  <c r="G14" i="37"/>
  <c r="G10" i="37"/>
  <c r="G11" i="37"/>
  <c r="C28" i="26"/>
  <c r="G5" i="26"/>
  <c r="D50" i="26" s="1"/>
  <c r="G4" i="26"/>
  <c r="H4" i="26" s="1"/>
  <c r="H109" i="24"/>
  <c r="M33" i="24"/>
  <c r="L33" i="24"/>
  <c r="L43" i="24"/>
  <c r="M43" i="24"/>
  <c r="H197" i="24"/>
  <c r="M38" i="24"/>
  <c r="L38" i="24"/>
  <c r="C36" i="26"/>
  <c r="C34" i="26"/>
  <c r="C38" i="26"/>
  <c r="O13" i="35"/>
  <c r="G6" i="35"/>
  <c r="H6" i="35" s="1"/>
  <c r="D28" i="35" s="1"/>
  <c r="C27" i="35"/>
  <c r="N5" i="35"/>
  <c r="G8" i="35"/>
  <c r="O15" i="35"/>
  <c r="L39" i="24"/>
  <c r="M39" i="24"/>
  <c r="I238" i="24"/>
  <c r="I230" i="24"/>
  <c r="M40" i="24"/>
  <c r="L40" i="24"/>
  <c r="L41" i="24"/>
  <c r="M41" i="24"/>
  <c r="C35" i="26"/>
  <c r="C29" i="26"/>
  <c r="C33" i="26"/>
  <c r="G5" i="40"/>
  <c r="G4" i="40"/>
  <c r="D71" i="37"/>
  <c r="C27" i="37"/>
  <c r="K5" i="37"/>
  <c r="H6" i="37"/>
  <c r="D28" i="37" s="1"/>
  <c r="H4" i="35"/>
  <c r="C26" i="35"/>
  <c r="H5" i="35"/>
  <c r="D27" i="35" s="1"/>
  <c r="K7" i="37"/>
  <c r="D56" i="37" s="1"/>
  <c r="C29" i="37"/>
  <c r="F9" i="35"/>
  <c r="F10" i="35" s="1"/>
  <c r="F11" i="35" s="1"/>
  <c r="F12" i="35" s="1"/>
  <c r="F13" i="35" s="1"/>
  <c r="F14" i="35" s="1"/>
  <c r="F15" i="35" s="1"/>
  <c r="O9" i="35"/>
  <c r="E95" i="24"/>
  <c r="L36" i="24"/>
  <c r="M36" i="24"/>
  <c r="M44" i="24"/>
  <c r="L44" i="24"/>
  <c r="H193" i="24"/>
  <c r="J107" i="24"/>
  <c r="M42" i="24"/>
  <c r="L42" i="24"/>
  <c r="M34" i="24"/>
  <c r="L34" i="24"/>
  <c r="C31" i="26"/>
  <c r="C37" i="26"/>
  <c r="F6" i="40"/>
  <c r="F7" i="40" s="1"/>
  <c r="F8" i="40" s="1"/>
  <c r="F9" i="40" s="1"/>
  <c r="F10" i="40" s="1"/>
  <c r="F11" i="40" s="1"/>
  <c r="F12" i="40" s="1"/>
  <c r="F13" i="40" s="1"/>
  <c r="F14" i="40" s="1"/>
  <c r="F15" i="40" s="1"/>
  <c r="L6" i="40"/>
  <c r="C26" i="37"/>
  <c r="H5" i="37"/>
  <c r="D27" i="37" s="1"/>
  <c r="H4" i="37"/>
  <c r="F7" i="26"/>
  <c r="F8" i="26" s="1"/>
  <c r="F9" i="26" s="1"/>
  <c r="F10" i="26" s="1"/>
  <c r="F11" i="26" s="1"/>
  <c r="F12" i="26" s="1"/>
  <c r="F13" i="26" s="1"/>
  <c r="F14" i="26" s="1"/>
  <c r="D26" i="26"/>
  <c r="G7" i="35"/>
  <c r="O14" i="35"/>
  <c r="D45" i="27"/>
  <c r="J44" i="27"/>
  <c r="D68" i="26"/>
  <c r="G27" i="26"/>
  <c r="H198" i="24"/>
  <c r="J195" i="24"/>
  <c r="J200" i="24"/>
  <c r="J201" i="24"/>
  <c r="J204" i="24"/>
  <c r="G196" i="24"/>
  <c r="G201" i="24"/>
  <c r="E97" i="24"/>
  <c r="E98" i="24"/>
  <c r="E99" i="24"/>
  <c r="E100" i="24"/>
  <c r="E101" i="24"/>
  <c r="E102" i="24"/>
  <c r="E103" i="24"/>
  <c r="E104" i="24"/>
  <c r="I69" i="24"/>
  <c r="I363" i="24" s="1"/>
  <c r="G204" i="24"/>
  <c r="E359" i="24"/>
  <c r="E343" i="24"/>
  <c r="E327" i="24"/>
  <c r="E360" i="24"/>
  <c r="E344" i="24"/>
  <c r="E328" i="24"/>
  <c r="E358" i="24"/>
  <c r="E326" i="24"/>
  <c r="E307" i="24"/>
  <c r="E291" i="24"/>
  <c r="E329" i="24"/>
  <c r="E308" i="24"/>
  <c r="E341" i="24"/>
  <c r="E298" i="24"/>
  <c r="E338" i="24"/>
  <c r="E287" i="24"/>
  <c r="E271" i="24"/>
  <c r="E317" i="24"/>
  <c r="E288" i="24"/>
  <c r="E272" i="24"/>
  <c r="E273" i="24"/>
  <c r="E220" i="24"/>
  <c r="E293" i="24"/>
  <c r="E225" i="24"/>
  <c r="E285" i="24"/>
  <c r="E226" i="24"/>
  <c r="E266" i="24"/>
  <c r="E219" i="24"/>
  <c r="E223" i="24"/>
  <c r="E231" i="24" s="1"/>
  <c r="G53" i="24"/>
  <c r="G54" i="24" s="1"/>
  <c r="J197" i="24"/>
  <c r="G203" i="24"/>
  <c r="E109" i="24"/>
  <c r="H53" i="24"/>
  <c r="H54" i="24" s="1"/>
  <c r="G198" i="24"/>
  <c r="D203" i="24"/>
  <c r="J45" i="24"/>
  <c r="F94" i="24"/>
  <c r="F95" i="24"/>
  <c r="D198" i="24"/>
  <c r="E147" i="24"/>
  <c r="D197" i="24"/>
  <c r="I177" i="24"/>
  <c r="I160" i="24"/>
  <c r="G95" i="24"/>
  <c r="G94" i="24"/>
  <c r="I115" i="24"/>
  <c r="G199" i="24"/>
  <c r="F205" i="24"/>
  <c r="J194" i="24"/>
  <c r="H94" i="24"/>
  <c r="H95" i="24"/>
  <c r="G194" i="24"/>
  <c r="F67" i="24"/>
  <c r="F96" i="24" s="1"/>
  <c r="I351" i="24"/>
  <c r="I335" i="24"/>
  <c r="I319" i="24"/>
  <c r="I352" i="24"/>
  <c r="I336" i="24"/>
  <c r="I320" i="24"/>
  <c r="I338" i="24"/>
  <c r="I311" i="24"/>
  <c r="I295" i="24"/>
  <c r="I341" i="24"/>
  <c r="I316" i="24"/>
  <c r="I300" i="24"/>
  <c r="I310" i="24"/>
  <c r="I362" i="24"/>
  <c r="I313" i="24"/>
  <c r="I287" i="24"/>
  <c r="I279" i="24"/>
  <c r="I275" i="24"/>
  <c r="I271" i="24"/>
  <c r="I314" i="24"/>
  <c r="I284" i="24"/>
  <c r="I276" i="24"/>
  <c r="I272" i="24"/>
  <c r="I268" i="24"/>
  <c r="I277" i="24"/>
  <c r="I269" i="24"/>
  <c r="I267" i="24"/>
  <c r="I224" i="24"/>
  <c r="I220" i="24"/>
  <c r="I278" i="24"/>
  <c r="I270" i="24"/>
  <c r="I221" i="24"/>
  <c r="I273" i="24"/>
  <c r="I265" i="24"/>
  <c r="I218" i="24"/>
  <c r="I114" i="24"/>
  <c r="I219" i="24"/>
  <c r="I148" i="24"/>
  <c r="I274" i="24"/>
  <c r="I266" i="24"/>
  <c r="E202" i="24"/>
  <c r="E196" i="24"/>
  <c r="E204" i="24"/>
  <c r="E203" i="24"/>
  <c r="E193" i="24"/>
  <c r="E199" i="24"/>
  <c r="E200" i="24"/>
  <c r="E195" i="24"/>
  <c r="J196" i="24"/>
  <c r="I196" i="24"/>
  <c r="I200" i="24"/>
  <c r="I201" i="24"/>
  <c r="I204" i="24"/>
  <c r="I199" i="24"/>
  <c r="I193" i="24"/>
  <c r="I194" i="24"/>
  <c r="I195" i="24"/>
  <c r="I203" i="24"/>
  <c r="I197" i="24"/>
  <c r="I202" i="24"/>
  <c r="J52" i="24"/>
  <c r="D53" i="24"/>
  <c r="D67" i="24" s="1"/>
  <c r="F55" i="24"/>
  <c r="F56" i="24" s="1"/>
  <c r="F57" i="24" s="1"/>
  <c r="F58" i="24" s="1"/>
  <c r="F59" i="24" s="1"/>
  <c r="F60" i="24" s="1"/>
  <c r="F61" i="24" s="1"/>
  <c r="D202" i="24"/>
  <c r="D200" i="24"/>
  <c r="D193" i="24"/>
  <c r="D195" i="24"/>
  <c r="E177" i="24"/>
  <c r="E160" i="24"/>
  <c r="E197" i="24"/>
  <c r="G109" i="24"/>
  <c r="G195" i="24"/>
  <c r="J199" i="24"/>
  <c r="H195" i="24"/>
  <c r="H196" i="24"/>
  <c r="H194" i="24"/>
  <c r="H204" i="24"/>
  <c r="H199" i="24"/>
  <c r="H200" i="24"/>
  <c r="J193" i="24"/>
  <c r="J109" i="24"/>
  <c r="G197" i="24"/>
  <c r="G193" i="24"/>
  <c r="J202" i="24"/>
  <c r="E194" i="24"/>
  <c r="H202" i="24"/>
  <c r="J203" i="24"/>
  <c r="D65" i="24"/>
  <c r="J198" i="24"/>
  <c r="E198" i="24"/>
  <c r="I198" i="24"/>
  <c r="I147" i="24"/>
  <c r="D48" i="26" l="1"/>
  <c r="D49" i="26"/>
  <c r="G6" i="26"/>
  <c r="G28" i="26" s="1"/>
  <c r="D28" i="26"/>
  <c r="E234" i="24"/>
  <c r="E233" i="24" s="1"/>
  <c r="E236" i="24"/>
  <c r="E238" i="24"/>
  <c r="E239" i="24" s="1"/>
  <c r="E230" i="24"/>
  <c r="E235" i="24"/>
  <c r="E237" i="24"/>
  <c r="C31" i="37"/>
  <c r="H10" i="37"/>
  <c r="D32" i="37" s="1"/>
  <c r="H238" i="24"/>
  <c r="E270" i="24"/>
  <c r="E286" i="24"/>
  <c r="E278" i="24"/>
  <c r="E265" i="24"/>
  <c r="E313" i="24"/>
  <c r="E229" i="24"/>
  <c r="E296" i="24"/>
  <c r="E224" i="24"/>
  <c r="E281" i="24"/>
  <c r="E276" i="24"/>
  <c r="E294" i="24"/>
  <c r="E333" i="24"/>
  <c r="E275" i="24"/>
  <c r="E301" i="24"/>
  <c r="E354" i="24"/>
  <c r="E306" i="24"/>
  <c r="E357" i="24"/>
  <c r="E312" i="24"/>
  <c r="E337" i="24"/>
  <c r="E295" i="24"/>
  <c r="E311" i="24"/>
  <c r="E334" i="24"/>
  <c r="E361" i="24"/>
  <c r="E332" i="24"/>
  <c r="E348" i="24"/>
  <c r="E364" i="24"/>
  <c r="E331" i="24"/>
  <c r="E347" i="24"/>
  <c r="E363" i="24"/>
  <c r="E26" i="26"/>
  <c r="F15" i="26"/>
  <c r="O16" i="35"/>
  <c r="G14" i="35"/>
  <c r="G13" i="35"/>
  <c r="G9" i="35"/>
  <c r="H9" i="35" s="1"/>
  <c r="D31" i="35" s="1"/>
  <c r="G10" i="35"/>
  <c r="G11" i="35"/>
  <c r="G12" i="35"/>
  <c r="H4" i="40"/>
  <c r="C26" i="40"/>
  <c r="H5" i="40"/>
  <c r="D27" i="40" s="1"/>
  <c r="H15" i="37"/>
  <c r="D37" i="37" s="1"/>
  <c r="C36" i="37"/>
  <c r="H8" i="37"/>
  <c r="D30" i="37" s="1"/>
  <c r="H9" i="37"/>
  <c r="D31" i="37" s="1"/>
  <c r="C30" i="37"/>
  <c r="K8" i="37"/>
  <c r="H205" i="24"/>
  <c r="F235" i="24"/>
  <c r="F238" i="24"/>
  <c r="E289" i="24"/>
  <c r="E114" i="24"/>
  <c r="E218" i="24"/>
  <c r="E269" i="24"/>
  <c r="E346" i="24"/>
  <c r="E274" i="24"/>
  <c r="E305" i="24"/>
  <c r="E228" i="24"/>
  <c r="E297" i="24"/>
  <c r="E280" i="24"/>
  <c r="E302" i="24"/>
  <c r="E349" i="24"/>
  <c r="E279" i="24"/>
  <c r="E309" i="24"/>
  <c r="E290" i="24"/>
  <c r="E314" i="24"/>
  <c r="E300" i="24"/>
  <c r="E316" i="24"/>
  <c r="E345" i="24"/>
  <c r="E299" i="24"/>
  <c r="E315" i="24"/>
  <c r="E342" i="24"/>
  <c r="E320" i="24"/>
  <c r="E336" i="24"/>
  <c r="E352" i="24"/>
  <c r="E319" i="24"/>
  <c r="E335" i="24"/>
  <c r="E351" i="24"/>
  <c r="C42" i="37"/>
  <c r="G6" i="40"/>
  <c r="G11" i="40"/>
  <c r="G12" i="40"/>
  <c r="G14" i="40"/>
  <c r="G13" i="40"/>
  <c r="G8" i="40"/>
  <c r="G10" i="40"/>
  <c r="G7" i="40"/>
  <c r="G9" i="40"/>
  <c r="D69" i="37"/>
  <c r="D52" i="37"/>
  <c r="D58" i="37"/>
  <c r="D51" i="37"/>
  <c r="D68" i="37"/>
  <c r="D62" i="37"/>
  <c r="D70" i="37"/>
  <c r="D72" i="37" s="1"/>
  <c r="D59" i="37"/>
  <c r="D64" i="37" s="1"/>
  <c r="D60" i="37"/>
  <c r="D55" i="37"/>
  <c r="D67" i="37"/>
  <c r="D54" i="37"/>
  <c r="D63" i="37"/>
  <c r="D53" i="37"/>
  <c r="D61" i="37"/>
  <c r="D57" i="37"/>
  <c r="D71" i="40"/>
  <c r="C27" i="40"/>
  <c r="K5" i="40"/>
  <c r="D70" i="40"/>
  <c r="D67" i="40"/>
  <c r="H6" i="40"/>
  <c r="D28" i="40" s="1"/>
  <c r="D68" i="40"/>
  <c r="I237" i="24"/>
  <c r="I239" i="24" s="1"/>
  <c r="I236" i="24"/>
  <c r="H14" i="37"/>
  <c r="D36" i="37" s="1"/>
  <c r="C35" i="37"/>
  <c r="G238" i="24"/>
  <c r="D26" i="35"/>
  <c r="H11" i="37"/>
  <c r="D33" i="37" s="1"/>
  <c r="C32" i="37"/>
  <c r="E148" i="24"/>
  <c r="E227" i="24"/>
  <c r="E222" i="24"/>
  <c r="E277" i="24"/>
  <c r="E221" i="24"/>
  <c r="E282" i="24"/>
  <c r="E330" i="24"/>
  <c r="E267" i="24"/>
  <c r="E268" i="24"/>
  <c r="E284" i="24"/>
  <c r="E310" i="24"/>
  <c r="E362" i="24"/>
  <c r="E283" i="24"/>
  <c r="E322" i="24"/>
  <c r="E292" i="24"/>
  <c r="E325" i="24"/>
  <c r="E304" i="24"/>
  <c r="E321" i="24"/>
  <c r="E353" i="24"/>
  <c r="E303" i="24"/>
  <c r="E318" i="24"/>
  <c r="E350" i="24"/>
  <c r="E324" i="24"/>
  <c r="E340" i="24"/>
  <c r="E356" i="24"/>
  <c r="E323" i="24"/>
  <c r="E339" i="24"/>
  <c r="E355" i="24"/>
  <c r="E250" i="24"/>
  <c r="C29" i="35"/>
  <c r="N7" i="35"/>
  <c r="H8" i="35"/>
  <c r="D30" i="35" s="1"/>
  <c r="D26" i="37"/>
  <c r="I235" i="24"/>
  <c r="I234" i="24"/>
  <c r="I233" i="24" s="1"/>
  <c r="C30" i="35"/>
  <c r="N8" i="35"/>
  <c r="C28" i="35"/>
  <c r="H7" i="35"/>
  <c r="D29" i="35" s="1"/>
  <c r="N6" i="35"/>
  <c r="H12" i="37"/>
  <c r="D34" i="37" s="1"/>
  <c r="C33" i="37"/>
  <c r="C34" i="37"/>
  <c r="H13" i="37"/>
  <c r="D35" i="37" s="1"/>
  <c r="J45" i="27"/>
  <c r="D46" i="27"/>
  <c r="D31" i="26"/>
  <c r="D38" i="26"/>
  <c r="D36" i="26"/>
  <c r="D33" i="26"/>
  <c r="D30" i="26"/>
  <c r="D37" i="26"/>
  <c r="D32" i="26"/>
  <c r="D35" i="26"/>
  <c r="D34" i="26"/>
  <c r="D29" i="26"/>
  <c r="H5" i="26"/>
  <c r="G26" i="26"/>
  <c r="H6" i="26"/>
  <c r="G205" i="24"/>
  <c r="E210" i="24"/>
  <c r="I222" i="24"/>
  <c r="I286" i="24"/>
  <c r="I285" i="24"/>
  <c r="I288" i="24"/>
  <c r="I326" i="24"/>
  <c r="I304" i="24"/>
  <c r="I349" i="24"/>
  <c r="I315" i="24"/>
  <c r="I324" i="24"/>
  <c r="I356" i="24"/>
  <c r="I339" i="24"/>
  <c r="I226" i="24"/>
  <c r="I247" i="24" s="1"/>
  <c r="I229" i="24"/>
  <c r="I337" i="24"/>
  <c r="I297" i="24"/>
  <c r="I293" i="24"/>
  <c r="I308" i="24"/>
  <c r="I357" i="24"/>
  <c r="I322" i="24"/>
  <c r="I328" i="24"/>
  <c r="I360" i="24"/>
  <c r="I343" i="24"/>
  <c r="I294" i="24"/>
  <c r="I281" i="24"/>
  <c r="I225" i="24"/>
  <c r="I228" i="24"/>
  <c r="I321" i="24"/>
  <c r="I292" i="24"/>
  <c r="I290" i="24"/>
  <c r="I329" i="24"/>
  <c r="I317" i="24"/>
  <c r="I299" i="24"/>
  <c r="I346" i="24"/>
  <c r="I340" i="24"/>
  <c r="I323" i="24"/>
  <c r="I355" i="24"/>
  <c r="I223" i="24"/>
  <c r="I289" i="24"/>
  <c r="I309" i="24"/>
  <c r="I301" i="24"/>
  <c r="I298" i="24"/>
  <c r="I342" i="24"/>
  <c r="I345" i="24"/>
  <c r="I325" i="24"/>
  <c r="I303" i="24"/>
  <c r="I354" i="24"/>
  <c r="I344" i="24"/>
  <c r="I327" i="24"/>
  <c r="I359" i="24"/>
  <c r="I227" i="24"/>
  <c r="I243" i="24" s="1"/>
  <c r="I334" i="24"/>
  <c r="I282" i="24"/>
  <c r="I318" i="24"/>
  <c r="I350" i="24"/>
  <c r="I280" i="24"/>
  <c r="I306" i="24"/>
  <c r="I353" i="24"/>
  <c r="I283" i="24"/>
  <c r="I305" i="24"/>
  <c r="I358" i="24"/>
  <c r="I302" i="24"/>
  <c r="I296" i="24"/>
  <c r="I312" i="24"/>
  <c r="I333" i="24"/>
  <c r="I291" i="24"/>
  <c r="I307" i="24"/>
  <c r="I330" i="24"/>
  <c r="I361" i="24"/>
  <c r="I332" i="24"/>
  <c r="I348" i="24"/>
  <c r="I364" i="24"/>
  <c r="I331" i="24"/>
  <c r="I347" i="24"/>
  <c r="I161" i="24"/>
  <c r="I178" i="24"/>
  <c r="D54" i="24"/>
  <c r="J53" i="24"/>
  <c r="I205" i="24"/>
  <c r="I179" i="24"/>
  <c r="I162" i="24"/>
  <c r="G147" i="24"/>
  <c r="G146" i="24"/>
  <c r="G113" i="24"/>
  <c r="G67" i="24"/>
  <c r="G96" i="24" s="1"/>
  <c r="E179" i="24"/>
  <c r="E162" i="24"/>
  <c r="E245" i="24"/>
  <c r="E243" i="24"/>
  <c r="E254" i="24"/>
  <c r="E255" i="24"/>
  <c r="E246" i="24"/>
  <c r="E244" i="24"/>
  <c r="E155" i="24"/>
  <c r="E121" i="24"/>
  <c r="E151" i="24"/>
  <c r="E117" i="24"/>
  <c r="J65" i="24"/>
  <c r="D94" i="24"/>
  <c r="D95" i="24"/>
  <c r="J205" i="24"/>
  <c r="H274" i="24"/>
  <c r="H270" i="24"/>
  <c r="H275" i="24"/>
  <c r="H271" i="24"/>
  <c r="H268" i="24"/>
  <c r="H266" i="24"/>
  <c r="H219" i="24"/>
  <c r="H269" i="24"/>
  <c r="H267" i="24"/>
  <c r="H220" i="24"/>
  <c r="H272" i="24"/>
  <c r="H273" i="24"/>
  <c r="H265" i="24"/>
  <c r="H114" i="24"/>
  <c r="H218" i="24"/>
  <c r="G277" i="24"/>
  <c r="G273" i="24"/>
  <c r="G269" i="24"/>
  <c r="G282" i="24"/>
  <c r="G278" i="24"/>
  <c r="G274" i="24"/>
  <c r="G270" i="24"/>
  <c r="G283" i="24"/>
  <c r="G275" i="24"/>
  <c r="G265" i="24"/>
  <c r="G218" i="24"/>
  <c r="G276" i="24"/>
  <c r="G268" i="24"/>
  <c r="G266" i="24"/>
  <c r="G219" i="24"/>
  <c r="G271" i="24"/>
  <c r="G267" i="24"/>
  <c r="G220" i="24"/>
  <c r="G272" i="24"/>
  <c r="G148" i="24"/>
  <c r="G114" i="24"/>
  <c r="F280" i="24"/>
  <c r="F276" i="24"/>
  <c r="F272" i="24"/>
  <c r="F268" i="24"/>
  <c r="F281" i="24"/>
  <c r="F277" i="24"/>
  <c r="F273" i="24"/>
  <c r="F269" i="24"/>
  <c r="F282" i="24"/>
  <c r="F274" i="24"/>
  <c r="F221" i="24"/>
  <c r="F283" i="24"/>
  <c r="F275" i="24"/>
  <c r="F265" i="24"/>
  <c r="F218" i="24"/>
  <c r="F278" i="24"/>
  <c r="F270" i="24"/>
  <c r="F266" i="24"/>
  <c r="F219" i="24"/>
  <c r="F220" i="24"/>
  <c r="F271" i="24"/>
  <c r="F267" i="24"/>
  <c r="F148" i="24"/>
  <c r="F279" i="24"/>
  <c r="F114" i="24"/>
  <c r="E247" i="24"/>
  <c r="E248" i="24"/>
  <c r="I97" i="24"/>
  <c r="I98" i="24"/>
  <c r="I99" i="24"/>
  <c r="I100" i="24"/>
  <c r="I101" i="24"/>
  <c r="I102" i="24"/>
  <c r="I103" i="24"/>
  <c r="I104" i="24"/>
  <c r="E120" i="24"/>
  <c r="E154" i="24"/>
  <c r="E150" i="24"/>
  <c r="E116" i="24"/>
  <c r="E149" i="24"/>
  <c r="D96" i="24"/>
  <c r="E205" i="24"/>
  <c r="I245" i="24"/>
  <c r="H113" i="24"/>
  <c r="H146" i="24"/>
  <c r="H147" i="24"/>
  <c r="F146" i="24"/>
  <c r="F147" i="24"/>
  <c r="F113" i="24"/>
  <c r="H55" i="24"/>
  <c r="H56" i="24" s="1"/>
  <c r="H57" i="24" s="1"/>
  <c r="H58" i="24" s="1"/>
  <c r="H59" i="24" s="1"/>
  <c r="H60" i="24" s="1"/>
  <c r="H61" i="24" s="1"/>
  <c r="E157" i="24"/>
  <c r="E123" i="24"/>
  <c r="E153" i="24"/>
  <c r="E119" i="24"/>
  <c r="D205" i="24"/>
  <c r="F69" i="24"/>
  <c r="F352" i="24" s="1"/>
  <c r="F115" i="24"/>
  <c r="E161" i="24"/>
  <c r="E178" i="24"/>
  <c r="H67" i="24"/>
  <c r="H96" i="24" s="1"/>
  <c r="G55" i="24"/>
  <c r="G56" i="24" s="1"/>
  <c r="G57" i="24" s="1"/>
  <c r="G58" i="24" s="1"/>
  <c r="G59" i="24" s="1"/>
  <c r="G60" i="24" s="1"/>
  <c r="G61" i="24" s="1"/>
  <c r="E156" i="24"/>
  <c r="E122" i="24"/>
  <c r="E118" i="24"/>
  <c r="E152" i="24"/>
  <c r="D51" i="26" l="1"/>
  <c r="D66" i="37"/>
  <c r="C42" i="40"/>
  <c r="J13" i="35"/>
  <c r="J4" i="35"/>
  <c r="C39" i="37"/>
  <c r="E4" i="34" s="1"/>
  <c r="C5" i="34"/>
  <c r="C40" i="37"/>
  <c r="C41" i="37" s="1"/>
  <c r="H12" i="40"/>
  <c r="D34" i="40" s="1"/>
  <c r="C33" i="40"/>
  <c r="J15" i="35"/>
  <c r="C34" i="35"/>
  <c r="H13" i="35"/>
  <c r="D35" i="35" s="1"/>
  <c r="G279" i="24"/>
  <c r="G222" i="24"/>
  <c r="G286" i="24"/>
  <c r="G281" i="24"/>
  <c r="D238" i="24"/>
  <c r="D42" i="37"/>
  <c r="D66" i="40"/>
  <c r="D72" i="40"/>
  <c r="H10" i="40"/>
  <c r="D32" i="40" s="1"/>
  <c r="C31" i="40"/>
  <c r="H14" i="40"/>
  <c r="D36" i="40" s="1"/>
  <c r="C35" i="40"/>
  <c r="C28" i="40"/>
  <c r="H7" i="40"/>
  <c r="D29" i="40" s="1"/>
  <c r="K6" i="40"/>
  <c r="F236" i="24"/>
  <c r="J7" i="35"/>
  <c r="J12" i="35"/>
  <c r="J9" i="35"/>
  <c r="C33" i="35"/>
  <c r="H12" i="35"/>
  <c r="D34" i="35" s="1"/>
  <c r="H15" i="35"/>
  <c r="D37" i="35" s="1"/>
  <c r="C36" i="35"/>
  <c r="G11" i="26"/>
  <c r="G9" i="26"/>
  <c r="G8" i="26"/>
  <c r="G10" i="26"/>
  <c r="G14" i="26"/>
  <c r="H15" i="26" s="1"/>
  <c r="G7" i="26"/>
  <c r="G13" i="26"/>
  <c r="G12" i="26"/>
  <c r="G221" i="24"/>
  <c r="G287" i="24"/>
  <c r="G285" i="24"/>
  <c r="I248" i="24"/>
  <c r="D39" i="37"/>
  <c r="P5" i="40"/>
  <c r="Q6" i="40" s="1"/>
  <c r="D53" i="40"/>
  <c r="D52" i="40"/>
  <c r="D51" i="40"/>
  <c r="D60" i="40"/>
  <c r="D63" i="40"/>
  <c r="D55" i="40"/>
  <c r="D62" i="40"/>
  <c r="D56" i="40"/>
  <c r="D58" i="40"/>
  <c r="D57" i="40"/>
  <c r="D61" i="40"/>
  <c r="D59" i="40"/>
  <c r="D54" i="40"/>
  <c r="H8" i="40"/>
  <c r="D30" i="40" s="1"/>
  <c r="C29" i="40"/>
  <c r="H15" i="40"/>
  <c r="D37" i="40" s="1"/>
  <c r="C36" i="40"/>
  <c r="C43" i="37"/>
  <c r="E6" i="34" s="1"/>
  <c r="E5" i="34"/>
  <c r="F234" i="24"/>
  <c r="F233" i="24" s="1"/>
  <c r="J11" i="35"/>
  <c r="J8" i="35"/>
  <c r="J14" i="35"/>
  <c r="H11" i="35"/>
  <c r="D33" i="35" s="1"/>
  <c r="C32" i="35"/>
  <c r="C30" i="40"/>
  <c r="H9" i="40"/>
  <c r="D31" i="40" s="1"/>
  <c r="J5" i="35"/>
  <c r="J6" i="35"/>
  <c r="C35" i="35"/>
  <c r="H14" i="35"/>
  <c r="D36" i="35" s="1"/>
  <c r="G280" i="24"/>
  <c r="G284" i="24"/>
  <c r="I231" i="24"/>
  <c r="D69" i="40"/>
  <c r="H11" i="40"/>
  <c r="D33" i="40" s="1"/>
  <c r="C32" i="40"/>
  <c r="C34" i="40"/>
  <c r="H13" i="40"/>
  <c r="D35" i="40" s="1"/>
  <c r="F230" i="24"/>
  <c r="F237" i="24"/>
  <c r="F239" i="24" s="1"/>
  <c r="J10" i="35"/>
  <c r="D26" i="40"/>
  <c r="N9" i="35"/>
  <c r="C31" i="35"/>
  <c r="C39" i="35" s="1"/>
  <c r="H10" i="35"/>
  <c r="D32" i="35" s="1"/>
  <c r="C42" i="35"/>
  <c r="H26" i="26"/>
  <c r="J46" i="27"/>
  <c r="D47" i="27"/>
  <c r="H27" i="26"/>
  <c r="H28" i="26"/>
  <c r="I255" i="24"/>
  <c r="I244" i="24"/>
  <c r="I254" i="24"/>
  <c r="I246" i="24"/>
  <c r="E187" i="24"/>
  <c r="E170" i="24"/>
  <c r="E183" i="24"/>
  <c r="E166" i="24"/>
  <c r="F178" i="24"/>
  <c r="F161" i="24"/>
  <c r="E180" i="24"/>
  <c r="E163" i="24"/>
  <c r="E108" i="24"/>
  <c r="E110" i="24" s="1"/>
  <c r="I154" i="24"/>
  <c r="I120" i="24"/>
  <c r="I116" i="24"/>
  <c r="I150" i="24"/>
  <c r="I149" i="24"/>
  <c r="I210" i="24"/>
  <c r="I250" i="24"/>
  <c r="F298" i="24"/>
  <c r="F355" i="24"/>
  <c r="F314" i="24"/>
  <c r="F229" i="24"/>
  <c r="F323" i="24"/>
  <c r="F303" i="24"/>
  <c r="F358" i="24"/>
  <c r="F294" i="24"/>
  <c r="F347" i="24"/>
  <c r="F315" i="24"/>
  <c r="F297" i="24"/>
  <c r="F313" i="24"/>
  <c r="F346" i="24"/>
  <c r="F296" i="24"/>
  <c r="F312" i="24"/>
  <c r="F335" i="24"/>
  <c r="F362" i="24"/>
  <c r="F329" i="24"/>
  <c r="F345" i="24"/>
  <c r="F361" i="24"/>
  <c r="F332" i="24"/>
  <c r="F348" i="24"/>
  <c r="F364" i="24"/>
  <c r="D86" i="24"/>
  <c r="D82" i="24"/>
  <c r="D78" i="24"/>
  <c r="D84" i="24"/>
  <c r="D76" i="24"/>
  <c r="D81" i="24"/>
  <c r="D80" i="24"/>
  <c r="D85" i="24"/>
  <c r="D77" i="24"/>
  <c r="D83" i="24"/>
  <c r="D79" i="24"/>
  <c r="E169" i="24"/>
  <c r="E186" i="24"/>
  <c r="J54" i="24"/>
  <c r="D55" i="24"/>
  <c r="G69" i="24"/>
  <c r="G236" i="24" s="1"/>
  <c r="E184" i="24"/>
  <c r="E167" i="24"/>
  <c r="H69" i="24"/>
  <c r="F177" i="24"/>
  <c r="F160" i="24"/>
  <c r="H161" i="24"/>
  <c r="H178" i="24"/>
  <c r="E125" i="24"/>
  <c r="I123" i="24"/>
  <c r="I157" i="24"/>
  <c r="I119" i="24"/>
  <c r="I153" i="24"/>
  <c r="F179" i="24"/>
  <c r="F162" i="24"/>
  <c r="F224" i="24"/>
  <c r="F339" i="24"/>
  <c r="F285" i="24"/>
  <c r="F311" i="24"/>
  <c r="F284" i="24"/>
  <c r="F302" i="24"/>
  <c r="F295" i="24"/>
  <c r="F318" i="24"/>
  <c r="F301" i="24"/>
  <c r="F322" i="24"/>
  <c r="F354" i="24"/>
  <c r="F300" i="24"/>
  <c r="F316" i="24"/>
  <c r="F343" i="24"/>
  <c r="F317" i="24"/>
  <c r="F333" i="24"/>
  <c r="F349" i="24"/>
  <c r="F320" i="24"/>
  <c r="F336" i="24"/>
  <c r="H288" i="24"/>
  <c r="H279" i="24"/>
  <c r="H278" i="24"/>
  <c r="H352" i="24"/>
  <c r="H345" i="24"/>
  <c r="H363" i="24"/>
  <c r="G115" i="24"/>
  <c r="G160" i="24"/>
  <c r="G177" i="24"/>
  <c r="H115" i="24"/>
  <c r="F103" i="24"/>
  <c r="F100" i="24"/>
  <c r="F97" i="24"/>
  <c r="F104" i="24"/>
  <c r="F99" i="24"/>
  <c r="F102" i="24"/>
  <c r="F101" i="24"/>
  <c r="F98" i="24"/>
  <c r="H160" i="24"/>
  <c r="H177" i="24"/>
  <c r="D115" i="24"/>
  <c r="J96" i="24"/>
  <c r="E181" i="24"/>
  <c r="E164" i="24"/>
  <c r="I156" i="24"/>
  <c r="I122" i="24"/>
  <c r="I118" i="24"/>
  <c r="I152" i="24"/>
  <c r="F228" i="24"/>
  <c r="F223" i="24"/>
  <c r="F222" i="24"/>
  <c r="F289" i="24"/>
  <c r="F326" i="24"/>
  <c r="F288" i="24"/>
  <c r="F310" i="24"/>
  <c r="F299" i="24"/>
  <c r="F334" i="24"/>
  <c r="F305" i="24"/>
  <c r="F330" i="24"/>
  <c r="F363" i="24"/>
  <c r="F304" i="24"/>
  <c r="F319" i="24"/>
  <c r="F351" i="24"/>
  <c r="F321" i="24"/>
  <c r="F337" i="24"/>
  <c r="F353" i="24"/>
  <c r="F324" i="24"/>
  <c r="F340" i="24"/>
  <c r="F356" i="24"/>
  <c r="H281" i="24"/>
  <c r="H316" i="24"/>
  <c r="H277" i="24"/>
  <c r="H283" i="24"/>
  <c r="H282" i="24"/>
  <c r="H296" i="24"/>
  <c r="H315" i="24"/>
  <c r="H353" i="24"/>
  <c r="H318" i="24"/>
  <c r="D282" i="24"/>
  <c r="D278" i="24"/>
  <c r="D274" i="24"/>
  <c r="D270" i="24"/>
  <c r="D283" i="24"/>
  <c r="D279" i="24"/>
  <c r="D275" i="24"/>
  <c r="D271" i="24"/>
  <c r="D280" i="24"/>
  <c r="D272" i="24"/>
  <c r="D266" i="24"/>
  <c r="D219" i="24"/>
  <c r="D281" i="24"/>
  <c r="D273" i="24"/>
  <c r="D267" i="24"/>
  <c r="D220" i="24"/>
  <c r="D276" i="24"/>
  <c r="D268" i="24"/>
  <c r="D221" i="24"/>
  <c r="D269" i="24"/>
  <c r="D218" i="24"/>
  <c r="D148" i="24"/>
  <c r="D277" i="24"/>
  <c r="D114" i="24"/>
  <c r="D265" i="24"/>
  <c r="J95" i="24"/>
  <c r="E165" i="24"/>
  <c r="E182" i="24"/>
  <c r="G161" i="24"/>
  <c r="G178" i="24"/>
  <c r="E188" i="24"/>
  <c r="E171" i="24"/>
  <c r="J67" i="24"/>
  <c r="E185" i="24"/>
  <c r="E168" i="24"/>
  <c r="I155" i="24"/>
  <c r="I121" i="24"/>
  <c r="I151" i="24"/>
  <c r="I117" i="24"/>
  <c r="F287" i="24"/>
  <c r="F227" i="24"/>
  <c r="F286" i="24"/>
  <c r="F226" i="24"/>
  <c r="F290" i="24"/>
  <c r="F225" i="24"/>
  <c r="F306" i="24"/>
  <c r="F293" i="24"/>
  <c r="F342" i="24"/>
  <c r="F291" i="24"/>
  <c r="F331" i="24"/>
  <c r="F307" i="24"/>
  <c r="F350" i="24"/>
  <c r="F309" i="24"/>
  <c r="F338" i="24"/>
  <c r="F292" i="24"/>
  <c r="F308" i="24"/>
  <c r="F327" i="24"/>
  <c r="F359" i="24"/>
  <c r="F325" i="24"/>
  <c r="F341" i="24"/>
  <c r="F357" i="24"/>
  <c r="F328" i="24"/>
  <c r="F344" i="24"/>
  <c r="F360" i="24"/>
  <c r="G162" i="24"/>
  <c r="G179" i="24"/>
  <c r="H148" i="24"/>
  <c r="H221" i="24"/>
  <c r="H280" i="24"/>
  <c r="H228" i="24"/>
  <c r="H276" i="24"/>
  <c r="H287" i="24"/>
  <c r="H349" i="24"/>
  <c r="H356" i="24"/>
  <c r="H323" i="24"/>
  <c r="H338" i="24"/>
  <c r="D113" i="24"/>
  <c r="D146" i="24"/>
  <c r="J94" i="24"/>
  <c r="D147" i="24"/>
  <c r="J5" i="22"/>
  <c r="K29" i="4"/>
  <c r="D39" i="35" l="1"/>
  <c r="C43" i="40"/>
  <c r="C6" i="34" s="1"/>
  <c r="D39" i="40"/>
  <c r="C39" i="40"/>
  <c r="C40" i="40" s="1"/>
  <c r="C41" i="40" s="1"/>
  <c r="D40" i="35"/>
  <c r="D41" i="35" s="1"/>
  <c r="K4" i="34"/>
  <c r="C4" i="34"/>
  <c r="H225" i="24"/>
  <c r="H234" i="24"/>
  <c r="H235" i="24"/>
  <c r="H233" i="24" s="1"/>
  <c r="H322" i="24"/>
  <c r="H361" i="24"/>
  <c r="H324" i="24"/>
  <c r="H304" i="24"/>
  <c r="H351" i="24"/>
  <c r="H321" i="24"/>
  <c r="H299" i="24"/>
  <c r="H341" i="24"/>
  <c r="H347" i="24"/>
  <c r="H314" i="24"/>
  <c r="H293" i="24"/>
  <c r="H325" i="24"/>
  <c r="H237" i="24"/>
  <c r="H239" i="24" s="1"/>
  <c r="D42" i="40"/>
  <c r="G234" i="24"/>
  <c r="H230" i="24"/>
  <c r="J5" i="34"/>
  <c r="D43" i="37"/>
  <c r="J6" i="34" s="1"/>
  <c r="H236" i="24"/>
  <c r="J238" i="24"/>
  <c r="H355" i="24"/>
  <c r="H329" i="24"/>
  <c r="H303" i="24"/>
  <c r="H286" i="24"/>
  <c r="H223" i="24"/>
  <c r="H350" i="24"/>
  <c r="H335" i="24"/>
  <c r="H302" i="24"/>
  <c r="H309" i="24"/>
  <c r="H344" i="24"/>
  <c r="H291" i="24"/>
  <c r="H346" i="24"/>
  <c r="H331" i="24"/>
  <c r="H340" i="24"/>
  <c r="H4" i="34"/>
  <c r="D40" i="40"/>
  <c r="D41" i="40" s="1"/>
  <c r="G235" i="24"/>
  <c r="G237" i="24"/>
  <c r="G239" i="24" s="1"/>
  <c r="H354" i="24"/>
  <c r="H339" i="24"/>
  <c r="H306" i="24"/>
  <c r="H320" i="24"/>
  <c r="H305" i="24"/>
  <c r="H285" i="24"/>
  <c r="H334" i="24"/>
  <c r="H319" i="24"/>
  <c r="H348" i="24"/>
  <c r="H333" i="24"/>
  <c r="H297" i="24"/>
  <c r="H224" i="24"/>
  <c r="H330" i="24"/>
  <c r="H364" i="24"/>
  <c r="H311" i="24"/>
  <c r="C40" i="35"/>
  <c r="C41" i="35" s="1"/>
  <c r="F4" i="34"/>
  <c r="G230" i="24"/>
  <c r="D40" i="37"/>
  <c r="D41" i="37" s="1"/>
  <c r="J4" i="34"/>
  <c r="F5" i="34"/>
  <c r="C43" i="35"/>
  <c r="F6" i="34" s="1"/>
  <c r="G42" i="26"/>
  <c r="D5" i="34" s="1"/>
  <c r="D42" i="35"/>
  <c r="D48" i="27"/>
  <c r="J47" i="27"/>
  <c r="E172" i="24"/>
  <c r="E174" i="24" s="1"/>
  <c r="E175" i="24" s="1"/>
  <c r="E189" i="24"/>
  <c r="D161" i="24"/>
  <c r="D178" i="24"/>
  <c r="I169" i="24"/>
  <c r="I186" i="24"/>
  <c r="J280" i="24"/>
  <c r="J276" i="24"/>
  <c r="J272" i="24"/>
  <c r="J268" i="24"/>
  <c r="J281" i="24"/>
  <c r="J277" i="24"/>
  <c r="J273" i="24"/>
  <c r="J269" i="24"/>
  <c r="J278" i="24"/>
  <c r="J270" i="24"/>
  <c r="J221" i="24"/>
  <c r="J279" i="24"/>
  <c r="J271" i="24"/>
  <c r="J265" i="24"/>
  <c r="J218" i="24"/>
  <c r="J148" i="24"/>
  <c r="J282" i="24"/>
  <c r="J274" i="24"/>
  <c r="J266" i="24"/>
  <c r="J219" i="24"/>
  <c r="J267" i="24"/>
  <c r="J275" i="24"/>
  <c r="J220" i="24"/>
  <c r="J283" i="24"/>
  <c r="J114" i="24"/>
  <c r="D179" i="24"/>
  <c r="D162" i="24"/>
  <c r="F151" i="24"/>
  <c r="F117" i="24"/>
  <c r="F157" i="24"/>
  <c r="F123" i="24"/>
  <c r="H298" i="24"/>
  <c r="H301" i="24"/>
  <c r="H328" i="24"/>
  <c r="H357" i="24"/>
  <c r="I184" i="24"/>
  <c r="I167" i="24"/>
  <c r="E208" i="24"/>
  <c r="E127" i="24"/>
  <c r="E128" i="24" s="1"/>
  <c r="D56" i="24"/>
  <c r="J55" i="24"/>
  <c r="H358" i="24"/>
  <c r="H343" i="24"/>
  <c r="H310" i="24"/>
  <c r="H336" i="24"/>
  <c r="H313" i="24"/>
  <c r="H300" i="24"/>
  <c r="H226" i="24"/>
  <c r="H231" i="24" s="1"/>
  <c r="I180" i="24"/>
  <c r="I163" i="24"/>
  <c r="I108" i="24"/>
  <c r="I110" i="24" s="1"/>
  <c r="I185" i="24"/>
  <c r="I168" i="24"/>
  <c r="F254" i="24"/>
  <c r="F255" i="24"/>
  <c r="F243" i="24"/>
  <c r="F245" i="24"/>
  <c r="J146" i="24"/>
  <c r="J147" i="24"/>
  <c r="J113" i="24"/>
  <c r="H162" i="24"/>
  <c r="H179" i="24"/>
  <c r="F248" i="24"/>
  <c r="F247" i="24"/>
  <c r="F231" i="24"/>
  <c r="J115" i="24"/>
  <c r="F154" i="24"/>
  <c r="F120" i="24"/>
  <c r="F116" i="24"/>
  <c r="F150" i="24"/>
  <c r="F210" i="24"/>
  <c r="F250" i="24"/>
  <c r="F149" i="24"/>
  <c r="H317" i="24"/>
  <c r="H295" i="24"/>
  <c r="H229" i="24"/>
  <c r="H342" i="24"/>
  <c r="H327" i="24"/>
  <c r="H294" i="24"/>
  <c r="H289" i="24"/>
  <c r="H292" i="24"/>
  <c r="H308" i="24"/>
  <c r="I181" i="24"/>
  <c r="I164" i="24"/>
  <c r="H362" i="24"/>
  <c r="I165" i="24"/>
  <c r="I182" i="24"/>
  <c r="F244" i="24"/>
  <c r="I187" i="24"/>
  <c r="I170" i="24"/>
  <c r="F155" i="24"/>
  <c r="F121" i="24"/>
  <c r="F119" i="24"/>
  <c r="F153" i="24"/>
  <c r="I188" i="24"/>
  <c r="I171" i="24"/>
  <c r="G104" i="24"/>
  <c r="G97" i="24"/>
  <c r="G102" i="24"/>
  <c r="G99" i="24"/>
  <c r="G101" i="24"/>
  <c r="G103" i="24"/>
  <c r="G98" i="24"/>
  <c r="G100" i="24"/>
  <c r="G361" i="24"/>
  <c r="G345" i="24"/>
  <c r="G329" i="24"/>
  <c r="G362" i="24"/>
  <c r="G346" i="24"/>
  <c r="G330" i="24"/>
  <c r="G363" i="24"/>
  <c r="G336" i="24"/>
  <c r="G309" i="24"/>
  <c r="G293" i="24"/>
  <c r="G331" i="24"/>
  <c r="G306" i="24"/>
  <c r="G343" i="24"/>
  <c r="G300" i="24"/>
  <c r="G356" i="24"/>
  <c r="G303" i="24"/>
  <c r="G335" i="24"/>
  <c r="G296" i="24"/>
  <c r="G332" i="24"/>
  <c r="G348" i="24"/>
  <c r="G299" i="24"/>
  <c r="G224" i="24"/>
  <c r="G357" i="24"/>
  <c r="G341" i="24"/>
  <c r="G325" i="24"/>
  <c r="G358" i="24"/>
  <c r="G342" i="24"/>
  <c r="G326" i="24"/>
  <c r="G359" i="24"/>
  <c r="G328" i="24"/>
  <c r="G305" i="24"/>
  <c r="G355" i="24"/>
  <c r="G323" i="24"/>
  <c r="G302" i="24"/>
  <c r="G327" i="24"/>
  <c r="G294" i="24"/>
  <c r="G340" i="24"/>
  <c r="G289" i="24"/>
  <c r="G319" i="24"/>
  <c r="G290" i="24"/>
  <c r="G315" i="24"/>
  <c r="G226" i="24"/>
  <c r="G227" i="24"/>
  <c r="G295" i="24"/>
  <c r="G307" i="24"/>
  <c r="G225" i="24"/>
  <c r="G353" i="24"/>
  <c r="G337" i="24"/>
  <c r="G321" i="24"/>
  <c r="G354" i="24"/>
  <c r="G338" i="24"/>
  <c r="G322" i="24"/>
  <c r="G352" i="24"/>
  <c r="G320" i="24"/>
  <c r="G301" i="24"/>
  <c r="G347" i="24"/>
  <c r="G314" i="24"/>
  <c r="G298" i="24"/>
  <c r="G316" i="24"/>
  <c r="G291" i="24"/>
  <c r="G324" i="24"/>
  <c r="G312" i="24"/>
  <c r="G223" i="24"/>
  <c r="G292" i="24"/>
  <c r="G229" i="24"/>
  <c r="G349" i="24"/>
  <c r="G333" i="24"/>
  <c r="G317" i="24"/>
  <c r="G350" i="24"/>
  <c r="G334" i="24"/>
  <c r="G318" i="24"/>
  <c r="G344" i="24"/>
  <c r="G313" i="24"/>
  <c r="G297" i="24"/>
  <c r="G339" i="24"/>
  <c r="G310" i="24"/>
  <c r="G364" i="24"/>
  <c r="G308" i="24"/>
  <c r="G288" i="24"/>
  <c r="G311" i="24"/>
  <c r="G351" i="24"/>
  <c r="G304" i="24"/>
  <c r="G360" i="24"/>
  <c r="G228" i="24"/>
  <c r="H326" i="24"/>
  <c r="H360" i="24"/>
  <c r="H332" i="24"/>
  <c r="H312" i="24"/>
  <c r="H284" i="24"/>
  <c r="I125" i="24"/>
  <c r="D160" i="24"/>
  <c r="D177" i="24"/>
  <c r="E81" i="24"/>
  <c r="E82" i="24"/>
  <c r="E86" i="24"/>
  <c r="E78" i="24"/>
  <c r="E85" i="24"/>
  <c r="E77" i="24"/>
  <c r="E80" i="24"/>
  <c r="E84" i="24"/>
  <c r="E76" i="24"/>
  <c r="E79" i="24"/>
  <c r="E83" i="24"/>
  <c r="F246" i="24"/>
  <c r="I183" i="24"/>
  <c r="I166" i="24"/>
  <c r="F152" i="24"/>
  <c r="F118" i="24"/>
  <c r="F156" i="24"/>
  <c r="F122" i="24"/>
  <c r="H97" i="24"/>
  <c r="H98" i="24"/>
  <c r="H99" i="24"/>
  <c r="H100" i="24"/>
  <c r="H101" i="24"/>
  <c r="H102" i="24"/>
  <c r="H103" i="24"/>
  <c r="H104" i="24"/>
  <c r="H359" i="24"/>
  <c r="H337" i="24"/>
  <c r="H307" i="24"/>
  <c r="H290" i="24"/>
  <c r="H227" i="24"/>
  <c r="H244" i="24" s="1"/>
  <c r="H222" i="24"/>
  <c r="K5" i="34" l="1"/>
  <c r="D43" i="35"/>
  <c r="K6" i="34" s="1"/>
  <c r="G233" i="24"/>
  <c r="D43" i="40"/>
  <c r="H6" i="34" s="1"/>
  <c r="H5" i="34"/>
  <c r="D49" i="27"/>
  <c r="J48" i="27"/>
  <c r="G231" i="24"/>
  <c r="H121" i="24"/>
  <c r="H155" i="24"/>
  <c r="H151" i="24"/>
  <c r="H117" i="24"/>
  <c r="F187" i="24"/>
  <c r="F170" i="24"/>
  <c r="G153" i="24"/>
  <c r="G119" i="24"/>
  <c r="G152" i="24"/>
  <c r="G118" i="24"/>
  <c r="J177" i="24"/>
  <c r="J160" i="24"/>
  <c r="J179" i="24"/>
  <c r="J162" i="24"/>
  <c r="H255" i="24"/>
  <c r="H245" i="24"/>
  <c r="H243" i="24"/>
  <c r="H254" i="24"/>
  <c r="H154" i="24"/>
  <c r="H120" i="24"/>
  <c r="H150" i="24"/>
  <c r="H116" i="24"/>
  <c r="H250" i="24"/>
  <c r="H210" i="24"/>
  <c r="H149" i="24"/>
  <c r="G255" i="24"/>
  <c r="G245" i="24"/>
  <c r="G243" i="24"/>
  <c r="G254" i="24"/>
  <c r="G246" i="24"/>
  <c r="G244" i="24"/>
  <c r="G151" i="24"/>
  <c r="G117" i="24"/>
  <c r="G155" i="24"/>
  <c r="G121" i="24"/>
  <c r="F185" i="24"/>
  <c r="F168" i="24"/>
  <c r="I172" i="24"/>
  <c r="I174" i="24" s="1"/>
  <c r="I175" i="24" s="1"/>
  <c r="F188" i="24"/>
  <c r="F171" i="24"/>
  <c r="H246" i="24"/>
  <c r="H123" i="24"/>
  <c r="H157" i="24"/>
  <c r="H119" i="24"/>
  <c r="H153" i="24"/>
  <c r="F183" i="24"/>
  <c r="F166" i="24"/>
  <c r="I208" i="24"/>
  <c r="I127" i="24"/>
  <c r="I128" i="24" s="1"/>
  <c r="G248" i="24"/>
  <c r="G247" i="24"/>
  <c r="G122" i="24"/>
  <c r="G156" i="24"/>
  <c r="G150" i="24"/>
  <c r="G116" i="24"/>
  <c r="G210" i="24"/>
  <c r="G250" i="24"/>
  <c r="G149" i="24"/>
  <c r="F186" i="24"/>
  <c r="F169" i="24"/>
  <c r="F181" i="24"/>
  <c r="F164" i="24"/>
  <c r="I189" i="24"/>
  <c r="H122" i="24"/>
  <c r="H156" i="24"/>
  <c r="H118" i="24"/>
  <c r="H152" i="24"/>
  <c r="G154" i="24"/>
  <c r="G120" i="24"/>
  <c r="G157" i="24"/>
  <c r="G123" i="24"/>
  <c r="F184" i="24"/>
  <c r="F167" i="24"/>
  <c r="F180" i="24"/>
  <c r="F163" i="24"/>
  <c r="F108" i="24"/>
  <c r="F110" i="24" s="1"/>
  <c r="F125" i="24"/>
  <c r="J178" i="24"/>
  <c r="J161" i="24"/>
  <c r="H247" i="24"/>
  <c r="H248" i="24"/>
  <c r="D57" i="24"/>
  <c r="J56" i="24"/>
  <c r="F182" i="24"/>
  <c r="F165" i="24"/>
  <c r="D64" i="26" l="1"/>
  <c r="D60" i="26"/>
  <c r="J49" i="27"/>
  <c r="D50" i="27"/>
  <c r="J50" i="27" s="1"/>
  <c r="E36" i="26"/>
  <c r="E28" i="26"/>
  <c r="E37" i="26"/>
  <c r="E34" i="26"/>
  <c r="E32" i="26"/>
  <c r="E38" i="26"/>
  <c r="E33" i="26"/>
  <c r="E30" i="26"/>
  <c r="E29" i="26"/>
  <c r="E31" i="26"/>
  <c r="E35" i="26"/>
  <c r="D57" i="26"/>
  <c r="D59" i="26"/>
  <c r="D58" i="26"/>
  <c r="D67" i="26"/>
  <c r="D69" i="26" s="1"/>
  <c r="D66" i="26"/>
  <c r="D56" i="26"/>
  <c r="D65" i="26"/>
  <c r="D52" i="26"/>
  <c r="D55" i="26"/>
  <c r="D53" i="26"/>
  <c r="D54" i="26"/>
  <c r="F208" i="24"/>
  <c r="F127" i="24"/>
  <c r="F128" i="24" s="1"/>
  <c r="F189" i="24"/>
  <c r="G171" i="24"/>
  <c r="G188" i="24"/>
  <c r="G125" i="24"/>
  <c r="H171" i="24"/>
  <c r="H188" i="24"/>
  <c r="H165" i="24"/>
  <c r="H182" i="24"/>
  <c r="H170" i="24"/>
  <c r="H187" i="24"/>
  <c r="G163" i="24"/>
  <c r="G180" i="24"/>
  <c r="G108" i="24"/>
  <c r="G110" i="24" s="1"/>
  <c r="G164" i="24"/>
  <c r="G181" i="24"/>
  <c r="G169" i="24"/>
  <c r="G186" i="24"/>
  <c r="H168" i="24"/>
  <c r="H185" i="24"/>
  <c r="G183" i="24"/>
  <c r="G166" i="24"/>
  <c r="H169" i="24"/>
  <c r="H186" i="24"/>
  <c r="G168" i="24"/>
  <c r="G185" i="24"/>
  <c r="G170" i="24"/>
  <c r="G187" i="24"/>
  <c r="H184" i="24"/>
  <c r="H167" i="24"/>
  <c r="H125" i="24"/>
  <c r="D58" i="24"/>
  <c r="J57" i="24"/>
  <c r="F172" i="24"/>
  <c r="F174" i="24" s="1"/>
  <c r="F175" i="24" s="1"/>
  <c r="H183" i="24"/>
  <c r="H166" i="24"/>
  <c r="G165" i="24"/>
  <c r="G182" i="24"/>
  <c r="H163" i="24"/>
  <c r="H180" i="24"/>
  <c r="H108" i="24"/>
  <c r="H110" i="24" s="1"/>
  <c r="H164" i="24"/>
  <c r="H181" i="24"/>
  <c r="G167" i="24"/>
  <c r="G184" i="24"/>
  <c r="D61" i="26" l="1"/>
  <c r="D63" i="26"/>
  <c r="G32" i="26"/>
  <c r="H11" i="26"/>
  <c r="H12" i="26"/>
  <c r="G33" i="26"/>
  <c r="H10" i="26"/>
  <c r="G31" i="26"/>
  <c r="H8" i="26"/>
  <c r="G29" i="26"/>
  <c r="H7" i="26"/>
  <c r="H9" i="26"/>
  <c r="G30" i="26"/>
  <c r="H14" i="26"/>
  <c r="G35" i="26"/>
  <c r="G36" i="26"/>
  <c r="H13" i="26"/>
  <c r="G34" i="26"/>
  <c r="H189" i="24"/>
  <c r="J58" i="24"/>
  <c r="D59" i="24"/>
  <c r="D69" i="24"/>
  <c r="H172" i="24"/>
  <c r="H174" i="24" s="1"/>
  <c r="H175" i="24" s="1"/>
  <c r="G189" i="24"/>
  <c r="G208" i="24"/>
  <c r="G127" i="24"/>
  <c r="G128" i="24" s="1"/>
  <c r="H208" i="24"/>
  <c r="H127" i="24"/>
  <c r="H128" i="24" s="1"/>
  <c r="G172" i="24"/>
  <c r="G174" i="24" s="1"/>
  <c r="G175" i="24" s="1"/>
  <c r="D235" i="24" l="1"/>
  <c r="D236" i="24"/>
  <c r="D234" i="24"/>
  <c r="D230" i="24"/>
  <c r="D237" i="24"/>
  <c r="D239" i="24" s="1"/>
  <c r="G43" i="26"/>
  <c r="H42" i="26"/>
  <c r="H36" i="26"/>
  <c r="G39" i="26"/>
  <c r="D4" i="34" s="1"/>
  <c r="H37" i="26"/>
  <c r="H30" i="26"/>
  <c r="H34" i="26"/>
  <c r="H33" i="26"/>
  <c r="H35" i="26"/>
  <c r="H31" i="26"/>
  <c r="H29" i="26"/>
  <c r="H32" i="26"/>
  <c r="J69" i="24"/>
  <c r="D97" i="24"/>
  <c r="D98" i="24"/>
  <c r="D99" i="24"/>
  <c r="D100" i="24"/>
  <c r="D101" i="24"/>
  <c r="D102" i="24"/>
  <c r="D103" i="24"/>
  <c r="D104" i="24"/>
  <c r="D350" i="24"/>
  <c r="D334" i="24"/>
  <c r="D318" i="24"/>
  <c r="D351" i="24"/>
  <c r="D335" i="24"/>
  <c r="D319" i="24"/>
  <c r="D349" i="24"/>
  <c r="D317" i="24"/>
  <c r="D302" i="24"/>
  <c r="D352" i="24"/>
  <c r="D320" i="24"/>
  <c r="D303" i="24"/>
  <c r="D313" i="24"/>
  <c r="D293" i="24"/>
  <c r="D316" i="24"/>
  <c r="D292" i="24"/>
  <c r="D340" i="24"/>
  <c r="D291" i="24"/>
  <c r="D321" i="24"/>
  <c r="D337" i="24"/>
  <c r="D353" i="24"/>
  <c r="D312" i="24"/>
  <c r="D362" i="24"/>
  <c r="D346" i="24"/>
  <c r="D330" i="24"/>
  <c r="D363" i="24"/>
  <c r="D347" i="24"/>
  <c r="D331" i="24"/>
  <c r="D364" i="24"/>
  <c r="D341" i="24"/>
  <c r="D314" i="24"/>
  <c r="D298" i="24"/>
  <c r="D344" i="24"/>
  <c r="D315" i="24"/>
  <c r="D299" i="24"/>
  <c r="D305" i="24"/>
  <c r="D289" i="24"/>
  <c r="D308" i="24"/>
  <c r="D290" i="24"/>
  <c r="D324" i="24"/>
  <c r="D287" i="24"/>
  <c r="D227" i="24"/>
  <c r="D288" i="24"/>
  <c r="D228" i="24"/>
  <c r="D304" i="24"/>
  <c r="D229" i="24"/>
  <c r="D358" i="24"/>
  <c r="D342" i="24"/>
  <c r="D326" i="24"/>
  <c r="D359" i="24"/>
  <c r="D343" i="24"/>
  <c r="D327" i="24"/>
  <c r="D360" i="24"/>
  <c r="D333" i="24"/>
  <c r="D310" i="24"/>
  <c r="D294" i="24"/>
  <c r="D336" i="24"/>
  <c r="D311" i="24"/>
  <c r="D348" i="24"/>
  <c r="D297" i="24"/>
  <c r="D345" i="24"/>
  <c r="D300" i="24"/>
  <c r="D286" i="24"/>
  <c r="D309" i="24"/>
  <c r="D223" i="24"/>
  <c r="D224" i="24"/>
  <c r="D284" i="24"/>
  <c r="D225" i="24"/>
  <c r="D222" i="24"/>
  <c r="D226" i="24"/>
  <c r="D354" i="24"/>
  <c r="D338" i="24"/>
  <c r="D322" i="24"/>
  <c r="D355" i="24"/>
  <c r="D339" i="24"/>
  <c r="D323" i="24"/>
  <c r="D357" i="24"/>
  <c r="D325" i="24"/>
  <c r="D306" i="24"/>
  <c r="D361" i="24"/>
  <c r="D328" i="24"/>
  <c r="D307" i="24"/>
  <c r="D332" i="24"/>
  <c r="D296" i="24"/>
  <c r="D329" i="24"/>
  <c r="D295" i="24"/>
  <c r="D356" i="24"/>
  <c r="D301" i="24"/>
  <c r="D285" i="24"/>
  <c r="D60" i="24"/>
  <c r="J59" i="24"/>
  <c r="D233" i="24" l="1"/>
  <c r="J234" i="24"/>
  <c r="J233" i="24" s="1"/>
  <c r="J236" i="24"/>
  <c r="J235" i="24"/>
  <c r="J237" i="24"/>
  <c r="J239" i="24" s="1"/>
  <c r="J230" i="24"/>
  <c r="H43" i="26"/>
  <c r="I6" i="34" s="1"/>
  <c r="D6" i="34"/>
  <c r="I5" i="34"/>
  <c r="G40" i="26"/>
  <c r="H39" i="26"/>
  <c r="I4" i="34" s="1"/>
  <c r="D156" i="24"/>
  <c r="D122" i="24"/>
  <c r="J103" i="24"/>
  <c r="D118" i="24"/>
  <c r="D152" i="24"/>
  <c r="J99" i="24"/>
  <c r="D61" i="24"/>
  <c r="J61" i="24" s="1"/>
  <c r="J60" i="24"/>
  <c r="D247" i="24"/>
  <c r="D248" i="24"/>
  <c r="D255" i="24"/>
  <c r="D245" i="24"/>
  <c r="D243" i="24"/>
  <c r="D254" i="24"/>
  <c r="D244" i="24"/>
  <c r="D246" i="24"/>
  <c r="D121" i="24"/>
  <c r="D155" i="24"/>
  <c r="J102" i="24"/>
  <c r="D117" i="24"/>
  <c r="D151" i="24"/>
  <c r="J98" i="24"/>
  <c r="D231" i="24"/>
  <c r="D154" i="24"/>
  <c r="D120" i="24"/>
  <c r="J101" i="24"/>
  <c r="D150" i="24"/>
  <c r="D116" i="24"/>
  <c r="J97" i="24"/>
  <c r="D149" i="24"/>
  <c r="D250" i="24"/>
  <c r="D251" i="24" s="1"/>
  <c r="D210" i="24"/>
  <c r="D157" i="24"/>
  <c r="J104" i="24"/>
  <c r="D153" i="24"/>
  <c r="D119" i="24"/>
  <c r="J100" i="24"/>
  <c r="F86" i="24"/>
  <c r="F78" i="24"/>
  <c r="F83" i="24"/>
  <c r="F79" i="24"/>
  <c r="F82" i="24"/>
  <c r="F84" i="24"/>
  <c r="F76" i="24"/>
  <c r="F77" i="24"/>
  <c r="F80" i="24"/>
  <c r="F81" i="24"/>
  <c r="F85" i="24"/>
  <c r="J356" i="24"/>
  <c r="J340" i="24"/>
  <c r="J324" i="24"/>
  <c r="J357" i="24"/>
  <c r="J341" i="24"/>
  <c r="J325" i="24"/>
  <c r="J363" i="24"/>
  <c r="J331" i="24"/>
  <c r="J304" i="24"/>
  <c r="J358" i="24"/>
  <c r="J326" i="24"/>
  <c r="J305" i="24"/>
  <c r="J354" i="24"/>
  <c r="J303" i="24"/>
  <c r="J319" i="24"/>
  <c r="J295" i="24"/>
  <c r="J330" i="24"/>
  <c r="J294" i="24"/>
  <c r="J310" i="24"/>
  <c r="J226" i="24"/>
  <c r="J327" i="24"/>
  <c r="J227" i="24"/>
  <c r="J343" i="24"/>
  <c r="J352" i="24"/>
  <c r="J336" i="24"/>
  <c r="J320" i="24"/>
  <c r="J353" i="24"/>
  <c r="J337" i="24"/>
  <c r="J321" i="24"/>
  <c r="J355" i="24"/>
  <c r="J323" i="24"/>
  <c r="J300" i="24"/>
  <c r="J350" i="24"/>
  <c r="J318" i="24"/>
  <c r="J301" i="24"/>
  <c r="J338" i="24"/>
  <c r="J287" i="24"/>
  <c r="J314" i="24"/>
  <c r="J288" i="24"/>
  <c r="J315" i="24"/>
  <c r="J291" i="24"/>
  <c r="J293" i="24"/>
  <c r="J222" i="24"/>
  <c r="J223" i="24"/>
  <c r="J364" i="24"/>
  <c r="J348" i="24"/>
  <c r="J332" i="24"/>
  <c r="J316" i="24"/>
  <c r="J349" i="24"/>
  <c r="J333" i="24"/>
  <c r="J317" i="24"/>
  <c r="J347" i="24"/>
  <c r="J312" i="24"/>
  <c r="J296" i="24"/>
  <c r="J342" i="24"/>
  <c r="J313" i="24"/>
  <c r="J297" i="24"/>
  <c r="J322" i="24"/>
  <c r="J351" i="24"/>
  <c r="J306" i="24"/>
  <c r="J284" i="24"/>
  <c r="J307" i="24"/>
  <c r="J289" i="24"/>
  <c r="J290" i="24"/>
  <c r="J229" i="24"/>
  <c r="J228" i="24"/>
  <c r="J302" i="24"/>
  <c r="J360" i="24"/>
  <c r="J344" i="24"/>
  <c r="J328" i="24"/>
  <c r="J361" i="24"/>
  <c r="J345" i="24"/>
  <c r="J329" i="24"/>
  <c r="J362" i="24"/>
  <c r="J339" i="24"/>
  <c r="J308" i="24"/>
  <c r="J292" i="24"/>
  <c r="J334" i="24"/>
  <c r="J309" i="24"/>
  <c r="J359" i="24"/>
  <c r="J311" i="24"/>
  <c r="J335" i="24"/>
  <c r="J298" i="24"/>
  <c r="J346" i="24"/>
  <c r="J299" i="24"/>
  <c r="J285" i="24"/>
  <c r="J286" i="24"/>
  <c r="J225" i="24"/>
  <c r="J224" i="24"/>
  <c r="G41" i="26" l="1"/>
  <c r="H40" i="26"/>
  <c r="D123" i="24"/>
  <c r="D188" i="24"/>
  <c r="D171" i="24"/>
  <c r="D184" i="24"/>
  <c r="D167" i="24"/>
  <c r="D125" i="24"/>
  <c r="D168" i="24"/>
  <c r="D185" i="24"/>
  <c r="D165" i="24"/>
  <c r="D182" i="24"/>
  <c r="J157" i="24"/>
  <c r="J123" i="24"/>
  <c r="D164" i="24"/>
  <c r="D181" i="24"/>
  <c r="J155" i="24"/>
  <c r="J121" i="24"/>
  <c r="J156" i="24"/>
  <c r="J122" i="24"/>
  <c r="J153" i="24"/>
  <c r="J119" i="24"/>
  <c r="D180" i="24"/>
  <c r="D163" i="24"/>
  <c r="D108" i="24"/>
  <c r="D110" i="24" s="1"/>
  <c r="J154" i="24"/>
  <c r="J120" i="24"/>
  <c r="J151" i="24"/>
  <c r="J117" i="24"/>
  <c r="D169" i="24"/>
  <c r="D186" i="24"/>
  <c r="J152" i="24"/>
  <c r="J118" i="24"/>
  <c r="J150" i="24"/>
  <c r="J116" i="24"/>
  <c r="J149" i="24"/>
  <c r="D183" i="24"/>
  <c r="D166" i="24"/>
  <c r="D187" i="24"/>
  <c r="D170" i="24"/>
  <c r="H41" i="26" l="1"/>
  <c r="J125" i="24"/>
  <c r="J127" i="24" s="1"/>
  <c r="J128" i="24" s="1"/>
  <c r="J181" i="24"/>
  <c r="J164" i="24"/>
  <c r="J185" i="24"/>
  <c r="J168" i="24"/>
  <c r="D189" i="24"/>
  <c r="J187" i="24"/>
  <c r="J170" i="24"/>
  <c r="J180" i="24"/>
  <c r="J163" i="24"/>
  <c r="J108" i="24"/>
  <c r="J110" i="24" s="1"/>
  <c r="J182" i="24"/>
  <c r="J165" i="24"/>
  <c r="J184" i="24"/>
  <c r="J167" i="24"/>
  <c r="J186" i="24"/>
  <c r="J169" i="24"/>
  <c r="J188" i="24"/>
  <c r="J171" i="24"/>
  <c r="J183" i="24"/>
  <c r="J166" i="24"/>
  <c r="D172" i="24"/>
  <c r="D174" i="24" s="1"/>
  <c r="D175" i="24" s="1"/>
  <c r="D208" i="24"/>
  <c r="D127" i="24"/>
  <c r="D128" i="24" s="1"/>
  <c r="J7" i="9"/>
  <c r="E18" i="9"/>
  <c r="K7" i="9"/>
  <c r="E26" i="9" s="1"/>
  <c r="E17" i="9"/>
  <c r="C29" i="9" l="1"/>
  <c r="J189" i="24"/>
  <c r="J172" i="24"/>
  <c r="J174" i="24" s="1"/>
  <c r="J175" i="24" s="1"/>
  <c r="E16" i="9"/>
  <c r="F16" i="9" s="1"/>
  <c r="F17" i="9"/>
  <c r="F26" i="9"/>
  <c r="C30" i="9"/>
  <c r="C31" i="9"/>
  <c r="C32" i="9"/>
  <c r="C33" i="9"/>
  <c r="C34" i="9"/>
  <c r="C35" i="9"/>
  <c r="C36" i="9"/>
  <c r="C37" i="9"/>
  <c r="E19" i="9"/>
  <c r="E20" i="9"/>
  <c r="E21" i="9"/>
  <c r="E22" i="9"/>
  <c r="E23" i="9"/>
  <c r="E24" i="9"/>
  <c r="E25" i="9"/>
  <c r="F22" i="9" l="1"/>
  <c r="F18" i="9"/>
  <c r="F25" i="9"/>
  <c r="F21" i="9"/>
  <c r="F24" i="9"/>
  <c r="F20" i="9"/>
  <c r="F23" i="9"/>
  <c r="F19" i="9"/>
  <c r="F28" i="9" l="1"/>
  <c r="M32" i="6" l="1"/>
  <c r="E39" i="6" l="1"/>
  <c r="E40" i="6"/>
  <c r="E44" i="6"/>
  <c r="E48" i="6"/>
  <c r="E46" i="6"/>
  <c r="E41" i="6"/>
  <c r="E45" i="6"/>
  <c r="E49" i="6"/>
  <c r="E42" i="6"/>
  <c r="E47" i="6"/>
  <c r="E43" i="6"/>
  <c r="F39" i="6"/>
  <c r="F40" i="6"/>
  <c r="J46" i="6"/>
  <c r="J42" i="6"/>
  <c r="J41" i="6"/>
  <c r="J45" i="6"/>
  <c r="J48" i="6"/>
  <c r="J44" i="6"/>
  <c r="J47" i="6"/>
  <c r="J43" i="6"/>
  <c r="L33" i="5"/>
  <c r="F40" i="5" s="1"/>
  <c r="E30" i="4"/>
  <c r="E31" i="4"/>
  <c r="E32" i="4"/>
  <c r="E33" i="4"/>
  <c r="E34" i="4"/>
  <c r="E35" i="4"/>
  <c r="E36" i="4"/>
  <c r="E37" i="4"/>
  <c r="E38" i="4"/>
  <c r="E39" i="4"/>
  <c r="E40" i="4"/>
  <c r="K49" i="5" l="1"/>
  <c r="K45" i="5"/>
  <c r="K48" i="5"/>
  <c r="K44" i="5"/>
  <c r="K47" i="5"/>
  <c r="K43" i="5"/>
  <c r="K50" i="5"/>
  <c r="K46" i="5"/>
  <c r="G45" i="6"/>
  <c r="F45" i="6"/>
  <c r="F42" i="6"/>
  <c r="G42" i="6"/>
  <c r="G49" i="6"/>
  <c r="F49" i="6"/>
  <c r="F46" i="6"/>
  <c r="G46" i="6"/>
  <c r="G43" i="6"/>
  <c r="F43" i="6"/>
  <c r="G48" i="6"/>
  <c r="F48" i="6"/>
  <c r="G47" i="6"/>
  <c r="F47" i="6"/>
  <c r="F44" i="6"/>
  <c r="G44" i="6"/>
  <c r="G41" i="6"/>
  <c r="F41" i="6"/>
  <c r="G38" i="4"/>
  <c r="A31" i="4"/>
  <c r="A32" i="4"/>
  <c r="A33" i="4"/>
  <c r="A34" i="4"/>
  <c r="G34" i="4" s="1"/>
  <c r="A35" i="4"/>
  <c r="A36" i="4"/>
  <c r="A37" i="4"/>
  <c r="A38" i="4"/>
  <c r="A39" i="4"/>
  <c r="A40" i="4"/>
  <c r="A41" i="4"/>
  <c r="A42" i="4"/>
  <c r="A30" i="4"/>
  <c r="G51" i="6" l="1"/>
  <c r="F51" i="6"/>
  <c r="G30" i="4"/>
  <c r="G37" i="4"/>
  <c r="G33" i="4"/>
  <c r="G40" i="4"/>
  <c r="G36" i="4"/>
  <c r="G32" i="4"/>
  <c r="G39" i="4"/>
  <c r="G35" i="4"/>
  <c r="G31" i="4"/>
  <c r="V33" i="4" l="1"/>
  <c r="V31" i="4" l="1"/>
  <c r="V39" i="4"/>
  <c r="V38" i="4"/>
  <c r="V37" i="4"/>
  <c r="V36" i="4"/>
  <c r="V35" i="4"/>
  <c r="V34" i="4"/>
  <c r="V32" i="4"/>
  <c r="S42" i="4" s="1"/>
  <c r="E42" i="4" l="1"/>
  <c r="E41" i="4"/>
  <c r="H40" i="4"/>
  <c r="H39" i="4"/>
  <c r="H38" i="4"/>
  <c r="H37" i="4"/>
  <c r="H36" i="4"/>
  <c r="H35" i="4"/>
  <c r="H34" i="4"/>
  <c r="H33" i="4"/>
  <c r="H32" i="4"/>
  <c r="H31" i="4"/>
  <c r="G1" i="4"/>
  <c r="H30" i="4" l="1"/>
  <c r="C47" i="4"/>
  <c r="C46" i="4"/>
  <c r="J30" i="4" s="1"/>
  <c r="K30" i="4" s="1"/>
  <c r="M30" i="4" l="1"/>
  <c r="I32" i="4"/>
  <c r="J32" i="4" s="1"/>
  <c r="K32" i="4" s="1"/>
  <c r="I36" i="4"/>
  <c r="J36" i="4" s="1"/>
  <c r="K36" i="4" s="1"/>
  <c r="I38" i="4"/>
  <c r="J38" i="4" s="1"/>
  <c r="K38" i="4" s="1"/>
  <c r="I34" i="4"/>
  <c r="J34" i="4" s="1"/>
  <c r="K34" i="4" s="1"/>
  <c r="I39" i="4"/>
  <c r="J39" i="4" s="1"/>
  <c r="K39" i="4" s="1"/>
  <c r="I37" i="4"/>
  <c r="J37" i="4" s="1"/>
  <c r="K37" i="4" s="1"/>
  <c r="I35" i="4"/>
  <c r="J35" i="4" s="1"/>
  <c r="K35" i="4" s="1"/>
  <c r="I33" i="4"/>
  <c r="J33" i="4" s="1"/>
  <c r="K33" i="4" s="1"/>
  <c r="I31" i="4"/>
  <c r="J31" i="4" s="1"/>
  <c r="K31" i="4" s="1"/>
  <c r="H49" i="4" s="1"/>
  <c r="I40" i="4"/>
  <c r="J40" i="4" s="1"/>
  <c r="K40" i="4" s="1"/>
  <c r="C48" i="4"/>
  <c r="W35" i="4" l="1"/>
  <c r="W36" i="4"/>
  <c r="W34" i="4"/>
  <c r="M32" i="4"/>
  <c r="S32" i="4"/>
  <c r="S36" i="4"/>
  <c r="S31" i="4"/>
  <c r="S39" i="4"/>
  <c r="S33" i="4"/>
  <c r="S37" i="4"/>
  <c r="S34" i="4"/>
  <c r="S38" i="4"/>
  <c r="S35" i="4"/>
  <c r="M31" i="4"/>
  <c r="M39" i="4"/>
  <c r="M36" i="4"/>
  <c r="M34" i="4"/>
  <c r="M33" i="4"/>
  <c r="M35" i="4"/>
  <c r="M40" i="4"/>
  <c r="M37" i="4"/>
  <c r="M38" i="4"/>
  <c r="T42" i="4" l="1"/>
  <c r="M42" i="4"/>
  <c r="G40" i="5" l="1"/>
  <c r="F50" i="5"/>
  <c r="G50" i="5" s="1"/>
  <c r="F46" i="5"/>
  <c r="H46" i="5" s="1"/>
  <c r="F49" i="5"/>
  <c r="H49" i="5" s="1"/>
  <c r="F48" i="5"/>
  <c r="H48" i="5" s="1"/>
  <c r="F44" i="5"/>
  <c r="H44" i="5" s="1"/>
  <c r="F47" i="5"/>
  <c r="H47" i="5" s="1"/>
  <c r="F45" i="5"/>
  <c r="H45" i="5" s="1"/>
  <c r="F42" i="5"/>
  <c r="F41" i="5"/>
  <c r="G41" i="5" s="1"/>
  <c r="F43" i="5"/>
  <c r="G43" i="5" s="1"/>
  <c r="G47" i="5" l="1"/>
  <c r="G48" i="5"/>
  <c r="H42" i="5"/>
  <c r="K42" i="5"/>
  <c r="G42" i="5"/>
  <c r="G45" i="5"/>
  <c r="G44" i="5"/>
  <c r="G49" i="5"/>
  <c r="G52" i="5" s="1"/>
  <c r="H50" i="5"/>
  <c r="G46" i="5"/>
  <c r="H43" i="5"/>
  <c r="H52"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Smit</author>
  </authors>
  <commentList>
    <comment ref="C22" authorId="0" shapeId="0" xr:uid="{2D74C1D4-1CF3-430B-92B9-31FC9B70210E}">
      <text>
        <r>
          <rPr>
            <b/>
            <sz val="9"/>
            <color indexed="81"/>
            <rFont val="Tahoma"/>
            <family val="2"/>
          </rPr>
          <t>Michael Smit:</t>
        </r>
        <r>
          <rPr>
            <sz val="9"/>
            <color indexed="81"/>
            <rFont val="Tahoma"/>
            <family val="2"/>
          </rPr>
          <t xml:space="preserve">
I used the 100th Percentile estimated from the moddel top size. Using the coarse part of the piecewise fitted (minnimum least sqaures error) regresion.
These values are use at the end to calculate the mean size for SST calc.
Thus this estimated top size is not any part of the curve fitting modeling prior to SST calculation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9" authorId="0" shapeId="0" xr:uid="{CB9FFA8D-4D1D-43C3-8AAD-762EEC232D54}">
      <text>
        <r>
          <rPr>
            <b/>
            <sz val="10"/>
            <color indexed="8"/>
            <rFont val="Tahoma"/>
            <family val="2"/>
          </rPr>
          <t xml:space="preserve">Alex G. Doll Consulting Ltd:
</t>
        </r>
        <r>
          <rPr>
            <sz val="10"/>
            <color indexed="8"/>
            <rFont val="Tahoma"/>
            <family val="2"/>
          </rPr>
          <t>Cannot plot 100% passing on a R-R plot</t>
        </r>
      </text>
    </comment>
    <comment ref="G41" authorId="0" shapeId="0" xr:uid="{2A37B300-4478-4B94-92B2-6FDCFC21DB0A}">
      <text>
        <r>
          <rPr>
            <b/>
            <sz val="10"/>
            <color indexed="8"/>
            <rFont val="Tahoma"/>
            <family val="2"/>
          </rPr>
          <t xml:space="preserve">Alex G. Doll Consulting Ltd:
</t>
        </r>
        <r>
          <rPr>
            <sz val="10"/>
            <color indexed="8"/>
            <rFont val="Tahoma"/>
            <family val="2"/>
          </rPr>
          <t>R-R plot doesn't include a "zero" size point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29" authorId="0" shapeId="0" xr:uid="{609FE0C0-045B-410E-9850-D53234AAA135}">
      <text>
        <r>
          <rPr>
            <b/>
            <sz val="10"/>
            <color indexed="8"/>
            <rFont val="Tahoma"/>
            <family val="2"/>
          </rPr>
          <t xml:space="preserve">Alex G. Doll Consulting Ltd:
</t>
        </r>
        <r>
          <rPr>
            <sz val="10"/>
            <color indexed="8"/>
            <rFont val="Tahoma"/>
            <family val="2"/>
          </rPr>
          <t>Cannot plot 100% passing on a R-R plot</t>
        </r>
      </text>
    </comment>
    <comment ref="G41" authorId="0" shapeId="0" xr:uid="{982F3393-2CD8-467E-982E-57F016ACEE6C}">
      <text>
        <r>
          <rPr>
            <b/>
            <sz val="10"/>
            <color indexed="8"/>
            <rFont val="Tahoma"/>
            <family val="2"/>
          </rPr>
          <t xml:space="preserve">Alex G. Doll Consulting Ltd:
</t>
        </r>
        <r>
          <rPr>
            <sz val="10"/>
            <color indexed="8"/>
            <rFont val="Tahoma"/>
            <family val="2"/>
          </rPr>
          <t>R-R plot doesn't include a "zero" size point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Michael Smit</author>
  </authors>
  <commentList>
    <comment ref="G29" authorId="0" shapeId="0" xr:uid="{59F260B1-A96C-4CB2-B447-5D14339E88C0}">
      <text>
        <r>
          <rPr>
            <b/>
            <sz val="10"/>
            <color indexed="8"/>
            <rFont val="Tahoma"/>
            <family val="2"/>
          </rPr>
          <t xml:space="preserve">Alex G. Doll Consulting Ltd:
</t>
        </r>
        <r>
          <rPr>
            <sz val="10"/>
            <color indexed="8"/>
            <rFont val="Tahoma"/>
            <family val="2"/>
          </rPr>
          <t>Cannot plot 100% passing on a R-R plot</t>
        </r>
      </text>
    </comment>
    <comment ref="G41" authorId="0" shapeId="0" xr:uid="{BCD115EE-92D6-4659-83AE-03FA0B4A45B3}">
      <text>
        <r>
          <rPr>
            <b/>
            <sz val="10"/>
            <color indexed="8"/>
            <rFont val="Tahoma"/>
            <family val="2"/>
          </rPr>
          <t xml:space="preserve">Alex G. Doll Consulting Ltd:
</t>
        </r>
        <r>
          <rPr>
            <sz val="10"/>
            <color indexed="8"/>
            <rFont val="Tahoma"/>
            <family val="2"/>
          </rPr>
          <t>R-R plot doesn't include a "zero" size point</t>
        </r>
      </text>
    </comment>
    <comment ref="E48" authorId="1" shapeId="0" xr:uid="{A5FFE97A-0F13-4EE9-BDEA-995C832CD9DA}">
      <text>
        <r>
          <rPr>
            <b/>
            <sz val="9"/>
            <color indexed="81"/>
            <rFont val="Tahoma"/>
            <family val="2"/>
          </rPr>
          <t>Michael Smit:</t>
        </r>
        <r>
          <rPr>
            <sz val="9"/>
            <color indexed="81"/>
            <rFont val="Tahoma"/>
            <family val="2"/>
          </rPr>
          <t xml:space="preserve">
remove the step to calc
$$ \bar{d}$$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G29" authorId="0" shapeId="0" xr:uid="{AC7F234E-15C1-44DF-8998-DE556EFEE474}">
      <text>
        <r>
          <rPr>
            <b/>
            <sz val="10"/>
            <color indexed="8"/>
            <rFont val="Tahoma"/>
            <family val="2"/>
          </rPr>
          <t xml:space="preserve">Alex G. Doll Consulting Ltd:
</t>
        </r>
        <r>
          <rPr>
            <sz val="10"/>
            <color indexed="8"/>
            <rFont val="Tahoma"/>
            <family val="2"/>
          </rPr>
          <t>Cannot plot 100% passing on a R-R plot</t>
        </r>
      </text>
    </comment>
    <comment ref="G41" authorId="0" shapeId="0" xr:uid="{EBC4FB08-1EDF-478F-9BC2-6EA81A9E3947}">
      <text>
        <r>
          <rPr>
            <b/>
            <sz val="10"/>
            <color indexed="8"/>
            <rFont val="Tahoma"/>
            <family val="2"/>
          </rPr>
          <t xml:space="preserve">Alex G. Doll Consulting Ltd:
</t>
        </r>
        <r>
          <rPr>
            <sz val="10"/>
            <color indexed="8"/>
            <rFont val="Tahoma"/>
            <family val="2"/>
          </rPr>
          <t>R-R plot doesn't include a "zero" size point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G30" authorId="0" shapeId="0" xr:uid="{911D4A14-35C1-4B0C-960E-35BE8A30C7A4}">
      <text>
        <r>
          <rPr>
            <b/>
            <sz val="10"/>
            <color indexed="8"/>
            <rFont val="Tahoma"/>
            <family val="2"/>
          </rPr>
          <t xml:space="preserve">Alex G. Doll Consulting Ltd:
</t>
        </r>
        <r>
          <rPr>
            <sz val="10"/>
            <color indexed="8"/>
            <rFont val="Tahoma"/>
            <family val="2"/>
          </rPr>
          <t>Cannot plot 100% passing on a R-R plot</t>
        </r>
      </text>
    </comment>
    <comment ref="G42" authorId="0" shapeId="0" xr:uid="{990286FB-F99B-4B09-A49B-D89B7CECAFFB}">
      <text>
        <r>
          <rPr>
            <b/>
            <sz val="10"/>
            <color indexed="8"/>
            <rFont val="Tahoma"/>
            <family val="2"/>
          </rPr>
          <t xml:space="preserve">Alex G. Doll Consulting Ltd:
</t>
        </r>
        <r>
          <rPr>
            <sz val="10"/>
            <color indexed="8"/>
            <rFont val="Tahoma"/>
            <family val="2"/>
          </rPr>
          <t>R-R plot doesn't include a "zero" size point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Smit</author>
  </authors>
  <commentList>
    <comment ref="C33" authorId="0" shapeId="0" xr:uid="{C2AFA1BE-261D-48E5-B126-124E71EDEA1D}">
      <text>
        <r>
          <rPr>
            <b/>
            <sz val="9"/>
            <color indexed="81"/>
            <rFont val="Tahoma"/>
            <family val="2"/>
          </rPr>
          <t>Michael Smit:</t>
        </r>
        <r>
          <rPr>
            <sz val="9"/>
            <color indexed="81"/>
            <rFont val="Tahoma"/>
            <family val="2"/>
          </rPr>
          <t xml:space="preserve">
I used the 100th Percentile estimated from the moddel top size. Using the coarse part of the piecewise fitted (minnimum least sqaures error) regresion.
These values are use at the end to calculate the mean size for SST calc.
Thus this estimated top size is not any part of the curve fitting modeling prior to SST calculation</t>
        </r>
      </text>
    </comment>
    <comment ref="A193" authorId="0" shapeId="0" xr:uid="{95156F97-0F44-4B4C-B64C-36867E5DD802}">
      <text>
        <r>
          <rPr>
            <b/>
            <sz val="9"/>
            <color indexed="81"/>
            <rFont val="Tahoma"/>
            <family val="2"/>
          </rPr>
          <t>Michael Smit:</t>
        </r>
        <r>
          <rPr>
            <sz val="9"/>
            <color indexed="81"/>
            <rFont val="Tahoma"/>
            <family val="2"/>
          </rPr>
          <t xml:space="preserve">
SST, is the squared differences between the observed dependent variable and its mean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Smit</author>
  </authors>
  <commentList>
    <comment ref="B27" authorId="0" shapeId="0" xr:uid="{B2027A93-619C-43D1-9FEE-511DD28C6562}">
      <text>
        <r>
          <rPr>
            <b/>
            <sz val="9"/>
            <color indexed="81"/>
            <rFont val="Tahoma"/>
            <family val="2"/>
          </rPr>
          <t>Michael Smit:</t>
        </r>
        <r>
          <rPr>
            <sz val="9"/>
            <color indexed="81"/>
            <rFont val="Tahoma"/>
            <family val="2"/>
          </rPr>
          <t xml:space="preserve">
solver to min residuals</t>
        </r>
      </text>
    </comment>
  </commentList>
</comments>
</file>

<file path=xl/sharedStrings.xml><?xml version="1.0" encoding="utf-8"?>
<sst xmlns="http://schemas.openxmlformats.org/spreadsheetml/2006/main" count="927" uniqueCount="411">
  <si>
    <t>http://www.codecogs.com/d-ox/engineering/materials/rosin_rammler.php</t>
  </si>
  <si>
    <t>into the website.</t>
  </si>
  <si>
    <t>instructions on how to paste data from this calc</t>
  </si>
  <si>
    <t>on a Rosin-Rammler Y-axis.  Refer to Appendix 2 for</t>
  </si>
  <si>
    <t>http://www.sagmilling.com will permit plotting data</t>
  </si>
  <si>
    <t>The Rosin-Rammler plotting system available at</t>
  </si>
  <si>
    <t>References:</t>
  </si>
  <si>
    <r>
      <t>D</t>
    </r>
    <r>
      <rPr>
        <b/>
        <vertAlign val="subscript"/>
        <sz val="10"/>
        <rFont val="Arial"/>
        <family val="2"/>
      </rPr>
      <t>N</t>
    </r>
    <r>
      <rPr>
        <b/>
        <sz val="10"/>
        <rFont val="Arial"/>
        <family val="2"/>
      </rPr>
      <t xml:space="preserve"> =</t>
    </r>
  </si>
  <si>
    <r>
      <t>n * ln(D</t>
    </r>
    <r>
      <rPr>
        <b/>
        <vertAlign val="subscript"/>
        <sz val="10"/>
        <rFont val="Arial"/>
        <family val="2"/>
      </rPr>
      <t>N</t>
    </r>
    <r>
      <rPr>
        <b/>
        <sz val="10"/>
        <rFont val="Arial"/>
        <family val="2"/>
      </rPr>
      <t>) =</t>
    </r>
  </si>
  <si>
    <t>almost straight line</t>
  </si>
  <si>
    <t>R² =</t>
  </si>
  <si>
    <t>after fitting</t>
  </si>
  <si>
    <t>n=</t>
  </si>
  <si>
    <t>cum retained</t>
  </si>
  <si>
    <t>Cum % Passing</t>
  </si>
  <si>
    <t>Retain %</t>
  </si>
  <si>
    <t>Sieve, µm</t>
  </si>
  <si>
    <t>Fitted Y</t>
  </si>
  <si>
    <t>Y</t>
  </si>
  <si>
    <t>X</t>
  </si>
  <si>
    <t>R</t>
  </si>
  <si>
    <t>D</t>
  </si>
  <si>
    <t>Refer to Appendix 1 for derivation.</t>
  </si>
  <si>
    <t>X = ln(D)</t>
  </si>
  <si>
    <t>Y = ln(-ln(R))</t>
  </si>
  <si>
    <t>where:</t>
  </si>
  <si>
    <r>
      <t>Y = n * X - n*ln(D</t>
    </r>
    <r>
      <rPr>
        <b/>
        <vertAlign val="subscript"/>
        <sz val="10"/>
        <rFont val="Arial"/>
        <family val="2"/>
      </rPr>
      <t>N</t>
    </r>
    <r>
      <rPr>
        <b/>
        <sz val="10"/>
        <rFont val="Arial"/>
        <family val="2"/>
      </rPr>
      <t>)</t>
    </r>
  </si>
  <si>
    <t>Fit the data set entered to the equation:</t>
  </si>
  <si>
    <t>Method:</t>
  </si>
  <si>
    <t>Basis / Assumptions:</t>
  </si>
  <si>
    <t>Purpose:</t>
  </si>
  <si>
    <t>Fitting Rosin-Rammler parameters to a sieve analysis</t>
  </si>
  <si>
    <t>Title:</t>
  </si>
  <si>
    <t>Calc No:</t>
  </si>
  <si>
    <t>General Engineering</t>
  </si>
  <si>
    <t>Project:</t>
  </si>
  <si>
    <t>Alex Doll</t>
  </si>
  <si>
    <t>Author:</t>
  </si>
  <si>
    <t>Date:</t>
  </si>
  <si>
    <t>CALCULATION COVER SHEET</t>
  </si>
  <si>
    <t>Fitted  %Cumpass</t>
  </si>
  <si>
    <t>Fitted  %Retain</t>
  </si>
  <si>
    <t>um</t>
  </si>
  <si>
    <t>before</t>
  </si>
  <si>
    <t>after</t>
  </si>
  <si>
    <r>
      <t>Error</t>
    </r>
    <r>
      <rPr>
        <vertAlign val="superscript"/>
        <sz val="8"/>
        <rFont val="Arial"/>
        <family val="2"/>
      </rPr>
      <t>2</t>
    </r>
  </si>
  <si>
    <t>RMSE</t>
  </si>
  <si>
    <t>Median</t>
  </si>
  <si>
    <t>Sd</t>
  </si>
  <si>
    <t>=</t>
  </si>
  <si>
    <t>0.5 (D84 - D16)</t>
  </si>
  <si>
    <t>mm</t>
  </si>
  <si>
    <t>RR</t>
  </si>
  <si>
    <r>
      <t>Error</t>
    </r>
    <r>
      <rPr>
        <vertAlign val="superscript"/>
        <sz val="8"/>
        <rFont val="Arial"/>
        <family val="2"/>
      </rPr>
      <t>3</t>
    </r>
    <r>
      <rPr>
        <sz val="11"/>
        <color theme="1"/>
        <rFont val="Calibri"/>
        <family val="2"/>
        <scheme val="minor"/>
      </rPr>
      <t/>
    </r>
  </si>
  <si>
    <t>y=mx +c</t>
  </si>
  <si>
    <t>m (slope)</t>
  </si>
  <si>
    <t>c (intercept)</t>
  </si>
  <si>
    <t>stan dev</t>
  </si>
  <si>
    <t>Gates/Gaudin/Schumann Plot</t>
  </si>
  <si>
    <t>http://www.chem.mtu.edu/chem_eng/faculty/kawatra/CM2200_2009_HW_3_sizedist.pdf</t>
  </si>
  <si>
    <t>sc13f</t>
  </si>
  <si>
    <r>
      <t>y = 100*(x/k)</t>
    </r>
    <r>
      <rPr>
        <vertAlign val="superscript"/>
        <sz val="11"/>
        <color theme="1"/>
        <rFont val="Calibri"/>
        <family val="2"/>
        <scheme val="minor"/>
      </rPr>
      <t>a</t>
    </r>
  </si>
  <si>
    <t>log(y) = a * log(x) + (2 - a * log(k))</t>
  </si>
  <si>
    <t>300um and 106um points lie on a straight line, I'll use them to calc. the slope (a):</t>
  </si>
  <si>
    <t>a =</t>
  </si>
  <si>
    <t>k =</t>
  </si>
  <si>
    <t>chosen from straight line intercept on x-axis</t>
  </si>
  <si>
    <t>CumPass</t>
  </si>
  <si>
    <t>error</t>
  </si>
  <si>
    <t>y</t>
  </si>
  <si>
    <t>-</t>
  </si>
  <si>
    <t>solver soln without the two top sizes not on the straight line</t>
  </si>
  <si>
    <t>"C:\Users\miked\OneDrive\Calculations\Statistics\A COMPARISON STUDY TO DETERMINE THE MEAN OF PSD for truthful characterization of environmental data (part1).pdf"</t>
  </si>
  <si>
    <t>x = ky ^ (1/n)</t>
  </si>
  <si>
    <t>with this method (formula) where  "100*" is added in y = 100*(x/k)a, I cannot back calc to to get a percentile that is close to orig. see the sheet</t>
  </si>
  <si>
    <t>n =</t>
  </si>
  <si>
    <t>y = (x/k)^n</t>
  </si>
  <si>
    <t>sum</t>
  </si>
  <si>
    <t>SC13F</t>
  </si>
  <si>
    <t>x</t>
  </si>
  <si>
    <t>Percentiles</t>
  </si>
  <si>
    <t>size mudulus</t>
  </si>
  <si>
    <t>distribution modulus</t>
  </si>
  <si>
    <t>+425um</t>
  </si>
  <si>
    <t>x = k y ^ ( 1 / n )</t>
  </si>
  <si>
    <t>CumPass unfitted</t>
  </si>
  <si>
    <t>n2 =</t>
  </si>
  <si>
    <t>k2 =</t>
  </si>
  <si>
    <t>k1  =</t>
  </si>
  <si>
    <t>n1 =</t>
  </si>
  <si>
    <t>Splitwise GGS paramaters</t>
  </si>
  <si>
    <t>GGS Model Fitted: y = ( x / k ) ^ n</t>
  </si>
  <si>
    <t xml:space="preserve"> </t>
  </si>
  <si>
    <t>Assessing the Fit of Regression Models</t>
  </si>
  <si>
    <t>A well-fitting regression model results in predicted values close to the observed data values. The mean model, which uses the mean for every predicted value, generally would be used if there were no informative predictor variables. The fit of a proposed regression model should therefore be better than the fit of the mean model.</t>
  </si>
  <si>
    <t>Three statistics are used in Ordinary Least Squares (OLS) regression to evaluate model fit: R-squared, the overall F-test, and the Root Mean Square Error (RMSE). All three are based on two sums of squares: Sum of Squares Total (SST) and Sum of Squares Error (SSE). SST measures how far the data are from the mean, and SSE measures how far the data are from the model’s predicted values. Different combinations of these two values provide different information about how the regression model compares to the mean model.</t>
  </si>
  <si>
    <t>R-squared and Adjusted R-squared</t>
  </si>
  <si>
    <t>The difference between SST and SSE is the improvement in prediction from the regression model, compared to the mean model. Dividing that difference by SST gives R-squared. It is the proportional improvement in prediction from the regression model, compared to the mean model. It indicates the goodness of fit of the model.</t>
  </si>
  <si>
    <t>R-squared has the useful property that its scale is intuitive: it ranges from zero to one, with zero indicating that the proposed model does not improve prediction over the mean model, and one indicating perfect prediction. Improvement in the regression model results in proportional increases in R-squared.</t>
  </si>
  <si>
    <t>One pitfall of R-squared is that it can only increase as predictors are added to the regression model. This increase is artificial when predictors are not actually improving the model’s fit. To remedy this, a related statistic, Adjusted R-squared, incorporates the model’s degrees of freedom. Adjusted R-squared will decrease as predictors are added if the increase in model fit does not make up for the loss of degrees of freedom. Likewise, it will increase as predictors are added if the increase in model fit is worthwhile. Adjusted R-squared should always be used with models with more than one predictor variable. It is interpreted as the proportion of total variance that is explained by the model.</t>
  </si>
  <si>
    <t>There are situations in which a high R-squared is not necessary or relevant. When the interest is in the relationship between variables, not in prediction, the R-square is less important. An example is a study on how religiosity affects health outcomes. A good result is a reliable relationship between religiosity and health. No one would expect that religion explains a high percentage of the variation in health, as health is affected by many other factors. Even if the model accounts for other variables known to affect health, such as income and age, an R-squared in the range of 0.10 to 0.15 is reasonable.</t>
  </si>
  <si>
    <t>The F-test</t>
  </si>
  <si>
    <t>The F-test evaluates the null hypothesis that all regression coefficients are equal to zero versus the alternative that at least one is not. An equivalent null hypothesis is that R-squared equals zero. A significant F-test indicates that the observed R-squared is reliable and is not a spurious result of oddities in the data set. Thus the F-test determines whether the proposed relationship between the response variable and the set of predictors is statistically reliable and can be useful when the research objective is either prediction or explanation.</t>
  </si>
  <si>
    <t>The RMSE is the square root of the variance of the residuals. It indicates the absolute fit of the model to the data–how close the observed data points are to the model’s predicted values. Whereas R-squared is a relative measure of fit, RMSE is an absolute measure of fit. As the square root of a variance, RMSE can be interpreted as the standard deviation of the unexplained variance, and has the useful property of being in the same units as the response variable. Lower values of RMSE indicate better fit. RMSE is a good measure of how accurately the model predicts the response, and it is the most important criterion for fit if the main purpose of the model is prediction.</t>
  </si>
  <si>
    <t>The best measure of model fit depends on the researcher’s objectives, and more than one are often useful. The statistics discussed above are applicable to regression models that use OLS estimation. Many types of regression models, however, such as mixed models, generalized linear models, and event history models, use maximum likelihood estimation. These statistics are not available for such models.</t>
  </si>
  <si>
    <t>by KAREN GRACE-MARTIN</t>
  </si>
  <si>
    <t>https://www.theanalysisfactor.com/assessing-the-fit-of-regression-models/</t>
  </si>
  <si>
    <t>Text copied:</t>
  </si>
  <si>
    <t>Mean Square Error (MSE)</t>
  </si>
  <si>
    <t>Root Mean Sqaure Error (RMSE)</t>
  </si>
  <si>
    <t>Mean</t>
  </si>
  <si>
    <t>Retained_perc.</t>
  </si>
  <si>
    <t>slope</t>
  </si>
  <si>
    <t>(solver, min error)</t>
  </si>
  <si>
    <t>Hypotheses</t>
  </si>
  <si>
    <t>All deck feed samples represent the Population feed.</t>
  </si>
  <si>
    <t>Thus all distributions are simmilar.</t>
  </si>
  <si>
    <t>The distribution are not simmilar.</t>
  </si>
  <si>
    <t xml:space="preserve">Ho1 = </t>
  </si>
  <si>
    <t xml:space="preserve">Ha 1= </t>
  </si>
  <si>
    <t xml:space="preserve">Ho2 = </t>
  </si>
  <si>
    <t>The distributions can be adequately fitted to Mathematical models.</t>
  </si>
  <si>
    <t>Ha2 =</t>
  </si>
  <si>
    <t>Sieve data cannot be adequatly moddeled</t>
  </si>
  <si>
    <t>PSD0 = PSD1 = PSD2 = PSD3 = PSD4 = PSD5</t>
  </si>
  <si>
    <t>Squared residuals</t>
  </si>
  <si>
    <t>Mean geometric</t>
  </si>
  <si>
    <t>Folk and Ward (1957) Graphical Measures</t>
  </si>
  <si>
    <t>Geometric Method of Moments</t>
  </si>
  <si>
    <t>Sum</t>
  </si>
  <si>
    <t>Count</t>
  </si>
  <si>
    <t>Mean Geometric, Root of percentile product</t>
  </si>
  <si>
    <t>Mean Geometric, Log of percentile product</t>
  </si>
  <si>
    <t>n1 ,k1</t>
  </si>
  <si>
    <t>n2 ,k2</t>
  </si>
  <si>
    <t>Mean arithmetic, 2 percentiles</t>
  </si>
  <si>
    <t>=SQRT(D16*D84)</t>
  </si>
  <si>
    <t>=LOG(D16*D84)/2</t>
  </si>
  <si>
    <t>=(D25+D75)/2</t>
  </si>
  <si>
    <t>=RSQ(C70:C80,C48:C58)</t>
  </si>
  <si>
    <t>=SQRT(D84/D16)</t>
  </si>
  <si>
    <t>Sorting, St. Dev Geometric, Log of percentile ratio</t>
  </si>
  <si>
    <t>Sorting, St. Dev Geometric, Root of percentile ratio</t>
  </si>
  <si>
    <t>'=Log(D84/D16)/2</t>
  </si>
  <si>
    <t>Sorting, St. Dev Arithmetic, Root of percentile ratio</t>
  </si>
  <si>
    <t>=SQRT(D25/D75)</t>
  </si>
  <si>
    <t>13Fdeck1</t>
  </si>
  <si>
    <t>13Fdeck2</t>
  </si>
  <si>
    <t>13Fdeck3</t>
  </si>
  <si>
    <t>13Fdeck4</t>
  </si>
  <si>
    <t>13Fdeck5</t>
  </si>
  <si>
    <t>(for mean calc) unfitted</t>
  </si>
  <si>
    <t>Mid_size</t>
  </si>
  <si>
    <t>1st</t>
  </si>
  <si>
    <t>2nd</t>
  </si>
  <si>
    <t>Q1</t>
  </si>
  <si>
    <t>Q3</t>
  </si>
  <si>
    <t>IQR</t>
  </si>
  <si>
    <t>Q3 - Q1</t>
  </si>
  <si>
    <t>f(excel)</t>
  </si>
  <si>
    <t>SST = Sum (y observed - mean of observed)^2</t>
  </si>
  <si>
    <t>y1</t>
  </si>
  <si>
    <t>y2</t>
  </si>
  <si>
    <t>y3</t>
  </si>
  <si>
    <t>y4</t>
  </si>
  <si>
    <t>y5</t>
  </si>
  <si>
    <t>y6</t>
  </si>
  <si>
    <r>
      <t>R Squared (R</t>
    </r>
    <r>
      <rPr>
        <vertAlign val="superscript"/>
        <sz val="8"/>
        <color theme="1"/>
        <rFont val="Calibri"/>
        <family val="2"/>
        <scheme val="minor"/>
      </rPr>
      <t>2</t>
    </r>
    <r>
      <rPr>
        <sz val="8"/>
        <color theme="1"/>
        <rFont val="Calibri"/>
        <family val="2"/>
        <scheme val="minor"/>
      </rPr>
      <t>)</t>
    </r>
  </si>
  <si>
    <t>Cummulative</t>
  </si>
  <si>
    <t>x1</t>
  </si>
  <si>
    <t>x2</t>
  </si>
  <si>
    <t>x3</t>
  </si>
  <si>
    <t>x4</t>
  </si>
  <si>
    <t>x5</t>
  </si>
  <si>
    <t>x6</t>
  </si>
  <si>
    <t>Mean size in model</t>
  </si>
  <si>
    <t>Other methods</t>
  </si>
  <si>
    <t>Residual Sum of Squares</t>
  </si>
  <si>
    <t>differential modeled frequencies</t>
  </si>
  <si>
    <t>Mean size in observed</t>
  </si>
  <si>
    <t>SSExplained or SS regression</t>
  </si>
  <si>
    <t xml:space="preserve">Explained errors </t>
  </si>
  <si>
    <t>SS residuals</t>
  </si>
  <si>
    <t>Retained_grams</t>
  </si>
  <si>
    <t>Mean Observed</t>
  </si>
  <si>
    <t>Mean Moddel</t>
  </si>
  <si>
    <t>SD model</t>
  </si>
  <si>
    <t>Standard Deviation of model</t>
  </si>
  <si>
    <t>Standard Deviation Observed distribution</t>
  </si>
  <si>
    <t>SD Obs</t>
  </si>
  <si>
    <t>Breakpoint</t>
  </si>
  <si>
    <t>mean</t>
  </si>
  <si>
    <t>x0</t>
  </si>
  <si>
    <t>-425um</t>
  </si>
  <si>
    <t>Mean13F</t>
  </si>
  <si>
    <t>Ressidual squares of frequency data</t>
  </si>
  <si>
    <t>Ressidual squares on cummulative data</t>
  </si>
  <si>
    <t>i.e. break the +425um up into two pieces (-890 +425um and -~1335 +890um))</t>
  </si>
  <si>
    <t>This step is added on the next worksheet.</t>
  </si>
  <si>
    <t>piece1</t>
  </si>
  <si>
    <t>piece2</t>
  </si>
  <si>
    <t>A Comparative Study on PSD Models for Chromite Ores Comminuted by Different Devices</t>
  </si>
  <si>
    <t>file:///C:/Users/miked/Downloads/AComparatveStudyonPSDModelsforChromteOresCommnutedbyDfferentDevces%20(2).pdf</t>
  </si>
  <si>
    <t>n3 =</t>
  </si>
  <si>
    <t>k3 =</t>
  </si>
  <si>
    <t>piece3</t>
  </si>
  <si>
    <t>n3 ,k3</t>
  </si>
  <si>
    <t>break point (x0)1</t>
  </si>
  <si>
    <t>break point (x0)2</t>
  </si>
  <si>
    <t>GGS Piecewise Model :</t>
  </si>
  <si>
    <r>
      <t>R</t>
    </r>
    <r>
      <rPr>
        <b/>
        <vertAlign val="superscript"/>
        <sz val="8"/>
        <color theme="1"/>
        <rFont val="Calibri"/>
        <family val="2"/>
        <scheme val="minor"/>
      </rPr>
      <t>2</t>
    </r>
  </si>
  <si>
    <r>
      <t>R Squared (R</t>
    </r>
    <r>
      <rPr>
        <strike/>
        <vertAlign val="superscript"/>
        <sz val="8"/>
        <color theme="1"/>
        <rFont val="Calibri"/>
        <family val="2"/>
        <scheme val="minor"/>
      </rPr>
      <t>2</t>
    </r>
    <r>
      <rPr>
        <strike/>
        <sz val="8"/>
        <color theme="1"/>
        <rFont val="Calibri"/>
        <family val="2"/>
        <scheme val="minor"/>
      </rPr>
      <t>)</t>
    </r>
  </si>
  <si>
    <t>1st range mid</t>
  </si>
  <si>
    <t>Mid sizes</t>
  </si>
  <si>
    <t>MSE</t>
  </si>
  <si>
    <t>P80</t>
  </si>
  <si>
    <t>Modeled GGS 3piecewise</t>
  </si>
  <si>
    <t>Variance</t>
  </si>
  <si>
    <t>Observations</t>
  </si>
  <si>
    <t>Hypothesized Mean Difference</t>
  </si>
  <si>
    <t>df</t>
  </si>
  <si>
    <t>t Stat</t>
  </si>
  <si>
    <t>P(T&lt;=t) one-tail</t>
  </si>
  <si>
    <t>t Critical one-tail</t>
  </si>
  <si>
    <t>P(T&lt;=t) two-tail</t>
  </si>
  <si>
    <t>t Critical two-tail</t>
  </si>
  <si>
    <t>forecast funcion</t>
  </si>
  <si>
    <t>t-Test: Two-Sample Assuming Equal Variances</t>
  </si>
  <si>
    <t>Variable 1</t>
  </si>
  <si>
    <t>Variable 2</t>
  </si>
  <si>
    <t>Pooled Variance</t>
  </si>
  <si>
    <t>Ho</t>
  </si>
  <si>
    <t>Ha</t>
  </si>
  <si>
    <t>not equal</t>
  </si>
  <si>
    <t>Confidence</t>
  </si>
  <si>
    <t>u1 -u2 = 0</t>
  </si>
  <si>
    <t>F-Test Two-Sample for Variances</t>
  </si>
  <si>
    <t>F</t>
  </si>
  <si>
    <t>P(F&lt;=f) one-tail</t>
  </si>
  <si>
    <t>F Critical one-tail</t>
  </si>
  <si>
    <t>-2.31 &lt; t stat &lt; 2.31</t>
  </si>
  <si>
    <t>Cannot reject Ho</t>
  </si>
  <si>
    <t>Means do not vary significantly when using 95% confidence.</t>
  </si>
  <si>
    <t>Anova: Single Factor</t>
  </si>
  <si>
    <t>SUMMARY</t>
  </si>
  <si>
    <t>Groups</t>
  </si>
  <si>
    <t>Average</t>
  </si>
  <si>
    <t>ANOVA</t>
  </si>
  <si>
    <t>Source of Variation</t>
  </si>
  <si>
    <t>SS</t>
  </si>
  <si>
    <t>MS</t>
  </si>
  <si>
    <t>P-value</t>
  </si>
  <si>
    <t>F crit</t>
  </si>
  <si>
    <t>Between Groups</t>
  </si>
  <si>
    <t>Within Groups</t>
  </si>
  <si>
    <t>Total</t>
  </si>
  <si>
    <t>Row 1</t>
  </si>
  <si>
    <t>Row 2</t>
  </si>
  <si>
    <t>https://www.excel-easy.com/examples/anova.html</t>
  </si>
  <si>
    <t>F &lt; Fcrit</t>
  </si>
  <si>
    <t>thus</t>
  </si>
  <si>
    <t>cannot reject Ho that means of 6 populations are equal.</t>
  </si>
  <si>
    <t>600 &gt; X &gt;= 425um</t>
  </si>
  <si>
    <t>X &gt;= 600um</t>
  </si>
  <si>
    <t>X &lt; 425um</t>
  </si>
  <si>
    <t>Piecewise straight lines using means</t>
  </si>
  <si>
    <t>SS total</t>
  </si>
  <si>
    <t>SS regression</t>
  </si>
  <si>
    <t>Ho3 =</t>
  </si>
  <si>
    <t>Ha3 =</t>
  </si>
  <si>
    <t>Percentiles of Forecast function does not differ from Model percentiles.</t>
  </si>
  <si>
    <t>They differ.</t>
  </si>
  <si>
    <t>residuals</t>
  </si>
  <si>
    <t>also:</t>
  </si>
  <si>
    <t>F = larger Var/ smaller Var</t>
  </si>
  <si>
    <t>cannot reject Ho because no statistical significant difference.</t>
  </si>
  <si>
    <t>P = 0.6 &gt; 0.05 the probability of obtaining a t-value of -0.5 of higher, when sampling from the same population is approx. 0.6.</t>
  </si>
  <si>
    <t>H1</t>
  </si>
  <si>
    <t>Var 1= Var 2</t>
  </si>
  <si>
    <t>Var differ</t>
  </si>
  <si>
    <t xml:space="preserve">F &lt; Fcritical, thus cannot reject Ho. </t>
  </si>
  <si>
    <t>P &gt;&gt; alpha (0.05), thus a 50% probability (not just chance) of obtaining an F statistic this large or larger.</t>
  </si>
  <si>
    <t>Data don’t provide sufficient evidence that Variances are not equal.</t>
  </si>
  <si>
    <t>H0</t>
  </si>
  <si>
    <t>Mean 1 = Mean 2</t>
  </si>
  <si>
    <t>Means differ</t>
  </si>
  <si>
    <t>Perform an F test to determine if Variances are equal or not.</t>
  </si>
  <si>
    <t>StDev s</t>
  </si>
  <si>
    <t>Min</t>
  </si>
  <si>
    <t>Max</t>
  </si>
  <si>
    <t>error bar</t>
  </si>
  <si>
    <t>box plot</t>
  </si>
  <si>
    <t>m + 2 s</t>
  </si>
  <si>
    <t>m - 2 s</t>
  </si>
  <si>
    <t>Residual</t>
  </si>
  <si>
    <t>Screen 13 Feed</t>
  </si>
  <si>
    <t>mass_g</t>
  </si>
  <si>
    <t>mass_%</t>
  </si>
  <si>
    <t>cumpas</t>
  </si>
  <si>
    <t>n (slope)</t>
  </si>
  <si>
    <t>k (x max)</t>
  </si>
  <si>
    <t>SS regression deteleted / omitted as it compares to the mean which is useless* (doesn’t tell you much( just a straight line though the Y axis))</t>
  </si>
  <si>
    <t>R squared manual calc usses the SS tot which is calculated from the SS regress..thus excel's RSQ formula is used to calc R squared (square of the correlation coeficient)</t>
  </si>
  <si>
    <t>GGS Modelled</t>
  </si>
  <si>
    <t>GGS Mod</t>
  </si>
  <si>
    <t>Observed</t>
  </si>
  <si>
    <t>bottom</t>
  </si>
  <si>
    <t>mass%</t>
  </si>
  <si>
    <t>Model paramaters</t>
  </si>
  <si>
    <t>GGS</t>
  </si>
  <si>
    <t>GGS Residuals</t>
  </si>
  <si>
    <t>Piece1</t>
  </si>
  <si>
    <t>Piece2</t>
  </si>
  <si>
    <t>Piece3</t>
  </si>
  <si>
    <t>SS resid</t>
  </si>
  <si>
    <t>f(excel) = RSQ()</t>
  </si>
  <si>
    <t>Formula piecewize written out</t>
  </si>
  <si>
    <t>break point 1</t>
  </si>
  <si>
    <t>break point2</t>
  </si>
  <si>
    <t>Adj R Squared</t>
  </si>
  <si>
    <t>3pc</t>
  </si>
  <si>
    <t>4pc</t>
  </si>
  <si>
    <t>i</t>
  </si>
  <si>
    <r>
      <t>Bp</t>
    </r>
    <r>
      <rPr>
        <vertAlign val="subscript"/>
        <sz val="8"/>
        <color theme="1"/>
        <rFont val="Calibri"/>
        <family val="2"/>
        <scheme val="minor"/>
      </rPr>
      <t>i</t>
    </r>
  </si>
  <si>
    <t>bp_</t>
  </si>
  <si>
    <t>max size</t>
  </si>
  <si>
    <r>
      <t>y</t>
    </r>
    <r>
      <rPr>
        <sz val="8"/>
        <color theme="1"/>
        <rFont val="Calibri"/>
        <family val="2"/>
      </rPr>
      <t>̂</t>
    </r>
    <r>
      <rPr>
        <vertAlign val="subscript"/>
        <sz val="8"/>
        <color theme="1"/>
        <rFont val="Calibri"/>
        <family val="2"/>
        <scheme val="minor"/>
      </rPr>
      <t xml:space="preserve"> i</t>
    </r>
  </si>
  <si>
    <r>
      <t>n</t>
    </r>
    <r>
      <rPr>
        <vertAlign val="subscript"/>
        <sz val="8"/>
        <color theme="1"/>
        <rFont val="Calibri"/>
        <family val="2"/>
        <scheme val="minor"/>
      </rPr>
      <t>i</t>
    </r>
  </si>
  <si>
    <r>
      <t>k</t>
    </r>
    <r>
      <rPr>
        <vertAlign val="subscript"/>
        <sz val="8"/>
        <color theme="1"/>
        <rFont val="Calibri"/>
        <family val="2"/>
        <scheme val="minor"/>
      </rPr>
      <t>i</t>
    </r>
  </si>
  <si>
    <t>bp arrows</t>
  </si>
  <si>
    <t>5pc</t>
  </si>
  <si>
    <t>SS residual</t>
  </si>
  <si>
    <t>Adj. R Sqaured</t>
  </si>
  <si>
    <r>
      <t xml:space="preserve"> Adj. R Squared (R</t>
    </r>
    <r>
      <rPr>
        <vertAlign val="superscript"/>
        <sz val="8"/>
        <color theme="1"/>
        <rFont val="Calibri"/>
        <family val="2"/>
        <scheme val="minor"/>
      </rPr>
      <t>2</t>
    </r>
    <r>
      <rPr>
        <sz val="8"/>
        <color theme="1"/>
        <rFont val="Calibri"/>
        <family val="2"/>
        <scheme val="minor"/>
      </rPr>
      <t>)</t>
    </r>
  </si>
  <si>
    <t>2pc</t>
  </si>
  <si>
    <t>r sqaured</t>
  </si>
  <si>
    <t>adjusted r sqaured</t>
  </si>
  <si>
    <t>GGS predictions</t>
  </si>
  <si>
    <t>Breakpoints</t>
  </si>
  <si>
    <t>x ≥ 600 um</t>
  </si>
  <si>
    <t>600 &gt; x ≥ 425 um</t>
  </si>
  <si>
    <t>425 &gt;x ≥ 300 um</t>
  </si>
  <si>
    <t>300 &gt; x ≥ 212 um</t>
  </si>
  <si>
    <t>x&lt;212 um</t>
  </si>
  <si>
    <t>size um</t>
  </si>
  <si>
    <t>forecast</t>
  </si>
  <si>
    <t>Rrmod 2pc</t>
  </si>
  <si>
    <t>ln(-ln(R))</t>
  </si>
  <si>
    <t xml:space="preserve"> n*ln(D) - n*ln(DN)</t>
  </si>
  <si>
    <t>r</t>
  </si>
  <si>
    <t>= cumpas observed</t>
  </si>
  <si>
    <t>Dn</t>
  </si>
  <si>
    <t>= sieve size in mm</t>
  </si>
  <si>
    <t>=EXP(-n * ln(DN) /n)</t>
  </si>
  <si>
    <t>n</t>
  </si>
  <si>
    <t>= slope ("uniformity constant")</t>
  </si>
  <si>
    <t>scale paramater</t>
  </si>
  <si>
    <t>F(x)</t>
  </si>
  <si>
    <t>LN(x)</t>
  </si>
  <si>
    <t>LN(-LN(1-F(X)))</t>
  </si>
  <si>
    <t>Number of Data Points</t>
  </si>
  <si>
    <t>R-Squared</t>
  </si>
  <si>
    <t>Intercept</t>
  </si>
  <si>
    <t>Shape Parameter</t>
  </si>
  <si>
    <t>Scale Parameter</t>
  </si>
  <si>
    <t>Predicted Mean</t>
  </si>
  <si>
    <t>Actual Mean</t>
  </si>
  <si>
    <r>
      <t>x</t>
    </r>
    <r>
      <rPr>
        <vertAlign val="subscript"/>
        <sz val="10"/>
        <rFont val="Arial"/>
        <family val="2"/>
      </rPr>
      <t>transform</t>
    </r>
  </si>
  <si>
    <r>
      <t>Y</t>
    </r>
    <r>
      <rPr>
        <vertAlign val="subscript"/>
        <sz val="10"/>
        <rFont val="Arial"/>
        <family val="2"/>
      </rPr>
      <t>transform</t>
    </r>
  </si>
  <si>
    <t>shape</t>
  </si>
  <si>
    <t>weibull par</t>
  </si>
  <si>
    <t>scale</t>
  </si>
  <si>
    <t>apperture</t>
  </si>
  <si>
    <t>#test um (and not mm)</t>
  </si>
  <si>
    <t>#test ok</t>
  </si>
  <si>
    <t>Y=mX+c</t>
  </si>
  <si>
    <t>13Fdeck0</t>
  </si>
  <si>
    <t>forcast function</t>
  </si>
  <si>
    <t>yrr = ln(-ln(Y))</t>
  </si>
  <si>
    <t>xrr = ln(X)</t>
  </si>
  <si>
    <t>intercept</t>
  </si>
  <si>
    <t>x = scale(-ln(1-percentile))^1/shape</t>
  </si>
  <si>
    <t>using mm gives different intercept param, but end percentile result is the same</t>
  </si>
  <si>
    <t>chosen from straight line visual intercept on x-axis</t>
  </si>
  <si>
    <t>log(x)</t>
  </si>
  <si>
    <t>log(y)</t>
  </si>
  <si>
    <t>x'</t>
  </si>
  <si>
    <t>y' = (x/k)^n</t>
  </si>
  <si>
    <t>x' = ky ^ (1/n)</t>
  </si>
  <si>
    <t>y'</t>
  </si>
  <si>
    <t>parameters</t>
  </si>
  <si>
    <t>alternate</t>
  </si>
  <si>
    <t>symbols</t>
  </si>
  <si>
    <t>a=</t>
  </si>
  <si>
    <t>log slope</t>
  </si>
  <si>
    <t>y = m x  + c</t>
  </si>
  <si>
    <t>model function</t>
  </si>
  <si>
    <t>x = scale(-ln(1-percentile))^{1/shape}</t>
  </si>
  <si>
    <t>=EXP(-c/m) * (-LN(1-Y))^(1/m)*1000</t>
  </si>
  <si>
    <t>transform</t>
  </si>
  <si>
    <t>back transform and predict</t>
  </si>
  <si>
    <t>note: for computer programming, simply take the log of bothe x and y and linear moddel those.</t>
  </si>
  <si>
    <t xml:space="preserve">ref: </t>
  </si>
  <si>
    <t>Vitez, Tomas, and Petr Trávníček. “Particle Size Distribution of a Waste Sand from a Waste Water Treatment Plant with Use of Rosin–Rammler and Gates–Gaudin–Schumann Mathematical Model.” Acta Universitatis Agriculturae et Silviculturae Mendelianae Brunensis 59 (January 1, 2011): 197–201. https://doi.org/10.11118/actaun201159030197.</t>
  </si>
  <si>
    <t>model</t>
  </si>
  <si>
    <t>raw forcast</t>
  </si>
  <si>
    <t>modeled forcast</t>
  </si>
  <si>
    <t>function</t>
  </si>
  <si>
    <t>log forcast (GGS pieces)</t>
  </si>
  <si>
    <t>logcumpass</t>
  </si>
  <si>
    <t>log sieve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</si>
</sst>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0.0000"/>
    <numFmt numFmtId="165" formatCode="0.0%"/>
    <numFmt numFmtId="166" formatCode="0.000"/>
    <numFmt numFmtId="167" formatCode="d\-mmm\-yy;@"/>
    <numFmt numFmtId="168" formatCode="0.0E+00"/>
    <numFmt numFmtId="169" formatCode="0.0"/>
    <numFmt numFmtId="170" formatCode="0.000E+00"/>
    <numFmt numFmtId="171" formatCode="0.00000000"/>
    <numFmt numFmtId="172" formatCode="0.00000"/>
    <numFmt numFmtId="173" formatCode="_(* #,##0.0_);_(* \(#,##0.0\);_(* &quot;-&quot;??_);_(@_)"/>
    <numFmt numFmtId="174" formatCode="_(* #,##0_);_(* \(#,##0\);_(* &quot;-&quot;??_);_(@_)"/>
    <numFmt numFmtId="175" formatCode="_(* #,##0.0000_);_(* \(#,##0.0000\);_(* &quot;-&quot;??_);_(@_)"/>
    <numFmt numFmtId="176" formatCode="0E+00"/>
    <numFmt numFmtId="177" formatCode="0.000000000000000E+00"/>
  </numFmts>
  <fonts count="39" x14ac:knownFonts="1">
    <font>
      <sz val="11"/>
      <color theme="1"/>
      <name val="Calibri"/>
      <family val="2"/>
      <scheme val="minor"/>
    </font>
    <font>
      <sz val="8"/>
      <color theme="1"/>
      <name val="Calibri"/>
      <family val="2"/>
      <scheme val="minor"/>
    </font>
    <font>
      <sz val="8"/>
      <color theme="1"/>
      <name val="Calibri"/>
      <family val="2"/>
      <scheme val="minor"/>
    </font>
    <font>
      <sz val="8"/>
      <color theme="1"/>
      <name val="Calibri"/>
      <family val="2"/>
      <scheme val="minor"/>
    </font>
    <font>
      <sz val="8"/>
      <color theme="1"/>
      <name val="Calibri"/>
      <family val="2"/>
      <scheme val="minor"/>
    </font>
    <font>
      <sz val="8"/>
      <color theme="1"/>
      <name val="Calibri"/>
      <family val="2"/>
      <scheme val="minor"/>
    </font>
    <font>
      <sz val="10"/>
      <name val="Arial"/>
      <family val="2"/>
    </font>
    <font>
      <sz val="8"/>
      <name val="Arial"/>
      <family val="2"/>
    </font>
    <font>
      <b/>
      <sz val="10"/>
      <name val="Arial"/>
      <family val="2"/>
    </font>
    <font>
      <b/>
      <vertAlign val="subscript"/>
      <sz val="10"/>
      <name val="Arial"/>
      <family val="2"/>
    </font>
    <font>
      <sz val="8"/>
      <color indexed="23"/>
      <name val="Arial"/>
      <family val="2"/>
    </font>
    <font>
      <sz val="9"/>
      <color indexed="23"/>
      <name val="Arial"/>
      <family val="2"/>
    </font>
    <font>
      <sz val="8"/>
      <color theme="1"/>
      <name val="Calibri"/>
      <family val="2"/>
      <scheme val="minor"/>
    </font>
    <font>
      <b/>
      <sz val="8"/>
      <name val="Arial"/>
      <family val="2"/>
    </font>
    <font>
      <b/>
      <sz val="10"/>
      <color indexed="8"/>
      <name val="Tahoma"/>
      <family val="2"/>
    </font>
    <font>
      <sz val="10"/>
      <color indexed="8"/>
      <name val="Tahoma"/>
      <family val="2"/>
    </font>
    <font>
      <sz val="11"/>
      <color theme="1"/>
      <name val="Calibri"/>
      <family val="2"/>
      <scheme val="minor"/>
    </font>
    <font>
      <b/>
      <sz val="8"/>
      <color theme="1"/>
      <name val="Calibri"/>
      <family val="2"/>
      <scheme val="minor"/>
    </font>
    <font>
      <vertAlign val="superscript"/>
      <sz val="8"/>
      <name val="Arial"/>
      <family val="2"/>
    </font>
    <font>
      <sz val="8"/>
      <name val="Calibri"/>
      <family val="2"/>
      <scheme val="minor"/>
    </font>
    <font>
      <u/>
      <sz val="11"/>
      <color theme="10"/>
      <name val="Calibri"/>
      <family val="2"/>
      <scheme val="minor"/>
    </font>
    <font>
      <vertAlign val="superscrip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0"/>
      <name val="Arial"/>
      <family val="2"/>
    </font>
    <font>
      <i/>
      <sz val="11"/>
      <color theme="1"/>
      <name val="Calibri"/>
      <family val="2"/>
      <scheme val="minor"/>
    </font>
    <font>
      <vertAlign val="superscript"/>
      <sz val="8"/>
      <color theme="1"/>
      <name val="Calibri"/>
      <family val="2"/>
      <scheme val="minor"/>
    </font>
    <font>
      <strike/>
      <sz val="8"/>
      <color theme="1"/>
      <name val="Calibri"/>
      <family val="2"/>
      <scheme val="minor"/>
    </font>
    <font>
      <b/>
      <vertAlign val="superscript"/>
      <sz val="8"/>
      <color theme="1"/>
      <name val="Calibri"/>
      <family val="2"/>
      <scheme val="minor"/>
    </font>
    <font>
      <strike/>
      <vertAlign val="superscript"/>
      <sz val="8"/>
      <color theme="1"/>
      <name val="Calibri"/>
      <family val="2"/>
      <scheme val="minor"/>
    </font>
    <font>
      <i/>
      <sz val="8"/>
      <color theme="1"/>
      <name val="Calibri"/>
      <family val="2"/>
      <scheme val="minor"/>
    </font>
    <font>
      <sz val="10"/>
      <color theme="1"/>
      <name val="Calibri"/>
      <family val="2"/>
      <scheme val="minor"/>
    </font>
    <font>
      <vertAlign val="subscript"/>
      <sz val="8"/>
      <color theme="1"/>
      <name val="Calibri"/>
      <family val="2"/>
      <scheme val="minor"/>
    </font>
    <font>
      <sz val="8"/>
      <color theme="1"/>
      <name val="Calibri"/>
      <family val="2"/>
    </font>
    <font>
      <vertAlign val="subscript"/>
      <sz val="10"/>
      <name val="Arial"/>
      <family val="2"/>
    </font>
    <font>
      <sz val="16"/>
      <name val="Arial"/>
      <family val="2"/>
    </font>
    <font>
      <b/>
      <sz val="16"/>
      <color theme="1"/>
      <name val="Calibri"/>
      <family val="2"/>
      <scheme val="minor"/>
    </font>
    <font>
      <sz val="8"/>
      <color theme="2" tint="-9.9978637043366805E-2"/>
      <name val="Calibri"/>
      <family val="2"/>
      <scheme val="minor"/>
    </font>
  </fonts>
  <fills count="17">
    <fill>
      <patternFill patternType="none"/>
    </fill>
    <fill>
      <patternFill patternType="gray125"/>
    </fill>
    <fill>
      <patternFill patternType="solid">
        <fgColor theme="1"/>
        <bgColor indexed="64"/>
      </patternFill>
    </fill>
    <fill>
      <patternFill patternType="solid">
        <fgColor indexed="63"/>
        <bgColor indexed="59"/>
      </patternFill>
    </fill>
    <fill>
      <patternFill patternType="solid">
        <fgColor rgb="FFFFFF0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bgColor indexed="64"/>
      </patternFill>
    </fill>
    <fill>
      <patternFill patternType="solid">
        <fgColor theme="5" tint="0.59999389629810485"/>
        <bgColor indexed="64"/>
      </patternFill>
    </fill>
    <fill>
      <patternFill patternType="solid">
        <fgColor rgb="FF00B050"/>
        <bgColor indexed="64"/>
      </patternFill>
    </fill>
    <fill>
      <patternFill patternType="solid">
        <fgColor theme="4" tint="0.39997558519241921"/>
        <bgColor indexed="64"/>
      </patternFill>
    </fill>
    <fill>
      <patternFill patternType="solid">
        <fgColor rgb="FF0D4D6D"/>
        <bgColor indexed="64"/>
      </patternFill>
    </fill>
  </fills>
  <borders count="19">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bottom style="thin">
        <color indexed="5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medium">
        <color indexed="64"/>
      </bottom>
      <diagonal/>
    </border>
  </borders>
  <cellStyleXfs count="8">
    <xf numFmtId="0" fontId="0" fillId="0" borderId="0"/>
    <xf numFmtId="0" fontId="6" fillId="0" borderId="0"/>
    <xf numFmtId="9" fontId="6" fillId="0" borderId="0" applyFill="0" applyBorder="0" applyAlignment="0" applyProtection="0"/>
    <xf numFmtId="9" fontId="16" fillId="0" borderId="0" applyFont="0" applyFill="0" applyBorder="0" applyAlignment="0" applyProtection="0"/>
    <xf numFmtId="0" fontId="20" fillId="0" borderId="0" applyNumberFormat="0" applyFill="0" applyBorder="0" applyAlignment="0" applyProtection="0"/>
    <xf numFmtId="43" fontId="16" fillId="0" borderId="0" applyFont="0" applyFill="0" applyBorder="0" applyAlignment="0" applyProtection="0"/>
    <xf numFmtId="9" fontId="6" fillId="0" borderId="0" applyFont="0" applyFill="0" applyBorder="0" applyAlignment="0" applyProtection="0"/>
    <xf numFmtId="0" fontId="25" fillId="0" borderId="0"/>
  </cellStyleXfs>
  <cellXfs count="475">
    <xf numFmtId="0" fontId="0" fillId="0" borderId="0" xfId="0"/>
    <xf numFmtId="0" fontId="6" fillId="0" borderId="0" xfId="1"/>
    <xf numFmtId="0" fontId="7" fillId="0" borderId="0" xfId="1" applyFont="1"/>
    <xf numFmtId="0" fontId="7" fillId="0" borderId="0" xfId="1" applyFont="1" applyAlignment="1">
      <alignment horizontal="center"/>
    </xf>
    <xf numFmtId="0" fontId="8" fillId="0" borderId="0" xfId="1" applyFont="1" applyAlignment="1">
      <alignment horizontal="left"/>
    </xf>
    <xf numFmtId="0" fontId="6" fillId="0" borderId="1" xfId="1" applyBorder="1"/>
    <xf numFmtId="0" fontId="8" fillId="0" borderId="3" xfId="1" applyFont="1" applyBorder="1" applyAlignment="1">
      <alignment horizontal="left"/>
    </xf>
    <xf numFmtId="0" fontId="6" fillId="0" borderId="4" xfId="1" applyBorder="1"/>
    <xf numFmtId="0" fontId="10" fillId="0" borderId="0" xfId="1" applyFont="1"/>
    <xf numFmtId="0" fontId="8" fillId="0" borderId="5" xfId="1" applyFont="1" applyBorder="1" applyAlignment="1">
      <alignment horizontal="left"/>
    </xf>
    <xf numFmtId="164" fontId="6" fillId="0" borderId="0" xfId="1" applyNumberFormat="1"/>
    <xf numFmtId="0" fontId="8" fillId="0" borderId="0" xfId="1" applyFont="1" applyAlignment="1">
      <alignment horizontal="right"/>
    </xf>
    <xf numFmtId="0" fontId="6" fillId="0" borderId="6" xfId="1" applyBorder="1"/>
    <xf numFmtId="0" fontId="8" fillId="0" borderId="8" xfId="1" applyFont="1" applyBorder="1" applyAlignment="1">
      <alignment horizontal="left"/>
    </xf>
    <xf numFmtId="0" fontId="6" fillId="2" borderId="0" xfId="1" applyFill="1"/>
    <xf numFmtId="2" fontId="11" fillId="3" borderId="0" xfId="1" applyNumberFormat="1" applyFont="1" applyFill="1"/>
    <xf numFmtId="10" fontId="7" fillId="0" borderId="0" xfId="1" applyNumberFormat="1" applyFont="1"/>
    <xf numFmtId="164" fontId="7" fillId="0" borderId="0" xfId="1" applyNumberFormat="1" applyFont="1" applyAlignment="1">
      <alignment horizontal="center"/>
    </xf>
    <xf numFmtId="0" fontId="12" fillId="0" borderId="0" xfId="0" quotePrefix="1" applyFont="1" applyAlignment="1">
      <alignment horizontal="center" vertical="center"/>
    </xf>
    <xf numFmtId="165" fontId="0" fillId="0" borderId="0" xfId="2" applyNumberFormat="1" applyFont="1" applyFill="1" applyBorder="1" applyAlignment="1" applyProtection="1"/>
    <xf numFmtId="2" fontId="10" fillId="0" borderId="0" xfId="1" applyNumberFormat="1" applyFont="1"/>
    <xf numFmtId="166" fontId="6" fillId="0" borderId="0" xfId="1" applyNumberFormat="1"/>
    <xf numFmtId="0" fontId="7" fillId="0" borderId="0" xfId="1" applyFont="1" applyAlignment="1">
      <alignment wrapText="1"/>
    </xf>
    <xf numFmtId="164" fontId="7" fillId="0" borderId="0" xfId="1" applyNumberFormat="1" applyFont="1" applyAlignment="1">
      <alignment horizontal="center" wrapText="1"/>
    </xf>
    <xf numFmtId="0" fontId="8" fillId="0" borderId="0" xfId="1" applyFont="1" applyAlignment="1">
      <alignment horizontal="center"/>
    </xf>
    <xf numFmtId="0" fontId="12" fillId="0" borderId="0" xfId="0" applyFont="1" applyAlignment="1">
      <alignment horizontal="center" vertical="top" wrapText="1"/>
    </xf>
    <xf numFmtId="0" fontId="7" fillId="0" borderId="0" xfId="1" applyFont="1" applyAlignment="1">
      <alignment horizontal="right" wrapText="1"/>
    </xf>
    <xf numFmtId="0" fontId="10" fillId="0" borderId="0" xfId="1" applyFont="1" applyAlignment="1">
      <alignment horizontal="right" wrapText="1"/>
    </xf>
    <xf numFmtId="0" fontId="13" fillId="0" borderId="0" xfId="1" applyFont="1" applyAlignment="1">
      <alignment horizontal="center"/>
    </xf>
    <xf numFmtId="0" fontId="6" fillId="0" borderId="0" xfId="1" applyAlignment="1">
      <alignment horizontal="left"/>
    </xf>
    <xf numFmtId="0" fontId="6" fillId="0" borderId="9" xfId="1" applyBorder="1"/>
    <xf numFmtId="0" fontId="8" fillId="0" borderId="9" xfId="1" applyFont="1" applyBorder="1" applyAlignment="1">
      <alignment horizontal="left"/>
    </xf>
    <xf numFmtId="0" fontId="8" fillId="0" borderId="0" xfId="1" applyFont="1"/>
    <xf numFmtId="167" fontId="6" fillId="0" borderId="0" xfId="1" applyNumberFormat="1" applyAlignment="1">
      <alignment horizontal="left"/>
    </xf>
    <xf numFmtId="165" fontId="8" fillId="0" borderId="0" xfId="1" applyNumberFormat="1" applyFont="1" applyAlignment="1">
      <alignment horizontal="center"/>
    </xf>
    <xf numFmtId="0" fontId="0" fillId="0" borderId="5" xfId="0" applyBorder="1"/>
    <xf numFmtId="0" fontId="12" fillId="0" borderId="0" xfId="0" applyFont="1"/>
    <xf numFmtId="9" fontId="17" fillId="0" borderId="5" xfId="3" applyFont="1" applyFill="1" applyBorder="1" applyAlignment="1">
      <alignment horizontal="center" vertical="center" wrapText="1"/>
    </xf>
    <xf numFmtId="1" fontId="17" fillId="0" borderId="0" xfId="0" applyNumberFormat="1" applyFont="1" applyAlignment="1">
      <alignment horizontal="center" vertical="center" wrapText="1"/>
    </xf>
    <xf numFmtId="9" fontId="17" fillId="4" borderId="5" xfId="3" applyFont="1" applyFill="1" applyBorder="1" applyAlignment="1">
      <alignment horizontal="center" vertical="center" wrapText="1"/>
    </xf>
    <xf numFmtId="168" fontId="7" fillId="0" borderId="0" xfId="1" applyNumberFormat="1" applyFont="1" applyAlignment="1">
      <alignment horizontal="center"/>
    </xf>
    <xf numFmtId="168" fontId="7" fillId="0" borderId="0" xfId="1" applyNumberFormat="1" applyFont="1" applyAlignment="1">
      <alignment horizontal="center" wrapText="1"/>
    </xf>
    <xf numFmtId="168" fontId="6" fillId="0" borderId="0" xfId="1" applyNumberFormat="1" applyAlignment="1">
      <alignment horizontal="center"/>
    </xf>
    <xf numFmtId="0" fontId="6" fillId="0" borderId="10" xfId="1" applyBorder="1"/>
    <xf numFmtId="168" fontId="7" fillId="0" borderId="11" xfId="1" applyNumberFormat="1" applyFont="1" applyBorder="1" applyAlignment="1">
      <alignment horizontal="center"/>
    </xf>
    <xf numFmtId="168" fontId="7" fillId="0" borderId="12" xfId="1" applyNumberFormat="1" applyFont="1" applyBorder="1" applyAlignment="1">
      <alignment horizontal="center"/>
    </xf>
    <xf numFmtId="169" fontId="17" fillId="0" borderId="0" xfId="0" applyNumberFormat="1" applyFont="1" applyAlignment="1">
      <alignment horizontal="center" vertical="center" wrapText="1"/>
    </xf>
    <xf numFmtId="0" fontId="7" fillId="0" borderId="0" xfId="1" applyFont="1" applyBorder="1" applyAlignment="1">
      <alignment horizontal="center"/>
    </xf>
    <xf numFmtId="0" fontId="7" fillId="0" borderId="0" xfId="1" applyFont="1" applyBorder="1"/>
    <xf numFmtId="0" fontId="6" fillId="0" borderId="0" xfId="1" applyBorder="1"/>
    <xf numFmtId="0" fontId="6" fillId="0" borderId="0" xfId="1" applyAlignment="1">
      <alignment horizontal="right"/>
    </xf>
    <xf numFmtId="0" fontId="6" fillId="0" borderId="13" xfId="1" applyBorder="1" applyAlignment="1">
      <alignment horizontal="right"/>
    </xf>
    <xf numFmtId="0" fontId="6" fillId="0" borderId="14" xfId="1" applyBorder="1" applyAlignment="1">
      <alignment horizontal="right"/>
    </xf>
    <xf numFmtId="0" fontId="6" fillId="0" borderId="15" xfId="1" applyBorder="1" applyAlignment="1">
      <alignment horizontal="right"/>
    </xf>
    <xf numFmtId="1" fontId="17" fillId="4" borderId="0" xfId="0" applyNumberFormat="1" applyFont="1" applyFill="1" applyAlignment="1">
      <alignment horizontal="center" vertical="center" wrapText="1"/>
    </xf>
    <xf numFmtId="1" fontId="0" fillId="0" borderId="0" xfId="0" applyNumberFormat="1"/>
    <xf numFmtId="166" fontId="7" fillId="0" borderId="0" xfId="1" applyNumberFormat="1" applyFont="1" applyAlignment="1">
      <alignment wrapText="1"/>
    </xf>
    <xf numFmtId="1" fontId="0" fillId="4" borderId="0" xfId="0" applyNumberFormat="1" applyFill="1"/>
    <xf numFmtId="1" fontId="6" fillId="0" borderId="0" xfId="1" applyNumberFormat="1"/>
    <xf numFmtId="0" fontId="0" fillId="0" borderId="0" xfId="0" applyFill="1"/>
    <xf numFmtId="0" fontId="20" fillId="0" borderId="0" xfId="4"/>
    <xf numFmtId="0" fontId="0" fillId="5" borderId="0" xfId="0" applyFill="1"/>
    <xf numFmtId="164" fontId="0" fillId="0" borderId="0" xfId="0" applyNumberFormat="1"/>
    <xf numFmtId="166" fontId="0" fillId="0" borderId="0" xfId="0" applyNumberFormat="1"/>
    <xf numFmtId="164" fontId="0" fillId="5" borderId="0" xfId="0" applyNumberFormat="1" applyFill="1"/>
    <xf numFmtId="166" fontId="0" fillId="4" borderId="0" xfId="0" applyNumberFormat="1" applyFill="1"/>
    <xf numFmtId="166" fontId="0" fillId="5" borderId="0" xfId="0" applyNumberFormat="1" applyFill="1"/>
    <xf numFmtId="0" fontId="0" fillId="0" borderId="0" xfId="0" applyAlignment="1">
      <alignment horizontal="center"/>
    </xf>
    <xf numFmtId="0" fontId="0" fillId="4" borderId="0" xfId="0" applyFill="1" applyAlignment="1">
      <alignment horizontal="center"/>
    </xf>
    <xf numFmtId="0" fontId="0" fillId="0" borderId="0" xfId="0" applyAlignment="1">
      <alignment horizontal="left"/>
    </xf>
    <xf numFmtId="166" fontId="0" fillId="0" borderId="13" xfId="0" applyNumberFormat="1" applyBorder="1"/>
    <xf numFmtId="166" fontId="0" fillId="0" borderId="14" xfId="0" applyNumberFormat="1" applyBorder="1"/>
    <xf numFmtId="166" fontId="0" fillId="0" borderId="15" xfId="0" applyNumberFormat="1" applyBorder="1"/>
    <xf numFmtId="166" fontId="0" fillId="0" borderId="0" xfId="0" applyNumberFormat="1" applyBorder="1"/>
    <xf numFmtId="166" fontId="0" fillId="6" borderId="0" xfId="0" applyNumberFormat="1" applyFill="1" applyBorder="1"/>
    <xf numFmtId="0" fontId="0" fillId="6" borderId="0" xfId="0" applyFill="1"/>
    <xf numFmtId="169" fontId="0" fillId="0" borderId="0" xfId="0" applyNumberFormat="1" applyBorder="1"/>
    <xf numFmtId="0" fontId="0" fillId="0" borderId="0" xfId="0" applyFill="1" applyAlignment="1">
      <alignment horizontal="center"/>
    </xf>
    <xf numFmtId="0" fontId="0" fillId="0" borderId="8" xfId="0" applyBorder="1"/>
    <xf numFmtId="0" fontId="0" fillId="0" borderId="7" xfId="0" applyBorder="1"/>
    <xf numFmtId="166" fontId="0" fillId="4" borderId="7" xfId="0" applyNumberFormat="1" applyFill="1" applyBorder="1"/>
    <xf numFmtId="166" fontId="0" fillId="0" borderId="7" xfId="0" applyNumberFormat="1" applyBorder="1"/>
    <xf numFmtId="164" fontId="0" fillId="0" borderId="7" xfId="0" applyNumberFormat="1" applyBorder="1"/>
    <xf numFmtId="164" fontId="0" fillId="0" borderId="6" xfId="0" applyNumberFormat="1" applyBorder="1"/>
    <xf numFmtId="0" fontId="0" fillId="5" borderId="5" xfId="0" applyFill="1" applyBorder="1"/>
    <xf numFmtId="0" fontId="0" fillId="5" borderId="0" xfId="0" applyFill="1" applyBorder="1"/>
    <xf numFmtId="166" fontId="0" fillId="5" borderId="0" xfId="0" applyNumberFormat="1" applyFill="1" applyBorder="1"/>
    <xf numFmtId="164" fontId="0" fillId="0" borderId="0" xfId="0" applyNumberFormat="1" applyBorder="1"/>
    <xf numFmtId="164" fontId="0" fillId="0" borderId="4" xfId="0" applyNumberFormat="1" applyBorder="1"/>
    <xf numFmtId="0" fontId="0" fillId="0" borderId="0" xfId="0" applyBorder="1"/>
    <xf numFmtId="166" fontId="0" fillId="4" borderId="0" xfId="0" applyNumberFormat="1" applyFill="1" applyBorder="1"/>
    <xf numFmtId="0" fontId="0" fillId="0" borderId="3" xfId="0" applyBorder="1"/>
    <xf numFmtId="0" fontId="0" fillId="0" borderId="2" xfId="0" applyBorder="1"/>
    <xf numFmtId="166" fontId="0" fillId="4" borderId="2" xfId="0" applyNumberFormat="1" applyFill="1" applyBorder="1"/>
    <xf numFmtId="166" fontId="0" fillId="0" borderId="2" xfId="0" applyNumberFormat="1" applyBorder="1"/>
    <xf numFmtId="164" fontId="0" fillId="0" borderId="2" xfId="0" applyNumberFormat="1" applyBorder="1"/>
    <xf numFmtId="164" fontId="0" fillId="0" borderId="1" xfId="0" applyNumberFormat="1" applyBorder="1"/>
    <xf numFmtId="0" fontId="0" fillId="0" borderId="2" xfId="0" applyFill="1" applyBorder="1"/>
    <xf numFmtId="169" fontId="0" fillId="0" borderId="0" xfId="0" applyNumberFormat="1"/>
    <xf numFmtId="0" fontId="0" fillId="0" borderId="0" xfId="0" quotePrefix="1"/>
    <xf numFmtId="170" fontId="7" fillId="4" borderId="11" xfId="1" applyNumberFormat="1" applyFont="1" applyFill="1" applyBorder="1" applyAlignment="1">
      <alignment horizontal="center"/>
    </xf>
    <xf numFmtId="0" fontId="0" fillId="0" borderId="0" xfId="0" applyFill="1" applyAlignment="1">
      <alignment horizontal="left"/>
    </xf>
    <xf numFmtId="0" fontId="0" fillId="0" borderId="8" xfId="0" applyFill="1" applyBorder="1"/>
    <xf numFmtId="0" fontId="0" fillId="0" borderId="7" xfId="0" applyFill="1" applyBorder="1"/>
    <xf numFmtId="166" fontId="0" fillId="0" borderId="7" xfId="0" applyNumberFormat="1" applyFill="1" applyBorder="1"/>
    <xf numFmtId="164" fontId="0" fillId="0" borderId="7" xfId="0" applyNumberFormat="1" applyFill="1" applyBorder="1"/>
    <xf numFmtId="164" fontId="0" fillId="0" borderId="6" xfId="0" applyNumberFormat="1" applyFill="1" applyBorder="1"/>
    <xf numFmtId="0" fontId="0" fillId="0" borderId="3" xfId="0" applyFill="1" applyBorder="1"/>
    <xf numFmtId="166" fontId="0" fillId="0" borderId="2" xfId="0" applyNumberFormat="1" applyFill="1" applyBorder="1"/>
    <xf numFmtId="164" fontId="0" fillId="0" borderId="2" xfId="0" applyNumberFormat="1" applyFill="1" applyBorder="1"/>
    <xf numFmtId="164" fontId="0" fillId="0" borderId="1" xfId="0" applyNumberFormat="1" applyFill="1" applyBorder="1"/>
    <xf numFmtId="0" fontId="0" fillId="0" borderId="10" xfId="0" applyFill="1" applyBorder="1"/>
    <xf numFmtId="0" fontId="0" fillId="0" borderId="11" xfId="0" applyFill="1" applyBorder="1"/>
    <xf numFmtId="166" fontId="0" fillId="0" borderId="11" xfId="0" applyNumberFormat="1" applyFill="1" applyBorder="1"/>
    <xf numFmtId="164" fontId="0" fillId="0" borderId="11" xfId="0" applyNumberFormat="1" applyFill="1" applyBorder="1"/>
    <xf numFmtId="164" fontId="0" fillId="0" borderId="12" xfId="0" applyNumberFormat="1" applyFill="1" applyBorder="1"/>
    <xf numFmtId="0" fontId="0" fillId="0" borderId="5" xfId="0" applyFill="1" applyBorder="1"/>
    <xf numFmtId="0" fontId="0" fillId="0" borderId="0" xfId="0" applyFill="1" applyBorder="1"/>
    <xf numFmtId="166" fontId="0" fillId="0" borderId="0" xfId="0" applyNumberFormat="1" applyFill="1" applyBorder="1"/>
    <xf numFmtId="164" fontId="0" fillId="0" borderId="0" xfId="0" applyNumberFormat="1" applyFill="1" applyBorder="1"/>
    <xf numFmtId="164" fontId="0" fillId="0" borderId="4" xfId="0" applyNumberFormat="1" applyFill="1" applyBorder="1"/>
    <xf numFmtId="0" fontId="0" fillId="0" borderId="1" xfId="0" applyFill="1" applyBorder="1"/>
    <xf numFmtId="0" fontId="22" fillId="0" borderId="0" xfId="0" applyFont="1"/>
    <xf numFmtId="169" fontId="6" fillId="0" borderId="0" xfId="1" applyNumberFormat="1"/>
    <xf numFmtId="0" fontId="0" fillId="0" borderId="0" xfId="0" applyFill="1" applyBorder="1" applyAlignment="1"/>
    <xf numFmtId="0" fontId="0" fillId="0" borderId="18" xfId="0" applyFill="1" applyBorder="1" applyAlignment="1"/>
    <xf numFmtId="0" fontId="26" fillId="0" borderId="17" xfId="0" applyFont="1" applyFill="1" applyBorder="1" applyAlignment="1">
      <alignment horizontal="center"/>
    </xf>
    <xf numFmtId="0" fontId="12" fillId="0" borderId="8" xfId="0" applyFont="1" applyBorder="1"/>
    <xf numFmtId="0" fontId="12" fillId="0" borderId="3" xfId="0" applyFont="1" applyBorder="1"/>
    <xf numFmtId="0" fontId="12" fillId="0" borderId="0" xfId="0" applyFont="1" applyFill="1" applyBorder="1"/>
    <xf numFmtId="9" fontId="17" fillId="0" borderId="0" xfId="3" applyFont="1" applyFill="1" applyBorder="1" applyAlignment="1">
      <alignment horizontal="center" vertical="center" wrapText="1"/>
    </xf>
    <xf numFmtId="0" fontId="12" fillId="0" borderId="7" xfId="0" applyFont="1" applyBorder="1"/>
    <xf numFmtId="0" fontId="12" fillId="0" borderId="2" xfId="0" applyFont="1" applyBorder="1"/>
    <xf numFmtId="0" fontId="12" fillId="0" borderId="2" xfId="0" applyFont="1" applyFill="1" applyBorder="1"/>
    <xf numFmtId="166" fontId="12" fillId="0" borderId="0" xfId="0" applyNumberFormat="1" applyFont="1"/>
    <xf numFmtId="0" fontId="12" fillId="0" borderId="0" xfId="0" applyFont="1" applyFill="1" applyAlignment="1">
      <alignment horizontal="center"/>
    </xf>
    <xf numFmtId="0" fontId="17" fillId="0" borderId="0" xfId="0" applyFont="1"/>
    <xf numFmtId="0" fontId="12" fillId="0" borderId="5" xfId="0" applyFont="1" applyBorder="1"/>
    <xf numFmtId="0" fontId="12" fillId="0" borderId="0" xfId="0" applyFont="1" applyAlignment="1">
      <alignment horizontal="center"/>
    </xf>
    <xf numFmtId="0" fontId="12" fillId="0" borderId="0" xfId="0" applyFont="1" applyBorder="1"/>
    <xf numFmtId="166" fontId="12" fillId="0" borderId="0" xfId="0" applyNumberFormat="1" applyFont="1" applyAlignment="1">
      <alignment horizontal="center"/>
    </xf>
    <xf numFmtId="0" fontId="17" fillId="0" borderId="0" xfId="0" applyFont="1" applyAlignment="1">
      <alignment horizontal="center"/>
    </xf>
    <xf numFmtId="0" fontId="12" fillId="0" borderId="8" xfId="0" applyFont="1" applyBorder="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12" fillId="0" borderId="3" xfId="0" applyFont="1" applyFill="1" applyBorder="1" applyAlignment="1">
      <alignment horizontal="center"/>
    </xf>
    <xf numFmtId="172" fontId="28" fillId="0" borderId="0" xfId="0" applyNumberFormat="1" applyFont="1"/>
    <xf numFmtId="171" fontId="12" fillId="0" borderId="0" xfId="0" applyNumberFormat="1" applyFont="1"/>
    <xf numFmtId="0" fontId="12" fillId="0" borderId="0" xfId="0" quotePrefix="1" applyFont="1" applyAlignment="1">
      <alignment horizontal="center"/>
    </xf>
    <xf numFmtId="175" fontId="12" fillId="0" borderId="0" xfId="5" applyNumberFormat="1" applyFont="1"/>
    <xf numFmtId="166" fontId="12" fillId="0" borderId="0" xfId="0" applyNumberFormat="1" applyFont="1" applyBorder="1"/>
    <xf numFmtId="0" fontId="12" fillId="7" borderId="8" xfId="0" applyFont="1" applyFill="1" applyBorder="1"/>
    <xf numFmtId="0" fontId="12" fillId="7" borderId="7" xfId="0" applyFont="1" applyFill="1" applyBorder="1"/>
    <xf numFmtId="0" fontId="12" fillId="7" borderId="6" xfId="0" applyFont="1" applyFill="1" applyBorder="1"/>
    <xf numFmtId="0" fontId="12" fillId="7" borderId="5" xfId="0" applyFont="1" applyFill="1" applyBorder="1"/>
    <xf numFmtId="0" fontId="12" fillId="7" borderId="0" xfId="0" applyFont="1" applyFill="1" applyBorder="1"/>
    <xf numFmtId="0" fontId="12" fillId="7" borderId="4" xfId="0" applyFont="1" applyFill="1" applyBorder="1"/>
    <xf numFmtId="0" fontId="12" fillId="7" borderId="3" xfId="0" applyFont="1" applyFill="1" applyBorder="1"/>
    <xf numFmtId="0" fontId="12" fillId="7" borderId="2" xfId="0" applyFont="1" applyFill="1" applyBorder="1"/>
    <xf numFmtId="0" fontId="12" fillId="7" borderId="1" xfId="0" applyFont="1" applyFill="1" applyBorder="1"/>
    <xf numFmtId="1" fontId="12" fillId="0" borderId="0" xfId="0" applyNumberFormat="1" applyFont="1"/>
    <xf numFmtId="0" fontId="12" fillId="0" borderId="0" xfId="0" applyFont="1" applyFill="1"/>
    <xf numFmtId="174" fontId="12" fillId="0" borderId="0" xfId="5" applyNumberFormat="1" applyFont="1"/>
    <xf numFmtId="1" fontId="12" fillId="8" borderId="0" xfId="0" applyNumberFormat="1" applyFont="1" applyFill="1"/>
    <xf numFmtId="165" fontId="12" fillId="0" borderId="0" xfId="3" applyNumberFormat="1" applyFont="1"/>
    <xf numFmtId="165" fontId="17" fillId="0" borderId="0" xfId="3" applyNumberFormat="1" applyFont="1"/>
    <xf numFmtId="2" fontId="12" fillId="0" borderId="0" xfId="0" applyNumberFormat="1" applyFont="1"/>
    <xf numFmtId="1" fontId="12" fillId="0" borderId="0" xfId="0" applyNumberFormat="1" applyFont="1" applyFill="1"/>
    <xf numFmtId="173" fontId="17" fillId="0" borderId="0" xfId="5" applyNumberFormat="1" applyFont="1" applyFill="1"/>
    <xf numFmtId="0" fontId="17" fillId="0" borderId="7" xfId="0" applyFont="1" applyBorder="1"/>
    <xf numFmtId="166" fontId="12" fillId="0" borderId="7" xfId="0" applyNumberFormat="1" applyFont="1" applyFill="1" applyBorder="1"/>
    <xf numFmtId="166" fontId="17" fillId="0" borderId="7" xfId="0" applyNumberFormat="1" applyFont="1" applyBorder="1"/>
    <xf numFmtId="0" fontId="12" fillId="0" borderId="6" xfId="0" applyFont="1" applyBorder="1"/>
    <xf numFmtId="0" fontId="17" fillId="0" borderId="0" xfId="0" applyFont="1" applyBorder="1"/>
    <xf numFmtId="166" fontId="12" fillId="0" borderId="0" xfId="0" applyNumberFormat="1" applyFont="1" applyFill="1" applyBorder="1"/>
    <xf numFmtId="166" fontId="17" fillId="0" borderId="0" xfId="0" applyNumberFormat="1" applyFont="1" applyBorder="1"/>
    <xf numFmtId="0" fontId="12" fillId="0" borderId="4" xfId="0" applyFont="1" applyBorder="1"/>
    <xf numFmtId="166" fontId="12" fillId="0" borderId="2" xfId="0" applyNumberFormat="1" applyFont="1" applyFill="1" applyBorder="1"/>
    <xf numFmtId="166" fontId="17" fillId="0" borderId="2" xfId="0" applyNumberFormat="1" applyFont="1" applyBorder="1"/>
    <xf numFmtId="0" fontId="12" fillId="0" borderId="1" xfId="0" applyFont="1" applyBorder="1"/>
    <xf numFmtId="168" fontId="12" fillId="0" borderId="0" xfId="0" applyNumberFormat="1" applyFont="1"/>
    <xf numFmtId="2" fontId="12" fillId="0" borderId="7" xfId="0" applyNumberFormat="1" applyFont="1" applyBorder="1"/>
    <xf numFmtId="1" fontId="12" fillId="0" borderId="2" xfId="0" applyNumberFormat="1" applyFont="1" applyBorder="1"/>
    <xf numFmtId="1" fontId="17" fillId="0" borderId="6" xfId="0" applyNumberFormat="1" applyFont="1" applyBorder="1"/>
    <xf numFmtId="1" fontId="17" fillId="0" borderId="0" xfId="0" applyNumberFormat="1" applyFont="1" applyBorder="1"/>
    <xf numFmtId="1" fontId="17" fillId="0" borderId="0" xfId="0" applyNumberFormat="1" applyFont="1"/>
    <xf numFmtId="9" fontId="12" fillId="0" borderId="0" xfId="3" applyFont="1"/>
    <xf numFmtId="1" fontId="12" fillId="4" borderId="0" xfId="0" applyNumberFormat="1" applyFont="1" applyFill="1"/>
    <xf numFmtId="1" fontId="12" fillId="4" borderId="0" xfId="0" applyNumberFormat="1" applyFont="1" applyFill="1" applyBorder="1"/>
    <xf numFmtId="1" fontId="17" fillId="4" borderId="0" xfId="0" applyNumberFormat="1" applyFont="1" applyFill="1"/>
    <xf numFmtId="1" fontId="12" fillId="10" borderId="0" xfId="0" applyNumberFormat="1" applyFont="1" applyFill="1"/>
    <xf numFmtId="0" fontId="17" fillId="10" borderId="0" xfId="0" applyFont="1" applyFill="1"/>
    <xf numFmtId="1" fontId="17" fillId="10" borderId="0" xfId="0" applyNumberFormat="1" applyFont="1" applyFill="1"/>
    <xf numFmtId="1" fontId="12" fillId="0" borderId="0" xfId="0" applyNumberFormat="1" applyFont="1" applyFill="1" applyBorder="1"/>
    <xf numFmtId="0" fontId="12" fillId="0" borderId="7" xfId="0" applyFont="1" applyBorder="1" applyAlignment="1">
      <alignment horizontal="center"/>
    </xf>
    <xf numFmtId="166" fontId="17" fillId="0" borderId="4" xfId="0" applyNumberFormat="1" applyFont="1" applyBorder="1"/>
    <xf numFmtId="0" fontId="12" fillId="11" borderId="0" xfId="0" applyFont="1" applyFill="1" applyBorder="1"/>
    <xf numFmtId="0" fontId="12" fillId="9" borderId="0" xfId="0" applyFont="1" applyFill="1" applyBorder="1"/>
    <xf numFmtId="166" fontId="12" fillId="0" borderId="2" xfId="0" applyNumberFormat="1" applyFont="1" applyBorder="1"/>
    <xf numFmtId="1" fontId="12" fillId="0" borderId="0" xfId="0" applyNumberFormat="1" applyFont="1" applyBorder="1"/>
    <xf numFmtId="0" fontId="12" fillId="0" borderId="0" xfId="0" quotePrefix="1" applyFont="1" applyBorder="1"/>
    <xf numFmtId="1" fontId="12" fillId="0" borderId="7" xfId="0" applyNumberFormat="1" applyFont="1" applyFill="1" applyBorder="1"/>
    <xf numFmtId="1" fontId="17" fillId="0" borderId="13" xfId="0" applyNumberFormat="1" applyFont="1" applyFill="1" applyBorder="1"/>
    <xf numFmtId="1" fontId="17" fillId="0" borderId="14" xfId="0" applyNumberFormat="1" applyFont="1" applyFill="1" applyBorder="1"/>
    <xf numFmtId="169" fontId="12" fillId="0" borderId="0" xfId="0" applyNumberFormat="1" applyFont="1" applyFill="1" applyBorder="1"/>
    <xf numFmtId="169" fontId="17" fillId="0" borderId="14" xfId="0" applyNumberFormat="1" applyFont="1" applyFill="1" applyBorder="1"/>
    <xf numFmtId="169" fontId="12" fillId="0" borderId="2" xfId="0" applyNumberFormat="1" applyFont="1" applyFill="1" applyBorder="1"/>
    <xf numFmtId="169" fontId="17" fillId="0" borderId="15" xfId="0" applyNumberFormat="1" applyFont="1" applyFill="1" applyBorder="1"/>
    <xf numFmtId="0" fontId="12" fillId="0" borderId="0" xfId="0" applyFont="1" applyBorder="1" applyAlignment="1">
      <alignment horizontal="center"/>
    </xf>
    <xf numFmtId="0" fontId="12" fillId="0" borderId="0" xfId="0" applyFont="1" applyAlignment="1">
      <alignment horizontal="left"/>
    </xf>
    <xf numFmtId="164" fontId="12" fillId="0" borderId="8" xfId="0" applyNumberFormat="1" applyFont="1" applyFill="1" applyBorder="1"/>
    <xf numFmtId="164" fontId="12" fillId="0" borderId="7" xfId="0" applyNumberFormat="1" applyFont="1" applyFill="1" applyBorder="1"/>
    <xf numFmtId="164" fontId="17" fillId="0" borderId="13" xfId="0" applyNumberFormat="1" applyFont="1" applyFill="1" applyBorder="1"/>
    <xf numFmtId="164" fontId="12" fillId="0" borderId="5" xfId="0" applyNumberFormat="1" applyFont="1" applyFill="1" applyBorder="1"/>
    <xf numFmtId="164" fontId="12" fillId="0" borderId="0" xfId="0" applyNumberFormat="1" applyFont="1" applyFill="1" applyBorder="1"/>
    <xf numFmtId="164" fontId="17" fillId="0" borderId="14" xfId="0" applyNumberFormat="1" applyFont="1" applyFill="1" applyBorder="1"/>
    <xf numFmtId="164" fontId="12" fillId="0" borderId="10" xfId="0" applyNumberFormat="1" applyFont="1" applyFill="1" applyBorder="1"/>
    <xf numFmtId="164" fontId="12" fillId="0" borderId="11" xfId="0" applyNumberFormat="1" applyFont="1" applyFill="1" applyBorder="1"/>
    <xf numFmtId="164" fontId="12" fillId="0" borderId="3" xfId="0" applyNumberFormat="1" applyFont="1" applyFill="1" applyBorder="1"/>
    <xf numFmtId="164" fontId="12" fillId="0" borderId="2" xfId="0" applyNumberFormat="1" applyFont="1" applyFill="1" applyBorder="1"/>
    <xf numFmtId="164" fontId="17" fillId="0" borderId="15" xfId="0" applyNumberFormat="1" applyFont="1" applyFill="1" applyBorder="1"/>
    <xf numFmtId="164" fontId="17" fillId="0" borderId="0" xfId="0" applyNumberFormat="1" applyFont="1" applyFill="1" applyBorder="1"/>
    <xf numFmtId="164" fontId="12" fillId="0" borderId="10" xfId="0" applyNumberFormat="1" applyFont="1" applyBorder="1"/>
    <xf numFmtId="164" fontId="12" fillId="0" borderId="11" xfId="0" applyNumberFormat="1" applyFont="1" applyBorder="1"/>
    <xf numFmtId="164" fontId="17" fillId="0" borderId="12" xfId="0" applyNumberFormat="1" applyFont="1" applyBorder="1"/>
    <xf numFmtId="164" fontId="12" fillId="0" borderId="0" xfId="0" applyNumberFormat="1" applyFont="1"/>
    <xf numFmtId="9" fontId="12" fillId="0" borderId="0" xfId="0" applyNumberFormat="1" applyFont="1"/>
    <xf numFmtId="1" fontId="17" fillId="0" borderId="13" xfId="0" applyNumberFormat="1" applyFont="1" applyBorder="1"/>
    <xf numFmtId="1" fontId="17" fillId="0" borderId="14" xfId="0" applyNumberFormat="1" applyFont="1" applyBorder="1"/>
    <xf numFmtId="1" fontId="17" fillId="0" borderId="15" xfId="0" applyNumberFormat="1" applyFont="1" applyBorder="1"/>
    <xf numFmtId="165" fontId="12" fillId="0" borderId="8" xfId="3" applyNumberFormat="1" applyFont="1" applyBorder="1"/>
    <xf numFmtId="165" fontId="12" fillId="0" borderId="7" xfId="3" applyNumberFormat="1" applyFont="1" applyBorder="1"/>
    <xf numFmtId="165" fontId="17" fillId="0" borderId="6" xfId="3" applyNumberFormat="1" applyFont="1" applyBorder="1"/>
    <xf numFmtId="165" fontId="12" fillId="0" borderId="5" xfId="3" applyNumberFormat="1" applyFont="1" applyBorder="1"/>
    <xf numFmtId="165" fontId="12" fillId="0" borderId="0" xfId="3" applyNumberFormat="1" applyFont="1" applyBorder="1"/>
    <xf numFmtId="165" fontId="17" fillId="0" borderId="4" xfId="3" applyNumberFormat="1" applyFont="1" applyBorder="1"/>
    <xf numFmtId="165" fontId="12" fillId="0" borderId="3" xfId="3" applyNumberFormat="1" applyFont="1" applyBorder="1"/>
    <xf numFmtId="165" fontId="12" fillId="0" borderId="2" xfId="3" applyNumberFormat="1" applyFont="1" applyBorder="1"/>
    <xf numFmtId="165" fontId="17" fillId="0" borderId="1" xfId="3" applyNumberFormat="1" applyFont="1" applyBorder="1"/>
    <xf numFmtId="176" fontId="12" fillId="0" borderId="8" xfId="5" applyNumberFormat="1" applyFont="1" applyFill="1" applyBorder="1"/>
    <xf numFmtId="176" fontId="12" fillId="0" borderId="7" xfId="5" applyNumberFormat="1" applyFont="1" applyFill="1" applyBorder="1"/>
    <xf numFmtId="176" fontId="17" fillId="0" borderId="13" xfId="5" applyNumberFormat="1" applyFont="1" applyFill="1" applyBorder="1"/>
    <xf numFmtId="176" fontId="12" fillId="0" borderId="5" xfId="5" applyNumberFormat="1" applyFont="1" applyFill="1" applyBorder="1"/>
    <xf numFmtId="176" fontId="12" fillId="0" borderId="0" xfId="5" applyNumberFormat="1" applyFont="1" applyFill="1" applyBorder="1"/>
    <xf numFmtId="176" fontId="17" fillId="0" borderId="14" xfId="5" applyNumberFormat="1" applyFont="1" applyFill="1" applyBorder="1"/>
    <xf numFmtId="176" fontId="12" fillId="0" borderId="10" xfId="5" applyNumberFormat="1" applyFont="1" applyBorder="1"/>
    <xf numFmtId="176" fontId="12" fillId="0" borderId="11" xfId="5" applyNumberFormat="1" applyFont="1" applyBorder="1"/>
    <xf numFmtId="176" fontId="17" fillId="0" borderId="16" xfId="5" applyNumberFormat="1" applyFont="1" applyBorder="1"/>
    <xf numFmtId="0" fontId="12" fillId="0" borderId="14" xfId="0" applyFont="1" applyBorder="1"/>
    <xf numFmtId="1" fontId="12" fillId="0" borderId="8" xfId="0" applyNumberFormat="1" applyFont="1" applyFill="1" applyBorder="1"/>
    <xf numFmtId="1" fontId="12" fillId="0" borderId="6" xfId="0" applyNumberFormat="1" applyFont="1" applyFill="1" applyBorder="1"/>
    <xf numFmtId="1" fontId="12" fillId="0" borderId="5" xfId="0" applyNumberFormat="1" applyFont="1" applyFill="1" applyBorder="1"/>
    <xf numFmtId="1" fontId="12" fillId="0" borderId="4" xfId="0" applyNumberFormat="1" applyFont="1" applyFill="1" applyBorder="1"/>
    <xf numFmtId="0" fontId="12" fillId="0" borderId="0" xfId="0" applyFont="1" applyAlignment="1">
      <alignment wrapText="1"/>
    </xf>
    <xf numFmtId="1" fontId="12" fillId="0" borderId="3" xfId="0" applyNumberFormat="1" applyFont="1" applyFill="1" applyBorder="1"/>
    <xf numFmtId="1" fontId="12" fillId="0" borderId="2" xfId="0" applyNumberFormat="1" applyFont="1" applyFill="1" applyBorder="1"/>
    <xf numFmtId="1" fontId="12" fillId="0" borderId="1" xfId="0" applyNumberFormat="1" applyFont="1" applyFill="1" applyBorder="1"/>
    <xf numFmtId="0" fontId="28" fillId="0" borderId="0" xfId="0" applyFont="1" applyAlignment="1">
      <alignment horizontal="center"/>
    </xf>
    <xf numFmtId="0" fontId="28" fillId="0" borderId="0" xfId="0" applyFont="1"/>
    <xf numFmtId="0" fontId="28" fillId="0" borderId="0" xfId="0" quotePrefix="1" applyFont="1"/>
    <xf numFmtId="0" fontId="12" fillId="0" borderId="0" xfId="0" quotePrefix="1" applyFont="1"/>
    <xf numFmtId="2" fontId="12" fillId="0" borderId="7" xfId="0" quotePrefix="1" applyNumberFormat="1" applyFont="1" applyBorder="1"/>
    <xf numFmtId="2" fontId="12" fillId="0" borderId="2" xfId="0" applyNumberFormat="1" applyFont="1" applyBorder="1"/>
    <xf numFmtId="2" fontId="12" fillId="0" borderId="2" xfId="0" quotePrefix="1" applyNumberFormat="1" applyFont="1" applyBorder="1"/>
    <xf numFmtId="166" fontId="12" fillId="0" borderId="7" xfId="0" applyNumberFormat="1" applyFont="1" applyBorder="1"/>
    <xf numFmtId="0" fontId="12" fillId="0" borderId="7" xfId="0" quotePrefix="1" applyFont="1" applyBorder="1"/>
    <xf numFmtId="0" fontId="12" fillId="0" borderId="2" xfId="0" quotePrefix="1" applyFont="1" applyBorder="1"/>
    <xf numFmtId="1" fontId="12" fillId="0" borderId="7" xfId="0" applyNumberFormat="1" applyFont="1" applyBorder="1"/>
    <xf numFmtId="9" fontId="12" fillId="0" borderId="10" xfId="0" applyNumberFormat="1" applyFont="1" applyBorder="1"/>
    <xf numFmtId="1" fontId="17" fillId="0" borderId="0" xfId="0" applyNumberFormat="1" applyFont="1" applyFill="1"/>
    <xf numFmtId="169" fontId="12" fillId="0" borderId="0" xfId="0" applyNumberFormat="1" applyFont="1"/>
    <xf numFmtId="1" fontId="12" fillId="0" borderId="4" xfId="0" applyNumberFormat="1" applyFont="1" applyBorder="1"/>
    <xf numFmtId="1" fontId="12" fillId="0" borderId="1" xfId="0" applyNumberFormat="1" applyFont="1" applyBorder="1"/>
    <xf numFmtId="9" fontId="17" fillId="0" borderId="0" xfId="3" applyFont="1" applyFill="1" applyBorder="1" applyAlignment="1">
      <alignment horizontal="left" vertical="center"/>
    </xf>
    <xf numFmtId="0" fontId="17" fillId="0" borderId="0" xfId="0" applyFont="1" applyFill="1"/>
    <xf numFmtId="169" fontId="12" fillId="0" borderId="8" xfId="0" applyNumberFormat="1" applyFont="1" applyBorder="1"/>
    <xf numFmtId="169" fontId="12" fillId="0" borderId="7" xfId="0" applyNumberFormat="1" applyFont="1" applyBorder="1"/>
    <xf numFmtId="169" fontId="12" fillId="0" borderId="6" xfId="0" applyNumberFormat="1" applyFont="1" applyBorder="1"/>
    <xf numFmtId="169" fontId="12" fillId="0" borderId="3" xfId="0" applyNumberFormat="1" applyFont="1" applyBorder="1"/>
    <xf numFmtId="169" fontId="12" fillId="0" borderId="2" xfId="0" applyNumberFormat="1" applyFont="1" applyBorder="1"/>
    <xf numFmtId="169" fontId="12" fillId="0" borderId="1" xfId="0" applyNumberFormat="1" applyFont="1" applyBorder="1"/>
    <xf numFmtId="0" fontId="31" fillId="0" borderId="17" xfId="0" applyFont="1" applyFill="1" applyBorder="1" applyAlignment="1">
      <alignment horizontal="center"/>
    </xf>
    <xf numFmtId="169" fontId="12" fillId="0" borderId="0" xfId="0" applyNumberFormat="1" applyFont="1" applyBorder="1"/>
    <xf numFmtId="168" fontId="12" fillId="0" borderId="7" xfId="0" applyNumberFormat="1" applyFont="1" applyBorder="1"/>
    <xf numFmtId="2" fontId="12" fillId="0" borderId="6" xfId="0" applyNumberFormat="1" applyFont="1" applyBorder="1"/>
    <xf numFmtId="0" fontId="5" fillId="0" borderId="0" xfId="0" quotePrefix="1" applyFont="1"/>
    <xf numFmtId="0" fontId="5" fillId="0" borderId="0" xfId="0" applyFont="1"/>
    <xf numFmtId="168" fontId="17" fillId="0" borderId="14" xfId="0" applyNumberFormat="1" applyFont="1" applyBorder="1"/>
    <xf numFmtId="164" fontId="17" fillId="0" borderId="15" xfId="0" applyNumberFormat="1" applyFont="1" applyBorder="1"/>
    <xf numFmtId="1" fontId="17" fillId="0" borderId="6" xfId="0" applyNumberFormat="1" applyFont="1" applyFill="1" applyBorder="1"/>
    <xf numFmtId="1" fontId="17" fillId="0" borderId="4" xfId="0" applyNumberFormat="1" applyFont="1" applyFill="1" applyBorder="1"/>
    <xf numFmtId="1" fontId="17" fillId="0" borderId="1" xfId="0" applyNumberFormat="1" applyFont="1" applyFill="1" applyBorder="1"/>
    <xf numFmtId="1" fontId="17" fillId="0" borderId="0" xfId="0" applyNumberFormat="1" applyFont="1" applyFill="1" applyBorder="1"/>
    <xf numFmtId="0" fontId="5" fillId="7" borderId="5" xfId="0" applyFont="1" applyFill="1" applyBorder="1"/>
    <xf numFmtId="0" fontId="5" fillId="7" borderId="0" xfId="0" applyFont="1" applyFill="1" applyBorder="1"/>
    <xf numFmtId="2" fontId="0" fillId="0" borderId="0" xfId="0" applyNumberFormat="1" applyFill="1" applyBorder="1" applyAlignment="1"/>
    <xf numFmtId="1" fontId="0" fillId="0" borderId="0" xfId="0" applyNumberFormat="1" applyFill="1" applyBorder="1" applyAlignment="1"/>
    <xf numFmtId="1" fontId="0" fillId="0" borderId="18" xfId="0" applyNumberFormat="1" applyFill="1" applyBorder="1" applyAlignment="1"/>
    <xf numFmtId="0" fontId="26" fillId="0" borderId="0" xfId="0" applyFont="1" applyFill="1" applyBorder="1" applyAlignment="1">
      <alignment horizontal="center"/>
    </xf>
    <xf numFmtId="0" fontId="26" fillId="12" borderId="17" xfId="0" applyFont="1" applyFill="1" applyBorder="1" applyAlignment="1">
      <alignment horizontal="center"/>
    </xf>
    <xf numFmtId="2" fontId="0" fillId="12" borderId="0" xfId="0" applyNumberFormat="1" applyFill="1" applyBorder="1" applyAlignment="1"/>
    <xf numFmtId="0" fontId="5" fillId="0" borderId="0" xfId="0" applyFont="1" applyFill="1" applyBorder="1" applyAlignment="1"/>
    <xf numFmtId="0" fontId="5" fillId="0" borderId="18" xfId="0" applyFont="1" applyFill="1" applyBorder="1" applyAlignment="1"/>
    <xf numFmtId="166" fontId="5" fillId="0" borderId="0" xfId="0" applyNumberFormat="1" applyFont="1" applyFill="1" applyBorder="1" applyAlignment="1"/>
    <xf numFmtId="2" fontId="5" fillId="0" borderId="0" xfId="0" applyNumberFormat="1" applyFont="1" applyFill="1" applyBorder="1" applyAlignment="1"/>
    <xf numFmtId="169" fontId="5" fillId="0" borderId="0" xfId="0" applyNumberFormat="1" applyFont="1" applyFill="1" applyBorder="1" applyAlignment="1"/>
    <xf numFmtId="169" fontId="5" fillId="0" borderId="18" xfId="0" applyNumberFormat="1" applyFont="1" applyFill="1" applyBorder="1" applyAlignment="1"/>
    <xf numFmtId="1" fontId="5" fillId="0" borderId="0" xfId="0" applyNumberFormat="1" applyFont="1" applyFill="1" applyBorder="1" applyAlignment="1"/>
    <xf numFmtId="1" fontId="5" fillId="0" borderId="18" xfId="0" applyNumberFormat="1" applyFont="1" applyFill="1" applyBorder="1" applyAlignment="1"/>
    <xf numFmtId="0" fontId="5" fillId="12" borderId="0" xfId="0" applyFont="1" applyFill="1" applyBorder="1" applyAlignment="1"/>
    <xf numFmtId="169" fontId="5" fillId="12" borderId="0" xfId="0" applyNumberFormat="1" applyFont="1" applyFill="1" applyBorder="1" applyAlignment="1"/>
    <xf numFmtId="0" fontId="5" fillId="12" borderId="18" xfId="0" applyFont="1" applyFill="1" applyBorder="1" applyAlignment="1"/>
    <xf numFmtId="169" fontId="5" fillId="12" borderId="18" xfId="0" applyNumberFormat="1" applyFont="1" applyFill="1" applyBorder="1" applyAlignment="1"/>
    <xf numFmtId="9" fontId="12" fillId="0" borderId="0" xfId="0" applyNumberFormat="1" applyFont="1" applyBorder="1"/>
    <xf numFmtId="0" fontId="5" fillId="0" borderId="0" xfId="0" applyFont="1" applyBorder="1"/>
    <xf numFmtId="0" fontId="31" fillId="0" borderId="0" xfId="0" applyFont="1" applyFill="1" applyBorder="1" applyAlignment="1">
      <alignment horizontal="center"/>
    </xf>
    <xf numFmtId="174" fontId="12" fillId="0" borderId="0" xfId="5" applyNumberFormat="1" applyFont="1" applyBorder="1"/>
    <xf numFmtId="0" fontId="28" fillId="0" borderId="0" xfId="0" applyFont="1" applyBorder="1"/>
    <xf numFmtId="2" fontId="12" fillId="0" borderId="0" xfId="0" quotePrefix="1" applyNumberFormat="1" applyFont="1" applyBorder="1"/>
    <xf numFmtId="2" fontId="12" fillId="0" borderId="8" xfId="0" applyNumberFormat="1" applyFont="1" applyBorder="1"/>
    <xf numFmtId="1" fontId="12" fillId="0" borderId="5" xfId="0" applyNumberFormat="1" applyFont="1" applyBorder="1"/>
    <xf numFmtId="1" fontId="12" fillId="0" borderId="3" xfId="0" applyNumberFormat="1" applyFont="1" applyBorder="1"/>
    <xf numFmtId="9" fontId="12" fillId="0" borderId="0" xfId="3" applyFont="1" applyBorder="1"/>
    <xf numFmtId="0" fontId="5" fillId="0" borderId="0" xfId="0" quotePrefix="1" applyFont="1" applyBorder="1"/>
    <xf numFmtId="0" fontId="4" fillId="0" borderId="0" xfId="0" applyFont="1"/>
    <xf numFmtId="10" fontId="12" fillId="0" borderId="0" xfId="3" applyNumberFormat="1" applyFont="1"/>
    <xf numFmtId="9" fontId="12" fillId="0" borderId="2" xfId="3" applyFont="1" applyBorder="1"/>
    <xf numFmtId="0" fontId="4" fillId="0" borderId="0" xfId="0" applyFont="1" applyAlignment="1">
      <alignment horizontal="center"/>
    </xf>
    <xf numFmtId="165" fontId="12" fillId="0" borderId="6" xfId="3" applyNumberFormat="1" applyFont="1" applyBorder="1"/>
    <xf numFmtId="165" fontId="12" fillId="0" borderId="4" xfId="3" applyNumberFormat="1" applyFont="1" applyBorder="1"/>
    <xf numFmtId="165" fontId="12" fillId="0" borderId="1" xfId="3" applyNumberFormat="1" applyFont="1" applyBorder="1"/>
    <xf numFmtId="166" fontId="12" fillId="0" borderId="8" xfId="0" applyNumberFormat="1" applyFont="1" applyFill="1" applyBorder="1"/>
    <xf numFmtId="166" fontId="12" fillId="0" borderId="6" xfId="0" applyNumberFormat="1" applyFont="1" applyFill="1" applyBorder="1"/>
    <xf numFmtId="166" fontId="12" fillId="0" borderId="5" xfId="0" applyNumberFormat="1" applyFont="1" applyFill="1" applyBorder="1"/>
    <xf numFmtId="166" fontId="12" fillId="0" borderId="4" xfId="0" applyNumberFormat="1" applyFont="1" applyFill="1" applyBorder="1"/>
    <xf numFmtId="166" fontId="12" fillId="0" borderId="3" xfId="0" applyNumberFormat="1" applyFont="1" applyFill="1" applyBorder="1"/>
    <xf numFmtId="166" fontId="12" fillId="0" borderId="1" xfId="0" applyNumberFormat="1" applyFont="1" applyFill="1" applyBorder="1"/>
    <xf numFmtId="1" fontId="4" fillId="0" borderId="0" xfId="0" applyNumberFormat="1" applyFont="1"/>
    <xf numFmtId="2" fontId="12" fillId="0" borderId="0" xfId="0" applyNumberFormat="1" applyFont="1" applyBorder="1"/>
    <xf numFmtId="164" fontId="12" fillId="0" borderId="0" xfId="0" applyNumberFormat="1" applyFont="1" applyBorder="1"/>
    <xf numFmtId="0" fontId="4" fillId="0" borderId="0" xfId="0" applyFont="1" applyBorder="1"/>
    <xf numFmtId="168" fontId="12" fillId="0" borderId="0" xfId="0" applyNumberFormat="1" applyFont="1" applyBorder="1"/>
    <xf numFmtId="0" fontId="5" fillId="0" borderId="0" xfId="0" applyFont="1" applyFill="1" applyBorder="1"/>
    <xf numFmtId="2" fontId="12" fillId="0" borderId="0" xfId="0" applyNumberFormat="1" applyFont="1" applyFill="1" applyBorder="1"/>
    <xf numFmtId="0" fontId="12" fillId="0" borderId="0" xfId="0" applyFont="1" applyBorder="1" applyAlignment="1">
      <alignment horizontal="left"/>
    </xf>
    <xf numFmtId="0" fontId="12" fillId="0" borderId="0" xfId="0" applyFont="1" applyFill="1" applyBorder="1" applyAlignment="1">
      <alignment horizontal="left"/>
    </xf>
    <xf numFmtId="172" fontId="4" fillId="0" borderId="0" xfId="0" applyNumberFormat="1" applyFont="1"/>
    <xf numFmtId="0" fontId="4" fillId="0" borderId="0" xfId="0" quotePrefix="1" applyFont="1"/>
    <xf numFmtId="9" fontId="12" fillId="0" borderId="0" xfId="3" applyFont="1" applyFill="1" applyBorder="1"/>
    <xf numFmtId="9" fontId="12" fillId="0" borderId="2" xfId="3" applyFont="1" applyFill="1" applyBorder="1"/>
    <xf numFmtId="0" fontId="4" fillId="0" borderId="8" xfId="0" applyFont="1" applyBorder="1" applyAlignment="1">
      <alignment horizontal="center"/>
    </xf>
    <xf numFmtId="0" fontId="4" fillId="0" borderId="0" xfId="0" applyFont="1" applyFill="1" applyBorder="1"/>
    <xf numFmtId="0" fontId="4" fillId="0" borderId="6" xfId="0" applyFont="1" applyBorder="1" applyAlignment="1">
      <alignment horizontal="center"/>
    </xf>
    <xf numFmtId="1" fontId="4" fillId="0" borderId="3" xfId="0" applyNumberFormat="1" applyFont="1" applyBorder="1"/>
    <xf numFmtId="165" fontId="12" fillId="0" borderId="0" xfId="0" applyNumberFormat="1" applyFont="1"/>
    <xf numFmtId="0" fontId="4" fillId="0" borderId="5" xfId="0" applyFont="1" applyBorder="1" applyAlignment="1">
      <alignment horizontal="center"/>
    </xf>
    <xf numFmtId="9" fontId="12" fillId="0" borderId="4" xfId="3" applyFont="1" applyFill="1" applyBorder="1"/>
    <xf numFmtId="0" fontId="12" fillId="5" borderId="5" xfId="0" applyFont="1" applyFill="1" applyBorder="1"/>
    <xf numFmtId="9" fontId="12" fillId="0" borderId="1" xfId="3" applyFont="1" applyFill="1" applyBorder="1"/>
    <xf numFmtId="1" fontId="4" fillId="0" borderId="2" xfId="0" applyNumberFormat="1" applyFont="1" applyBorder="1" applyAlignment="1">
      <alignment horizontal="center"/>
    </xf>
    <xf numFmtId="1" fontId="4" fillId="0" borderId="5" xfId="0" applyNumberFormat="1" applyFont="1" applyBorder="1"/>
    <xf numFmtId="0" fontId="12" fillId="0" borderId="8" xfId="0" quotePrefix="1" applyFont="1" applyBorder="1" applyAlignment="1">
      <alignment horizontal="center"/>
    </xf>
    <xf numFmtId="9" fontId="4" fillId="0" borderId="5" xfId="3" applyFont="1" applyBorder="1"/>
    <xf numFmtId="165" fontId="4" fillId="0" borderId="0" xfId="3" applyNumberFormat="1" applyFont="1" applyBorder="1"/>
    <xf numFmtId="0" fontId="4" fillId="0" borderId="3" xfId="0" applyFont="1" applyBorder="1"/>
    <xf numFmtId="168" fontId="4" fillId="0" borderId="0" xfId="0" applyNumberFormat="1" applyFont="1" applyBorder="1"/>
    <xf numFmtId="164" fontId="4" fillId="0" borderId="0" xfId="0" applyNumberFormat="1" applyFont="1" applyBorder="1"/>
    <xf numFmtId="165" fontId="4" fillId="0" borderId="2" xfId="3" applyNumberFormat="1" applyFont="1" applyBorder="1"/>
    <xf numFmtId="1" fontId="12" fillId="0" borderId="0" xfId="0" applyNumberFormat="1" applyFont="1" applyFill="1" applyAlignment="1">
      <alignment horizontal="right"/>
    </xf>
    <xf numFmtId="1" fontId="4" fillId="0" borderId="0" xfId="0" applyNumberFormat="1" applyFont="1" applyAlignment="1"/>
    <xf numFmtId="176" fontId="4" fillId="0" borderId="13" xfId="5" applyNumberFormat="1" applyFont="1" applyFill="1" applyBorder="1"/>
    <xf numFmtId="176" fontId="4" fillId="0" borderId="14" xfId="5" applyNumberFormat="1" applyFont="1" applyFill="1" applyBorder="1"/>
    <xf numFmtId="0" fontId="4" fillId="0" borderId="15" xfId="0" applyFont="1" applyBorder="1"/>
    <xf numFmtId="176" fontId="4" fillId="0" borderId="16" xfId="5" applyNumberFormat="1" applyFont="1" applyBorder="1"/>
    <xf numFmtId="0" fontId="4" fillId="0" borderId="2" xfId="0" applyFont="1" applyBorder="1" applyAlignment="1">
      <alignment horizontal="center"/>
    </xf>
    <xf numFmtId="0" fontId="4" fillId="0" borderId="1" xfId="0" applyFont="1" applyBorder="1" applyAlignment="1">
      <alignment horizontal="center"/>
    </xf>
    <xf numFmtId="9" fontId="4" fillId="0" borderId="4" xfId="3" applyFont="1" applyFill="1" applyBorder="1"/>
    <xf numFmtId="165" fontId="4" fillId="0" borderId="4" xfId="3" applyNumberFormat="1" applyFont="1" applyBorder="1"/>
    <xf numFmtId="9" fontId="4" fillId="0" borderId="1" xfId="3" applyFont="1" applyFill="1" applyBorder="1"/>
    <xf numFmtId="165" fontId="4" fillId="0" borderId="1" xfId="3" applyNumberFormat="1" applyFont="1" applyBorder="1"/>
    <xf numFmtId="0" fontId="32" fillId="0" borderId="0" xfId="0" applyFont="1"/>
    <xf numFmtId="1" fontId="4" fillId="10" borderId="0" xfId="0" applyNumberFormat="1" applyFont="1" applyFill="1" applyAlignment="1">
      <alignment horizontal="right"/>
    </xf>
    <xf numFmtId="0" fontId="4" fillId="0" borderId="7" xfId="0" applyFont="1" applyBorder="1" applyAlignment="1">
      <alignment horizontal="center"/>
    </xf>
    <xf numFmtId="166" fontId="32" fillId="0" borderId="0" xfId="0" applyNumberFormat="1" applyFont="1" applyFill="1" applyBorder="1" applyAlignment="1"/>
    <xf numFmtId="165" fontId="12" fillId="0" borderId="0" xfId="3" applyNumberFormat="1" applyFont="1" applyFill="1" applyBorder="1"/>
    <xf numFmtId="0" fontId="12" fillId="0" borderId="0" xfId="0" applyFont="1" applyFill="1" applyBorder="1" applyAlignment="1">
      <alignment horizontal="center"/>
    </xf>
    <xf numFmtId="0" fontId="4" fillId="0" borderId="0" xfId="0" applyFont="1" applyFill="1" applyBorder="1" applyAlignment="1">
      <alignment horizontal="center"/>
    </xf>
    <xf numFmtId="0" fontId="3" fillId="0" borderId="0" xfId="0" applyFont="1" applyAlignment="1">
      <alignment horizontal="center"/>
    </xf>
    <xf numFmtId="177" fontId="0" fillId="0" borderId="0" xfId="0" applyNumberFormat="1"/>
    <xf numFmtId="9" fontId="0" fillId="0" borderId="0" xfId="3" applyFont="1"/>
    <xf numFmtId="0" fontId="3" fillId="0" borderId="0" xfId="0" applyFont="1"/>
    <xf numFmtId="0" fontId="3" fillId="0" borderId="0" xfId="0" applyFont="1" applyBorder="1"/>
    <xf numFmtId="0" fontId="3" fillId="0" borderId="0" xfId="0" applyFont="1" applyFill="1" applyBorder="1"/>
    <xf numFmtId="0" fontId="3" fillId="0" borderId="0" xfId="0" quotePrefix="1" applyFont="1" applyBorder="1"/>
    <xf numFmtId="0" fontId="4" fillId="0" borderId="0" xfId="0" quotePrefix="1" applyFont="1" applyBorder="1"/>
    <xf numFmtId="1" fontId="4" fillId="0" borderId="0" xfId="0" applyNumberFormat="1" applyFont="1" applyFill="1" applyBorder="1" applyAlignment="1">
      <alignment horizontal="right"/>
    </xf>
    <xf numFmtId="9" fontId="4" fillId="0" borderId="5" xfId="3" applyFont="1" applyFill="1" applyBorder="1"/>
    <xf numFmtId="9" fontId="12" fillId="0" borderId="0" xfId="0" applyNumberFormat="1" applyFont="1" applyFill="1" applyBorder="1"/>
    <xf numFmtId="168" fontId="0" fillId="0" borderId="0" xfId="0" applyNumberFormat="1"/>
    <xf numFmtId="11" fontId="12" fillId="0" borderId="0" xfId="0" applyNumberFormat="1" applyFont="1"/>
    <xf numFmtId="0" fontId="12" fillId="0" borderId="13" xfId="0" applyFont="1" applyBorder="1"/>
    <xf numFmtId="0" fontId="12" fillId="0" borderId="14" xfId="0" applyFont="1" applyFill="1" applyBorder="1"/>
    <xf numFmtId="0" fontId="12" fillId="0" borderId="15" xfId="0" applyFont="1" applyFill="1" applyBorder="1"/>
    <xf numFmtId="0" fontId="2" fillId="0" borderId="0" xfId="0" applyFont="1"/>
    <xf numFmtId="0" fontId="2" fillId="0" borderId="0" xfId="0" applyFont="1" applyFill="1" applyBorder="1"/>
    <xf numFmtId="0" fontId="3" fillId="0" borderId="7" xfId="0" applyFont="1" applyBorder="1"/>
    <xf numFmtId="0" fontId="3" fillId="0" borderId="6" xfId="0" applyFont="1" applyFill="1" applyBorder="1"/>
    <xf numFmtId="0" fontId="2" fillId="0" borderId="5" xfId="0" applyFont="1" applyFill="1" applyBorder="1"/>
    <xf numFmtId="0" fontId="2" fillId="0" borderId="5" xfId="0" applyFont="1" applyBorder="1"/>
    <xf numFmtId="0" fontId="2" fillId="0" borderId="3" xfId="0" applyFont="1" applyBorder="1"/>
    <xf numFmtId="9" fontId="17" fillId="0" borderId="3" xfId="3" applyFont="1" applyFill="1" applyBorder="1" applyAlignment="1">
      <alignment horizontal="center" vertical="center" wrapText="1"/>
    </xf>
    <xf numFmtId="0" fontId="12" fillId="0" borderId="11" xfId="0" applyFont="1" applyBorder="1"/>
    <xf numFmtId="0" fontId="12" fillId="0" borderId="12" xfId="0" applyFont="1" applyBorder="1"/>
    <xf numFmtId="0" fontId="3" fillId="0" borderId="10" xfId="0" applyFont="1" applyBorder="1"/>
    <xf numFmtId="0" fontId="4" fillId="0" borderId="12" xfId="0" applyFont="1" applyBorder="1" applyAlignment="1">
      <alignment horizontal="center"/>
    </xf>
    <xf numFmtId="0" fontId="2" fillId="0" borderId="10" xfId="0" applyFont="1" applyBorder="1"/>
    <xf numFmtId="0" fontId="2" fillId="0" borderId="12" xfId="0" applyFont="1" applyBorder="1"/>
    <xf numFmtId="1" fontId="0" fillId="0" borderId="0" xfId="0" applyNumberFormat="1" applyFill="1"/>
    <xf numFmtId="1" fontId="17" fillId="0" borderId="0" xfId="0" applyNumberFormat="1" applyFont="1" applyFill="1" applyAlignment="1">
      <alignment horizontal="center" vertical="center" wrapText="1"/>
    </xf>
    <xf numFmtId="0" fontId="6" fillId="0" borderId="0" xfId="1" quotePrefix="1"/>
    <xf numFmtId="0" fontId="6" fillId="0" borderId="0" xfId="1" applyAlignment="1">
      <alignment horizontal="center"/>
    </xf>
    <xf numFmtId="9" fontId="7" fillId="0" borderId="0" xfId="3" applyFont="1" applyAlignment="1">
      <alignment horizontal="center"/>
    </xf>
    <xf numFmtId="9" fontId="7" fillId="0" borderId="0" xfId="3" applyFont="1" applyAlignment="1">
      <alignment horizontal="center" wrapText="1"/>
    </xf>
    <xf numFmtId="2" fontId="6" fillId="0" borderId="0" xfId="1" applyNumberFormat="1" applyBorder="1"/>
    <xf numFmtId="2" fontId="0" fillId="0" borderId="0" xfId="0" applyNumberFormat="1"/>
    <xf numFmtId="1" fontId="22" fillId="0" borderId="0" xfId="0" applyNumberFormat="1" applyFont="1"/>
    <xf numFmtId="2" fontId="22" fillId="0" borderId="0" xfId="0" applyNumberFormat="1" applyFont="1"/>
    <xf numFmtId="170" fontId="22" fillId="0" borderId="0" xfId="0" applyNumberFormat="1" applyFont="1"/>
    <xf numFmtId="10" fontId="7" fillId="0" borderId="0" xfId="3" applyNumberFormat="1" applyFont="1" applyAlignment="1">
      <alignment horizontal="center" wrapText="1"/>
    </xf>
    <xf numFmtId="10" fontId="6" fillId="0" borderId="0" xfId="3" applyNumberFormat="1" applyFont="1"/>
    <xf numFmtId="0" fontId="1" fillId="0" borderId="0" xfId="0" applyFont="1"/>
    <xf numFmtId="0" fontId="6" fillId="13" borderId="0" xfId="1" applyFill="1"/>
    <xf numFmtId="0" fontId="8" fillId="13" borderId="0" xfId="1" applyFont="1" applyFill="1" applyAlignment="1">
      <alignment horizontal="center"/>
    </xf>
    <xf numFmtId="0" fontId="7" fillId="13" borderId="0" xfId="1" applyFont="1" applyFill="1" applyAlignment="1">
      <alignment wrapText="1"/>
    </xf>
    <xf numFmtId="166" fontId="6" fillId="13" borderId="0" xfId="1" applyNumberFormat="1" applyFill="1"/>
    <xf numFmtId="2" fontId="7" fillId="0" borderId="0" xfId="1" applyNumberFormat="1" applyFont="1" applyAlignment="1">
      <alignment wrapText="1"/>
    </xf>
    <xf numFmtId="1" fontId="7" fillId="0" borderId="0" xfId="1" applyNumberFormat="1" applyFont="1" applyAlignment="1">
      <alignment wrapText="1"/>
    </xf>
    <xf numFmtId="0" fontId="6" fillId="6" borderId="0" xfId="1" applyFill="1"/>
    <xf numFmtId="0" fontId="8" fillId="6" borderId="0" xfId="1" applyFont="1" applyFill="1" applyAlignment="1">
      <alignment horizontal="center"/>
    </xf>
    <xf numFmtId="0" fontId="7" fillId="6" borderId="0" xfId="1" applyFont="1" applyFill="1" applyAlignment="1">
      <alignment wrapText="1"/>
    </xf>
    <xf numFmtId="166" fontId="6" fillId="6" borderId="0" xfId="1" applyNumberFormat="1" applyFill="1"/>
    <xf numFmtId="0" fontId="6" fillId="6" borderId="4" xfId="1" applyFill="1" applyBorder="1"/>
    <xf numFmtId="0" fontId="6" fillId="15" borderId="0" xfId="1" applyFill="1"/>
    <xf numFmtId="0" fontId="0" fillId="15" borderId="0" xfId="0" applyFill="1"/>
    <xf numFmtId="0" fontId="6" fillId="0" borderId="13" xfId="1" applyBorder="1" applyAlignment="1">
      <alignment wrapText="1"/>
    </xf>
    <xf numFmtId="0" fontId="8" fillId="0" borderId="14" xfId="1" applyFont="1" applyBorder="1" applyAlignment="1">
      <alignment horizontal="center"/>
    </xf>
    <xf numFmtId="1" fontId="17" fillId="0" borderId="14" xfId="0" applyNumberFormat="1" applyFont="1" applyBorder="1" applyAlignment="1">
      <alignment horizontal="center" vertical="center" wrapText="1"/>
    </xf>
    <xf numFmtId="1" fontId="17" fillId="4" borderId="14" xfId="0" applyNumberFormat="1" applyFont="1" applyFill="1" applyBorder="1" applyAlignment="1">
      <alignment horizontal="center" vertical="center" wrapText="1"/>
    </xf>
    <xf numFmtId="1" fontId="17" fillId="0" borderId="15" xfId="0" applyNumberFormat="1" applyFont="1" applyBorder="1" applyAlignment="1">
      <alignment horizontal="center" vertical="center" wrapText="1"/>
    </xf>
    <xf numFmtId="0" fontId="7" fillId="0" borderId="14" xfId="1" applyFont="1" applyBorder="1" applyAlignment="1">
      <alignment wrapText="1"/>
    </xf>
    <xf numFmtId="1" fontId="0" fillId="14" borderId="14" xfId="0" applyNumberFormat="1" applyFill="1" applyBorder="1"/>
    <xf numFmtId="1" fontId="0" fillId="14" borderId="15" xfId="0" applyNumberFormat="1" applyFill="1" applyBorder="1"/>
    <xf numFmtId="0" fontId="36" fillId="0" borderId="0" xfId="1" quotePrefix="1" applyFont="1"/>
    <xf numFmtId="0" fontId="0" fillId="14" borderId="0" xfId="0" applyFill="1" applyAlignment="1">
      <alignment horizontal="center"/>
    </xf>
    <xf numFmtId="166" fontId="0" fillId="14" borderId="0" xfId="0" applyNumberFormat="1" applyFill="1" applyBorder="1"/>
    <xf numFmtId="169" fontId="0" fillId="14" borderId="0" xfId="0" applyNumberFormat="1" applyFill="1" applyBorder="1"/>
    <xf numFmtId="0" fontId="17" fillId="0" borderId="0" xfId="0" applyFont="1" applyFill="1" applyBorder="1"/>
    <xf numFmtId="0" fontId="1" fillId="0" borderId="0" xfId="0" applyFont="1" applyFill="1" applyBorder="1"/>
    <xf numFmtId="0" fontId="37" fillId="0" borderId="0" xfId="0" applyFont="1"/>
    <xf numFmtId="0" fontId="20" fillId="0" borderId="0" xfId="4" applyAlignment="1">
      <alignment horizontal="left" vertical="center" indent="2"/>
    </xf>
    <xf numFmtId="2" fontId="38" fillId="16" borderId="6" xfId="0" applyNumberFormat="1" applyFont="1" applyFill="1" applyBorder="1"/>
    <xf numFmtId="1" fontId="38" fillId="16" borderId="1" xfId="0" applyNumberFormat="1" applyFont="1" applyFill="1" applyBorder="1"/>
    <xf numFmtId="0" fontId="8" fillId="0" borderId="0" xfId="1" applyFont="1" applyAlignment="1">
      <alignment horizontal="center" wrapText="1"/>
    </xf>
    <xf numFmtId="0" fontId="8" fillId="0" borderId="0" xfId="1" applyFont="1" applyAlignment="1">
      <alignment horizontal="left" wrapText="1"/>
    </xf>
    <xf numFmtId="0" fontId="0" fillId="0" borderId="0" xfId="0" applyAlignment="1">
      <alignment wrapText="1"/>
    </xf>
    <xf numFmtId="166" fontId="7" fillId="0" borderId="8" xfId="1" applyNumberFormat="1" applyFont="1" applyBorder="1" applyAlignment="1">
      <alignment wrapText="1"/>
    </xf>
    <xf numFmtId="166" fontId="7" fillId="0" borderId="6" xfId="1" applyNumberFormat="1" applyFont="1" applyBorder="1" applyAlignment="1">
      <alignment wrapText="1"/>
    </xf>
    <xf numFmtId="166" fontId="7" fillId="0" borderId="5" xfId="1" applyNumberFormat="1" applyFont="1" applyBorder="1" applyAlignment="1">
      <alignment wrapText="1"/>
    </xf>
    <xf numFmtId="166" fontId="7" fillId="0" borderId="4" xfId="1" applyNumberFormat="1" applyFont="1" applyBorder="1" applyAlignment="1">
      <alignment wrapText="1"/>
    </xf>
    <xf numFmtId="166" fontId="7" fillId="0" borderId="3" xfId="1" applyNumberFormat="1" applyFont="1" applyBorder="1" applyAlignment="1">
      <alignment wrapText="1"/>
    </xf>
    <xf numFmtId="166" fontId="7" fillId="0" borderId="1" xfId="1" applyNumberFormat="1" applyFont="1" applyBorder="1" applyAlignment="1">
      <alignment wrapText="1"/>
    </xf>
    <xf numFmtId="0" fontId="4" fillId="0" borderId="7" xfId="0" applyFont="1" applyBorder="1" applyAlignment="1">
      <alignment horizontal="center"/>
    </xf>
    <xf numFmtId="0" fontId="4" fillId="0" borderId="6"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cellXfs>
  <cellStyles count="8">
    <cellStyle name="Comma" xfId="5" builtinId="3"/>
    <cellStyle name="Hyperlink" xfId="4" builtinId="8"/>
    <cellStyle name="Normal" xfId="0" builtinId="0"/>
    <cellStyle name="Normal 2" xfId="1" xr:uid="{D1183FEF-C466-47F2-AB97-C75921A93F3C}"/>
    <cellStyle name="Normal 3" xfId="7" xr:uid="{E0F11F4E-F1C8-4E53-B793-B9CCFDA90608}"/>
    <cellStyle name="Percent" xfId="3" builtinId="5"/>
    <cellStyle name="Percent 2" xfId="2" xr:uid="{38901F8A-64E9-4DB8-B4AA-E16D99B2F962}"/>
    <cellStyle name="Percent 3" xfId="6" xr:uid="{9E27757F-5AAD-4E2A-8CA4-A8532133CCC5}"/>
  </cellStyles>
  <dxfs count="0"/>
  <tableStyles count="0" defaultTableStyle="TableStyleMedium2" defaultPivotStyle="PivotStyleLight16"/>
  <colors>
    <mruColors>
      <color rgb="FF0D4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3.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4.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5.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6.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7.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8.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9.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1.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2.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3.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4.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5.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6.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Rosin Rammler Regression Check </a:t>
            </a:r>
          </a:p>
          <a:p>
            <a:pPr>
              <a:defRPr sz="1100"/>
            </a:pPr>
            <a:r>
              <a:rPr lang="en-US" sz="1100"/>
              <a:t>Back</a:t>
            </a:r>
            <a:r>
              <a:rPr lang="en-US" sz="1100" baseline="0"/>
              <a:t> transformed data</a:t>
            </a:r>
            <a:endParaRPr lang="en-US" sz="1100"/>
          </a:p>
        </c:rich>
      </c:tx>
      <c:layout>
        <c:manualLayout>
          <c:xMode val="edge"/>
          <c:yMode val="edge"/>
          <c:x val="0.30525258566416352"/>
          <c:y val="2.2617982298074046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4782072862974208"/>
          <c:y val="0.1648093146895539"/>
          <c:w val="0.81221168964045998"/>
          <c:h val="0.6725344624853018"/>
        </c:manualLayout>
      </c:layout>
      <c:scatterChart>
        <c:scatterStyle val="lineMarker"/>
        <c:varyColors val="0"/>
        <c:ser>
          <c:idx val="0"/>
          <c:order val="0"/>
          <c:tx>
            <c:strRef>
              <c:f>RR!$D$29</c:f>
              <c:strCache>
                <c:ptCount val="1"/>
                <c:pt idx="0">
                  <c:v>Cum % Passing</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RR!$A$30:$A$40</c:f>
              <c:numCache>
                <c:formatCode>General</c:formatCode>
                <c:ptCount val="11"/>
                <c:pt idx="0">
                  <c:v>1.18</c:v>
                </c:pt>
                <c:pt idx="1">
                  <c:v>0.6</c:v>
                </c:pt>
                <c:pt idx="2">
                  <c:v>0.42499999999999999</c:v>
                </c:pt>
                <c:pt idx="3">
                  <c:v>0.3</c:v>
                </c:pt>
                <c:pt idx="4">
                  <c:v>0.21199999999999999</c:v>
                </c:pt>
                <c:pt idx="5">
                  <c:v>0.18</c:v>
                </c:pt>
                <c:pt idx="6">
                  <c:v>0.15</c:v>
                </c:pt>
                <c:pt idx="7">
                  <c:v>0.106</c:v>
                </c:pt>
                <c:pt idx="8">
                  <c:v>7.4999999999999997E-2</c:v>
                </c:pt>
                <c:pt idx="9">
                  <c:v>5.2999999999999999E-2</c:v>
                </c:pt>
                <c:pt idx="10">
                  <c:v>3.7999999999999999E-2</c:v>
                </c:pt>
              </c:numCache>
            </c:numRef>
          </c:xVal>
          <c:yVal>
            <c:numRef>
              <c:f>RR!$D$30:$D$40</c:f>
              <c:numCache>
                <c:formatCode>0.0000</c:formatCode>
                <c:ptCount val="11"/>
                <c:pt idx="0">
                  <c:v>0.96747240656053368</c:v>
                </c:pt>
                <c:pt idx="1">
                  <c:v>0.89330536739676092</c:v>
                </c:pt>
                <c:pt idx="2">
                  <c:v>0.81841625691985009</c:v>
                </c:pt>
                <c:pt idx="3">
                  <c:v>0.69566413368634583</c:v>
                </c:pt>
                <c:pt idx="4">
                  <c:v>0.57641921397379903</c:v>
                </c:pt>
                <c:pt idx="5">
                  <c:v>0.53113502733555673</c:v>
                </c:pt>
                <c:pt idx="6">
                  <c:v>0.48310009283774019</c:v>
                </c:pt>
                <c:pt idx="7">
                  <c:v>0.4042911666609359</c:v>
                </c:pt>
                <c:pt idx="8">
                  <c:v>0.34759137640546017</c:v>
                </c:pt>
                <c:pt idx="9">
                  <c:v>0.28016366949764465</c:v>
                </c:pt>
                <c:pt idx="10">
                  <c:v>0.24093112815046591</c:v>
                </c:pt>
              </c:numCache>
            </c:numRef>
          </c:yVal>
          <c:smooth val="0"/>
          <c:extLst>
            <c:ext xmlns:c16="http://schemas.microsoft.com/office/drawing/2014/chart" uri="{C3380CC4-5D6E-409C-BE32-E72D297353CC}">
              <c16:uniqueId val="{00000000-AD08-4C43-B149-75165CD859A4}"/>
            </c:ext>
          </c:extLst>
        </c:ser>
        <c:ser>
          <c:idx val="1"/>
          <c:order val="1"/>
          <c:tx>
            <c:strRef>
              <c:f>RR!$K$28</c:f>
              <c:strCache>
                <c:ptCount val="1"/>
                <c:pt idx="0">
                  <c:v>Fitted  %Cumpass</c:v>
                </c:pt>
              </c:strCache>
            </c:strRef>
          </c:tx>
          <c:spPr>
            <a:ln w="25400" cap="rnd">
              <a:solidFill>
                <a:srgbClr val="FFFF00"/>
              </a:solidFill>
              <a:round/>
            </a:ln>
            <a:effectLst>
              <a:outerShdw blurRad="57150" dist="19050" dir="5400000" algn="ctr" rotWithShape="0">
                <a:srgbClr val="000000">
                  <a:alpha val="63000"/>
                </a:srgbClr>
              </a:outerShdw>
            </a:effectLst>
          </c:spPr>
          <c:marker>
            <c:symbol val="none"/>
          </c:marker>
          <c:xVal>
            <c:numRef>
              <c:f>RR!$A$30:$A$40</c:f>
              <c:numCache>
                <c:formatCode>General</c:formatCode>
                <c:ptCount val="11"/>
                <c:pt idx="0">
                  <c:v>1.18</c:v>
                </c:pt>
                <c:pt idx="1">
                  <c:v>0.6</c:v>
                </c:pt>
                <c:pt idx="2">
                  <c:v>0.42499999999999999</c:v>
                </c:pt>
                <c:pt idx="3">
                  <c:v>0.3</c:v>
                </c:pt>
                <c:pt idx="4">
                  <c:v>0.21199999999999999</c:v>
                </c:pt>
                <c:pt idx="5">
                  <c:v>0.18</c:v>
                </c:pt>
                <c:pt idx="6">
                  <c:v>0.15</c:v>
                </c:pt>
                <c:pt idx="7">
                  <c:v>0.106</c:v>
                </c:pt>
                <c:pt idx="8">
                  <c:v>7.4999999999999997E-2</c:v>
                </c:pt>
                <c:pt idx="9">
                  <c:v>5.2999999999999999E-2</c:v>
                </c:pt>
                <c:pt idx="10">
                  <c:v>3.7999999999999999E-2</c:v>
                </c:pt>
              </c:numCache>
            </c:numRef>
          </c:xVal>
          <c:yVal>
            <c:numRef>
              <c:f>RR!$K$30:$K$40</c:f>
              <c:numCache>
                <c:formatCode>0.0%</c:formatCode>
                <c:ptCount val="11"/>
                <c:pt idx="0">
                  <c:v>0.96771867744228257</c:v>
                </c:pt>
                <c:pt idx="1">
                  <c:v>0.87125053073150183</c:v>
                </c:pt>
                <c:pt idx="2">
                  <c:v>0.79318124471101503</c:v>
                </c:pt>
                <c:pt idx="3">
                  <c:v>0.70130501974027393</c:v>
                </c:pt>
                <c:pt idx="4">
                  <c:v>0.60436960361065473</c:v>
                </c:pt>
                <c:pt idx="5">
                  <c:v>0.5589089238243834</c:v>
                </c:pt>
                <c:pt idx="6">
                  <c:v>0.50946917530820812</c:v>
                </c:pt>
                <c:pt idx="7">
                  <c:v>0.42108184509662439</c:v>
                </c:pt>
                <c:pt idx="8">
                  <c:v>0.34285796809307878</c:v>
                </c:pt>
                <c:pt idx="9">
                  <c:v>0.27544456914074122</c:v>
                </c:pt>
                <c:pt idx="10">
                  <c:v>0.22120022368739334</c:v>
                </c:pt>
              </c:numCache>
            </c:numRef>
          </c:yVal>
          <c:smooth val="0"/>
          <c:extLst>
            <c:ext xmlns:c16="http://schemas.microsoft.com/office/drawing/2014/chart" uri="{C3380CC4-5D6E-409C-BE32-E72D297353CC}">
              <c16:uniqueId val="{00000001-AD08-4C43-B149-75165CD859A4}"/>
            </c:ext>
          </c:extLst>
        </c:ser>
        <c:dLbls>
          <c:showLegendKey val="0"/>
          <c:showVal val="0"/>
          <c:showCatName val="0"/>
          <c:showSerName val="0"/>
          <c:showPercent val="0"/>
          <c:showBubbleSize val="0"/>
        </c:dLbls>
        <c:axId val="1823205951"/>
        <c:axId val="1"/>
      </c:scatterChart>
      <c:valAx>
        <c:axId val="1823205951"/>
        <c:scaling>
          <c:logBase val="2"/>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Sieve, µm</a:t>
                </a:r>
              </a:p>
            </c:rich>
          </c:tx>
          <c:layout>
            <c:manualLayout>
              <c:xMode val="edge"/>
              <c:yMode val="edge"/>
              <c:x val="0.4969615472995238"/>
              <c:y val="0.9325507219616033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
        <c:crossesAt val="0"/>
        <c:crossBetween val="midCat"/>
      </c:valAx>
      <c:valAx>
        <c:axId val="1"/>
        <c:scaling>
          <c:logBase val="2"/>
          <c:orientation val="minMax"/>
          <c:max val="1"/>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Cumulative %Pass</a:t>
                </a:r>
              </a:p>
            </c:rich>
          </c:tx>
          <c:layout>
            <c:manualLayout>
              <c:xMode val="edge"/>
              <c:yMode val="edge"/>
              <c:x val="5.6862889119949373E-3"/>
              <c:y val="0.2785630795333596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205951"/>
        <c:crossesAt val="1.0000000000000002E-2"/>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alignWithMargins="0"/>
    <c:pageMargins b="1" l="0.75" r="0.75" t="1" header="0.51180555555555551" footer="0.51180555555555551"/>
    <c:pageSetup firstPageNumber="0"/>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'RR 2pc'!$B$53:$B$61</c:f>
              <c:numCache>
                <c:formatCode>0%</c:formatCode>
                <c:ptCount val="9"/>
                <c:pt idx="0">
                  <c:v>0.95</c:v>
                </c:pt>
                <c:pt idx="1">
                  <c:v>0.84</c:v>
                </c:pt>
                <c:pt idx="2">
                  <c:v>0.8</c:v>
                </c:pt>
                <c:pt idx="3">
                  <c:v>0.75</c:v>
                </c:pt>
                <c:pt idx="4">
                  <c:v>0.5</c:v>
                </c:pt>
                <c:pt idx="5">
                  <c:v>0.4</c:v>
                </c:pt>
                <c:pt idx="6">
                  <c:v>0.25</c:v>
                </c:pt>
                <c:pt idx="7">
                  <c:v>0.16</c:v>
                </c:pt>
                <c:pt idx="8">
                  <c:v>0.05</c:v>
                </c:pt>
              </c:numCache>
            </c:numRef>
          </c:xVal>
          <c:yVal>
            <c:numRef>
              <c:f>'RR 2pc'!$C$53:$C$61</c:f>
              <c:numCache>
                <c:formatCode>0</c:formatCode>
                <c:ptCount val="9"/>
                <c:pt idx="0">
                  <c:v>1043.3625405655994</c:v>
                </c:pt>
                <c:pt idx="1">
                  <c:v>475.43663911845715</c:v>
                </c:pt>
                <c:pt idx="2">
                  <c:v>406.24649859943986</c:v>
                </c:pt>
                <c:pt idx="3">
                  <c:v>355.33088235294133</c:v>
                </c:pt>
                <c:pt idx="4">
                  <c:v>160.55476020042954</c:v>
                </c:pt>
                <c:pt idx="5">
                  <c:v>103.65385081867805</c:v>
                </c:pt>
                <c:pt idx="6">
                  <c:v>41.467353198948288</c:v>
                </c:pt>
                <c:pt idx="7">
                  <c:v>25.235427429713145</c:v>
                </c:pt>
                <c:pt idx="8">
                  <c:v>7.8860710717853584</c:v>
                </c:pt>
              </c:numCache>
            </c:numRef>
          </c:yVal>
          <c:smooth val="0"/>
          <c:extLst>
            <c:ext xmlns:c16="http://schemas.microsoft.com/office/drawing/2014/chart" uri="{C3380CC4-5D6E-409C-BE32-E72D297353CC}">
              <c16:uniqueId val="{00000000-0FE8-4AB1-A2A8-3565864544BA}"/>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'RR 2pc'!$B$53:$B$61</c:f>
              <c:numCache>
                <c:formatCode>0%</c:formatCode>
                <c:ptCount val="9"/>
                <c:pt idx="0">
                  <c:v>0.95</c:v>
                </c:pt>
                <c:pt idx="1">
                  <c:v>0.84</c:v>
                </c:pt>
                <c:pt idx="2">
                  <c:v>0.8</c:v>
                </c:pt>
                <c:pt idx="3">
                  <c:v>0.75</c:v>
                </c:pt>
                <c:pt idx="4">
                  <c:v>0.5</c:v>
                </c:pt>
                <c:pt idx="5">
                  <c:v>0.4</c:v>
                </c:pt>
                <c:pt idx="6">
                  <c:v>0.25</c:v>
                </c:pt>
                <c:pt idx="7">
                  <c:v>0.16</c:v>
                </c:pt>
                <c:pt idx="8">
                  <c:v>0.05</c:v>
                </c:pt>
              </c:numCache>
            </c:numRef>
          </c:xVal>
          <c:yVal>
            <c:numRef>
              <c:f>'RR 2pc'!$D$53:$D$61</c:f>
              <c:numCache>
                <c:formatCode>0</c:formatCode>
                <c:ptCount val="9"/>
                <c:pt idx="0">
                  <c:v>984.06332906410307</c:v>
                </c:pt>
                <c:pt idx="1">
                  <c:v>517.32814492807552</c:v>
                </c:pt>
                <c:pt idx="2">
                  <c:v>436.3919682488883</c:v>
                </c:pt>
                <c:pt idx="3">
                  <c:v>358.87361508513038</c:v>
                </c:pt>
                <c:pt idx="4">
                  <c:v>144.70620011411873</c:v>
                </c:pt>
                <c:pt idx="5">
                  <c:v>97.005578826843845</c:v>
                </c:pt>
                <c:pt idx="6">
                  <c:v>45.713894122280067</c:v>
                </c:pt>
                <c:pt idx="7">
                  <c:v>23.717577778804607</c:v>
                </c:pt>
                <c:pt idx="8">
                  <c:v>4.7729885109011363</c:v>
                </c:pt>
              </c:numCache>
            </c:numRef>
          </c:yVal>
          <c:smooth val="0"/>
          <c:extLst>
            <c:ext xmlns:c16="http://schemas.microsoft.com/office/drawing/2014/chart" uri="{C3380CC4-5D6E-409C-BE32-E72D297353CC}">
              <c16:uniqueId val="{00000001-0FE8-4AB1-A2A8-3565864544BA}"/>
            </c:ext>
          </c:extLst>
        </c:ser>
        <c:dLbls>
          <c:showLegendKey val="0"/>
          <c:showVal val="0"/>
          <c:showCatName val="0"/>
          <c:showSerName val="0"/>
          <c:showPercent val="0"/>
          <c:showBubbleSize val="0"/>
        </c:dLbls>
        <c:axId val="1572931040"/>
        <c:axId val="1624985776"/>
      </c:scatterChart>
      <c:valAx>
        <c:axId val="15729310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985776"/>
        <c:crosses val="autoZero"/>
        <c:crossBetween val="midCat"/>
      </c:valAx>
      <c:valAx>
        <c:axId val="1624985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9310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64260717410319E-2"/>
          <c:y val="0.13004629629629633"/>
          <c:w val="0.86611351706036743"/>
          <c:h val="0.8190277777777778"/>
        </c:manualLayout>
      </c:layout>
      <c:scatterChart>
        <c:scatterStyle val="smoothMarker"/>
        <c:varyColors val="0"/>
        <c:ser>
          <c:idx val="0"/>
          <c:order val="0"/>
          <c:tx>
            <c:strRef>
              <c:f>GGS!$D$39</c:f>
              <c:strCache>
                <c:ptCount val="1"/>
                <c:pt idx="0">
                  <c:v>CumPass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GGS!$B$40:$B$50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GGS!$D$40:$D$50</c:f>
              <c:numCache>
                <c:formatCode>0.000</c:formatCode>
                <c:ptCount val="11"/>
                <c:pt idx="0">
                  <c:v>0.96747240656053368</c:v>
                </c:pt>
                <c:pt idx="1">
                  <c:v>0.89330536739676092</c:v>
                </c:pt>
                <c:pt idx="2">
                  <c:v>0.81841625691985009</c:v>
                </c:pt>
                <c:pt idx="3">
                  <c:v>0.69566413368634583</c:v>
                </c:pt>
                <c:pt idx="4">
                  <c:v>0.57641921397379903</c:v>
                </c:pt>
                <c:pt idx="5">
                  <c:v>0.53113502733555673</c:v>
                </c:pt>
                <c:pt idx="6">
                  <c:v>0.48310009283774019</c:v>
                </c:pt>
                <c:pt idx="7">
                  <c:v>0.4042911666609359</c:v>
                </c:pt>
                <c:pt idx="8">
                  <c:v>0.34759137640546017</c:v>
                </c:pt>
                <c:pt idx="9">
                  <c:v>0.28016366949764465</c:v>
                </c:pt>
                <c:pt idx="10">
                  <c:v>0.24093112815046591</c:v>
                </c:pt>
              </c:numCache>
            </c:numRef>
          </c:yVal>
          <c:smooth val="1"/>
          <c:extLst>
            <c:ext xmlns:c16="http://schemas.microsoft.com/office/drawing/2014/chart" uri="{C3380CC4-5D6E-409C-BE32-E72D297353CC}">
              <c16:uniqueId val="{00000000-FC3B-4054-9C1F-AD6988E1C72F}"/>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GGS!$B$41:$B$50</c:f>
              <c:numCache>
                <c:formatCode>General</c:formatCode>
                <c:ptCount val="10"/>
                <c:pt idx="0">
                  <c:v>600</c:v>
                </c:pt>
                <c:pt idx="1">
                  <c:v>425</c:v>
                </c:pt>
                <c:pt idx="2">
                  <c:v>300</c:v>
                </c:pt>
                <c:pt idx="3">
                  <c:v>212</c:v>
                </c:pt>
                <c:pt idx="4">
                  <c:v>180</c:v>
                </c:pt>
                <c:pt idx="5">
                  <c:v>150</c:v>
                </c:pt>
                <c:pt idx="6">
                  <c:v>106</c:v>
                </c:pt>
                <c:pt idx="7">
                  <c:v>75</c:v>
                </c:pt>
                <c:pt idx="8">
                  <c:v>53</c:v>
                </c:pt>
                <c:pt idx="9">
                  <c:v>38</c:v>
                </c:pt>
              </c:numCache>
            </c:numRef>
          </c:xVal>
          <c:yVal>
            <c:numRef>
              <c:f>GGS!$F$41:$F$50</c:f>
              <c:numCache>
                <c:formatCode>0.000</c:formatCode>
                <c:ptCount val="10"/>
                <c:pt idx="0">
                  <c:v>0.9933159154572464</c:v>
                </c:pt>
                <c:pt idx="1">
                  <c:v>0.82977170553683333</c:v>
                </c:pt>
                <c:pt idx="2">
                  <c:v>0.69190190776507632</c:v>
                </c:pt>
                <c:pt idx="3">
                  <c:v>0.57727404774349078</c:v>
                </c:pt>
                <c:pt idx="4">
                  <c:v>0.53004084669435292</c:v>
                </c:pt>
                <c:pt idx="5">
                  <c:v>0.48194964212224689</c:v>
                </c:pt>
                <c:pt idx="6">
                  <c:v>0.4021047168595181</c:v>
                </c:pt>
                <c:pt idx="7">
                  <c:v>0.33570576252931383</c:v>
                </c:pt>
                <c:pt idx="8">
                  <c:v>0.28008916034368225</c:v>
                </c:pt>
                <c:pt idx="9">
                  <c:v>0.23545983455101202</c:v>
                </c:pt>
              </c:numCache>
            </c:numRef>
          </c:yVal>
          <c:smooth val="1"/>
          <c:extLst>
            <c:ext xmlns:c16="http://schemas.microsoft.com/office/drawing/2014/chart" uri="{C3380CC4-5D6E-409C-BE32-E72D297353CC}">
              <c16:uniqueId val="{0000000C-FC3B-4054-9C1F-AD6988E1C72F}"/>
            </c:ext>
          </c:extLst>
        </c:ser>
        <c:dLbls>
          <c:showLegendKey val="0"/>
          <c:showVal val="0"/>
          <c:showCatName val="0"/>
          <c:showSerName val="0"/>
          <c:showPercent val="0"/>
          <c:showBubbleSize val="0"/>
        </c:dLbls>
        <c:axId val="1352425312"/>
        <c:axId val="1425119632"/>
      </c:scatterChart>
      <c:valAx>
        <c:axId val="1352425312"/>
        <c:scaling>
          <c:logBase val="10"/>
          <c:orientation val="minMax"/>
        </c:scaling>
        <c:delete val="0"/>
        <c:axPos val="b"/>
        <c:majorGridlines>
          <c:spPr>
            <a:ln w="19050" cap="flat" cmpd="sng" algn="ctr">
              <a:solidFill>
                <a:schemeClr val="tx1">
                  <a:lumMod val="15000"/>
                  <a:lumOff val="85000"/>
                </a:schemeClr>
              </a:solidFill>
              <a:round/>
            </a:ln>
            <a:effectLst/>
          </c:spPr>
        </c:majorGridlines>
        <c:minorGridlines>
          <c:spPr>
            <a:ln w="3175" cap="flat" cmpd="sng" algn="ctr">
              <a:solidFill>
                <a:schemeClr val="tx1">
                  <a:alpha val="38000"/>
                </a:schemeClr>
              </a:solidFill>
              <a:round/>
            </a:ln>
            <a:effectLst/>
          </c:spPr>
        </c:minorGridlines>
        <c:numFmt formatCode="General" sourceLinked="1"/>
        <c:majorTickMark val="out"/>
        <c:minorTickMark val="in"/>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119632"/>
        <c:crosses val="autoZero"/>
        <c:crossBetween val="midCat"/>
        <c:majorUnit val="100"/>
        <c:minorUnit val="10"/>
      </c:valAx>
      <c:valAx>
        <c:axId val="1425119632"/>
        <c:scaling>
          <c:logBase val="10"/>
          <c:orientation val="minMax"/>
        </c:scaling>
        <c:delete val="0"/>
        <c:axPos val="l"/>
        <c:majorGridlines>
          <c:spPr>
            <a:ln w="9525" cap="flat" cmpd="sng" algn="ctr">
              <a:solidFill>
                <a:schemeClr val="accent1"/>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425312"/>
        <c:crosses val="autoZero"/>
        <c:crossBetween val="midCat"/>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64260717410319E-2"/>
          <c:y val="0.13004629629629633"/>
          <c:w val="0.86611351706036743"/>
          <c:h val="0.8190277777777778"/>
        </c:manualLayout>
      </c:layout>
      <c:scatterChart>
        <c:scatterStyle val="smoothMarker"/>
        <c:varyColors val="0"/>
        <c:ser>
          <c:idx val="0"/>
          <c:order val="0"/>
          <c:tx>
            <c:strRef>
              <c:f>GGS_1pc!$D$38</c:f>
              <c:strCache>
                <c:ptCount val="1"/>
                <c:pt idx="0">
                  <c:v>CumPass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GGS_1pc!$B$39:$B$49</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GGS_1pc!$D$39:$D$49</c:f>
              <c:numCache>
                <c:formatCode>0.000</c:formatCode>
                <c:ptCount val="11"/>
                <c:pt idx="0">
                  <c:v>0.96747240656053368</c:v>
                </c:pt>
                <c:pt idx="1">
                  <c:v>0.89330536739676092</c:v>
                </c:pt>
                <c:pt idx="2">
                  <c:v>0.81841625691985009</c:v>
                </c:pt>
                <c:pt idx="3">
                  <c:v>0.69566413368634583</c:v>
                </c:pt>
                <c:pt idx="4">
                  <c:v>0.57641921397379903</c:v>
                </c:pt>
                <c:pt idx="5">
                  <c:v>0.53113502733555673</c:v>
                </c:pt>
                <c:pt idx="6">
                  <c:v>0.48310009283774019</c:v>
                </c:pt>
                <c:pt idx="7">
                  <c:v>0.4042911666609359</c:v>
                </c:pt>
                <c:pt idx="8">
                  <c:v>0.34759137640546017</c:v>
                </c:pt>
                <c:pt idx="9">
                  <c:v>0.28016366949764465</c:v>
                </c:pt>
                <c:pt idx="10">
                  <c:v>0.24093112815046591</c:v>
                </c:pt>
              </c:numCache>
            </c:numRef>
          </c:yVal>
          <c:smooth val="1"/>
          <c:extLst>
            <c:ext xmlns:c16="http://schemas.microsoft.com/office/drawing/2014/chart" uri="{C3380CC4-5D6E-409C-BE32-E72D297353CC}">
              <c16:uniqueId val="{00000000-C2BA-4003-A22C-0553347062ED}"/>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GGS_1pc!$B$39:$B$49</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GGS_1pc!$E$39:$E$49</c:f>
              <c:numCache>
                <c:formatCode>0.000</c:formatCode>
                <c:ptCount val="11"/>
                <c:pt idx="0">
                  <c:v>1.4135863922885645</c:v>
                </c:pt>
                <c:pt idx="1">
                  <c:v>0.99331591545724618</c:v>
                </c:pt>
                <c:pt idx="2">
                  <c:v>0.8297717055368331</c:v>
                </c:pt>
                <c:pt idx="3">
                  <c:v>0.69190190776507587</c:v>
                </c:pt>
                <c:pt idx="4">
                  <c:v>0.57727404774349056</c:v>
                </c:pt>
                <c:pt idx="5">
                  <c:v>0.53004084669435247</c:v>
                </c:pt>
                <c:pt idx="6">
                  <c:v>0.48194964212224661</c:v>
                </c:pt>
                <c:pt idx="7">
                  <c:v>0.40210471685951776</c:v>
                </c:pt>
                <c:pt idx="8">
                  <c:v>0.33570576252931361</c:v>
                </c:pt>
                <c:pt idx="9">
                  <c:v>0.28008916034368214</c:v>
                </c:pt>
                <c:pt idx="10">
                  <c:v>0.23545983455101194</c:v>
                </c:pt>
              </c:numCache>
            </c:numRef>
          </c:yVal>
          <c:smooth val="1"/>
          <c:extLst>
            <c:ext xmlns:c16="http://schemas.microsoft.com/office/drawing/2014/chart" uri="{C3380CC4-5D6E-409C-BE32-E72D297353CC}">
              <c16:uniqueId val="{00000001-C2BA-4003-A22C-0553347062ED}"/>
            </c:ext>
          </c:extLst>
        </c:ser>
        <c:dLbls>
          <c:showLegendKey val="0"/>
          <c:showVal val="0"/>
          <c:showCatName val="0"/>
          <c:showSerName val="0"/>
          <c:showPercent val="0"/>
          <c:showBubbleSize val="0"/>
        </c:dLbls>
        <c:axId val="1352425312"/>
        <c:axId val="1425119632"/>
      </c:scatterChart>
      <c:valAx>
        <c:axId val="1352425312"/>
        <c:scaling>
          <c:logBase val="10"/>
          <c:orientation val="minMax"/>
        </c:scaling>
        <c:delete val="0"/>
        <c:axPos val="b"/>
        <c:majorGridlines>
          <c:spPr>
            <a:ln w="19050" cap="flat" cmpd="sng" algn="ctr">
              <a:solidFill>
                <a:schemeClr val="tx1">
                  <a:lumMod val="15000"/>
                  <a:lumOff val="85000"/>
                </a:schemeClr>
              </a:solidFill>
              <a:round/>
            </a:ln>
            <a:effectLst/>
          </c:spPr>
        </c:majorGridlines>
        <c:minorGridlines>
          <c:spPr>
            <a:ln w="3175" cap="flat" cmpd="sng" algn="ctr">
              <a:solidFill>
                <a:schemeClr val="tx1">
                  <a:alpha val="38000"/>
                </a:schemeClr>
              </a:solidFill>
              <a:round/>
            </a:ln>
            <a:effectLst/>
          </c:spPr>
        </c:minorGridlines>
        <c:numFmt formatCode="General" sourceLinked="1"/>
        <c:majorTickMark val="out"/>
        <c:minorTickMark val="in"/>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119632"/>
        <c:crosses val="autoZero"/>
        <c:crossBetween val="midCat"/>
        <c:majorUnit val="100"/>
        <c:minorUnit val="10"/>
      </c:valAx>
      <c:valAx>
        <c:axId val="1425119632"/>
        <c:scaling>
          <c:logBase val="10"/>
          <c:orientation val="minMax"/>
        </c:scaling>
        <c:delete val="0"/>
        <c:axPos val="l"/>
        <c:majorGridlines>
          <c:spPr>
            <a:ln w="9525" cap="flat" cmpd="sng" algn="ctr">
              <a:solidFill>
                <a:schemeClr val="accent1"/>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425312"/>
        <c:crosses val="autoZero"/>
        <c:crossBetween val="midCat"/>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'PWGGS group'!$D$50</c:f>
              <c:strCache>
                <c:ptCount val="1"/>
                <c:pt idx="0">
                  <c:v>SC13F</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group'!$D$51:$D$61</c:f>
              <c:numCache>
                <c:formatCode>0.000</c:formatCode>
                <c:ptCount val="11"/>
                <c:pt idx="0">
                  <c:v>0.96747240656053368</c:v>
                </c:pt>
                <c:pt idx="1">
                  <c:v>0.89330536739676103</c:v>
                </c:pt>
                <c:pt idx="2">
                  <c:v>0.81841625691985009</c:v>
                </c:pt>
                <c:pt idx="3">
                  <c:v>0.69566413368634605</c:v>
                </c:pt>
                <c:pt idx="4">
                  <c:v>0.57641921397379925</c:v>
                </c:pt>
                <c:pt idx="5">
                  <c:v>0.53113502733555695</c:v>
                </c:pt>
                <c:pt idx="6">
                  <c:v>0.48310009283774036</c:v>
                </c:pt>
                <c:pt idx="7">
                  <c:v>0.40429116666093606</c:v>
                </c:pt>
                <c:pt idx="8">
                  <c:v>0.34759137640546034</c:v>
                </c:pt>
                <c:pt idx="9">
                  <c:v>0.28016366949764482</c:v>
                </c:pt>
                <c:pt idx="10">
                  <c:v>0.24093112815046605</c:v>
                </c:pt>
              </c:numCache>
            </c:numRef>
          </c:yVal>
          <c:smooth val="1"/>
          <c:extLst>
            <c:ext xmlns:c16="http://schemas.microsoft.com/office/drawing/2014/chart" uri="{C3380CC4-5D6E-409C-BE32-E72D297353CC}">
              <c16:uniqueId val="{00000000-8E0B-4EBD-946E-7D20C9D106EA}"/>
            </c:ext>
          </c:extLst>
        </c:ser>
        <c:ser>
          <c:idx val="1"/>
          <c:order val="1"/>
          <c:tx>
            <c:strRef>
              <c:f>'PWGGS group'!$E$50</c:f>
              <c:strCache>
                <c:ptCount val="1"/>
                <c:pt idx="0">
                  <c:v>13Fdeck1</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group'!$E$51:$E$61</c:f>
              <c:numCache>
                <c:formatCode>0.000</c:formatCode>
                <c:ptCount val="11"/>
                <c:pt idx="0">
                  <c:v>0.96371129508734821</c:v>
                </c:pt>
                <c:pt idx="1">
                  <c:v>0.88311025201502613</c:v>
                </c:pt>
                <c:pt idx="2">
                  <c:v>0.81844706225609987</c:v>
                </c:pt>
                <c:pt idx="3">
                  <c:v>0.69853021627338718</c:v>
                </c:pt>
                <c:pt idx="4">
                  <c:v>0.56479083846967448</c:v>
                </c:pt>
                <c:pt idx="5">
                  <c:v>0.51705022064991446</c:v>
                </c:pt>
                <c:pt idx="6">
                  <c:v>0.46759546300010957</c:v>
                </c:pt>
                <c:pt idx="7">
                  <c:v>0.38028374484846289</c:v>
                </c:pt>
                <c:pt idx="8">
                  <c:v>0.31419818374120151</c:v>
                </c:pt>
                <c:pt idx="9">
                  <c:v>0.25588095845946257</c:v>
                </c:pt>
                <c:pt idx="10">
                  <c:v>0.2150333710200957</c:v>
                </c:pt>
              </c:numCache>
            </c:numRef>
          </c:yVal>
          <c:smooth val="1"/>
          <c:extLst>
            <c:ext xmlns:c16="http://schemas.microsoft.com/office/drawing/2014/chart" uri="{C3380CC4-5D6E-409C-BE32-E72D297353CC}">
              <c16:uniqueId val="{00000001-8E0B-4EBD-946E-7D20C9D106EA}"/>
            </c:ext>
          </c:extLst>
        </c:ser>
        <c:ser>
          <c:idx val="2"/>
          <c:order val="2"/>
          <c:tx>
            <c:strRef>
              <c:f>'PWGGS group'!$F$50</c:f>
              <c:strCache>
                <c:ptCount val="1"/>
                <c:pt idx="0">
                  <c:v>13Fdeck2</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group'!$F$51:$F$61</c:f>
              <c:numCache>
                <c:formatCode>0.000</c:formatCode>
                <c:ptCount val="11"/>
                <c:pt idx="0">
                  <c:v>0.96611650811791994</c:v>
                </c:pt>
                <c:pt idx="1">
                  <c:v>0.88900467242596393</c:v>
                </c:pt>
                <c:pt idx="2">
                  <c:v>0.81182560758344824</c:v>
                </c:pt>
                <c:pt idx="3">
                  <c:v>0.68772059565027399</c:v>
                </c:pt>
                <c:pt idx="4">
                  <c:v>0.5714813943325826</c:v>
                </c:pt>
                <c:pt idx="5">
                  <c:v>0.52495882214528222</c:v>
                </c:pt>
                <c:pt idx="6">
                  <c:v>0.47779757302766485</c:v>
                </c:pt>
                <c:pt idx="7">
                  <c:v>0.39510571783925513</c:v>
                </c:pt>
                <c:pt idx="8">
                  <c:v>0.33177585801203402</c:v>
                </c:pt>
                <c:pt idx="9">
                  <c:v>0.26158862482772532</c:v>
                </c:pt>
                <c:pt idx="10">
                  <c:v>0.2209149887391173</c:v>
                </c:pt>
              </c:numCache>
            </c:numRef>
          </c:yVal>
          <c:smooth val="1"/>
          <c:extLst>
            <c:ext xmlns:c16="http://schemas.microsoft.com/office/drawing/2014/chart" uri="{C3380CC4-5D6E-409C-BE32-E72D297353CC}">
              <c16:uniqueId val="{00000002-8E0B-4EBD-946E-7D20C9D106EA}"/>
            </c:ext>
          </c:extLst>
        </c:ser>
        <c:ser>
          <c:idx val="3"/>
          <c:order val="3"/>
          <c:tx>
            <c:strRef>
              <c:f>'PWGGS group'!$G$50</c:f>
              <c:strCache>
                <c:ptCount val="1"/>
                <c:pt idx="0">
                  <c:v>13Fdeck3</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group'!$G$51:$G$61</c:f>
              <c:numCache>
                <c:formatCode>0.000</c:formatCode>
                <c:ptCount val="11"/>
                <c:pt idx="0">
                  <c:v>0.95187137446030778</c:v>
                </c:pt>
                <c:pt idx="1">
                  <c:v>0.86038195640081583</c:v>
                </c:pt>
                <c:pt idx="2">
                  <c:v>0.77919635525653597</c:v>
                </c:pt>
                <c:pt idx="3">
                  <c:v>0.66015945752655425</c:v>
                </c:pt>
                <c:pt idx="4">
                  <c:v>0.52970624851005232</c:v>
                </c:pt>
                <c:pt idx="5">
                  <c:v>0.49468916377506439</c:v>
                </c:pt>
                <c:pt idx="6">
                  <c:v>0.44009747569729574</c:v>
                </c:pt>
                <c:pt idx="7">
                  <c:v>0.36492464175032463</c:v>
                </c:pt>
                <c:pt idx="8">
                  <c:v>0.31110110454798312</c:v>
                </c:pt>
                <c:pt idx="9">
                  <c:v>0.25605912112944684</c:v>
                </c:pt>
                <c:pt idx="10">
                  <c:v>0.21487034142982031</c:v>
                </c:pt>
              </c:numCache>
            </c:numRef>
          </c:yVal>
          <c:smooth val="1"/>
          <c:extLst>
            <c:ext xmlns:c16="http://schemas.microsoft.com/office/drawing/2014/chart" uri="{C3380CC4-5D6E-409C-BE32-E72D297353CC}">
              <c16:uniqueId val="{00000003-8E0B-4EBD-946E-7D20C9D106EA}"/>
            </c:ext>
          </c:extLst>
        </c:ser>
        <c:ser>
          <c:idx val="4"/>
          <c:order val="4"/>
          <c:tx>
            <c:strRef>
              <c:f>'PWGGS group'!$H$50</c:f>
              <c:strCache>
                <c:ptCount val="1"/>
                <c:pt idx="0">
                  <c:v>13Fdeck4</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group'!$H$51:$H$61</c:f>
              <c:numCache>
                <c:formatCode>0.000</c:formatCode>
                <c:ptCount val="11"/>
                <c:pt idx="0">
                  <c:v>0.96371129508734821</c:v>
                </c:pt>
                <c:pt idx="1">
                  <c:v>0.88311025201502613</c:v>
                </c:pt>
                <c:pt idx="2">
                  <c:v>0.81844706225609987</c:v>
                </c:pt>
                <c:pt idx="3">
                  <c:v>0.69853021627338718</c:v>
                </c:pt>
                <c:pt idx="4">
                  <c:v>0.56479083846967448</c:v>
                </c:pt>
                <c:pt idx="5">
                  <c:v>0.51705022064991446</c:v>
                </c:pt>
                <c:pt idx="6">
                  <c:v>0.46759546300010957</c:v>
                </c:pt>
                <c:pt idx="7">
                  <c:v>0.38028374484846289</c:v>
                </c:pt>
                <c:pt idx="8">
                  <c:v>0.31419818374120151</c:v>
                </c:pt>
                <c:pt idx="9">
                  <c:v>0.25588095845946257</c:v>
                </c:pt>
                <c:pt idx="10">
                  <c:v>0.2150333710200957</c:v>
                </c:pt>
              </c:numCache>
            </c:numRef>
          </c:yVal>
          <c:smooth val="1"/>
          <c:extLst>
            <c:ext xmlns:c16="http://schemas.microsoft.com/office/drawing/2014/chart" uri="{C3380CC4-5D6E-409C-BE32-E72D297353CC}">
              <c16:uniqueId val="{00000004-8E0B-4EBD-946E-7D20C9D106EA}"/>
            </c:ext>
          </c:extLst>
        </c:ser>
        <c:ser>
          <c:idx val="5"/>
          <c:order val="5"/>
          <c:tx>
            <c:strRef>
              <c:f>'PWGGS group'!$I$50</c:f>
              <c:strCache>
                <c:ptCount val="1"/>
                <c:pt idx="0">
                  <c:v>13Fdeck5</c:v>
                </c:pt>
              </c:strCache>
            </c:strRef>
          </c:tx>
          <c:spPr>
            <a:ln w="22225" cap="rnd">
              <a:solidFill>
                <a:schemeClr val="accent6"/>
              </a:solid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group'!$I$51:$I$61</c:f>
              <c:numCache>
                <c:formatCode>0.000</c:formatCode>
                <c:ptCount val="11"/>
                <c:pt idx="0">
                  <c:v>0.97875874743761926</c:v>
                </c:pt>
                <c:pt idx="1">
                  <c:v>0.92019509436629676</c:v>
                </c:pt>
                <c:pt idx="2">
                  <c:v>0.85746094578355836</c:v>
                </c:pt>
                <c:pt idx="3">
                  <c:v>0.75673287622817553</c:v>
                </c:pt>
                <c:pt idx="4">
                  <c:v>0.63720223368912132</c:v>
                </c:pt>
                <c:pt idx="5">
                  <c:v>0.60094012864918356</c:v>
                </c:pt>
                <c:pt idx="6">
                  <c:v>0.55008128931929035</c:v>
                </c:pt>
                <c:pt idx="7">
                  <c:v>0.46599985862727084</c:v>
                </c:pt>
                <c:pt idx="8">
                  <c:v>0.39605570085530506</c:v>
                </c:pt>
                <c:pt idx="9">
                  <c:v>0.31190358379868527</c:v>
                </c:pt>
                <c:pt idx="10">
                  <c:v>0.26645225136071254</c:v>
                </c:pt>
              </c:numCache>
            </c:numRef>
          </c:yVal>
          <c:smooth val="1"/>
          <c:extLst>
            <c:ext xmlns:c16="http://schemas.microsoft.com/office/drawing/2014/chart" uri="{C3380CC4-5D6E-409C-BE32-E72D297353CC}">
              <c16:uniqueId val="{00000005-8E0B-4EBD-946E-7D20C9D106EA}"/>
            </c:ext>
          </c:extLst>
        </c:ser>
        <c:dLbls>
          <c:showLegendKey val="0"/>
          <c:showVal val="0"/>
          <c:showCatName val="0"/>
          <c:showSerName val="0"/>
          <c:showPercent val="0"/>
          <c:showBubbleSize val="0"/>
        </c:dLbls>
        <c:axId val="1020547680"/>
        <c:axId val="931494560"/>
      </c:scatterChart>
      <c:valAx>
        <c:axId val="1020547680"/>
        <c:scaling>
          <c:logBase val="10"/>
          <c:orientation val="minMax"/>
          <c:max val="1200"/>
          <c:min val="10"/>
        </c:scaling>
        <c:delete val="0"/>
        <c:axPos val="b"/>
        <c:majorGridlines>
          <c:spPr>
            <a:ln w="9525" cap="flat" cmpd="sng" algn="ctr">
              <a:solidFill>
                <a:schemeClr val="dk1">
                  <a:lumMod val="65000"/>
                  <a:lumOff val="35000"/>
                  <a:alpha val="75000"/>
                </a:schemeClr>
              </a:solidFill>
              <a:round/>
            </a:ln>
            <a:effectLst/>
          </c:spPr>
        </c:majorGridlines>
        <c:title>
          <c:tx>
            <c:strRef>
              <c:f>'PWGGS group'!$C$50</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in"/>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logBase val="10"/>
          <c:orientation val="minMax"/>
          <c:max val="1"/>
        </c:scaling>
        <c:delete val="0"/>
        <c:axPos val="l"/>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title>
          <c:tx>
            <c:strRef>
              <c:f>'PWGGS group'!$A$49</c:f>
              <c:strCache>
                <c:ptCount val="1"/>
                <c:pt idx="0">
                  <c:v>CumPass unfitted</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0"/>
        <c:majorTickMark val="out"/>
        <c:minorTickMark val="in"/>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'PWGGS group'!$D$50</c:f>
              <c:strCache>
                <c:ptCount val="1"/>
                <c:pt idx="0">
                  <c:v>SC13F</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group'!$D$51:$D$61</c:f>
              <c:numCache>
                <c:formatCode>0.000</c:formatCode>
                <c:ptCount val="11"/>
                <c:pt idx="0">
                  <c:v>0.96747240656053368</c:v>
                </c:pt>
                <c:pt idx="1">
                  <c:v>0.89330536739676103</c:v>
                </c:pt>
                <c:pt idx="2">
                  <c:v>0.81841625691985009</c:v>
                </c:pt>
                <c:pt idx="3">
                  <c:v>0.69566413368634605</c:v>
                </c:pt>
                <c:pt idx="4">
                  <c:v>0.57641921397379925</c:v>
                </c:pt>
                <c:pt idx="5">
                  <c:v>0.53113502733555695</c:v>
                </c:pt>
                <c:pt idx="6">
                  <c:v>0.48310009283774036</c:v>
                </c:pt>
                <c:pt idx="7">
                  <c:v>0.40429116666093606</c:v>
                </c:pt>
                <c:pt idx="8">
                  <c:v>0.34759137640546034</c:v>
                </c:pt>
                <c:pt idx="9">
                  <c:v>0.28016366949764482</c:v>
                </c:pt>
                <c:pt idx="10">
                  <c:v>0.24093112815046605</c:v>
                </c:pt>
              </c:numCache>
            </c:numRef>
          </c:yVal>
          <c:smooth val="1"/>
          <c:extLst>
            <c:ext xmlns:c16="http://schemas.microsoft.com/office/drawing/2014/chart" uri="{C3380CC4-5D6E-409C-BE32-E72D297353CC}">
              <c16:uniqueId val="{00000000-0124-458D-AF67-9C3D357A212A}"/>
            </c:ext>
          </c:extLst>
        </c:ser>
        <c:ser>
          <c:idx val="1"/>
          <c:order val="1"/>
          <c:tx>
            <c:strRef>
              <c:f>'PWGGS group'!$E$50</c:f>
              <c:strCache>
                <c:ptCount val="1"/>
                <c:pt idx="0">
                  <c:v>13Fdeck1</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group'!$E$51:$E$61</c:f>
              <c:numCache>
                <c:formatCode>0.000</c:formatCode>
                <c:ptCount val="11"/>
                <c:pt idx="0">
                  <c:v>0.96371129508734821</c:v>
                </c:pt>
                <c:pt idx="1">
                  <c:v>0.88311025201502613</c:v>
                </c:pt>
                <c:pt idx="2">
                  <c:v>0.81844706225609987</c:v>
                </c:pt>
                <c:pt idx="3">
                  <c:v>0.69853021627338718</c:v>
                </c:pt>
                <c:pt idx="4">
                  <c:v>0.56479083846967448</c:v>
                </c:pt>
                <c:pt idx="5">
                  <c:v>0.51705022064991446</c:v>
                </c:pt>
                <c:pt idx="6">
                  <c:v>0.46759546300010957</c:v>
                </c:pt>
                <c:pt idx="7">
                  <c:v>0.38028374484846289</c:v>
                </c:pt>
                <c:pt idx="8">
                  <c:v>0.31419818374120151</c:v>
                </c:pt>
                <c:pt idx="9">
                  <c:v>0.25588095845946257</c:v>
                </c:pt>
                <c:pt idx="10">
                  <c:v>0.2150333710200957</c:v>
                </c:pt>
              </c:numCache>
            </c:numRef>
          </c:yVal>
          <c:smooth val="1"/>
          <c:extLst>
            <c:ext xmlns:c16="http://schemas.microsoft.com/office/drawing/2014/chart" uri="{C3380CC4-5D6E-409C-BE32-E72D297353CC}">
              <c16:uniqueId val="{00000001-0124-458D-AF67-9C3D357A212A}"/>
            </c:ext>
          </c:extLst>
        </c:ser>
        <c:ser>
          <c:idx val="2"/>
          <c:order val="2"/>
          <c:tx>
            <c:strRef>
              <c:f>'PWGGS group'!$F$50</c:f>
              <c:strCache>
                <c:ptCount val="1"/>
                <c:pt idx="0">
                  <c:v>13Fdeck2</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group'!$F$51:$F$61</c:f>
              <c:numCache>
                <c:formatCode>0.000</c:formatCode>
                <c:ptCount val="11"/>
                <c:pt idx="0">
                  <c:v>0.96611650811791994</c:v>
                </c:pt>
                <c:pt idx="1">
                  <c:v>0.88900467242596393</c:v>
                </c:pt>
                <c:pt idx="2">
                  <c:v>0.81182560758344824</c:v>
                </c:pt>
                <c:pt idx="3">
                  <c:v>0.68772059565027399</c:v>
                </c:pt>
                <c:pt idx="4">
                  <c:v>0.5714813943325826</c:v>
                </c:pt>
                <c:pt idx="5">
                  <c:v>0.52495882214528222</c:v>
                </c:pt>
                <c:pt idx="6">
                  <c:v>0.47779757302766485</c:v>
                </c:pt>
                <c:pt idx="7">
                  <c:v>0.39510571783925513</c:v>
                </c:pt>
                <c:pt idx="8">
                  <c:v>0.33177585801203402</c:v>
                </c:pt>
                <c:pt idx="9">
                  <c:v>0.26158862482772532</c:v>
                </c:pt>
                <c:pt idx="10">
                  <c:v>0.2209149887391173</c:v>
                </c:pt>
              </c:numCache>
            </c:numRef>
          </c:yVal>
          <c:smooth val="1"/>
          <c:extLst>
            <c:ext xmlns:c16="http://schemas.microsoft.com/office/drawing/2014/chart" uri="{C3380CC4-5D6E-409C-BE32-E72D297353CC}">
              <c16:uniqueId val="{00000002-0124-458D-AF67-9C3D357A212A}"/>
            </c:ext>
          </c:extLst>
        </c:ser>
        <c:ser>
          <c:idx val="3"/>
          <c:order val="3"/>
          <c:tx>
            <c:strRef>
              <c:f>'PWGGS group'!$G$50</c:f>
              <c:strCache>
                <c:ptCount val="1"/>
                <c:pt idx="0">
                  <c:v>13Fdeck3</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group'!$G$51:$G$61</c:f>
              <c:numCache>
                <c:formatCode>0.000</c:formatCode>
                <c:ptCount val="11"/>
                <c:pt idx="0">
                  <c:v>0.95187137446030778</c:v>
                </c:pt>
                <c:pt idx="1">
                  <c:v>0.86038195640081583</c:v>
                </c:pt>
                <c:pt idx="2">
                  <c:v>0.77919635525653597</c:v>
                </c:pt>
                <c:pt idx="3">
                  <c:v>0.66015945752655425</c:v>
                </c:pt>
                <c:pt idx="4">
                  <c:v>0.52970624851005232</c:v>
                </c:pt>
                <c:pt idx="5">
                  <c:v>0.49468916377506439</c:v>
                </c:pt>
                <c:pt idx="6">
                  <c:v>0.44009747569729574</c:v>
                </c:pt>
                <c:pt idx="7">
                  <c:v>0.36492464175032463</c:v>
                </c:pt>
                <c:pt idx="8">
                  <c:v>0.31110110454798312</c:v>
                </c:pt>
                <c:pt idx="9">
                  <c:v>0.25605912112944684</c:v>
                </c:pt>
                <c:pt idx="10">
                  <c:v>0.21487034142982031</c:v>
                </c:pt>
              </c:numCache>
            </c:numRef>
          </c:yVal>
          <c:smooth val="1"/>
          <c:extLst>
            <c:ext xmlns:c16="http://schemas.microsoft.com/office/drawing/2014/chart" uri="{C3380CC4-5D6E-409C-BE32-E72D297353CC}">
              <c16:uniqueId val="{00000003-0124-458D-AF67-9C3D357A212A}"/>
            </c:ext>
          </c:extLst>
        </c:ser>
        <c:ser>
          <c:idx val="4"/>
          <c:order val="4"/>
          <c:tx>
            <c:strRef>
              <c:f>'PWGGS group'!$H$50</c:f>
              <c:strCache>
                <c:ptCount val="1"/>
                <c:pt idx="0">
                  <c:v>13Fdeck4</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group'!$H$51:$H$61</c:f>
              <c:numCache>
                <c:formatCode>0.000</c:formatCode>
                <c:ptCount val="11"/>
                <c:pt idx="0">
                  <c:v>0.96371129508734821</c:v>
                </c:pt>
                <c:pt idx="1">
                  <c:v>0.88311025201502613</c:v>
                </c:pt>
                <c:pt idx="2">
                  <c:v>0.81844706225609987</c:v>
                </c:pt>
                <c:pt idx="3">
                  <c:v>0.69853021627338718</c:v>
                </c:pt>
                <c:pt idx="4">
                  <c:v>0.56479083846967448</c:v>
                </c:pt>
                <c:pt idx="5">
                  <c:v>0.51705022064991446</c:v>
                </c:pt>
                <c:pt idx="6">
                  <c:v>0.46759546300010957</c:v>
                </c:pt>
                <c:pt idx="7">
                  <c:v>0.38028374484846289</c:v>
                </c:pt>
                <c:pt idx="8">
                  <c:v>0.31419818374120151</c:v>
                </c:pt>
                <c:pt idx="9">
                  <c:v>0.25588095845946257</c:v>
                </c:pt>
                <c:pt idx="10">
                  <c:v>0.2150333710200957</c:v>
                </c:pt>
              </c:numCache>
            </c:numRef>
          </c:yVal>
          <c:smooth val="1"/>
          <c:extLst>
            <c:ext xmlns:c16="http://schemas.microsoft.com/office/drawing/2014/chart" uri="{C3380CC4-5D6E-409C-BE32-E72D297353CC}">
              <c16:uniqueId val="{00000004-0124-458D-AF67-9C3D357A212A}"/>
            </c:ext>
          </c:extLst>
        </c:ser>
        <c:ser>
          <c:idx val="5"/>
          <c:order val="5"/>
          <c:tx>
            <c:strRef>
              <c:f>'PWGGS group'!$I$50</c:f>
              <c:strCache>
                <c:ptCount val="1"/>
                <c:pt idx="0">
                  <c:v>13Fdeck5</c:v>
                </c:pt>
              </c:strCache>
            </c:strRef>
          </c:tx>
          <c:spPr>
            <a:ln w="22225" cap="rnd">
              <a:solidFill>
                <a:schemeClr val="accent6"/>
              </a:solid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group'!$I$51:$I$61</c:f>
              <c:numCache>
                <c:formatCode>0.000</c:formatCode>
                <c:ptCount val="11"/>
                <c:pt idx="0">
                  <c:v>0.97875874743761926</c:v>
                </c:pt>
                <c:pt idx="1">
                  <c:v>0.92019509436629676</c:v>
                </c:pt>
                <c:pt idx="2">
                  <c:v>0.85746094578355836</c:v>
                </c:pt>
                <c:pt idx="3">
                  <c:v>0.75673287622817553</c:v>
                </c:pt>
                <c:pt idx="4">
                  <c:v>0.63720223368912132</c:v>
                </c:pt>
                <c:pt idx="5">
                  <c:v>0.60094012864918356</c:v>
                </c:pt>
                <c:pt idx="6">
                  <c:v>0.55008128931929035</c:v>
                </c:pt>
                <c:pt idx="7">
                  <c:v>0.46599985862727084</c:v>
                </c:pt>
                <c:pt idx="8">
                  <c:v>0.39605570085530506</c:v>
                </c:pt>
                <c:pt idx="9">
                  <c:v>0.31190358379868527</c:v>
                </c:pt>
                <c:pt idx="10">
                  <c:v>0.26645225136071254</c:v>
                </c:pt>
              </c:numCache>
            </c:numRef>
          </c:yVal>
          <c:smooth val="1"/>
          <c:extLst>
            <c:ext xmlns:c16="http://schemas.microsoft.com/office/drawing/2014/chart" uri="{C3380CC4-5D6E-409C-BE32-E72D297353CC}">
              <c16:uniqueId val="{00000005-0124-458D-AF67-9C3D357A212A}"/>
            </c:ext>
          </c:extLst>
        </c:ser>
        <c:dLbls>
          <c:showLegendKey val="0"/>
          <c:showVal val="0"/>
          <c:showCatName val="0"/>
          <c:showSerName val="0"/>
          <c:showPercent val="0"/>
          <c:showBubbleSize val="0"/>
        </c:dLbls>
        <c:axId val="1020547680"/>
        <c:axId val="931494560"/>
      </c:scatterChart>
      <c:valAx>
        <c:axId val="1020547680"/>
        <c:scaling>
          <c:orientation val="minMax"/>
          <c:max val="1200"/>
        </c:scaling>
        <c:delete val="0"/>
        <c:axPos val="b"/>
        <c:majorGridlines>
          <c:spPr>
            <a:ln w="9525" cap="flat" cmpd="sng" algn="ctr">
              <a:solidFill>
                <a:schemeClr val="dk1">
                  <a:lumMod val="65000"/>
                  <a:lumOff val="35000"/>
                  <a:alpha val="75000"/>
                </a:schemeClr>
              </a:solidFill>
              <a:round/>
            </a:ln>
            <a:effectLst/>
          </c:spPr>
        </c:majorGridlines>
        <c:title>
          <c:tx>
            <c:strRef>
              <c:f>'PWGGS group'!$C$50</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orientation val="minMax"/>
          <c:max val="1"/>
        </c:scaling>
        <c:delete val="0"/>
        <c:axPos val="l"/>
        <c:majorGridlines>
          <c:spPr>
            <a:ln w="9525" cap="flat" cmpd="sng" algn="ctr">
              <a:solidFill>
                <a:schemeClr val="dk1">
                  <a:lumMod val="65000"/>
                  <a:lumOff val="35000"/>
                  <a:alpha val="75000"/>
                </a:schemeClr>
              </a:solidFill>
              <a:round/>
            </a:ln>
            <a:effectLst/>
          </c:spPr>
        </c:majorGridlines>
        <c:title>
          <c:tx>
            <c:strRef>
              <c:f>'PWGGS group'!$A$49</c:f>
              <c:strCache>
                <c:ptCount val="1"/>
                <c:pt idx="0">
                  <c:v>CumPass unfitted</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812778184686464E-2"/>
          <c:y val="6.5993256662052663E-2"/>
          <c:w val="0.84597599864781114"/>
          <c:h val="0.85549035686837138"/>
        </c:manualLayout>
      </c:layout>
      <c:scatterChart>
        <c:scatterStyle val="smoothMarker"/>
        <c:varyColors val="0"/>
        <c:ser>
          <c:idx val="12"/>
          <c:order val="0"/>
          <c:tx>
            <c:strRef>
              <c:f>'PWGGS group'!$D$75</c:f>
              <c:strCache>
                <c:ptCount val="1"/>
                <c:pt idx="0">
                  <c:v>X &gt;= 600um</c:v>
                </c:pt>
              </c:strCache>
            </c:strRef>
          </c:tx>
          <c:spPr>
            <a:ln w="22225" cap="flat">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ysDash"/>
              <a:miter lim="800000"/>
            </a:ln>
            <a:effectLst>
              <a:glow rad="139700">
                <a:schemeClr val="accent1">
                  <a:lumMod val="80000"/>
                  <a:lumOff val="20000"/>
                  <a:satMod val="175000"/>
                  <a:alpha val="14000"/>
                </a:schemeClr>
              </a:glow>
            </a:effectLst>
          </c:spPr>
          <c:marker>
            <c:symbol val="circle"/>
            <c:size val="3"/>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xVal>
            <c:numRef>
              <c:f>'PWGGS group'!$C$76:$C$86</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group'!$D$76:$D$86</c:f>
              <c:numCache>
                <c:formatCode>0%</c:formatCode>
                <c:ptCount val="11"/>
                <c:pt idx="0">
                  <c:v>0.97193744044635633</c:v>
                </c:pt>
                <c:pt idx="1">
                  <c:v>0.89416946443910306</c:v>
                </c:pt>
                <c:pt idx="2">
                  <c:v>0.85694586720617372</c:v>
                </c:pt>
                <c:pt idx="3">
                  <c:v>0.82092092282953222</c:v>
                </c:pt>
                <c:pt idx="4">
                  <c:v>0.78651811273419847</c:v>
                </c:pt>
                <c:pt idx="5">
                  <c:v>0.77080808234751108</c:v>
                </c:pt>
                <c:pt idx="6">
                  <c:v>0.75367275258278199</c:v>
                </c:pt>
                <c:pt idx="7">
                  <c:v>0.72208815063139886</c:v>
                </c:pt>
                <c:pt idx="8">
                  <c:v>0.6919334154961716</c:v>
                </c:pt>
                <c:pt idx="9">
                  <c:v>0.66293615981668208</c:v>
                </c:pt>
                <c:pt idx="10">
                  <c:v>0.63628998172069207</c:v>
                </c:pt>
              </c:numCache>
            </c:numRef>
          </c:yVal>
          <c:smooth val="1"/>
          <c:extLst>
            <c:ext xmlns:c16="http://schemas.microsoft.com/office/drawing/2014/chart" uri="{C3380CC4-5D6E-409C-BE32-E72D297353CC}">
              <c16:uniqueId val="{00000000-4B8A-4584-AFE5-24CFA60DEADB}"/>
            </c:ext>
          </c:extLst>
        </c:ser>
        <c:ser>
          <c:idx val="0"/>
          <c:order val="1"/>
          <c:tx>
            <c:strRef>
              <c:f>'PWGGS group'!$E$75</c:f>
              <c:strCache>
                <c:ptCount val="1"/>
                <c:pt idx="0">
                  <c:v>600 &gt; X &gt;= 425um</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'PWGGS group'!$C$76:$C$86</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group'!$E$76:$E$86</c:f>
              <c:numCache>
                <c:formatCode>0%</c:formatCode>
                <c:ptCount val="11"/>
                <c:pt idx="0">
                  <c:v>1.0452606110382479</c:v>
                </c:pt>
                <c:pt idx="1">
                  <c:v>0.88759876989650865</c:v>
                </c:pt>
                <c:pt idx="2">
                  <c:v>0.81660573244845258</c:v>
                </c:pt>
                <c:pt idx="3">
                  <c:v>0.75066167765429204</c:v>
                </c:pt>
                <c:pt idx="4">
                  <c:v>0.69022813019601481</c:v>
                </c:pt>
                <c:pt idx="5">
                  <c:v>0.66345803137735926</c:v>
                </c:pt>
                <c:pt idx="6">
                  <c:v>0.63485098606486101</c:v>
                </c:pt>
                <c:pt idx="7">
                  <c:v>0.58374101423950564</c:v>
                </c:pt>
                <c:pt idx="8">
                  <c:v>0.5369073532126406</c:v>
                </c:pt>
                <c:pt idx="9">
                  <c:v>0.49368253306134835</c:v>
                </c:pt>
                <c:pt idx="10">
                  <c:v>0.45553054264118337</c:v>
                </c:pt>
              </c:numCache>
            </c:numRef>
          </c:yVal>
          <c:smooth val="1"/>
          <c:extLst>
            <c:ext xmlns:c16="http://schemas.microsoft.com/office/drawing/2014/chart" uri="{C3380CC4-5D6E-409C-BE32-E72D297353CC}">
              <c16:uniqueId val="{00000001-4B8A-4584-AFE5-24CFA60DEADB}"/>
            </c:ext>
          </c:extLst>
        </c:ser>
        <c:ser>
          <c:idx val="13"/>
          <c:order val="2"/>
          <c:tx>
            <c:strRef>
              <c:f>'PWGGS group'!$F$75</c:f>
              <c:strCache>
                <c:ptCount val="1"/>
                <c:pt idx="0">
                  <c:v>X &lt; 425um</c:v>
                </c:pt>
              </c:strCache>
            </c:strRef>
          </c:tx>
          <c:spPr>
            <a:ln w="22225" cap="flat">
              <a:solidFill>
                <a:schemeClr val="accent2">
                  <a:lumMod val="80000"/>
                  <a:lumOff val="20000"/>
                </a:schemeClr>
              </a:solidFill>
              <a:prstDash val="dash"/>
              <a:bevel/>
            </a:ln>
            <a:effectLst>
              <a:glow rad="139700">
                <a:schemeClr val="accent2">
                  <a:lumMod val="80000"/>
                  <a:lumOff val="20000"/>
                  <a:satMod val="175000"/>
                  <a:alpha val="14000"/>
                </a:schemeClr>
              </a:glow>
            </a:effectLst>
          </c:spPr>
          <c:marker>
            <c:symbol val="circle"/>
            <c:size val="3"/>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xVal>
            <c:numRef>
              <c:f>'PWGGS group'!$C$76:$C$86</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group'!$F$76:$F$86</c:f>
              <c:numCache>
                <c:formatCode>0%</c:formatCode>
                <c:ptCount val="11"/>
                <c:pt idx="0">
                  <c:v>1.4557329148602209</c:v>
                </c:pt>
                <c:pt idx="1">
                  <c:v>1.00815345935965</c:v>
                </c:pt>
                <c:pt idx="2">
                  <c:v>0.835940741930007</c:v>
                </c:pt>
                <c:pt idx="3">
                  <c:v>0.69184153018195549</c:v>
                </c:pt>
                <c:pt idx="4">
                  <c:v>0.5729275954388362</c:v>
                </c:pt>
                <c:pt idx="5">
                  <c:v>0.52420119009775457</c:v>
                </c:pt>
                <c:pt idx="6">
                  <c:v>0.47477365518195108</c:v>
                </c:pt>
                <c:pt idx="7">
                  <c:v>0.39316941347762546</c:v>
                </c:pt>
                <c:pt idx="8">
                  <c:v>0.32581164012450503</c:v>
                </c:pt>
                <c:pt idx="9">
                  <c:v>0.26981103532975609</c:v>
                </c:pt>
                <c:pt idx="10">
                  <c:v>0.22520148757312522</c:v>
                </c:pt>
              </c:numCache>
            </c:numRef>
          </c:yVal>
          <c:smooth val="1"/>
          <c:extLst>
            <c:ext xmlns:c16="http://schemas.microsoft.com/office/drawing/2014/chart" uri="{C3380CC4-5D6E-409C-BE32-E72D297353CC}">
              <c16:uniqueId val="{00000002-4B8A-4584-AFE5-24CFA60DEADB}"/>
            </c:ext>
          </c:extLst>
        </c:ser>
        <c:ser>
          <c:idx val="1"/>
          <c:order val="3"/>
          <c:tx>
            <c:strRef>
              <c:f>'PWGGS group'!$A$89</c:f>
              <c:strCache>
                <c:ptCount val="1"/>
                <c:pt idx="0">
                  <c:v>GGS Model Fitted: y = ( x / k ) ^ n</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'PWGGS group'!$C$94:$C$104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group'!$J$94:$J$104</c:f>
              <c:numCache>
                <c:formatCode>0.000</c:formatCode>
                <c:ptCount val="11"/>
                <c:pt idx="0">
                  <c:v>0.97174157009201723</c:v>
                </c:pt>
                <c:pt idx="1">
                  <c:v>0.89411503622547484</c:v>
                </c:pt>
                <c:pt idx="2">
                  <c:v>0.81729888177819776</c:v>
                </c:pt>
                <c:pt idx="3">
                  <c:v>0.69258950197450264</c:v>
                </c:pt>
                <c:pt idx="4">
                  <c:v>0.57386756484159229</c:v>
                </c:pt>
                <c:pt idx="5">
                  <c:v>0.52524017939064616</c:v>
                </c:pt>
                <c:pt idx="6">
                  <c:v>0.4759233327450148</c:v>
                </c:pt>
                <c:pt idx="7">
                  <c:v>0.39451876994728186</c:v>
                </c:pt>
                <c:pt idx="8">
                  <c:v>0.32733236353580941</c:v>
                </c:pt>
                <c:pt idx="9">
                  <c:v>0.27146760040160711</c:v>
                </c:pt>
                <c:pt idx="10">
                  <c:v>0.22695165620757818</c:v>
                </c:pt>
              </c:numCache>
            </c:numRef>
          </c:yVal>
          <c:smooth val="1"/>
          <c:extLst>
            <c:ext xmlns:c16="http://schemas.microsoft.com/office/drawing/2014/chart" uri="{C3380CC4-5D6E-409C-BE32-E72D297353CC}">
              <c16:uniqueId val="{00000003-4B8A-4584-AFE5-24CFA60DEADB}"/>
            </c:ext>
          </c:extLst>
        </c:ser>
        <c:dLbls>
          <c:showLegendKey val="0"/>
          <c:showVal val="0"/>
          <c:showCatName val="0"/>
          <c:showSerName val="0"/>
          <c:showPercent val="0"/>
          <c:showBubbleSize val="0"/>
        </c:dLbls>
        <c:axId val="1020547680"/>
        <c:axId val="931494560"/>
      </c:scatterChart>
      <c:valAx>
        <c:axId val="1020547680"/>
        <c:scaling>
          <c:logBase val="10"/>
          <c:orientation val="minMax"/>
          <c:max val="1200"/>
          <c:min val="30"/>
        </c:scaling>
        <c:delete val="0"/>
        <c:axPos val="b"/>
        <c:majorGridlines>
          <c:spPr>
            <a:ln w="9525" cap="flat" cmpd="sng" algn="ctr">
              <a:solidFill>
                <a:schemeClr val="dk1">
                  <a:lumMod val="65000"/>
                  <a:lumOff val="35000"/>
                  <a:alpha val="75000"/>
                </a:schemeClr>
              </a:solidFill>
              <a:round/>
            </a:ln>
            <a:effectLst/>
          </c:spPr>
        </c:majorGridlines>
        <c:minorGridlines>
          <c:spPr>
            <a:ln w="0" cap="flat" cmpd="sng" algn="ctr">
              <a:solidFill>
                <a:schemeClr val="dk1">
                  <a:lumMod val="65000"/>
                  <a:lumOff val="35000"/>
                </a:schemeClr>
              </a:solidFill>
              <a:round/>
            </a:ln>
            <a:effectLst/>
          </c:spPr>
        </c:minorGridlines>
        <c:title>
          <c:tx>
            <c:strRef>
              <c:f>'PWGGS group'!$C$50</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cross"/>
        <c:minorTickMark val="in"/>
        <c:tickLblPos val="high"/>
        <c:spPr>
          <a:noFill/>
          <a:ln w="22225" cap="flat" cmpd="dbl" algn="ctr">
            <a:solidFill>
              <a:schemeClr val="bg1"/>
            </a:solidFill>
            <a:prstDash val="lgDash"/>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logBase val="10"/>
          <c:orientation val="minMax"/>
          <c:max val="1"/>
        </c:scaling>
        <c:delete val="0"/>
        <c:axPos val="l"/>
        <c:majorGridlines>
          <c:spPr>
            <a:ln w="25400" cap="flat" cmpd="sng" algn="ctr">
              <a:solidFill>
                <a:schemeClr val="bg1"/>
              </a:solidFill>
              <a:round/>
            </a:ln>
            <a:effectLst/>
          </c:spPr>
        </c:majorGridlines>
        <c:minorGridlines>
          <c:spPr>
            <a:ln w="9525" cap="flat" cmpd="sng" algn="ctr">
              <a:solidFill>
                <a:schemeClr val="bg1"/>
              </a:solidFill>
              <a:round/>
            </a:ln>
            <a:effectLst/>
          </c:spPr>
        </c:minorGridlines>
        <c:title>
          <c:tx>
            <c:strRef>
              <c:f>'PWGGS group'!$A$89</c:f>
              <c:strCache>
                <c:ptCount val="1"/>
                <c:pt idx="0">
                  <c:v>GGS Model Fitted: y = ( x / k ) ^ n</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0"/>
        <c:majorTickMark val="out"/>
        <c:minorTickMark val="in"/>
        <c:tickLblPos val="nextTo"/>
        <c:spPr>
          <a:noFill/>
          <a:ln w="0"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At val="30"/>
        <c:crossBetween val="midCat"/>
      </c:valAx>
      <c:spPr>
        <a:noFill/>
        <a:ln w="3175">
          <a:solidFill>
            <a:schemeClr val="lt1">
              <a:lumMod val="50000"/>
            </a:schemeClr>
          </a:solidFill>
        </a:ln>
        <a:effectLst/>
      </c:spPr>
    </c:plotArea>
    <c:legend>
      <c:legendPos val="l"/>
      <c:layout>
        <c:manualLayout>
          <c:xMode val="edge"/>
          <c:yMode val="edge"/>
          <c:x val="0.11162319003887541"/>
          <c:y val="0.5953391428877739"/>
          <c:w val="0.81643923601329649"/>
          <c:h val="0.28699620270086046"/>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'PWGGS group'!$D$32</c:f>
              <c:strCache>
                <c:ptCount val="1"/>
                <c:pt idx="0">
                  <c:v>SC13F</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'PWGGS group'!$C$33:$C$44</c:f>
              <c:numCache>
                <c:formatCode>General</c:formatCode>
                <c:ptCount val="12"/>
                <c:pt idx="0" formatCode="0">
                  <c:v>1333.198675575416</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group'!$D$33:$D$44</c:f>
              <c:numCache>
                <c:formatCode>0.0%</c:formatCode>
                <c:ptCount val="12"/>
                <c:pt idx="0">
                  <c:v>3.2527593439466353E-2</c:v>
                </c:pt>
                <c:pt idx="1">
                  <c:v>7.4167039163772638E-2</c:v>
                </c:pt>
                <c:pt idx="2">
                  <c:v>7.4889110476910908E-2</c:v>
                </c:pt>
                <c:pt idx="3">
                  <c:v>0.1227521232335041</c:v>
                </c:pt>
                <c:pt idx="4">
                  <c:v>0.11924491971254683</c:v>
                </c:pt>
                <c:pt idx="5">
                  <c:v>4.5284186638242269E-2</c:v>
                </c:pt>
                <c:pt idx="6">
                  <c:v>4.8034934497816588E-2</c:v>
                </c:pt>
                <c:pt idx="7">
                  <c:v>7.8808926176804309E-2</c:v>
                </c:pt>
                <c:pt idx="8">
                  <c:v>5.6699790255475696E-2</c:v>
                </c:pt>
                <c:pt idx="9">
                  <c:v>6.7427706907815549E-2</c:v>
                </c:pt>
                <c:pt idx="10">
                  <c:v>3.9232541347178761E-2</c:v>
                </c:pt>
                <c:pt idx="11">
                  <c:v>0.24093112815046591</c:v>
                </c:pt>
              </c:numCache>
            </c:numRef>
          </c:yVal>
          <c:smooth val="1"/>
          <c:extLst>
            <c:ext xmlns:c16="http://schemas.microsoft.com/office/drawing/2014/chart" uri="{C3380CC4-5D6E-409C-BE32-E72D297353CC}">
              <c16:uniqueId val="{00000000-231A-4E42-B4E2-528BECD47942}"/>
            </c:ext>
          </c:extLst>
        </c:ser>
        <c:ser>
          <c:idx val="1"/>
          <c:order val="1"/>
          <c:tx>
            <c:strRef>
              <c:f>'PWGGS group'!$E$32</c:f>
              <c:strCache>
                <c:ptCount val="1"/>
                <c:pt idx="0">
                  <c:v>13Fdeck1</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'PWGGS group'!$C$33:$C$44</c:f>
              <c:numCache>
                <c:formatCode>General</c:formatCode>
                <c:ptCount val="12"/>
                <c:pt idx="0" formatCode="0">
                  <c:v>1333.198675575416</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group'!$E$33:$E$44</c:f>
              <c:numCache>
                <c:formatCode>0.0%</c:formatCode>
                <c:ptCount val="12"/>
                <c:pt idx="0">
                  <c:v>3.6288704912651806E-2</c:v>
                </c:pt>
                <c:pt idx="1">
                  <c:v>8.0601043072322118E-2</c:v>
                </c:pt>
                <c:pt idx="2">
                  <c:v>6.4663189758926293E-2</c:v>
                </c:pt>
                <c:pt idx="3">
                  <c:v>0.11991684598271272</c:v>
                </c:pt>
                <c:pt idx="4">
                  <c:v>0.13373937780371276</c:v>
                </c:pt>
                <c:pt idx="5">
                  <c:v>4.7740617819760023E-2</c:v>
                </c:pt>
                <c:pt idx="6">
                  <c:v>4.9454757649804885E-2</c:v>
                </c:pt>
                <c:pt idx="7">
                  <c:v>8.7311718151646678E-2</c:v>
                </c:pt>
                <c:pt idx="8">
                  <c:v>6.6085561107261395E-2</c:v>
                </c:pt>
                <c:pt idx="9">
                  <c:v>5.8317225281738938E-2</c:v>
                </c:pt>
                <c:pt idx="10">
                  <c:v>4.084758743936686E-2</c:v>
                </c:pt>
                <c:pt idx="11">
                  <c:v>0.21503337102009557</c:v>
                </c:pt>
              </c:numCache>
            </c:numRef>
          </c:yVal>
          <c:smooth val="1"/>
          <c:extLst>
            <c:ext xmlns:c16="http://schemas.microsoft.com/office/drawing/2014/chart" uri="{C3380CC4-5D6E-409C-BE32-E72D297353CC}">
              <c16:uniqueId val="{00000001-231A-4E42-B4E2-528BECD47942}"/>
            </c:ext>
          </c:extLst>
        </c:ser>
        <c:ser>
          <c:idx val="2"/>
          <c:order val="2"/>
          <c:tx>
            <c:strRef>
              <c:f>'PWGGS group'!$F$32</c:f>
              <c:strCache>
                <c:ptCount val="1"/>
                <c:pt idx="0">
                  <c:v>13Fdeck2</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'PWGGS group'!$C$33:$C$44</c:f>
              <c:numCache>
                <c:formatCode>General</c:formatCode>
                <c:ptCount val="12"/>
                <c:pt idx="0" formatCode="0">
                  <c:v>1333.198675575416</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group'!$F$33:$F$44</c:f>
              <c:numCache>
                <c:formatCode>0.0%</c:formatCode>
                <c:ptCount val="12"/>
                <c:pt idx="0">
                  <c:v>3.388349188208007E-2</c:v>
                </c:pt>
                <c:pt idx="1">
                  <c:v>7.7111835691956038E-2</c:v>
                </c:pt>
                <c:pt idx="2">
                  <c:v>7.7179064842515716E-2</c:v>
                </c:pt>
                <c:pt idx="3">
                  <c:v>0.12410501193317422</c:v>
                </c:pt>
                <c:pt idx="4">
                  <c:v>0.11623920131769135</c:v>
                </c:pt>
                <c:pt idx="5">
                  <c:v>4.6522572187300409E-2</c:v>
                </c:pt>
                <c:pt idx="6">
                  <c:v>4.7161249117617397E-2</c:v>
                </c:pt>
                <c:pt idx="7">
                  <c:v>8.2691855188409699E-2</c:v>
                </c:pt>
                <c:pt idx="8">
                  <c:v>6.3329859827221086E-2</c:v>
                </c:pt>
                <c:pt idx="9">
                  <c:v>7.0187233184308709E-2</c:v>
                </c:pt>
                <c:pt idx="10">
                  <c:v>4.0673636088608016E-2</c:v>
                </c:pt>
                <c:pt idx="11">
                  <c:v>0.22091498873911727</c:v>
                </c:pt>
              </c:numCache>
            </c:numRef>
          </c:yVal>
          <c:smooth val="1"/>
          <c:extLst>
            <c:ext xmlns:c16="http://schemas.microsoft.com/office/drawing/2014/chart" uri="{C3380CC4-5D6E-409C-BE32-E72D297353CC}">
              <c16:uniqueId val="{00000002-231A-4E42-B4E2-528BECD47942}"/>
            </c:ext>
          </c:extLst>
        </c:ser>
        <c:ser>
          <c:idx val="3"/>
          <c:order val="3"/>
          <c:tx>
            <c:strRef>
              <c:f>'PWGGS group'!$G$32</c:f>
              <c:strCache>
                <c:ptCount val="1"/>
                <c:pt idx="0">
                  <c:v>13Fdeck3</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'PWGGS group'!$C$33:$C$44</c:f>
              <c:numCache>
                <c:formatCode>General</c:formatCode>
                <c:ptCount val="12"/>
                <c:pt idx="0" formatCode="0">
                  <c:v>1333.198675575416</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group'!$G$33:$G$44</c:f>
              <c:numCache>
                <c:formatCode>0.0%</c:formatCode>
                <c:ptCount val="12"/>
                <c:pt idx="0">
                  <c:v>4.8128625539692209E-2</c:v>
                </c:pt>
                <c:pt idx="1">
                  <c:v>9.1489418059491956E-2</c:v>
                </c:pt>
                <c:pt idx="2">
                  <c:v>8.1185601144279917E-2</c:v>
                </c:pt>
                <c:pt idx="3">
                  <c:v>0.1190368977299817</c:v>
                </c:pt>
                <c:pt idx="4">
                  <c:v>0.13045320901650198</c:v>
                </c:pt>
                <c:pt idx="5">
                  <c:v>3.5017084734987949E-2</c:v>
                </c:pt>
                <c:pt idx="6">
                  <c:v>5.4591688077768645E-2</c:v>
                </c:pt>
                <c:pt idx="7">
                  <c:v>7.5172833946971093E-2</c:v>
                </c:pt>
                <c:pt idx="8">
                  <c:v>5.382353720234153E-2</c:v>
                </c:pt>
                <c:pt idx="9">
                  <c:v>5.5041983418536271E-2</c:v>
                </c:pt>
                <c:pt idx="10">
                  <c:v>4.1188779699626518E-2</c:v>
                </c:pt>
                <c:pt idx="11">
                  <c:v>0.21487034142982014</c:v>
                </c:pt>
              </c:numCache>
            </c:numRef>
          </c:yVal>
          <c:smooth val="1"/>
          <c:extLst>
            <c:ext xmlns:c16="http://schemas.microsoft.com/office/drawing/2014/chart" uri="{C3380CC4-5D6E-409C-BE32-E72D297353CC}">
              <c16:uniqueId val="{00000003-231A-4E42-B4E2-528BECD47942}"/>
            </c:ext>
          </c:extLst>
        </c:ser>
        <c:ser>
          <c:idx val="4"/>
          <c:order val="4"/>
          <c:tx>
            <c:strRef>
              <c:f>'PWGGS group'!$H$32</c:f>
              <c:strCache>
                <c:ptCount val="1"/>
                <c:pt idx="0">
                  <c:v>13Fdeck4</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'PWGGS group'!$C$33:$C$44</c:f>
              <c:numCache>
                <c:formatCode>General</c:formatCode>
                <c:ptCount val="12"/>
                <c:pt idx="0" formatCode="0">
                  <c:v>1333.198675575416</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group'!$H$33:$H$44</c:f>
              <c:numCache>
                <c:formatCode>0.0%</c:formatCode>
                <c:ptCount val="12"/>
                <c:pt idx="0">
                  <c:v>3.6288704912651806E-2</c:v>
                </c:pt>
                <c:pt idx="1">
                  <c:v>8.0601043072322118E-2</c:v>
                </c:pt>
                <c:pt idx="2">
                  <c:v>6.4663189758926293E-2</c:v>
                </c:pt>
                <c:pt idx="3">
                  <c:v>0.11991684598271272</c:v>
                </c:pt>
                <c:pt idx="4">
                  <c:v>0.13373937780371276</c:v>
                </c:pt>
                <c:pt idx="5">
                  <c:v>4.7740617819760023E-2</c:v>
                </c:pt>
                <c:pt idx="6">
                  <c:v>4.9454757649804885E-2</c:v>
                </c:pt>
                <c:pt idx="7">
                  <c:v>8.7311718151646678E-2</c:v>
                </c:pt>
                <c:pt idx="8">
                  <c:v>6.6085561107261395E-2</c:v>
                </c:pt>
                <c:pt idx="9">
                  <c:v>5.8317225281738938E-2</c:v>
                </c:pt>
                <c:pt idx="10">
                  <c:v>4.084758743936686E-2</c:v>
                </c:pt>
                <c:pt idx="11">
                  <c:v>0.21503337102009557</c:v>
                </c:pt>
              </c:numCache>
            </c:numRef>
          </c:yVal>
          <c:smooth val="1"/>
          <c:extLst>
            <c:ext xmlns:c16="http://schemas.microsoft.com/office/drawing/2014/chart" uri="{C3380CC4-5D6E-409C-BE32-E72D297353CC}">
              <c16:uniqueId val="{00000004-231A-4E42-B4E2-528BECD47942}"/>
            </c:ext>
          </c:extLst>
        </c:ser>
        <c:ser>
          <c:idx val="5"/>
          <c:order val="5"/>
          <c:tx>
            <c:strRef>
              <c:f>'PWGGS group'!$I$32</c:f>
              <c:strCache>
                <c:ptCount val="1"/>
                <c:pt idx="0">
                  <c:v>13Fdeck5</c:v>
                </c:pt>
              </c:strCache>
            </c:strRef>
          </c:tx>
          <c:spPr>
            <a:ln w="22225" cap="rnd">
              <a:solidFill>
                <a:schemeClr val="accent6"/>
              </a:solid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xVal>
            <c:numRef>
              <c:f>'PWGGS group'!$C$33:$C$44</c:f>
              <c:numCache>
                <c:formatCode>General</c:formatCode>
                <c:ptCount val="12"/>
                <c:pt idx="0" formatCode="0">
                  <c:v>1333.198675575416</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group'!$I$33:$I$44</c:f>
              <c:numCache>
                <c:formatCode>0.0%</c:formatCode>
                <c:ptCount val="12"/>
                <c:pt idx="0">
                  <c:v>2.1241252562380717E-2</c:v>
                </c:pt>
                <c:pt idx="1">
                  <c:v>5.8563653071322545E-2</c:v>
                </c:pt>
                <c:pt idx="2">
                  <c:v>6.2734148582738389E-2</c:v>
                </c:pt>
                <c:pt idx="3">
                  <c:v>0.10072806955538277</c:v>
                </c:pt>
                <c:pt idx="4">
                  <c:v>0.11953064253905422</c:v>
                </c:pt>
                <c:pt idx="5">
                  <c:v>3.6262105039937799E-2</c:v>
                </c:pt>
                <c:pt idx="6">
                  <c:v>5.0858839329893268E-2</c:v>
                </c:pt>
                <c:pt idx="7">
                  <c:v>8.408143069201951E-2</c:v>
                </c:pt>
                <c:pt idx="8">
                  <c:v>6.994415777196579E-2</c:v>
                </c:pt>
                <c:pt idx="9">
                  <c:v>8.4152117056619777E-2</c:v>
                </c:pt>
                <c:pt idx="10">
                  <c:v>4.5451332437972711E-2</c:v>
                </c:pt>
                <c:pt idx="11">
                  <c:v>0.26645225136071254</c:v>
                </c:pt>
              </c:numCache>
            </c:numRef>
          </c:yVal>
          <c:smooth val="1"/>
          <c:extLst>
            <c:ext xmlns:c16="http://schemas.microsoft.com/office/drawing/2014/chart" uri="{C3380CC4-5D6E-409C-BE32-E72D297353CC}">
              <c16:uniqueId val="{00000005-231A-4E42-B4E2-528BECD47942}"/>
            </c:ext>
          </c:extLst>
        </c:ser>
        <c:dLbls>
          <c:showLegendKey val="0"/>
          <c:showVal val="0"/>
          <c:showCatName val="0"/>
          <c:showSerName val="0"/>
          <c:showPercent val="0"/>
          <c:showBubbleSize val="0"/>
        </c:dLbls>
        <c:axId val="1020547680"/>
        <c:axId val="931494560"/>
      </c:scatterChart>
      <c:valAx>
        <c:axId val="1020547680"/>
        <c:scaling>
          <c:orientation val="minMax"/>
          <c:max val="1200"/>
        </c:scaling>
        <c:delete val="0"/>
        <c:axPos val="b"/>
        <c:majorGridlines>
          <c:spPr>
            <a:ln w="9525" cap="flat" cmpd="sng" algn="ctr">
              <a:solidFill>
                <a:schemeClr val="dk1">
                  <a:lumMod val="65000"/>
                  <a:lumOff val="35000"/>
                  <a:alpha val="75000"/>
                </a:schemeClr>
              </a:solidFill>
              <a:round/>
            </a:ln>
            <a:effectLst/>
          </c:spPr>
        </c:majorGridlines>
        <c:title>
          <c:tx>
            <c:strRef>
              <c:f>'PWGGS group'!$C$32</c:f>
              <c:strCache>
                <c:ptCount val="1"/>
                <c:pt idx="0">
                  <c:v>Mid_size</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strRef>
              <c:f>'PWGGS group'!$A$30</c:f>
              <c:strCache>
                <c:ptCount val="1"/>
                <c:pt idx="0">
                  <c:v>Retained_perc.</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QQ Plot</a:t>
            </a:r>
          </a:p>
        </c:rich>
      </c:tx>
      <c:layout>
        <c:manualLayout>
          <c:xMode val="edge"/>
          <c:yMode val="edge"/>
          <c:x val="0.41281238280167409"/>
          <c:y val="1.1176857041397934E-2"/>
        </c:manualLayout>
      </c:layout>
      <c:overlay val="1"/>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smoothMarker"/>
        <c:varyColors val="0"/>
        <c:ser>
          <c:idx val="0"/>
          <c:order val="0"/>
          <c:tx>
            <c:strRef>
              <c:f>'PWGGS group'!$J$50</c:f>
              <c:strCache>
                <c:ptCount val="1"/>
                <c:pt idx="0">
                  <c:v>Mean</c:v>
                </c:pt>
              </c:strCache>
            </c:strRef>
          </c:tx>
          <c:spPr>
            <a:ln w="28575" cap="rnd">
              <a:solidFill>
                <a:schemeClr val="lt1">
                  <a:alpha val="50000"/>
                </a:schemeClr>
              </a:solid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1"/>
            <c:dispEq val="1"/>
            <c:trendlineLbl>
              <c:layout>
                <c:manualLayout>
                  <c:x val="-5.9047328435468699E-2"/>
                  <c:y val="2.5931188403526782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rendlineLbl>
          </c:trendline>
          <c:xVal>
            <c:numRef>
              <c:f>'PWGGS group'!$J$94:$J$104</c:f>
              <c:numCache>
                <c:formatCode>0.000</c:formatCode>
                <c:ptCount val="11"/>
                <c:pt idx="0">
                  <c:v>0.97174157009201723</c:v>
                </c:pt>
                <c:pt idx="1">
                  <c:v>0.89411503622547484</c:v>
                </c:pt>
                <c:pt idx="2">
                  <c:v>0.81729888177819776</c:v>
                </c:pt>
                <c:pt idx="3">
                  <c:v>0.69258950197450264</c:v>
                </c:pt>
                <c:pt idx="4">
                  <c:v>0.57386756484159229</c:v>
                </c:pt>
                <c:pt idx="5">
                  <c:v>0.52524017939064616</c:v>
                </c:pt>
                <c:pt idx="6">
                  <c:v>0.4759233327450148</c:v>
                </c:pt>
                <c:pt idx="7">
                  <c:v>0.39451876994728186</c:v>
                </c:pt>
                <c:pt idx="8">
                  <c:v>0.32733236353580941</c:v>
                </c:pt>
                <c:pt idx="9">
                  <c:v>0.27146760040160711</c:v>
                </c:pt>
                <c:pt idx="10">
                  <c:v>0.22695165620757818</c:v>
                </c:pt>
              </c:numCache>
            </c:numRef>
          </c:xVal>
          <c:yVal>
            <c:numRef>
              <c:f>'PWGGS group'!$J$51:$J$61</c:f>
              <c:numCache>
                <c:formatCode>0.00</c:formatCode>
                <c:ptCount val="11"/>
                <c:pt idx="0" formatCode="0">
                  <c:v>0.96527360445851285</c:v>
                </c:pt>
                <c:pt idx="1">
                  <c:v>0.88818459910331493</c:v>
                </c:pt>
                <c:pt idx="2" formatCode="0">
                  <c:v>0.81729888167593223</c:v>
                </c:pt>
                <c:pt idx="3">
                  <c:v>0.69955624927302074</c:v>
                </c:pt>
                <c:pt idx="4" formatCode="0">
                  <c:v>0.57406512790748399</c:v>
                </c:pt>
                <c:pt idx="5">
                  <c:v>0.53097059720081941</c:v>
                </c:pt>
                <c:pt idx="6" formatCode="0">
                  <c:v>0.48104455948036845</c:v>
                </c:pt>
                <c:pt idx="7">
                  <c:v>0.39848147909578541</c:v>
                </c:pt>
                <c:pt idx="8" formatCode="0">
                  <c:v>0.33582006788386426</c:v>
                </c:pt>
                <c:pt idx="9">
                  <c:v>0.27024615269540453</c:v>
                </c:pt>
                <c:pt idx="10" formatCode="0">
                  <c:v>0.22887257528671798</c:v>
                </c:pt>
              </c:numCache>
            </c:numRef>
          </c:yVal>
          <c:smooth val="1"/>
          <c:extLst>
            <c:ext xmlns:c16="http://schemas.microsoft.com/office/drawing/2014/chart" uri="{C3380CC4-5D6E-409C-BE32-E72D297353CC}">
              <c16:uniqueId val="{00000001-8B32-45F6-A6C1-09B08E18DE60}"/>
            </c:ext>
          </c:extLst>
        </c:ser>
        <c:dLbls>
          <c:showLegendKey val="0"/>
          <c:showVal val="0"/>
          <c:showCatName val="0"/>
          <c:showSerName val="0"/>
          <c:showPercent val="0"/>
          <c:showBubbleSize val="0"/>
        </c:dLbls>
        <c:axId val="1020547680"/>
        <c:axId val="931494560"/>
      </c:scatterChart>
      <c:valAx>
        <c:axId val="1020547680"/>
        <c:scaling>
          <c:orientation val="minMax"/>
          <c:max val="1"/>
        </c:scaling>
        <c:delete val="0"/>
        <c:axPos val="b"/>
        <c:majorGridlines>
          <c:spPr>
            <a:ln w="9525" cap="flat" cmpd="sng" algn="ctr">
              <a:solidFill>
                <a:schemeClr val="lt1">
                  <a:alpha val="25000"/>
                </a:schemeClr>
              </a:solidFill>
              <a:round/>
            </a:ln>
            <a:effectLst/>
          </c:spPr>
        </c:majorGridlines>
        <c:title>
          <c:tx>
            <c:strRef>
              <c:f>'PWGGS group'!$A$49</c:f>
              <c:strCache>
                <c:ptCount val="1"/>
                <c:pt idx="0">
                  <c:v>CumPass unfitted</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lt1">
                  <a:alpha val="25000"/>
                </a:schemeClr>
              </a:solidFill>
              <a:round/>
            </a:ln>
            <a:effectLst/>
          </c:spPr>
        </c:majorGridlines>
        <c:title>
          <c:tx>
            <c:strRef>
              <c:f>'PWGGS group'!$A$89</c:f>
              <c:strCache>
                <c:ptCount val="1"/>
                <c:pt idx="0">
                  <c:v>GGS Model Fitted: y = ( x / k ) ^ n</c:v>
                </c:pt>
              </c:strCache>
            </c:strRef>
          </c:tx>
          <c:layout>
            <c:manualLayout>
              <c:xMode val="edge"/>
              <c:yMode val="edge"/>
              <c:x val="2.8000822827329067E-3"/>
              <c:y val="0.1446012480236984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0547680"/>
        <c:crosses val="autoZero"/>
        <c:crossBetween val="midCat"/>
      </c:valAx>
      <c:spPr>
        <a:noFill/>
        <a:ln>
          <a:noFill/>
        </a:ln>
        <a:effectLst/>
      </c:spPr>
    </c:plotArea>
    <c:legend>
      <c:legendPos val="t"/>
      <c:layout>
        <c:manualLayout>
          <c:xMode val="edge"/>
          <c:yMode val="edge"/>
          <c:x val="0.77800881518817544"/>
          <c:y val="2.7942142603494837E-2"/>
          <c:w val="0.22199113586745869"/>
          <c:h val="9.43053913374077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'PWGGS group'!$J$145</c:f>
              <c:strCache>
                <c:ptCount val="1"/>
                <c:pt idx="0">
                  <c:v>mean</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'PWGGS group'!$J$131:$J$142</c:f>
              <c:numCache>
                <c:formatCode>0</c:formatCode>
                <c:ptCount val="12"/>
                <c:pt idx="0">
                  <c:v>1333.1986755754158</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group'!$J$146:$J$157</c:f>
              <c:numCache>
                <c:formatCode>0.0%</c:formatCode>
                <c:ptCount val="12"/>
                <c:pt idx="0">
                  <c:v>2.8258429907982774E-2</c:v>
                </c:pt>
                <c:pt idx="1">
                  <c:v>7.7626533866542391E-2</c:v>
                </c:pt>
                <c:pt idx="2">
                  <c:v>7.6816154447277074E-2</c:v>
                </c:pt>
                <c:pt idx="3">
                  <c:v>0.12470937980369512</c:v>
                </c:pt>
                <c:pt idx="4">
                  <c:v>0.11872193713291035</c:v>
                </c:pt>
                <c:pt idx="5">
                  <c:v>4.8627385450946137E-2</c:v>
                </c:pt>
                <c:pt idx="6">
                  <c:v>4.9316846645631351E-2</c:v>
                </c:pt>
                <c:pt idx="7">
                  <c:v>8.1404562797732949E-2</c:v>
                </c:pt>
                <c:pt idx="8">
                  <c:v>6.7186406411472444E-2</c:v>
                </c:pt>
                <c:pt idx="9">
                  <c:v>5.58647631342023E-2</c:v>
                </c:pt>
                <c:pt idx="10">
                  <c:v>4.4515944194028934E-2</c:v>
                </c:pt>
                <c:pt idx="11">
                  <c:v>0.22695165620757818</c:v>
                </c:pt>
              </c:numCache>
            </c:numRef>
          </c:yVal>
          <c:smooth val="0"/>
          <c:extLst>
            <c:ext xmlns:c16="http://schemas.microsoft.com/office/drawing/2014/chart" uri="{C3380CC4-5D6E-409C-BE32-E72D297353CC}">
              <c16:uniqueId val="{00000000-752A-4C8E-86AB-FC99718E741C}"/>
            </c:ext>
          </c:extLst>
        </c:ser>
        <c:ser>
          <c:idx val="1"/>
          <c:order val="1"/>
          <c:tx>
            <c:v>unfitted</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'PWGGS group'!$C$33:$C$44</c:f>
              <c:numCache>
                <c:formatCode>General</c:formatCode>
                <c:ptCount val="12"/>
                <c:pt idx="0" formatCode="0">
                  <c:v>1333.198675575416</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group'!$J$33:$J$44</c:f>
              <c:numCache>
                <c:formatCode>0.0%</c:formatCode>
                <c:ptCount val="12"/>
                <c:pt idx="0">
                  <c:v>3.4726395541487161E-2</c:v>
                </c:pt>
                <c:pt idx="1">
                  <c:v>7.7089005355197901E-2</c:v>
                </c:pt>
                <c:pt idx="2">
                  <c:v>7.0885717427382922E-2</c:v>
                </c:pt>
                <c:pt idx="3">
                  <c:v>0.11774263240291138</c:v>
                </c:pt>
                <c:pt idx="4">
                  <c:v>0.12549112136553667</c:v>
                </c:pt>
                <c:pt idx="5">
                  <c:v>4.3094530706664746E-2</c:v>
                </c:pt>
                <c:pt idx="6">
                  <c:v>4.9926037720450948E-2</c:v>
                </c:pt>
                <c:pt idx="7">
                  <c:v>8.2563080384583001E-2</c:v>
                </c:pt>
                <c:pt idx="8">
                  <c:v>6.2661411211921147E-2</c:v>
                </c:pt>
                <c:pt idx="9">
                  <c:v>6.5573915188459703E-2</c:v>
                </c:pt>
                <c:pt idx="10">
                  <c:v>4.1373577408686614E-2</c:v>
                </c:pt>
                <c:pt idx="11">
                  <c:v>0.22887257528671787</c:v>
                </c:pt>
              </c:numCache>
            </c:numRef>
          </c:yVal>
          <c:smooth val="0"/>
          <c:extLst>
            <c:ext xmlns:c16="http://schemas.microsoft.com/office/drawing/2014/chart" uri="{C3380CC4-5D6E-409C-BE32-E72D297353CC}">
              <c16:uniqueId val="{00000001-752A-4C8E-86AB-FC99718E741C}"/>
            </c:ext>
          </c:extLst>
        </c:ser>
        <c:dLbls>
          <c:showLegendKey val="0"/>
          <c:showVal val="0"/>
          <c:showCatName val="0"/>
          <c:showSerName val="0"/>
          <c:showPercent val="0"/>
          <c:showBubbleSize val="0"/>
        </c:dLbls>
        <c:axId val="1020547680"/>
        <c:axId val="931494560"/>
      </c:scatterChart>
      <c:valAx>
        <c:axId val="1020547680"/>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strRef>
              <c:f>'PWGGS group'!$K$89</c:f>
              <c:strCache>
                <c:ptCount val="1"/>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strRef>
              <c:f>'PWGGS group'!$A$89</c:f>
              <c:strCache>
                <c:ptCount val="1"/>
                <c:pt idx="0">
                  <c:v>GGS Model Fitted: y = ( x / k ) ^ n</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strRef>
              <c:f>'PWGGS group'!$J$264</c:f>
              <c:strCache>
                <c:ptCount val="1"/>
                <c:pt idx="0">
                  <c:v>Mean13F</c:v>
                </c:pt>
              </c:strCache>
            </c:strRef>
          </c:tx>
          <c:spPr>
            <a:ln cap="flat">
              <a:bevel/>
            </a:ln>
          </c:spPr>
          <c:xVal>
            <c:numRef>
              <c:f>'PWGGS group'!$J$265:$J$364</c:f>
              <c:numCache>
                <c:formatCode>0</c:formatCode>
                <c:ptCount val="100"/>
                <c:pt idx="0">
                  <c:v>1486.3973511508318</c:v>
                </c:pt>
                <c:pt idx="1">
                  <c:v>1370.0502073314512</c:v>
                </c:pt>
                <c:pt idx="2">
                  <c:v>1261.7655382127978</c:v>
                </c:pt>
                <c:pt idx="3">
                  <c:v>1161.0584598398868</c:v>
                </c:pt>
                <c:pt idx="4">
                  <c:v>1067.4687211309076</c:v>
                </c:pt>
                <c:pt idx="5">
                  <c:v>980.55968719535679</c:v>
                </c:pt>
                <c:pt idx="6">
                  <c:v>899.91735472888604</c:v>
                </c:pt>
                <c:pt idx="7">
                  <c:v>825.149398791159</c:v>
                </c:pt>
                <c:pt idx="8">
                  <c:v>755.88425028097276</c:v>
                </c:pt>
                <c:pt idx="9">
                  <c:v>691.77020343089009</c:v>
                </c:pt>
                <c:pt idx="10">
                  <c:v>632.47455265154963</c:v>
                </c:pt>
                <c:pt idx="11">
                  <c:v>606.74300323515138</c:v>
                </c:pt>
                <c:pt idx="12">
                  <c:v>579.03542075572352</c:v>
                </c:pt>
                <c:pt idx="13">
                  <c:v>552.29801780328796</c:v>
                </c:pt>
                <c:pt idx="14">
                  <c:v>526.50739154888117</c:v>
                </c:pt>
                <c:pt idx="15">
                  <c:v>501.64044291831419</c:v>
                </c:pt>
                <c:pt idx="16">
                  <c:v>477.67437611286618</c:v>
                </c:pt>
                <c:pt idx="17">
                  <c:v>454.58669812513972</c:v>
                </c:pt>
                <c:pt idx="18">
                  <c:v>432.35521824997249</c:v>
                </c:pt>
                <c:pt idx="19">
                  <c:v>401.03810119361498</c:v>
                </c:pt>
                <c:pt idx="20">
                  <c:v>391.97080717319301</c:v>
                </c:pt>
                <c:pt idx="21">
                  <c:v>382.99832812855641</c:v>
                </c:pt>
                <c:pt idx="22">
                  <c:v>374.12085396340007</c:v>
                </c:pt>
                <c:pt idx="23">
                  <c:v>365.33857738844836</c:v>
                </c:pt>
                <c:pt idx="24">
                  <c:v>356.65169399974616</c:v>
                </c:pt>
                <c:pt idx="25">
                  <c:v>348.06040236018589</c:v>
                </c:pt>
                <c:pt idx="26">
                  <c:v>339.5649040844508</c:v>
                </c:pt>
                <c:pt idx="27">
                  <c:v>331.16540392756457</c:v>
                </c:pt>
                <c:pt idx="28">
                  <c:v>322.86210987725099</c:v>
                </c:pt>
                <c:pt idx="29">
                  <c:v>314.65523325032399</c:v>
                </c:pt>
                <c:pt idx="30">
                  <c:v>306.54498879334125</c:v>
                </c:pt>
                <c:pt idx="31">
                  <c:v>298.53159478777485</c:v>
                </c:pt>
                <c:pt idx="32">
                  <c:v>290.61527315996807</c:v>
                </c:pt>
                <c:pt idx="33">
                  <c:v>282.79624959617007</c:v>
                </c:pt>
                <c:pt idx="34">
                  <c:v>275.07475366296279</c:v>
                </c:pt>
                <c:pt idx="35">
                  <c:v>267.45101893341541</c:v>
                </c:pt>
                <c:pt idx="36">
                  <c:v>259.92528311933313</c:v>
                </c:pt>
                <c:pt idx="37">
                  <c:v>252.49778820999188</c:v>
                </c:pt>
                <c:pt idx="38">
                  <c:v>245.1687806177859</c:v>
                </c:pt>
                <c:pt idx="39">
                  <c:v>237.93851133124772</c:v>
                </c:pt>
                <c:pt idx="40">
                  <c:v>230.80723607594101</c:v>
                </c:pt>
                <c:pt idx="41">
                  <c:v>223.77521548376743</c:v>
                </c:pt>
                <c:pt idx="42">
                  <c:v>216.84271527127734</c:v>
                </c:pt>
                <c:pt idx="43">
                  <c:v>210.01000642762511</c:v>
                </c:pt>
                <c:pt idx="44">
                  <c:v>203.27736541286819</c:v>
                </c:pt>
                <c:pt idx="45">
                  <c:v>196.64507436737233</c:v>
                </c:pt>
                <c:pt idx="46">
                  <c:v>190.11342133315753</c:v>
                </c:pt>
                <c:pt idx="47">
                  <c:v>183.68270048809646</c:v>
                </c:pt>
                <c:pt idx="48">
                  <c:v>177.3532123939674</c:v>
                </c:pt>
                <c:pt idx="49">
                  <c:v>171.12526425946083</c:v>
                </c:pt>
                <c:pt idx="50">
                  <c:v>164.99917021935045</c:v>
                </c:pt>
                <c:pt idx="51">
                  <c:v>158.97525163116097</c:v>
                </c:pt>
                <c:pt idx="52">
                  <c:v>153.05383739080824</c:v>
                </c:pt>
                <c:pt idx="53">
                  <c:v>147.23526426883996</c:v>
                </c:pt>
                <c:pt idx="54">
                  <c:v>141.51987726908612</c:v>
                </c:pt>
                <c:pt idx="55">
                  <c:v>135.90803001172699</c:v>
                </c:pt>
                <c:pt idx="56">
                  <c:v>130.40008514301729</c:v>
                </c:pt>
                <c:pt idx="57">
                  <c:v>124.99641477416134</c:v>
                </c:pt>
                <c:pt idx="58">
                  <c:v>119.69740095213834</c:v>
                </c:pt>
                <c:pt idx="59">
                  <c:v>114.50343616560249</c:v>
                </c:pt>
                <c:pt idx="60">
                  <c:v>109.41492388939467</c:v>
                </c:pt>
                <c:pt idx="61">
                  <c:v>104.43227917163178</c:v>
                </c:pt>
                <c:pt idx="62">
                  <c:v>99.555929267874035</c:v>
                </c:pt>
                <c:pt idx="63">
                  <c:v>94.786314327468375</c:v>
                </c:pt>
                <c:pt idx="64">
                  <c:v>90.123888137873394</c:v>
                </c:pt>
                <c:pt idx="65">
                  <c:v>85.569118933591369</c:v>
                </c:pt>
                <c:pt idx="66">
                  <c:v>81.122490277301878</c:v>
                </c:pt>
                <c:pt idx="67">
                  <c:v>76.784502021928645</c:v>
                </c:pt>
                <c:pt idx="68">
                  <c:v>72.555671363722325</c:v>
                </c:pt>
                <c:pt idx="69">
                  <c:v>68.436533998048418</c:v>
                </c:pt>
                <c:pt idx="70">
                  <c:v>64.427645391490032</c:v>
                </c:pt>
                <c:pt idx="71">
                  <c:v>60.52958218618857</c:v>
                </c:pt>
                <c:pt idx="72">
                  <c:v>56.742943755140736</c:v>
                </c:pt>
                <c:pt idx="73">
                  <c:v>53.068353930574055</c:v>
                </c:pt>
                <c:pt idx="74">
                  <c:v>49.506462931693179</c:v>
                </c:pt>
                <c:pt idx="75">
                  <c:v>46.057949523232075</c:v>
                </c:pt>
                <c:pt idx="76">
                  <c:v>42.723523442641472</c:v>
                </c:pt>
                <c:pt idx="77">
                  <c:v>39.503928141749796</c:v>
                </c:pt>
                <c:pt idx="78">
                  <c:v>36.399943898856613</c:v>
                </c:pt>
                <c:pt idx="79">
                  <c:v>33.412391370130223</c:v>
                </c:pt>
                <c:pt idx="80">
                  <c:v>30.542135665813355</c:v>
                </c:pt>
                <c:pt idx="81">
                  <c:v>27.790091058412276</c:v>
                </c:pt>
                <c:pt idx="82">
                  <c:v>25.157226458613987</c:v>
                </c:pt>
                <c:pt idx="83">
                  <c:v>22.644571832838704</c:v>
                </c:pt>
                <c:pt idx="84">
                  <c:v>20.253225788056923</c:v>
                </c:pt>
                <c:pt idx="85">
                  <c:v>17.984364620725479</c:v>
                </c:pt>
                <c:pt idx="86">
                  <c:v>15.839253226543631</c:v>
                </c:pt>
                <c:pt idx="87">
                  <c:v>13.819258410514585</c:v>
                </c:pt>
                <c:pt idx="88">
                  <c:v>11.925865345624826</c:v>
                </c:pt>
                <c:pt idx="89">
                  <c:v>10.160698241774552</c:v>
                </c:pt>
                <c:pt idx="90">
                  <c:v>8.5255467706755859</c:v>
                </c:pt>
                <c:pt idx="91">
                  <c:v>7.0224005662270317</c:v>
                </c:pt>
                <c:pt idx="92">
                  <c:v>5.6534954072123336</c:v>
                </c:pt>
                <c:pt idx="93">
                  <c:v>4.4213769355567196</c:v>
                </c:pt>
                <c:pt idx="94">
                  <c:v>3.3289919178346907</c:v>
                </c:pt>
                <c:pt idx="95">
                  <c:v>2.379825318513483</c:v>
                </c:pt>
                <c:pt idx="96">
                  <c:v>1.5781194884134555</c:v>
                </c:pt>
                <c:pt idx="97">
                  <c:v>0.92925644117507311</c:v>
                </c:pt>
                <c:pt idx="98">
                  <c:v>0.44051705013028458</c:v>
                </c:pt>
                <c:pt idx="99">
                  <c:v>0.12296614602394279</c:v>
                </c:pt>
              </c:numCache>
            </c:numRef>
          </c:xVal>
          <c:yVal>
            <c:numRef>
              <c:f>'PWGGS group'!$C$265:$C$364</c:f>
              <c:numCache>
                <c:formatCode>0%</c:formatCode>
                <c:ptCount val="100"/>
                <c:pt idx="0">
                  <c:v>1</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0.57999999999999996</c:v>
                </c:pt>
                <c:pt idx="43">
                  <c:v>0.56999999999999995</c:v>
                </c:pt>
                <c:pt idx="44">
                  <c:v>0.56000000000000005</c:v>
                </c:pt>
                <c:pt idx="45">
                  <c:v>0.55000000000000004</c:v>
                </c:pt>
                <c:pt idx="46">
                  <c:v>0.54</c:v>
                </c:pt>
                <c:pt idx="47">
                  <c:v>0.53</c:v>
                </c:pt>
                <c:pt idx="48">
                  <c:v>0.52</c:v>
                </c:pt>
                <c:pt idx="49">
                  <c:v>0.51</c:v>
                </c:pt>
                <c:pt idx="50">
                  <c:v>0.5</c:v>
                </c:pt>
                <c:pt idx="51">
                  <c:v>0.49</c:v>
                </c:pt>
                <c:pt idx="52">
                  <c:v>0.48</c:v>
                </c:pt>
                <c:pt idx="53">
                  <c:v>0.47</c:v>
                </c:pt>
                <c:pt idx="54">
                  <c:v>0.46</c:v>
                </c:pt>
                <c:pt idx="55">
                  <c:v>0.45</c:v>
                </c:pt>
                <c:pt idx="56">
                  <c:v>0.44</c:v>
                </c:pt>
                <c:pt idx="57">
                  <c:v>0.42999999999999899</c:v>
                </c:pt>
                <c:pt idx="58">
                  <c:v>0.41999999999999899</c:v>
                </c:pt>
                <c:pt idx="59">
                  <c:v>0.40999999999999898</c:v>
                </c:pt>
                <c:pt idx="60">
                  <c:v>0.39999999999999902</c:v>
                </c:pt>
                <c:pt idx="61">
                  <c:v>0.38999999999999901</c:v>
                </c:pt>
                <c:pt idx="62">
                  <c:v>0.37999999999999901</c:v>
                </c:pt>
                <c:pt idx="63">
                  <c:v>0.369999999999999</c:v>
                </c:pt>
                <c:pt idx="64">
                  <c:v>0.35999999999999899</c:v>
                </c:pt>
                <c:pt idx="65">
                  <c:v>0.34999999999999898</c:v>
                </c:pt>
                <c:pt idx="66">
                  <c:v>0.33999999999999903</c:v>
                </c:pt>
                <c:pt idx="67">
                  <c:v>0.32999999999999902</c:v>
                </c:pt>
                <c:pt idx="68">
                  <c:v>0.31999999999999901</c:v>
                </c:pt>
                <c:pt idx="69">
                  <c:v>0.309999999999999</c:v>
                </c:pt>
                <c:pt idx="70">
                  <c:v>0.29999999999999899</c:v>
                </c:pt>
                <c:pt idx="71">
                  <c:v>0.28999999999999898</c:v>
                </c:pt>
                <c:pt idx="72">
                  <c:v>0.27999999999999903</c:v>
                </c:pt>
                <c:pt idx="73">
                  <c:v>0.26999999999999902</c:v>
                </c:pt>
                <c:pt idx="74">
                  <c:v>0.25999999999999901</c:v>
                </c:pt>
                <c:pt idx="75">
                  <c:v>0.249999999999999</c:v>
                </c:pt>
                <c:pt idx="76">
                  <c:v>0.23999999999999899</c:v>
                </c:pt>
                <c:pt idx="77">
                  <c:v>0.22999999999999901</c:v>
                </c:pt>
                <c:pt idx="78">
                  <c:v>0.219999999999999</c:v>
                </c:pt>
                <c:pt idx="79">
                  <c:v>0.20999999999999899</c:v>
                </c:pt>
                <c:pt idx="80">
                  <c:v>0.19999999999999901</c:v>
                </c:pt>
                <c:pt idx="81">
                  <c:v>0.189999999999999</c:v>
                </c:pt>
                <c:pt idx="82">
                  <c:v>0.17999999999999899</c:v>
                </c:pt>
                <c:pt idx="83">
                  <c:v>0.16999999999999901</c:v>
                </c:pt>
                <c:pt idx="84">
                  <c:v>0.159999999999999</c:v>
                </c:pt>
                <c:pt idx="85">
                  <c:v>0.149999999999999</c:v>
                </c:pt>
                <c:pt idx="86">
                  <c:v>0.13999999999999899</c:v>
                </c:pt>
                <c:pt idx="87">
                  <c:v>0.12999999999999901</c:v>
                </c:pt>
                <c:pt idx="88">
                  <c:v>0.119999999999999</c:v>
                </c:pt>
                <c:pt idx="89">
                  <c:v>0.109999999999999</c:v>
                </c:pt>
                <c:pt idx="90">
                  <c:v>9.9999999999999006E-2</c:v>
                </c:pt>
                <c:pt idx="91">
                  <c:v>8.9999999999998997E-2</c:v>
                </c:pt>
                <c:pt idx="92">
                  <c:v>7.9999999999999002E-2</c:v>
                </c:pt>
                <c:pt idx="93">
                  <c:v>6.9999999999998994E-2</c:v>
                </c:pt>
                <c:pt idx="94">
                  <c:v>5.9999999999999103E-2</c:v>
                </c:pt>
                <c:pt idx="95">
                  <c:v>4.9999999999998997E-2</c:v>
                </c:pt>
                <c:pt idx="96">
                  <c:v>3.9999999999999002E-2</c:v>
                </c:pt>
                <c:pt idx="97">
                  <c:v>2.9999999999999E-2</c:v>
                </c:pt>
                <c:pt idx="98">
                  <c:v>1.9999999999999001E-2</c:v>
                </c:pt>
                <c:pt idx="99">
                  <c:v>9.9999999999990097E-3</c:v>
                </c:pt>
              </c:numCache>
            </c:numRef>
          </c:yVal>
          <c:smooth val="0"/>
          <c:extLst>
            <c:ext xmlns:c16="http://schemas.microsoft.com/office/drawing/2014/chart" uri="{C3380CC4-5D6E-409C-BE32-E72D297353CC}">
              <c16:uniqueId val="{00000000-0910-47AC-8031-E480EE645AD0}"/>
            </c:ext>
          </c:extLst>
        </c:ser>
        <c:ser>
          <c:idx val="0"/>
          <c:order val="1"/>
          <c:tx>
            <c:strRef>
              <c:f>'PWGGS group'!$D$264</c:f>
              <c:strCache>
                <c:ptCount val="1"/>
                <c:pt idx="0">
                  <c:v>SC13F</c:v>
                </c:pt>
              </c:strCache>
            </c:strRef>
          </c:tx>
          <c:spPr>
            <a:ln w="19050" cap="flat">
              <a:solidFill>
                <a:schemeClr val="accent1"/>
              </a:solidFill>
              <a:bevel/>
            </a:ln>
            <a:effectLst/>
          </c:spPr>
          <c:marker>
            <c:symbol val="dot"/>
            <c:size val="2"/>
            <c:spPr>
              <a:solidFill>
                <a:schemeClr val="accent1"/>
              </a:solidFill>
              <a:ln w="9525">
                <a:solidFill>
                  <a:schemeClr val="accent1"/>
                </a:solidFill>
              </a:ln>
              <a:effectLst/>
            </c:spPr>
          </c:marker>
          <c:xVal>
            <c:numRef>
              <c:f>'PWGGS group'!$D$265:$D$364</c:f>
              <c:numCache>
                <c:formatCode>0</c:formatCode>
                <c:ptCount val="100"/>
                <c:pt idx="0">
                  <c:v>1468.9254149671774</c:v>
                </c:pt>
                <c:pt idx="1">
                  <c:v>1348.9219385204585</c:v>
                </c:pt>
                <c:pt idx="2">
                  <c:v>1237.6507770456226</c:v>
                </c:pt>
                <c:pt idx="3">
                  <c:v>1134.5560059752654</c:v>
                </c:pt>
                <c:pt idx="4">
                  <c:v>1039.1119300247631</c:v>
                </c:pt>
                <c:pt idx="5">
                  <c:v>950.82172581606869</c:v>
                </c:pt>
                <c:pt idx="6">
                  <c:v>869.21613232926381</c:v>
                </c:pt>
                <c:pt idx="7">
                  <c:v>793.85218796854042</c:v>
                </c:pt>
                <c:pt idx="8">
                  <c:v>724.31201304782473</c:v>
                </c:pt>
                <c:pt idx="9">
                  <c:v>660.20163651975167</c:v>
                </c:pt>
                <c:pt idx="10">
                  <c:v>601.14986579003516</c:v>
                </c:pt>
                <c:pt idx="11">
                  <c:v>591.30369639850915</c:v>
                </c:pt>
                <c:pt idx="12">
                  <c:v>565.5660088438658</c:v>
                </c:pt>
                <c:pt idx="13">
                  <c:v>540.67354218197022</c:v>
                </c:pt>
                <c:pt idx="14">
                  <c:v>516.60777768943706</c:v>
                </c:pt>
                <c:pt idx="15">
                  <c:v>493.35039532947872</c:v>
                </c:pt>
                <c:pt idx="16">
                  <c:v>470.88327389334034</c:v>
                </c:pt>
                <c:pt idx="17">
                  <c:v>449.18849114349177</c:v>
                </c:pt>
                <c:pt idx="18">
                  <c:v>428.24832395861915</c:v>
                </c:pt>
                <c:pt idx="19">
                  <c:v>402.50173294423388</c:v>
                </c:pt>
                <c:pt idx="20">
                  <c:v>393.03045666088161</c:v>
                </c:pt>
                <c:pt idx="21">
                  <c:v>383.66711077173346</c:v>
                </c:pt>
                <c:pt idx="22">
                  <c:v>374.41180820567115</c:v>
                </c:pt>
                <c:pt idx="23">
                  <c:v>365.26466345071032</c:v>
                </c:pt>
                <c:pt idx="24">
                  <c:v>356.2257925959363</c:v>
                </c:pt>
                <c:pt idx="25">
                  <c:v>347.29531337513163</c:v>
                </c:pt>
                <c:pt idx="26">
                  <c:v>338.47334521218545</c:v>
                </c:pt>
                <c:pt idx="27">
                  <c:v>329.76000926838498</c:v>
                </c:pt>
                <c:pt idx="28">
                  <c:v>321.15542849169071</c:v>
                </c:pt>
                <c:pt idx="29">
                  <c:v>312.65972766811001</c:v>
                </c:pt>
                <c:pt idx="30">
                  <c:v>304.27303347528647</c:v>
                </c:pt>
                <c:pt idx="31">
                  <c:v>295.9954745384357</c:v>
                </c:pt>
                <c:pt idx="32">
                  <c:v>287.8271814887641</c:v>
                </c:pt>
                <c:pt idx="33">
                  <c:v>279.76828702451883</c:v>
                </c:pt>
                <c:pt idx="34">
                  <c:v>271.81892597482914</c:v>
                </c:pt>
                <c:pt idx="35">
                  <c:v>263.97923536651007</c:v>
                </c:pt>
                <c:pt idx="36">
                  <c:v>256.24935449401295</c:v>
                </c:pt>
                <c:pt idx="37">
                  <c:v>248.6294249927227</c:v>
                </c:pt>
                <c:pt idx="38">
                  <c:v>241.11959091581735</c:v>
                </c:pt>
                <c:pt idx="39">
                  <c:v>233.71999881492226</c:v>
                </c:pt>
                <c:pt idx="40">
                  <c:v>226.43079782481146</c:v>
                </c:pt>
                <c:pt idx="41">
                  <c:v>219.25213975242983</c:v>
                </c:pt>
                <c:pt idx="42">
                  <c:v>212.18417917053253</c:v>
                </c:pt>
                <c:pt idx="43">
                  <c:v>205.22707351626431</c:v>
                </c:pt>
                <c:pt idx="44">
                  <c:v>198.38098319503013</c:v>
                </c:pt>
                <c:pt idx="45">
                  <c:v>191.64607169003955</c:v>
                </c:pt>
                <c:pt idx="46">
                  <c:v>185.02250567794363</c:v>
                </c:pt>
                <c:pt idx="47">
                  <c:v>178.51045515101987</c:v>
                </c:pt>
                <c:pt idx="48">
                  <c:v>172.11009354640677</c:v>
                </c:pt>
                <c:pt idx="49">
                  <c:v>165.82159788293663</c:v>
                </c:pt>
                <c:pt idx="50">
                  <c:v>159.64514890616954</c:v>
                </c:pt>
                <c:pt idx="51">
                  <c:v>153.58093124229237</c:v>
                </c:pt>
                <c:pt idx="52">
                  <c:v>147.62913356161619</c:v>
                </c:pt>
                <c:pt idx="53">
                  <c:v>141.78994875247906</c:v>
                </c:pt>
                <c:pt idx="54">
                  <c:v>136.06357410645259</c:v>
                </c:pt>
                <c:pt idx="55">
                  <c:v>130.45021151584371</c:v>
                </c:pt>
                <c:pt idx="56">
                  <c:v>124.95006768459885</c:v>
                </c:pt>
                <c:pt idx="57">
                  <c:v>119.5633543538398</c:v>
                </c:pt>
                <c:pt idx="58">
                  <c:v>114.29028854341158</c:v>
                </c:pt>
                <c:pt idx="59">
                  <c:v>109.13109281097378</c:v>
                </c:pt>
                <c:pt idx="60">
                  <c:v>104.08599553037639</c:v>
                </c:pt>
                <c:pt idx="61">
                  <c:v>99.155231191258522</c:v>
                </c:pt>
                <c:pt idx="62">
                  <c:v>94.339040722071886</c:v>
                </c:pt>
                <c:pt idx="63">
                  <c:v>89.637671839016946</c:v>
                </c:pt>
                <c:pt idx="64">
                  <c:v>85.051379423719112</c:v>
                </c:pt>
                <c:pt idx="65">
                  <c:v>80.58042593286612</c:v>
                </c:pt>
                <c:pt idx="66">
                  <c:v>76.225081843490955</c:v>
                </c:pt>
                <c:pt idx="67">
                  <c:v>71.985626138127529</c:v>
                </c:pt>
                <c:pt idx="68">
                  <c:v>67.86234683471109</c:v>
                </c:pt>
                <c:pt idx="69">
                  <c:v>63.855541566857518</c:v>
                </c:pt>
                <c:pt idx="70">
                  <c:v>59.965518221068209</c:v>
                </c:pt>
                <c:pt idx="71">
                  <c:v>56.192595638501743</c:v>
                </c:pt>
                <c:pt idx="72">
                  <c:v>52.537104390273349</c:v>
                </c:pt>
                <c:pt idx="73">
                  <c:v>48.999387636846755</c:v>
                </c:pt>
                <c:pt idx="74">
                  <c:v>45.579802084042718</c:v>
                </c:pt>
                <c:pt idx="75">
                  <c:v>42.278719050598376</c:v>
                </c:pt>
                <c:pt idx="76">
                  <c:v>39.096525665200595</c:v>
                </c:pt>
                <c:pt idx="77">
                  <c:v>36.033626214649516</c:v>
                </c:pt>
                <c:pt idx="78">
                  <c:v>33.090443669511629</c:v>
                </c:pt>
                <c:pt idx="79">
                  <c:v>30.267421419605679</c:v>
                </c:pt>
                <c:pt idx="80">
                  <c:v>27.565025259346115</c:v>
                </c:pt>
                <c:pt idx="81">
                  <c:v>24.983745672946707</c:v>
                </c:pt>
                <c:pt idx="82">
                  <c:v>22.524100482594172</c:v>
                </c:pt>
                <c:pt idx="83">
                  <c:v>20.186637940147801</c:v>
                </c:pt>
                <c:pt idx="84">
                  <c:v>17.971940366476996</c:v>
                </c:pt>
                <c:pt idx="85">
                  <c:v>15.880628474856888</c:v>
                </c:pt>
                <c:pt idx="86">
                  <c:v>13.913366559943659</c:v>
                </c:pt>
                <c:pt idx="87">
                  <c:v>12.070868798059985</c:v>
                </c:pt>
                <c:pt idx="88">
                  <c:v>10.353906997982362</c:v>
                </c:pt>
                <c:pt idx="89">
                  <c:v>8.7633202809388102</c:v>
                </c:pt>
                <c:pt idx="90">
                  <c:v>7.3000273829022184</c:v>
                </c:pt>
                <c:pt idx="91">
                  <c:v>5.9650426129186398</c:v>
                </c:pt>
                <c:pt idx="92">
                  <c:v>4.7594970642983396</c:v>
                </c:pt>
                <c:pt idx="93">
                  <c:v>3.6846676511390819</c:v>
                </c:pt>
                <c:pt idx="94">
                  <c:v>2.7420183328026022</c:v>
                </c:pt>
                <c:pt idx="95">
                  <c:v>1.9332614169491156</c:v>
                </c:pt>
                <c:pt idx="96">
                  <c:v>1.2604544552862236</c:v>
                </c:pt>
                <c:pt idx="97">
                  <c:v>0.72616689901604725</c:v>
                </c:pt>
                <c:pt idx="98">
                  <c:v>0.33380531858465806</c:v>
                </c:pt>
                <c:pt idx="99">
                  <c:v>8.8401441438911293E-2</c:v>
                </c:pt>
              </c:numCache>
            </c:numRef>
          </c:xVal>
          <c:yVal>
            <c:numRef>
              <c:f>'PWGGS group'!$C$265:$C$364</c:f>
              <c:numCache>
                <c:formatCode>0%</c:formatCode>
                <c:ptCount val="100"/>
                <c:pt idx="0">
                  <c:v>1</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0.57999999999999996</c:v>
                </c:pt>
                <c:pt idx="43">
                  <c:v>0.56999999999999995</c:v>
                </c:pt>
                <c:pt idx="44">
                  <c:v>0.56000000000000005</c:v>
                </c:pt>
                <c:pt idx="45">
                  <c:v>0.55000000000000004</c:v>
                </c:pt>
                <c:pt idx="46">
                  <c:v>0.54</c:v>
                </c:pt>
                <c:pt idx="47">
                  <c:v>0.53</c:v>
                </c:pt>
                <c:pt idx="48">
                  <c:v>0.52</c:v>
                </c:pt>
                <c:pt idx="49">
                  <c:v>0.51</c:v>
                </c:pt>
                <c:pt idx="50">
                  <c:v>0.5</c:v>
                </c:pt>
                <c:pt idx="51">
                  <c:v>0.49</c:v>
                </c:pt>
                <c:pt idx="52">
                  <c:v>0.48</c:v>
                </c:pt>
                <c:pt idx="53">
                  <c:v>0.47</c:v>
                </c:pt>
                <c:pt idx="54">
                  <c:v>0.46</c:v>
                </c:pt>
                <c:pt idx="55">
                  <c:v>0.45</c:v>
                </c:pt>
                <c:pt idx="56">
                  <c:v>0.44</c:v>
                </c:pt>
                <c:pt idx="57">
                  <c:v>0.42999999999999899</c:v>
                </c:pt>
                <c:pt idx="58">
                  <c:v>0.41999999999999899</c:v>
                </c:pt>
                <c:pt idx="59">
                  <c:v>0.40999999999999898</c:v>
                </c:pt>
                <c:pt idx="60">
                  <c:v>0.39999999999999902</c:v>
                </c:pt>
                <c:pt idx="61">
                  <c:v>0.38999999999999901</c:v>
                </c:pt>
                <c:pt idx="62">
                  <c:v>0.37999999999999901</c:v>
                </c:pt>
                <c:pt idx="63">
                  <c:v>0.369999999999999</c:v>
                </c:pt>
                <c:pt idx="64">
                  <c:v>0.35999999999999899</c:v>
                </c:pt>
                <c:pt idx="65">
                  <c:v>0.34999999999999898</c:v>
                </c:pt>
                <c:pt idx="66">
                  <c:v>0.33999999999999903</c:v>
                </c:pt>
                <c:pt idx="67">
                  <c:v>0.32999999999999902</c:v>
                </c:pt>
                <c:pt idx="68">
                  <c:v>0.31999999999999901</c:v>
                </c:pt>
                <c:pt idx="69">
                  <c:v>0.309999999999999</c:v>
                </c:pt>
                <c:pt idx="70">
                  <c:v>0.29999999999999899</c:v>
                </c:pt>
                <c:pt idx="71">
                  <c:v>0.28999999999999898</c:v>
                </c:pt>
                <c:pt idx="72">
                  <c:v>0.27999999999999903</c:v>
                </c:pt>
                <c:pt idx="73">
                  <c:v>0.26999999999999902</c:v>
                </c:pt>
                <c:pt idx="74">
                  <c:v>0.25999999999999901</c:v>
                </c:pt>
                <c:pt idx="75">
                  <c:v>0.249999999999999</c:v>
                </c:pt>
                <c:pt idx="76">
                  <c:v>0.23999999999999899</c:v>
                </c:pt>
                <c:pt idx="77">
                  <c:v>0.22999999999999901</c:v>
                </c:pt>
                <c:pt idx="78">
                  <c:v>0.219999999999999</c:v>
                </c:pt>
                <c:pt idx="79">
                  <c:v>0.20999999999999899</c:v>
                </c:pt>
                <c:pt idx="80">
                  <c:v>0.19999999999999901</c:v>
                </c:pt>
                <c:pt idx="81">
                  <c:v>0.189999999999999</c:v>
                </c:pt>
                <c:pt idx="82">
                  <c:v>0.17999999999999899</c:v>
                </c:pt>
                <c:pt idx="83">
                  <c:v>0.16999999999999901</c:v>
                </c:pt>
                <c:pt idx="84">
                  <c:v>0.159999999999999</c:v>
                </c:pt>
                <c:pt idx="85">
                  <c:v>0.149999999999999</c:v>
                </c:pt>
                <c:pt idx="86">
                  <c:v>0.13999999999999899</c:v>
                </c:pt>
                <c:pt idx="87">
                  <c:v>0.12999999999999901</c:v>
                </c:pt>
                <c:pt idx="88">
                  <c:v>0.119999999999999</c:v>
                </c:pt>
                <c:pt idx="89">
                  <c:v>0.109999999999999</c:v>
                </c:pt>
                <c:pt idx="90">
                  <c:v>9.9999999999999006E-2</c:v>
                </c:pt>
                <c:pt idx="91">
                  <c:v>8.9999999999998997E-2</c:v>
                </c:pt>
                <c:pt idx="92">
                  <c:v>7.9999999999999002E-2</c:v>
                </c:pt>
                <c:pt idx="93">
                  <c:v>6.9999999999998994E-2</c:v>
                </c:pt>
                <c:pt idx="94">
                  <c:v>5.9999999999999103E-2</c:v>
                </c:pt>
                <c:pt idx="95">
                  <c:v>4.9999999999998997E-2</c:v>
                </c:pt>
                <c:pt idx="96">
                  <c:v>3.9999999999999002E-2</c:v>
                </c:pt>
                <c:pt idx="97">
                  <c:v>2.9999999999999E-2</c:v>
                </c:pt>
                <c:pt idx="98">
                  <c:v>1.9999999999999001E-2</c:v>
                </c:pt>
                <c:pt idx="99">
                  <c:v>9.9999999999990097E-3</c:v>
                </c:pt>
              </c:numCache>
            </c:numRef>
          </c:yVal>
          <c:smooth val="0"/>
          <c:extLst>
            <c:ext xmlns:c16="http://schemas.microsoft.com/office/drawing/2014/chart" uri="{C3380CC4-5D6E-409C-BE32-E72D297353CC}">
              <c16:uniqueId val="{00000001-0910-47AC-8031-E480EE645AD0}"/>
            </c:ext>
          </c:extLst>
        </c:ser>
        <c:dLbls>
          <c:showLegendKey val="0"/>
          <c:showVal val="0"/>
          <c:showCatName val="0"/>
          <c:showSerName val="0"/>
          <c:showPercent val="0"/>
          <c:showBubbleSize val="0"/>
        </c:dLbls>
        <c:axId val="719295903"/>
        <c:axId val="1980312895"/>
      </c:scatterChart>
      <c:valAx>
        <c:axId val="719295903"/>
        <c:scaling>
          <c:orientation val="minMax"/>
        </c:scaling>
        <c:delete val="0"/>
        <c:axPos val="b"/>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312895"/>
        <c:crosses val="autoZero"/>
        <c:crossBetween val="midCat"/>
      </c:valAx>
      <c:valAx>
        <c:axId val="1980312895"/>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95903"/>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Rosin Rammler Regression Check</a:t>
            </a:r>
          </a:p>
        </c:rich>
      </c:tx>
      <c:layout>
        <c:manualLayout>
          <c:xMode val="edge"/>
          <c:yMode val="edge"/>
          <c:x val="0.25051747969394889"/>
          <c:y val="3.716346744378330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4782072862974208"/>
          <c:y val="0.1648093146895539"/>
          <c:w val="0.81221168964045998"/>
          <c:h val="0.6725344624853018"/>
        </c:manualLayout>
      </c:layout>
      <c:scatterChart>
        <c:scatterStyle val="lineMarker"/>
        <c:varyColors val="0"/>
        <c:ser>
          <c:idx val="0"/>
          <c:order val="0"/>
          <c:tx>
            <c:strRef>
              <c:f>'RR (2)'!$D$29</c:f>
              <c:strCache>
                <c:ptCount val="1"/>
                <c:pt idx="0">
                  <c:v>Cum % Passing</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'RR (2)'!$A$30:$A$40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'RR (2)'!$D$30:$D$40</c:f>
              <c:numCache>
                <c:formatCode>0.0000</c:formatCode>
                <c:ptCount val="11"/>
                <c:pt idx="0">
                  <c:v>0.96747240656053368</c:v>
                </c:pt>
                <c:pt idx="1">
                  <c:v>0.89330536739676092</c:v>
                </c:pt>
                <c:pt idx="2">
                  <c:v>0.81841625691985009</c:v>
                </c:pt>
                <c:pt idx="3">
                  <c:v>0.69566413368634583</c:v>
                </c:pt>
                <c:pt idx="4">
                  <c:v>0.57641921397379903</c:v>
                </c:pt>
                <c:pt idx="5">
                  <c:v>0.53113502733555673</c:v>
                </c:pt>
                <c:pt idx="6">
                  <c:v>0.48310009283774019</c:v>
                </c:pt>
                <c:pt idx="7">
                  <c:v>0.4042911666609359</c:v>
                </c:pt>
                <c:pt idx="8">
                  <c:v>0.34759137640546017</c:v>
                </c:pt>
                <c:pt idx="9">
                  <c:v>0.28016366949764465</c:v>
                </c:pt>
                <c:pt idx="10">
                  <c:v>0.24093112815046591</c:v>
                </c:pt>
              </c:numCache>
            </c:numRef>
          </c:yVal>
          <c:smooth val="0"/>
          <c:extLst>
            <c:ext xmlns:c16="http://schemas.microsoft.com/office/drawing/2014/chart" uri="{C3380CC4-5D6E-409C-BE32-E72D297353CC}">
              <c16:uniqueId val="{00000000-375E-4BB3-8AD2-DEBD6E96D333}"/>
            </c:ext>
          </c:extLst>
        </c:ser>
        <c:ser>
          <c:idx val="1"/>
          <c:order val="1"/>
          <c:tx>
            <c:strRef>
              <c:f>'RR (2)'!$K$28</c:f>
              <c:strCache>
                <c:ptCount val="1"/>
                <c:pt idx="0">
                  <c:v>Fitted  %Cumpass</c:v>
                </c:pt>
              </c:strCache>
            </c:strRef>
          </c:tx>
          <c:spPr>
            <a:ln w="25400" cap="rnd">
              <a:solidFill>
                <a:srgbClr val="FFFF00"/>
              </a:solidFill>
              <a:round/>
            </a:ln>
            <a:effectLst>
              <a:outerShdw blurRad="57150" dist="19050" dir="5400000" algn="ctr" rotWithShape="0">
                <a:srgbClr val="000000">
                  <a:alpha val="63000"/>
                </a:srgbClr>
              </a:outerShdw>
            </a:effectLst>
          </c:spPr>
          <c:marker>
            <c:symbol val="none"/>
          </c:marker>
          <c:xVal>
            <c:numRef>
              <c:f>'RR (2)'!$A$30:$A$40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'RR (2)'!$K$30:$K$40</c:f>
              <c:numCache>
                <c:formatCode>0.0%</c:formatCode>
                <c:ptCount val="11"/>
                <c:pt idx="0">
                  <c:v>0.96771867744228257</c:v>
                </c:pt>
                <c:pt idx="1">
                  <c:v>0.87125053073150183</c:v>
                </c:pt>
                <c:pt idx="2">
                  <c:v>0.79318124471101503</c:v>
                </c:pt>
                <c:pt idx="3">
                  <c:v>0.70130501974027371</c:v>
                </c:pt>
                <c:pt idx="4">
                  <c:v>0.60436960361065473</c:v>
                </c:pt>
                <c:pt idx="5">
                  <c:v>0.55890892382438329</c:v>
                </c:pt>
                <c:pt idx="6">
                  <c:v>0.5094691753082079</c:v>
                </c:pt>
                <c:pt idx="7">
                  <c:v>0.42108184509662416</c:v>
                </c:pt>
                <c:pt idx="8">
                  <c:v>0.34285796809307878</c:v>
                </c:pt>
                <c:pt idx="9">
                  <c:v>0.27544456914074134</c:v>
                </c:pt>
                <c:pt idx="10">
                  <c:v>0.22120022368739323</c:v>
                </c:pt>
              </c:numCache>
            </c:numRef>
          </c:yVal>
          <c:smooth val="0"/>
          <c:extLst>
            <c:ext xmlns:c16="http://schemas.microsoft.com/office/drawing/2014/chart" uri="{C3380CC4-5D6E-409C-BE32-E72D297353CC}">
              <c16:uniqueId val="{00000001-375E-4BB3-8AD2-DEBD6E96D333}"/>
            </c:ext>
          </c:extLst>
        </c:ser>
        <c:dLbls>
          <c:showLegendKey val="0"/>
          <c:showVal val="0"/>
          <c:showCatName val="0"/>
          <c:showSerName val="0"/>
          <c:showPercent val="0"/>
          <c:showBubbleSize val="0"/>
        </c:dLbls>
        <c:axId val="1823205951"/>
        <c:axId val="1"/>
      </c:scatterChart>
      <c:valAx>
        <c:axId val="1823205951"/>
        <c:scaling>
          <c:logBase val="2"/>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Sieve, µm</a:t>
                </a:r>
              </a:p>
            </c:rich>
          </c:tx>
          <c:layout>
            <c:manualLayout>
              <c:xMode val="edge"/>
              <c:yMode val="edge"/>
              <c:x val="0.4969615472995238"/>
              <c:y val="0.9325507219616033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
        <c:crossesAt val="0"/>
        <c:crossBetween val="midCat"/>
      </c:valAx>
      <c:valAx>
        <c:axId val="1"/>
        <c:scaling>
          <c:logBase val="2"/>
          <c:orientation val="minMax"/>
          <c:max val="1"/>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Cumulative %Pass</a:t>
                </a:r>
              </a:p>
            </c:rich>
          </c:tx>
          <c:layout>
            <c:manualLayout>
              <c:xMode val="edge"/>
              <c:yMode val="edge"/>
              <c:x val="5.6862889119949373E-3"/>
              <c:y val="0.2785630795333596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205951"/>
        <c:crossesAt val="1.0000000000000002E-2"/>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alignWithMargins="0"/>
    <c:pageMargins b="1" l="0.75" r="0.75" t="1" header="0.51180555555555551" footer="0.51180555555555551"/>
    <c:pageSetup firstPageNumber="0"/>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'PWGGS group'!$D$217</c:f>
              <c:strCache>
                <c:ptCount val="1"/>
                <c:pt idx="0">
                  <c:v>SC13F</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xVal>
          <c:yVal>
            <c:numRef>
              <c:f>'PWGGS group'!$D$218:$D$229</c:f>
              <c:numCache>
                <c:formatCode>0</c:formatCode>
                <c:ptCount val="12"/>
                <c:pt idx="0">
                  <c:v>1468.9254149671774</c:v>
                </c:pt>
                <c:pt idx="1">
                  <c:v>950.82172581606869</c:v>
                </c:pt>
                <c:pt idx="2">
                  <c:v>601.14986579003516</c:v>
                </c:pt>
                <c:pt idx="3">
                  <c:v>470.88327389334034</c:v>
                </c:pt>
                <c:pt idx="4">
                  <c:v>393.03045666088161</c:v>
                </c:pt>
                <c:pt idx="5">
                  <c:v>347.29531337513163</c:v>
                </c:pt>
                <c:pt idx="6">
                  <c:v>159.64514890616954</c:v>
                </c:pt>
                <c:pt idx="7">
                  <c:v>104.08599553037691</c:v>
                </c:pt>
                <c:pt idx="8">
                  <c:v>42.278719050598689</c:v>
                </c:pt>
                <c:pt idx="9">
                  <c:v>17.971940366477202</c:v>
                </c:pt>
                <c:pt idx="10">
                  <c:v>7.3000273829023623</c:v>
                </c:pt>
                <c:pt idx="11">
                  <c:v>1.9332614169491928</c:v>
                </c:pt>
              </c:numCache>
            </c:numRef>
          </c:yVal>
          <c:smooth val="0"/>
          <c:extLst>
            <c:ext xmlns:c16="http://schemas.microsoft.com/office/drawing/2014/chart" uri="{C3380CC4-5D6E-409C-BE32-E72D297353CC}">
              <c16:uniqueId val="{00000000-62C6-4696-B39F-0E63842CEE80}"/>
            </c:ext>
          </c:extLst>
        </c:ser>
        <c:ser>
          <c:idx val="1"/>
          <c:order val="1"/>
          <c:tx>
            <c:strRef>
              <c:f>'PWGGS group'!$E$217</c:f>
              <c:strCache>
                <c:ptCount val="1"/>
                <c:pt idx="0">
                  <c:v>13Fdeck1</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xVal>
          <c:yVal>
            <c:numRef>
              <c:f>'PWGGS group'!$E$218:$E$229</c:f>
              <c:numCache>
                <c:formatCode>0</c:formatCode>
                <c:ptCount val="12"/>
                <c:pt idx="0">
                  <c:v>1537.9211099198712</c:v>
                </c:pt>
                <c:pt idx="1">
                  <c:v>1033.794850510646</c:v>
                </c:pt>
                <c:pt idx="2">
                  <c:v>680.15193216977923</c:v>
                </c:pt>
                <c:pt idx="3">
                  <c:v>478.16976631638545</c:v>
                </c:pt>
                <c:pt idx="4">
                  <c:v>387.29952469120451</c:v>
                </c:pt>
                <c:pt idx="5">
                  <c:v>346.81035625790696</c:v>
                </c:pt>
                <c:pt idx="6">
                  <c:v>173.30615403152586</c:v>
                </c:pt>
                <c:pt idx="7">
                  <c:v>118.30652451255278</c:v>
                </c:pt>
                <c:pt idx="8">
                  <c:v>52.938997992456322</c:v>
                </c:pt>
                <c:pt idx="9">
                  <c:v>24.669772257550751</c:v>
                </c:pt>
                <c:pt idx="10">
                  <c:v>11.039061703467283</c:v>
                </c:pt>
                <c:pt idx="11">
                  <c:v>3.3720491267271977</c:v>
                </c:pt>
              </c:numCache>
            </c:numRef>
          </c:yVal>
          <c:smooth val="0"/>
          <c:extLst>
            <c:ext xmlns:c16="http://schemas.microsoft.com/office/drawing/2014/chart" uri="{C3380CC4-5D6E-409C-BE32-E72D297353CC}">
              <c16:uniqueId val="{00000001-62C6-4696-B39F-0E63842CEE80}"/>
            </c:ext>
          </c:extLst>
        </c:ser>
        <c:ser>
          <c:idx val="2"/>
          <c:order val="2"/>
          <c:tx>
            <c:strRef>
              <c:f>'PWGGS group'!$F$217</c:f>
              <c:strCache>
                <c:ptCount val="1"/>
                <c:pt idx="0">
                  <c:v>13Fdeck2</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xVal>
          <c:yVal>
            <c:numRef>
              <c:f>'PWGGS group'!$F$218:$F$229</c:f>
              <c:numCache>
                <c:formatCode>0</c:formatCode>
                <c:ptCount val="12"/>
                <c:pt idx="0">
                  <c:v>1472.5150964189204</c:v>
                </c:pt>
                <c:pt idx="1">
                  <c:v>970.36180127136788</c:v>
                </c:pt>
                <c:pt idx="2">
                  <c:v>625.19051658706735</c:v>
                </c:pt>
                <c:pt idx="3">
                  <c:v>483.7809098004663</c:v>
                </c:pt>
                <c:pt idx="4">
                  <c:v>403.42945070144805</c:v>
                </c:pt>
                <c:pt idx="5">
                  <c:v>357.40029090991385</c:v>
                </c:pt>
                <c:pt idx="6">
                  <c:v>166.9606488636843</c:v>
                </c:pt>
                <c:pt idx="7">
                  <c:v>109.82580797812834</c:v>
                </c:pt>
                <c:pt idx="8">
                  <c:v>45.451783775638184</c:v>
                </c:pt>
                <c:pt idx="9">
                  <c:v>19.666700237437588</c:v>
                </c:pt>
                <c:pt idx="10">
                  <c:v>8.1391307127949606</c:v>
                </c:pt>
                <c:pt idx="11">
                  <c:v>2.2157197626947998</c:v>
                </c:pt>
              </c:numCache>
            </c:numRef>
          </c:yVal>
          <c:smooth val="0"/>
          <c:extLst>
            <c:ext xmlns:c16="http://schemas.microsoft.com/office/drawing/2014/chart" uri="{C3380CC4-5D6E-409C-BE32-E72D297353CC}">
              <c16:uniqueId val="{00000002-62C6-4696-B39F-0E63842CEE80}"/>
            </c:ext>
          </c:extLst>
        </c:ser>
        <c:ser>
          <c:idx val="3"/>
          <c:order val="3"/>
          <c:tx>
            <c:strRef>
              <c:f>'PWGGS group'!$G$217</c:f>
              <c:strCache>
                <c:ptCount val="1"/>
                <c:pt idx="0">
                  <c:v>13Fdeck3</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xVal>
          <c:yVal>
            <c:numRef>
              <c:f>'PWGGS group'!$G$218:$G$229</c:f>
              <c:numCache>
                <c:formatCode>0</c:formatCode>
                <c:ptCount val="12"/>
                <c:pt idx="0">
                  <c:v>1551.5810991674007</c:v>
                </c:pt>
                <c:pt idx="1">
                  <c:v>1100.7304532112473</c:v>
                </c:pt>
                <c:pt idx="2">
                  <c:v>766.52186770981621</c:v>
                </c:pt>
                <c:pt idx="3">
                  <c:v>551.98240438018638</c:v>
                </c:pt>
                <c:pt idx="4">
                  <c:v>465.80300757213371</c:v>
                </c:pt>
                <c:pt idx="5">
                  <c:v>381.67534508195058</c:v>
                </c:pt>
                <c:pt idx="6">
                  <c:v>187.35062185681525</c:v>
                </c:pt>
                <c:pt idx="7">
                  <c:v>126.64228035342695</c:v>
                </c:pt>
                <c:pt idx="8">
                  <c:v>55.507227269204741</c:v>
                </c:pt>
                <c:pt idx="9">
                  <c:v>25.362770955479611</c:v>
                </c:pt>
                <c:pt idx="10">
                  <c:v>11.11648564502887</c:v>
                </c:pt>
                <c:pt idx="11">
                  <c:v>3.2935321431975444</c:v>
                </c:pt>
              </c:numCache>
            </c:numRef>
          </c:yVal>
          <c:smooth val="0"/>
          <c:extLst>
            <c:ext xmlns:c16="http://schemas.microsoft.com/office/drawing/2014/chart" uri="{C3380CC4-5D6E-409C-BE32-E72D297353CC}">
              <c16:uniqueId val="{00000003-62C6-4696-B39F-0E63842CEE80}"/>
            </c:ext>
          </c:extLst>
        </c:ser>
        <c:ser>
          <c:idx val="4"/>
          <c:order val="4"/>
          <c:tx>
            <c:strRef>
              <c:f>'PWGGS group'!$H$217</c:f>
              <c:strCache>
                <c:ptCount val="1"/>
                <c:pt idx="0">
                  <c:v>13Fdeck4</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xVal>
          <c:yVal>
            <c:numRef>
              <c:f>'PWGGS group'!$H$218:$H$229</c:f>
              <c:numCache>
                <c:formatCode>0</c:formatCode>
                <c:ptCount val="12"/>
                <c:pt idx="0">
                  <c:v>1425.7113544733579</c:v>
                </c:pt>
                <c:pt idx="1">
                  <c:v>958.36714059143674</c:v>
                </c:pt>
                <c:pt idx="2">
                  <c:v>630.52670660848844</c:v>
                </c:pt>
                <c:pt idx="3">
                  <c:v>478.16976595895682</c:v>
                </c:pt>
                <c:pt idx="4">
                  <c:v>387.29952469120451</c:v>
                </c:pt>
                <c:pt idx="5">
                  <c:v>346.81035625790696</c:v>
                </c:pt>
                <c:pt idx="6">
                  <c:v>173.30615403152586</c:v>
                </c:pt>
                <c:pt idx="7">
                  <c:v>118.30652451255278</c:v>
                </c:pt>
                <c:pt idx="8">
                  <c:v>52.938997992456322</c:v>
                </c:pt>
                <c:pt idx="9">
                  <c:v>24.669772257550751</c:v>
                </c:pt>
                <c:pt idx="10">
                  <c:v>11.039061703467283</c:v>
                </c:pt>
                <c:pt idx="11">
                  <c:v>3.3720491267271977</c:v>
                </c:pt>
              </c:numCache>
            </c:numRef>
          </c:yVal>
          <c:smooth val="0"/>
          <c:extLst>
            <c:ext xmlns:c16="http://schemas.microsoft.com/office/drawing/2014/chart" uri="{C3380CC4-5D6E-409C-BE32-E72D297353CC}">
              <c16:uniqueId val="{00000004-62C6-4696-B39F-0E63842CEE80}"/>
            </c:ext>
          </c:extLst>
        </c:ser>
        <c:ser>
          <c:idx val="5"/>
          <c:order val="5"/>
          <c:tx>
            <c:strRef>
              <c:f>'PWGGS group'!$I$217</c:f>
              <c:strCache>
                <c:ptCount val="1"/>
                <c:pt idx="0">
                  <c:v>13Fdeck5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xVal>
          <c:yVal>
            <c:numRef>
              <c:f>'PWGGS group'!$I$218:$I$229</c:f>
              <c:numCache>
                <c:formatCode>0</c:formatCode>
                <c:ptCount val="12"/>
                <c:pt idx="0">
                  <c:v>1461.7300319582632</c:v>
                </c:pt>
                <c:pt idx="1">
                  <c:v>833.06099855547143</c:v>
                </c:pt>
                <c:pt idx="2">
                  <c:v>538.37486513814076</c:v>
                </c:pt>
                <c:pt idx="3">
                  <c:v>387.55364900770712</c:v>
                </c:pt>
                <c:pt idx="4">
                  <c:v>349.03065613900361</c:v>
                </c:pt>
                <c:pt idx="5">
                  <c:v>303.89195031904075</c:v>
                </c:pt>
                <c:pt idx="6">
                  <c:v>127.30938573974449</c:v>
                </c:pt>
                <c:pt idx="7">
                  <c:v>78.869617312284362</c:v>
                </c:pt>
                <c:pt idx="8">
                  <c:v>28.767795484293543</c:v>
                </c:pt>
                <c:pt idx="9">
                  <c:v>11.040918505686157</c:v>
                </c:pt>
                <c:pt idx="10">
                  <c:v>4.0271893836216197</c:v>
                </c:pt>
                <c:pt idx="11">
                  <c:v>0.91001429227991948</c:v>
                </c:pt>
              </c:numCache>
            </c:numRef>
          </c:yVal>
          <c:smooth val="0"/>
          <c:extLst>
            <c:ext xmlns:c16="http://schemas.microsoft.com/office/drawing/2014/chart" uri="{C3380CC4-5D6E-409C-BE32-E72D297353CC}">
              <c16:uniqueId val="{00000005-62C6-4696-B39F-0E63842CEE80}"/>
            </c:ext>
          </c:extLst>
        </c:ser>
        <c:dLbls>
          <c:showLegendKey val="0"/>
          <c:showVal val="0"/>
          <c:showCatName val="0"/>
          <c:showSerName val="0"/>
          <c:showPercent val="0"/>
          <c:showBubbleSize val="0"/>
        </c:dLbls>
        <c:axId val="436082832"/>
        <c:axId val="1980303743"/>
      </c:scatterChart>
      <c:valAx>
        <c:axId val="4360828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303743"/>
        <c:crosses val="autoZero"/>
        <c:crossBetween val="midCat"/>
      </c:valAx>
      <c:valAx>
        <c:axId val="1980303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0828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'PWGGS group'!$E$145</c:f>
              <c:strCache>
                <c:ptCount val="1"/>
                <c:pt idx="0">
                  <c:v>y2</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'PWGGS group'!$E$131:$E$142</c:f>
              <c:numCache>
                <c:formatCode>0</c:formatCode>
                <c:ptCount val="12"/>
                <c:pt idx="0">
                  <c:v>1358.9605549599355</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group'!$E$146:$E$157</c:f>
              <c:numCache>
                <c:formatCode>0.0%</c:formatCode>
                <c:ptCount val="12"/>
                <c:pt idx="0">
                  <c:v>3.363248596481494E-2</c:v>
                </c:pt>
                <c:pt idx="1">
                  <c:v>8.0823198835064947E-2</c:v>
                </c:pt>
                <c:pt idx="2">
                  <c:v>6.7097252950129582E-2</c:v>
                </c:pt>
                <c:pt idx="3">
                  <c:v>0.12938865484041739</c:v>
                </c:pt>
                <c:pt idx="4">
                  <c:v>0.1265553808764821</c:v>
                </c:pt>
                <c:pt idx="5">
                  <c:v>5.1304381409192024E-2</c:v>
                </c:pt>
                <c:pt idx="6">
                  <c:v>5.1672978796324931E-2</c:v>
                </c:pt>
                <c:pt idx="7">
                  <c:v>8.4398427040798085E-2</c:v>
                </c:pt>
                <c:pt idx="8">
                  <c:v>6.86744977729698E-2</c:v>
                </c:pt>
                <c:pt idx="9">
                  <c:v>5.6284406381053365E-2</c:v>
                </c:pt>
                <c:pt idx="10">
                  <c:v>4.420999917317911E-2</c:v>
                </c:pt>
                <c:pt idx="11">
                  <c:v>0.20595833595957372</c:v>
                </c:pt>
              </c:numCache>
            </c:numRef>
          </c:yVal>
          <c:smooth val="1"/>
          <c:extLst>
            <c:ext xmlns:c16="http://schemas.microsoft.com/office/drawing/2014/chart" uri="{C3380CC4-5D6E-409C-BE32-E72D297353CC}">
              <c16:uniqueId val="{00000000-198E-4370-86A7-7BFEE0A901FC}"/>
            </c:ext>
          </c:extLst>
        </c:ser>
        <c:ser>
          <c:idx val="1"/>
          <c:order val="1"/>
          <c:tx>
            <c:v>unfitted</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'PWGGS group'!$D$131:$D$142</c:f>
              <c:numCache>
                <c:formatCode>0</c:formatCode>
                <c:ptCount val="12"/>
                <c:pt idx="0">
                  <c:v>1324.4627074835887</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group'!$E$33:$E$44</c:f>
              <c:numCache>
                <c:formatCode>0.0%</c:formatCode>
                <c:ptCount val="12"/>
                <c:pt idx="0">
                  <c:v>3.6288704912651806E-2</c:v>
                </c:pt>
                <c:pt idx="1">
                  <c:v>8.0601043072322118E-2</c:v>
                </c:pt>
                <c:pt idx="2">
                  <c:v>6.4663189758926293E-2</c:v>
                </c:pt>
                <c:pt idx="3">
                  <c:v>0.11991684598271272</c:v>
                </c:pt>
                <c:pt idx="4">
                  <c:v>0.13373937780371276</c:v>
                </c:pt>
                <c:pt idx="5">
                  <c:v>4.7740617819760023E-2</c:v>
                </c:pt>
                <c:pt idx="6">
                  <c:v>4.9454757649804885E-2</c:v>
                </c:pt>
                <c:pt idx="7">
                  <c:v>8.7311718151646678E-2</c:v>
                </c:pt>
                <c:pt idx="8">
                  <c:v>6.6085561107261395E-2</c:v>
                </c:pt>
                <c:pt idx="9">
                  <c:v>5.8317225281738938E-2</c:v>
                </c:pt>
                <c:pt idx="10">
                  <c:v>4.084758743936686E-2</c:v>
                </c:pt>
                <c:pt idx="11">
                  <c:v>0.21503337102009557</c:v>
                </c:pt>
              </c:numCache>
            </c:numRef>
          </c:yVal>
          <c:smooth val="1"/>
          <c:extLst>
            <c:ext xmlns:c16="http://schemas.microsoft.com/office/drawing/2014/chart" uri="{C3380CC4-5D6E-409C-BE32-E72D297353CC}">
              <c16:uniqueId val="{00000001-198E-4370-86A7-7BFEE0A901FC}"/>
            </c:ext>
          </c:extLst>
        </c:ser>
        <c:dLbls>
          <c:showLegendKey val="0"/>
          <c:showVal val="0"/>
          <c:showCatName val="0"/>
          <c:showSerName val="0"/>
          <c:showPercent val="0"/>
          <c:showBubbleSize val="0"/>
        </c:dLbls>
        <c:axId val="1020547680"/>
        <c:axId val="931494560"/>
      </c:scatterChart>
      <c:valAx>
        <c:axId val="1020547680"/>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strRef>
              <c:f>'PWGGS group'!$K$89</c:f>
              <c:strCache>
                <c:ptCount val="1"/>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strRef>
              <c:f>'PWGGS group'!$A$89</c:f>
              <c:strCache>
                <c:ptCount val="1"/>
                <c:pt idx="0">
                  <c:v>GGS Model Fitted: y = ( x / k ) ^ n</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06714785651794"/>
          <c:y val="6.5993256662052663E-2"/>
          <c:w val="0.80304396325459315"/>
          <c:h val="0.85549035686837138"/>
        </c:manualLayout>
      </c:layout>
      <c:scatterChart>
        <c:scatterStyle val="smoothMarker"/>
        <c:varyColors val="0"/>
        <c:ser>
          <c:idx val="6"/>
          <c:order val="0"/>
          <c:tx>
            <c:strRef>
              <c:f>'PWGGS group'!$D$50</c:f>
              <c:strCache>
                <c:ptCount val="1"/>
                <c:pt idx="0">
                  <c:v>SC13F</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3"/>
            <c:spPr>
              <a:solidFill>
                <a:schemeClr val="accent1">
                  <a:lumMod val="60000"/>
                  <a:lumMod val="60000"/>
                  <a:lumOff val="40000"/>
                </a:schemeClr>
              </a:solidFill>
              <a:ln>
                <a:noFill/>
              </a:ln>
              <a:effectLst>
                <a:glow rad="63500">
                  <a:schemeClr val="accent1">
                    <a:lumMod val="60000"/>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group'!$D$51:$D$61</c:f>
              <c:numCache>
                <c:formatCode>0.000</c:formatCode>
                <c:ptCount val="11"/>
                <c:pt idx="0">
                  <c:v>0.96747240656053368</c:v>
                </c:pt>
                <c:pt idx="1">
                  <c:v>0.89330536739676103</c:v>
                </c:pt>
                <c:pt idx="2">
                  <c:v>0.81841625691985009</c:v>
                </c:pt>
                <c:pt idx="3">
                  <c:v>0.69566413368634605</c:v>
                </c:pt>
                <c:pt idx="4">
                  <c:v>0.57641921397379925</c:v>
                </c:pt>
                <c:pt idx="5">
                  <c:v>0.53113502733555695</c:v>
                </c:pt>
                <c:pt idx="6">
                  <c:v>0.48310009283774036</c:v>
                </c:pt>
                <c:pt idx="7">
                  <c:v>0.40429116666093606</c:v>
                </c:pt>
                <c:pt idx="8">
                  <c:v>0.34759137640546034</c:v>
                </c:pt>
                <c:pt idx="9">
                  <c:v>0.28016366949764482</c:v>
                </c:pt>
                <c:pt idx="10">
                  <c:v>0.24093112815046605</c:v>
                </c:pt>
              </c:numCache>
            </c:numRef>
          </c:yVal>
          <c:smooth val="1"/>
          <c:extLst>
            <c:ext xmlns:c16="http://schemas.microsoft.com/office/drawing/2014/chart" uri="{C3380CC4-5D6E-409C-BE32-E72D297353CC}">
              <c16:uniqueId val="{00000000-2AB1-4062-AE64-EEFBEEB13AA9}"/>
            </c:ext>
          </c:extLst>
        </c:ser>
        <c:ser>
          <c:idx val="7"/>
          <c:order val="1"/>
          <c:tx>
            <c:strRef>
              <c:f>'PWGGS group'!$E$50</c:f>
              <c:strCache>
                <c:ptCount val="1"/>
                <c:pt idx="0">
                  <c:v>13Fdeck1</c:v>
                </c:pt>
              </c:strCache>
            </c:strRef>
          </c:tx>
          <c:spPr>
            <a:ln w="22225" cap="rnd">
              <a:solidFill>
                <a:schemeClr val="accent2">
                  <a:lumMod val="60000"/>
                </a:schemeClr>
              </a:solidFill>
            </a:ln>
            <a:effectLst>
              <a:glow rad="139700">
                <a:schemeClr val="accent2">
                  <a:lumMod val="60000"/>
                  <a:satMod val="175000"/>
                  <a:alpha val="14000"/>
                </a:schemeClr>
              </a:glow>
            </a:effectLst>
          </c:spPr>
          <c:marker>
            <c:symbol val="circle"/>
            <c:size val="3"/>
            <c:spPr>
              <a:solidFill>
                <a:schemeClr val="accent2">
                  <a:lumMod val="60000"/>
                  <a:lumMod val="60000"/>
                  <a:lumOff val="40000"/>
                </a:schemeClr>
              </a:solidFill>
              <a:ln>
                <a:noFill/>
              </a:ln>
              <a:effectLst>
                <a:glow rad="63500">
                  <a:schemeClr val="accent2">
                    <a:lumMod val="60000"/>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group'!$E$51:$E$61</c:f>
              <c:numCache>
                <c:formatCode>0.000</c:formatCode>
                <c:ptCount val="11"/>
                <c:pt idx="0">
                  <c:v>0.96371129508734821</c:v>
                </c:pt>
                <c:pt idx="1">
                  <c:v>0.88311025201502613</c:v>
                </c:pt>
                <c:pt idx="2">
                  <c:v>0.81844706225609987</c:v>
                </c:pt>
                <c:pt idx="3">
                  <c:v>0.69853021627338718</c:v>
                </c:pt>
                <c:pt idx="4">
                  <c:v>0.56479083846967448</c:v>
                </c:pt>
                <c:pt idx="5">
                  <c:v>0.51705022064991446</c:v>
                </c:pt>
                <c:pt idx="6">
                  <c:v>0.46759546300010957</c:v>
                </c:pt>
                <c:pt idx="7">
                  <c:v>0.38028374484846289</c:v>
                </c:pt>
                <c:pt idx="8">
                  <c:v>0.31419818374120151</c:v>
                </c:pt>
                <c:pt idx="9">
                  <c:v>0.25588095845946257</c:v>
                </c:pt>
                <c:pt idx="10">
                  <c:v>0.2150333710200957</c:v>
                </c:pt>
              </c:numCache>
            </c:numRef>
          </c:yVal>
          <c:smooth val="1"/>
          <c:extLst>
            <c:ext xmlns:c16="http://schemas.microsoft.com/office/drawing/2014/chart" uri="{C3380CC4-5D6E-409C-BE32-E72D297353CC}">
              <c16:uniqueId val="{00000001-2AB1-4062-AE64-EEFBEEB13AA9}"/>
            </c:ext>
          </c:extLst>
        </c:ser>
        <c:ser>
          <c:idx val="8"/>
          <c:order val="2"/>
          <c:tx>
            <c:strRef>
              <c:f>'PWGGS group'!$F$50</c:f>
              <c:strCache>
                <c:ptCount val="1"/>
                <c:pt idx="0">
                  <c:v>13Fdeck2</c:v>
                </c:pt>
              </c:strCache>
            </c:strRef>
          </c:tx>
          <c:spPr>
            <a:ln w="22225" cap="rnd">
              <a:solidFill>
                <a:schemeClr val="accent3">
                  <a:lumMod val="60000"/>
                </a:schemeClr>
              </a:solidFill>
            </a:ln>
            <a:effectLst>
              <a:glow rad="139700">
                <a:schemeClr val="accent3">
                  <a:lumMod val="60000"/>
                  <a:satMod val="175000"/>
                  <a:alpha val="14000"/>
                </a:schemeClr>
              </a:glow>
            </a:effectLst>
          </c:spPr>
          <c:marker>
            <c:symbol val="circle"/>
            <c:size val="3"/>
            <c:spPr>
              <a:solidFill>
                <a:schemeClr val="accent3">
                  <a:lumMod val="60000"/>
                  <a:lumMod val="60000"/>
                  <a:lumOff val="40000"/>
                </a:schemeClr>
              </a:solidFill>
              <a:ln>
                <a:noFill/>
              </a:ln>
              <a:effectLst>
                <a:glow rad="63500">
                  <a:schemeClr val="accent3">
                    <a:lumMod val="60000"/>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group'!$F$51:$F$61</c:f>
              <c:numCache>
                <c:formatCode>0.000</c:formatCode>
                <c:ptCount val="11"/>
                <c:pt idx="0">
                  <c:v>0.96611650811791994</c:v>
                </c:pt>
                <c:pt idx="1">
                  <c:v>0.88900467242596393</c:v>
                </c:pt>
                <c:pt idx="2">
                  <c:v>0.81182560758344824</c:v>
                </c:pt>
                <c:pt idx="3">
                  <c:v>0.68772059565027399</c:v>
                </c:pt>
                <c:pt idx="4">
                  <c:v>0.5714813943325826</c:v>
                </c:pt>
                <c:pt idx="5">
                  <c:v>0.52495882214528222</c:v>
                </c:pt>
                <c:pt idx="6">
                  <c:v>0.47779757302766485</c:v>
                </c:pt>
                <c:pt idx="7">
                  <c:v>0.39510571783925513</c:v>
                </c:pt>
                <c:pt idx="8">
                  <c:v>0.33177585801203402</c:v>
                </c:pt>
                <c:pt idx="9">
                  <c:v>0.26158862482772532</c:v>
                </c:pt>
                <c:pt idx="10">
                  <c:v>0.2209149887391173</c:v>
                </c:pt>
              </c:numCache>
            </c:numRef>
          </c:yVal>
          <c:smooth val="1"/>
          <c:extLst>
            <c:ext xmlns:c16="http://schemas.microsoft.com/office/drawing/2014/chart" uri="{C3380CC4-5D6E-409C-BE32-E72D297353CC}">
              <c16:uniqueId val="{00000002-2AB1-4062-AE64-EEFBEEB13AA9}"/>
            </c:ext>
          </c:extLst>
        </c:ser>
        <c:ser>
          <c:idx val="9"/>
          <c:order val="3"/>
          <c:tx>
            <c:strRef>
              <c:f>'PWGGS group'!$G$50</c:f>
              <c:strCache>
                <c:ptCount val="1"/>
                <c:pt idx="0">
                  <c:v>13Fdeck3</c:v>
                </c:pt>
              </c:strCache>
            </c:strRef>
          </c:tx>
          <c:spPr>
            <a:ln w="22225" cap="rnd">
              <a:solidFill>
                <a:schemeClr val="accent4">
                  <a:lumMod val="60000"/>
                </a:schemeClr>
              </a:solidFill>
            </a:ln>
            <a:effectLst>
              <a:glow rad="139700">
                <a:schemeClr val="accent4">
                  <a:lumMod val="60000"/>
                  <a:satMod val="175000"/>
                  <a:alpha val="14000"/>
                </a:schemeClr>
              </a:glow>
            </a:effectLst>
          </c:spPr>
          <c:marker>
            <c:symbol val="circle"/>
            <c:size val="3"/>
            <c:spPr>
              <a:solidFill>
                <a:schemeClr val="accent4">
                  <a:lumMod val="60000"/>
                  <a:lumMod val="60000"/>
                  <a:lumOff val="40000"/>
                </a:schemeClr>
              </a:solidFill>
              <a:ln>
                <a:noFill/>
              </a:ln>
              <a:effectLst>
                <a:glow rad="63500">
                  <a:schemeClr val="accent4">
                    <a:lumMod val="60000"/>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group'!$G$51:$G$61</c:f>
              <c:numCache>
                <c:formatCode>0.000</c:formatCode>
                <c:ptCount val="11"/>
                <c:pt idx="0">
                  <c:v>0.95187137446030778</c:v>
                </c:pt>
                <c:pt idx="1">
                  <c:v>0.86038195640081583</c:v>
                </c:pt>
                <c:pt idx="2">
                  <c:v>0.77919635525653597</c:v>
                </c:pt>
                <c:pt idx="3">
                  <c:v>0.66015945752655425</c:v>
                </c:pt>
                <c:pt idx="4">
                  <c:v>0.52970624851005232</c:v>
                </c:pt>
                <c:pt idx="5">
                  <c:v>0.49468916377506439</c:v>
                </c:pt>
                <c:pt idx="6">
                  <c:v>0.44009747569729574</c:v>
                </c:pt>
                <c:pt idx="7">
                  <c:v>0.36492464175032463</c:v>
                </c:pt>
                <c:pt idx="8">
                  <c:v>0.31110110454798312</c:v>
                </c:pt>
                <c:pt idx="9">
                  <c:v>0.25605912112944684</c:v>
                </c:pt>
                <c:pt idx="10">
                  <c:v>0.21487034142982031</c:v>
                </c:pt>
              </c:numCache>
            </c:numRef>
          </c:yVal>
          <c:smooth val="1"/>
          <c:extLst>
            <c:ext xmlns:c16="http://schemas.microsoft.com/office/drawing/2014/chart" uri="{C3380CC4-5D6E-409C-BE32-E72D297353CC}">
              <c16:uniqueId val="{00000003-2AB1-4062-AE64-EEFBEEB13AA9}"/>
            </c:ext>
          </c:extLst>
        </c:ser>
        <c:ser>
          <c:idx val="10"/>
          <c:order val="4"/>
          <c:tx>
            <c:strRef>
              <c:f>'PWGGS group'!$H$50</c:f>
              <c:strCache>
                <c:ptCount val="1"/>
                <c:pt idx="0">
                  <c:v>13Fdeck4</c:v>
                </c:pt>
              </c:strCache>
            </c:strRef>
          </c:tx>
          <c:spPr>
            <a:ln w="22225" cap="rnd">
              <a:solidFill>
                <a:schemeClr val="accent5">
                  <a:lumMod val="60000"/>
                </a:schemeClr>
              </a:solidFill>
            </a:ln>
            <a:effectLst>
              <a:glow rad="139700">
                <a:schemeClr val="accent5">
                  <a:lumMod val="60000"/>
                  <a:satMod val="175000"/>
                  <a:alpha val="14000"/>
                </a:schemeClr>
              </a:glow>
            </a:effectLst>
          </c:spPr>
          <c:marker>
            <c:symbol val="circle"/>
            <c:size val="3"/>
            <c:spPr>
              <a:solidFill>
                <a:schemeClr val="accent5">
                  <a:lumMod val="60000"/>
                  <a:lumMod val="60000"/>
                  <a:lumOff val="40000"/>
                </a:schemeClr>
              </a:solidFill>
              <a:ln>
                <a:noFill/>
              </a:ln>
              <a:effectLst>
                <a:glow rad="63500">
                  <a:schemeClr val="accent5">
                    <a:lumMod val="60000"/>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group'!$H$51:$H$61</c:f>
              <c:numCache>
                <c:formatCode>0.000</c:formatCode>
                <c:ptCount val="11"/>
                <c:pt idx="0">
                  <c:v>0.96371129508734821</c:v>
                </c:pt>
                <c:pt idx="1">
                  <c:v>0.88311025201502613</c:v>
                </c:pt>
                <c:pt idx="2">
                  <c:v>0.81844706225609987</c:v>
                </c:pt>
                <c:pt idx="3">
                  <c:v>0.69853021627338718</c:v>
                </c:pt>
                <c:pt idx="4">
                  <c:v>0.56479083846967448</c:v>
                </c:pt>
                <c:pt idx="5">
                  <c:v>0.51705022064991446</c:v>
                </c:pt>
                <c:pt idx="6">
                  <c:v>0.46759546300010957</c:v>
                </c:pt>
                <c:pt idx="7">
                  <c:v>0.38028374484846289</c:v>
                </c:pt>
                <c:pt idx="8">
                  <c:v>0.31419818374120151</c:v>
                </c:pt>
                <c:pt idx="9">
                  <c:v>0.25588095845946257</c:v>
                </c:pt>
                <c:pt idx="10">
                  <c:v>0.2150333710200957</c:v>
                </c:pt>
              </c:numCache>
            </c:numRef>
          </c:yVal>
          <c:smooth val="1"/>
          <c:extLst>
            <c:ext xmlns:c16="http://schemas.microsoft.com/office/drawing/2014/chart" uri="{C3380CC4-5D6E-409C-BE32-E72D297353CC}">
              <c16:uniqueId val="{00000004-2AB1-4062-AE64-EEFBEEB13AA9}"/>
            </c:ext>
          </c:extLst>
        </c:ser>
        <c:ser>
          <c:idx val="11"/>
          <c:order val="5"/>
          <c:tx>
            <c:strRef>
              <c:f>'PWGGS group'!$I$50</c:f>
              <c:strCache>
                <c:ptCount val="1"/>
                <c:pt idx="0">
                  <c:v>13Fdeck5</c:v>
                </c:pt>
              </c:strCache>
            </c:strRef>
          </c:tx>
          <c:spPr>
            <a:ln w="22225" cap="rnd">
              <a:solidFill>
                <a:schemeClr val="accent6">
                  <a:lumMod val="60000"/>
                </a:schemeClr>
              </a:solidFill>
            </a:ln>
            <a:effectLst>
              <a:glow rad="139700">
                <a:schemeClr val="accent6">
                  <a:lumMod val="60000"/>
                  <a:satMod val="175000"/>
                  <a:alpha val="14000"/>
                </a:schemeClr>
              </a:glow>
            </a:effectLst>
          </c:spPr>
          <c:marker>
            <c:symbol val="circle"/>
            <c:size val="3"/>
            <c:spPr>
              <a:solidFill>
                <a:schemeClr val="accent6">
                  <a:lumMod val="60000"/>
                  <a:lumMod val="60000"/>
                  <a:lumOff val="40000"/>
                </a:schemeClr>
              </a:solidFill>
              <a:ln>
                <a:noFill/>
              </a:ln>
              <a:effectLst>
                <a:glow rad="63500">
                  <a:schemeClr val="accent6">
                    <a:lumMod val="60000"/>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group'!$I$51:$I$61</c:f>
              <c:numCache>
                <c:formatCode>0.000</c:formatCode>
                <c:ptCount val="11"/>
                <c:pt idx="0">
                  <c:v>0.97875874743761926</c:v>
                </c:pt>
                <c:pt idx="1">
                  <c:v>0.92019509436629676</c:v>
                </c:pt>
                <c:pt idx="2">
                  <c:v>0.85746094578355836</c:v>
                </c:pt>
                <c:pt idx="3">
                  <c:v>0.75673287622817553</c:v>
                </c:pt>
                <c:pt idx="4">
                  <c:v>0.63720223368912132</c:v>
                </c:pt>
                <c:pt idx="5">
                  <c:v>0.60094012864918356</c:v>
                </c:pt>
                <c:pt idx="6">
                  <c:v>0.55008128931929035</c:v>
                </c:pt>
                <c:pt idx="7">
                  <c:v>0.46599985862727084</c:v>
                </c:pt>
                <c:pt idx="8">
                  <c:v>0.39605570085530506</c:v>
                </c:pt>
                <c:pt idx="9">
                  <c:v>0.31190358379868527</c:v>
                </c:pt>
                <c:pt idx="10">
                  <c:v>0.26645225136071254</c:v>
                </c:pt>
              </c:numCache>
            </c:numRef>
          </c:yVal>
          <c:smooth val="1"/>
          <c:extLst>
            <c:ext xmlns:c16="http://schemas.microsoft.com/office/drawing/2014/chart" uri="{C3380CC4-5D6E-409C-BE32-E72D297353CC}">
              <c16:uniqueId val="{00000005-2AB1-4062-AE64-EEFBEEB13AA9}"/>
            </c:ext>
          </c:extLst>
        </c:ser>
        <c:ser>
          <c:idx val="0"/>
          <c:order val="6"/>
          <c:tx>
            <c:strRef>
              <c:f>'PWGGS group'!$D$50</c:f>
              <c:strCache>
                <c:ptCount val="1"/>
                <c:pt idx="0">
                  <c:v>SC13F</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'PWGGS group'!$C$94:$C$104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group'!$D$94:$D$104</c:f>
              <c:numCache>
                <c:formatCode>0%</c:formatCode>
                <c:ptCount val="11"/>
                <c:pt idx="0">
                  <c:v>0.97450281257919147</c:v>
                </c:pt>
                <c:pt idx="1">
                  <c:v>0.89979681809743028</c:v>
                </c:pt>
                <c:pt idx="2">
                  <c:v>0.81841625698217835</c:v>
                </c:pt>
                <c:pt idx="3">
                  <c:v>0.69485428615152545</c:v>
                </c:pt>
                <c:pt idx="4">
                  <c:v>0.5797373035930391</c:v>
                </c:pt>
                <c:pt idx="5">
                  <c:v>0.5323025562259398</c:v>
                </c:pt>
                <c:pt idx="6">
                  <c:v>0.48400614419398535</c:v>
                </c:pt>
                <c:pt idx="7">
                  <c:v>0.40382051683321651</c:v>
                </c:pt>
                <c:pt idx="8">
                  <c:v>0.33713823500319307</c:v>
                </c:pt>
                <c:pt idx="9">
                  <c:v>0.281284314127762</c:v>
                </c:pt>
                <c:pt idx="10">
                  <c:v>0.23646455287683776</c:v>
                </c:pt>
              </c:numCache>
            </c:numRef>
          </c:yVal>
          <c:smooth val="1"/>
          <c:extLst>
            <c:ext xmlns:c16="http://schemas.microsoft.com/office/drawing/2014/chart" uri="{C3380CC4-5D6E-409C-BE32-E72D297353CC}">
              <c16:uniqueId val="{00000006-2AB1-4062-AE64-EEFBEEB13AA9}"/>
            </c:ext>
          </c:extLst>
        </c:ser>
        <c:ser>
          <c:idx val="1"/>
          <c:order val="7"/>
          <c:tx>
            <c:strRef>
              <c:f>'PWGGS group'!$E$50</c:f>
              <c:strCache>
                <c:ptCount val="1"/>
                <c:pt idx="0">
                  <c:v>13Fdeck1</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'PWGGS group'!$C$94:$C$104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group'!$E$94:$E$104</c:f>
              <c:numCache>
                <c:formatCode>0%</c:formatCode>
                <c:ptCount val="11"/>
                <c:pt idx="0">
                  <c:v>0.96636751403518506</c:v>
                </c:pt>
                <c:pt idx="1">
                  <c:v>0.88554431520012011</c:v>
                </c:pt>
                <c:pt idx="2">
                  <c:v>0.81844706224999053</c:v>
                </c:pt>
                <c:pt idx="3">
                  <c:v>0.68905840740957314</c:v>
                </c:pt>
                <c:pt idx="4">
                  <c:v>0.56250302653309103</c:v>
                </c:pt>
                <c:pt idx="5">
                  <c:v>0.51119864512389901</c:v>
                </c:pt>
                <c:pt idx="6">
                  <c:v>0.45952566632757408</c:v>
                </c:pt>
                <c:pt idx="7">
                  <c:v>0.37512723928677599</c:v>
                </c:pt>
                <c:pt idx="8">
                  <c:v>0.30645274151380619</c:v>
                </c:pt>
                <c:pt idx="9">
                  <c:v>0.25016833513275283</c:v>
                </c:pt>
                <c:pt idx="10">
                  <c:v>0.20595833595957372</c:v>
                </c:pt>
              </c:numCache>
            </c:numRef>
          </c:yVal>
          <c:smooth val="1"/>
          <c:extLst>
            <c:ext xmlns:c16="http://schemas.microsoft.com/office/drawing/2014/chart" uri="{C3380CC4-5D6E-409C-BE32-E72D297353CC}">
              <c16:uniqueId val="{00000007-2AB1-4062-AE64-EEFBEEB13AA9}"/>
            </c:ext>
          </c:extLst>
        </c:ser>
        <c:ser>
          <c:idx val="2"/>
          <c:order val="8"/>
          <c:tx>
            <c:strRef>
              <c:f>'PWGGS group'!$F$50</c:f>
              <c:strCache>
                <c:ptCount val="1"/>
                <c:pt idx="0">
                  <c:v>13Fdeck2</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'PWGGS group'!$C$94:$C$104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group'!$F$94:$F$104</c:f>
              <c:numCache>
                <c:formatCode>0%</c:formatCode>
                <c:ptCount val="11"/>
                <c:pt idx="0">
                  <c:v>0.97313088864624386</c:v>
                </c:pt>
                <c:pt idx="1">
                  <c:v>0.89545919112164551</c:v>
                </c:pt>
                <c:pt idx="2">
                  <c:v>0.81182560769456191</c:v>
                </c:pt>
                <c:pt idx="3">
                  <c:v>0.68321176502885772</c:v>
                </c:pt>
                <c:pt idx="4">
                  <c:v>0.5678405436385483</c:v>
                </c:pt>
                <c:pt idx="5">
                  <c:v>0.5204371957378936</c:v>
                </c:pt>
                <c:pt idx="6">
                  <c:v>0.47226478055160298</c:v>
                </c:pt>
                <c:pt idx="7">
                  <c:v>0.39251532754040735</c:v>
                </c:pt>
                <c:pt idx="8">
                  <c:v>0.32644933001122006</c:v>
                </c:pt>
                <c:pt idx="9">
                  <c:v>0.27132314534452034</c:v>
                </c:pt>
                <c:pt idx="10">
                  <c:v>0.22725344833926495</c:v>
                </c:pt>
              </c:numCache>
            </c:numRef>
          </c:yVal>
          <c:smooth val="1"/>
          <c:extLst>
            <c:ext xmlns:c16="http://schemas.microsoft.com/office/drawing/2014/chart" uri="{C3380CC4-5D6E-409C-BE32-E72D297353CC}">
              <c16:uniqueId val="{00000008-2AB1-4062-AE64-EEFBEEB13AA9}"/>
            </c:ext>
          </c:extLst>
        </c:ser>
        <c:ser>
          <c:idx val="3"/>
          <c:order val="9"/>
          <c:tx>
            <c:strRef>
              <c:f>'PWGGS group'!$G$50</c:f>
              <c:strCache>
                <c:ptCount val="1"/>
                <c:pt idx="0">
                  <c:v>13Fdeck3</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'PWGGS group'!$C$94:$C$104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group'!$G$94:$G$104</c:f>
              <c:numCache>
                <c:formatCode>0%</c:formatCode>
                <c:ptCount val="11"/>
                <c:pt idx="0">
                  <c:v>0.95992213964659079</c:v>
                </c:pt>
                <c:pt idx="1">
                  <c:v>0.86765891974623122</c:v>
                </c:pt>
                <c:pt idx="2">
                  <c:v>0.77919635542285415</c:v>
                </c:pt>
                <c:pt idx="3">
                  <c:v>0.6538458368535538</c:v>
                </c:pt>
                <c:pt idx="4">
                  <c:v>0.53648480798242071</c:v>
                </c:pt>
                <c:pt idx="5">
                  <c:v>0.4887258734706254</c:v>
                </c:pt>
                <c:pt idx="6">
                  <c:v>0.44050175029523936</c:v>
                </c:pt>
                <c:pt idx="7">
                  <c:v>0.36143458228669956</c:v>
                </c:pt>
                <c:pt idx="8">
                  <c:v>0.29676994342724589</c:v>
                </c:pt>
                <c:pt idx="9">
                  <c:v>0.24350168975715264</c:v>
                </c:pt>
                <c:pt idx="10">
                  <c:v>0.20145121095895782</c:v>
                </c:pt>
              </c:numCache>
            </c:numRef>
          </c:yVal>
          <c:smooth val="1"/>
          <c:extLst>
            <c:ext xmlns:c16="http://schemas.microsoft.com/office/drawing/2014/chart" uri="{C3380CC4-5D6E-409C-BE32-E72D297353CC}">
              <c16:uniqueId val="{00000009-2AB1-4062-AE64-EEFBEEB13AA9}"/>
            </c:ext>
          </c:extLst>
        </c:ser>
        <c:ser>
          <c:idx val="4"/>
          <c:order val="10"/>
          <c:tx>
            <c:strRef>
              <c:f>'PWGGS group'!$H$50</c:f>
              <c:strCache>
                <c:ptCount val="1"/>
                <c:pt idx="0">
                  <c:v>13Fdeck4</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'PWGGS group'!$C$94:$C$104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group'!$H$94:$H$104</c:f>
              <c:numCache>
                <c:formatCode>0%</c:formatCode>
                <c:ptCount val="11"/>
                <c:pt idx="0">
                  <c:v>0.97586850807286607</c:v>
                </c:pt>
                <c:pt idx="1">
                  <c:v>0.89425068326053525</c:v>
                </c:pt>
                <c:pt idx="2">
                  <c:v>0.81844706238489595</c:v>
                </c:pt>
                <c:pt idx="3">
                  <c:v>0.68905840740957314</c:v>
                </c:pt>
                <c:pt idx="4">
                  <c:v>0.56250302653309103</c:v>
                </c:pt>
                <c:pt idx="5">
                  <c:v>0.51119864512389901</c:v>
                </c:pt>
                <c:pt idx="6">
                  <c:v>0.45952566632757408</c:v>
                </c:pt>
                <c:pt idx="7">
                  <c:v>0.37512723928677599</c:v>
                </c:pt>
                <c:pt idx="8">
                  <c:v>0.30645274151380619</c:v>
                </c:pt>
                <c:pt idx="9">
                  <c:v>0.25016833513275283</c:v>
                </c:pt>
                <c:pt idx="10">
                  <c:v>0.20595833595957372</c:v>
                </c:pt>
              </c:numCache>
            </c:numRef>
          </c:yVal>
          <c:smooth val="1"/>
          <c:extLst>
            <c:ext xmlns:c16="http://schemas.microsoft.com/office/drawing/2014/chart" uri="{C3380CC4-5D6E-409C-BE32-E72D297353CC}">
              <c16:uniqueId val="{0000000A-2AB1-4062-AE64-EEFBEEB13AA9}"/>
            </c:ext>
          </c:extLst>
        </c:ser>
        <c:ser>
          <c:idx val="5"/>
          <c:order val="11"/>
          <c:tx>
            <c:strRef>
              <c:f>'PWGGS group'!$I$50</c:f>
              <c:strCache>
                <c:ptCount val="1"/>
                <c:pt idx="0">
                  <c:v>13Fdeck5</c:v>
                </c:pt>
              </c:strCache>
            </c:strRef>
          </c:tx>
          <c:spPr>
            <a:ln w="22225" cap="rnd">
              <a:solidFill>
                <a:schemeClr val="accent6"/>
              </a:solid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xVal>
            <c:numRef>
              <c:f>'PWGGS group'!$C$94:$C$104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group'!$I$94:$I$104</c:f>
              <c:numCache>
                <c:formatCode>0%</c:formatCode>
                <c:ptCount val="11"/>
                <c:pt idx="0">
                  <c:v>0.980657557572026</c:v>
                </c:pt>
                <c:pt idx="1">
                  <c:v>0.92198028992688663</c:v>
                </c:pt>
                <c:pt idx="2">
                  <c:v>0.8574609459347059</c:v>
                </c:pt>
                <c:pt idx="3">
                  <c:v>0.7455083089939325</c:v>
                </c:pt>
                <c:pt idx="4">
                  <c:v>0.6341366807693638</c:v>
                </c:pt>
                <c:pt idx="5">
                  <c:v>0.58757816066162061</c:v>
                </c:pt>
                <c:pt idx="6">
                  <c:v>0.5397159887741132</c:v>
                </c:pt>
                <c:pt idx="7">
                  <c:v>0.45908771444981561</c:v>
                </c:pt>
                <c:pt idx="8">
                  <c:v>0.39073118974558529</c:v>
                </c:pt>
                <c:pt idx="9">
                  <c:v>0.33235978291470197</c:v>
                </c:pt>
                <c:pt idx="10">
                  <c:v>0.28462405315126127</c:v>
                </c:pt>
              </c:numCache>
            </c:numRef>
          </c:yVal>
          <c:smooth val="1"/>
          <c:extLst>
            <c:ext xmlns:c16="http://schemas.microsoft.com/office/drawing/2014/chart" uri="{C3380CC4-5D6E-409C-BE32-E72D297353CC}">
              <c16:uniqueId val="{0000000B-2AB1-4062-AE64-EEFBEEB13AA9}"/>
            </c:ext>
          </c:extLst>
        </c:ser>
        <c:ser>
          <c:idx val="12"/>
          <c:order val="12"/>
          <c:tx>
            <c:strRef>
              <c:f>'PWGGS group'!$D$75</c:f>
              <c:strCache>
                <c:ptCount val="1"/>
                <c:pt idx="0">
                  <c:v>X &gt;= 600um</c:v>
                </c:pt>
              </c:strCache>
            </c:strRef>
          </c:tx>
          <c:spPr>
            <a:ln w="22225" cap="flat">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ysDash"/>
              <a:miter lim="800000"/>
            </a:ln>
            <a:effectLst>
              <a:glow rad="139700">
                <a:schemeClr val="accent1">
                  <a:lumMod val="80000"/>
                  <a:lumOff val="20000"/>
                  <a:satMod val="175000"/>
                  <a:alpha val="14000"/>
                </a:schemeClr>
              </a:glow>
            </a:effectLst>
          </c:spPr>
          <c:marker>
            <c:symbol val="circle"/>
            <c:size val="3"/>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group'!$D$76:$D$86</c:f>
              <c:numCache>
                <c:formatCode>0%</c:formatCode>
                <c:ptCount val="11"/>
                <c:pt idx="0">
                  <c:v>0.97193744044635633</c:v>
                </c:pt>
                <c:pt idx="1">
                  <c:v>0.89416946443910306</c:v>
                </c:pt>
                <c:pt idx="2">
                  <c:v>0.85694586720617372</c:v>
                </c:pt>
                <c:pt idx="3">
                  <c:v>0.82092092282953222</c:v>
                </c:pt>
                <c:pt idx="4">
                  <c:v>0.78651811273419847</c:v>
                </c:pt>
                <c:pt idx="5">
                  <c:v>0.77080808234751108</c:v>
                </c:pt>
                <c:pt idx="6">
                  <c:v>0.75367275258278199</c:v>
                </c:pt>
                <c:pt idx="7">
                  <c:v>0.72208815063139886</c:v>
                </c:pt>
                <c:pt idx="8">
                  <c:v>0.6919334154961716</c:v>
                </c:pt>
                <c:pt idx="9">
                  <c:v>0.66293615981668208</c:v>
                </c:pt>
                <c:pt idx="10">
                  <c:v>0.63628998172069207</c:v>
                </c:pt>
              </c:numCache>
            </c:numRef>
          </c:yVal>
          <c:smooth val="1"/>
          <c:extLst>
            <c:ext xmlns:c16="http://schemas.microsoft.com/office/drawing/2014/chart" uri="{C3380CC4-5D6E-409C-BE32-E72D297353CC}">
              <c16:uniqueId val="{0000000C-2AB1-4062-AE64-EEFBEEB13AA9}"/>
            </c:ext>
          </c:extLst>
        </c:ser>
        <c:ser>
          <c:idx val="13"/>
          <c:order val="13"/>
          <c:tx>
            <c:strRef>
              <c:f>'PWGGS group'!$F$75</c:f>
              <c:strCache>
                <c:ptCount val="1"/>
                <c:pt idx="0">
                  <c:v>X &lt; 425um</c:v>
                </c:pt>
              </c:strCache>
            </c:strRef>
          </c:tx>
          <c:spPr>
            <a:ln w="22225" cap="flat">
              <a:solidFill>
                <a:schemeClr val="accent2">
                  <a:lumMod val="80000"/>
                  <a:lumOff val="20000"/>
                </a:schemeClr>
              </a:solidFill>
              <a:prstDash val="dash"/>
              <a:bevel/>
            </a:ln>
            <a:effectLst>
              <a:glow rad="139700">
                <a:schemeClr val="accent2">
                  <a:lumMod val="80000"/>
                  <a:lumOff val="20000"/>
                  <a:satMod val="175000"/>
                  <a:alpha val="14000"/>
                </a:schemeClr>
              </a:glow>
            </a:effectLst>
          </c:spPr>
          <c:marker>
            <c:symbol val="circle"/>
            <c:size val="3"/>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group'!$F$76:$F$86</c:f>
              <c:numCache>
                <c:formatCode>0%</c:formatCode>
                <c:ptCount val="11"/>
                <c:pt idx="0">
                  <c:v>1.4557329148602209</c:v>
                </c:pt>
                <c:pt idx="1">
                  <c:v>1.00815345935965</c:v>
                </c:pt>
                <c:pt idx="2">
                  <c:v>0.835940741930007</c:v>
                </c:pt>
                <c:pt idx="3">
                  <c:v>0.69184153018195549</c:v>
                </c:pt>
                <c:pt idx="4">
                  <c:v>0.5729275954388362</c:v>
                </c:pt>
                <c:pt idx="5">
                  <c:v>0.52420119009775457</c:v>
                </c:pt>
                <c:pt idx="6">
                  <c:v>0.47477365518195108</c:v>
                </c:pt>
                <c:pt idx="7">
                  <c:v>0.39316941347762546</c:v>
                </c:pt>
                <c:pt idx="8">
                  <c:v>0.32581164012450503</c:v>
                </c:pt>
                <c:pt idx="9">
                  <c:v>0.26981103532975609</c:v>
                </c:pt>
                <c:pt idx="10">
                  <c:v>0.22520148757312522</c:v>
                </c:pt>
              </c:numCache>
            </c:numRef>
          </c:yVal>
          <c:smooth val="1"/>
          <c:extLst>
            <c:ext xmlns:c16="http://schemas.microsoft.com/office/drawing/2014/chart" uri="{C3380CC4-5D6E-409C-BE32-E72D297353CC}">
              <c16:uniqueId val="{0000000D-2AB1-4062-AE64-EEFBEEB13AA9}"/>
            </c:ext>
          </c:extLst>
        </c:ser>
        <c:dLbls>
          <c:showLegendKey val="0"/>
          <c:showVal val="0"/>
          <c:showCatName val="0"/>
          <c:showSerName val="0"/>
          <c:showPercent val="0"/>
          <c:showBubbleSize val="0"/>
        </c:dLbls>
        <c:axId val="1020547680"/>
        <c:axId val="931494560"/>
      </c:scatterChart>
      <c:valAx>
        <c:axId val="1020547680"/>
        <c:scaling>
          <c:logBase val="10"/>
          <c:orientation val="minMax"/>
          <c:max val="1200"/>
          <c:min val="10"/>
        </c:scaling>
        <c:delete val="0"/>
        <c:axPos val="b"/>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title>
          <c:tx>
            <c:strRef>
              <c:f>'PWGGS group'!$C$50</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cross"/>
        <c:minorTickMark val="in"/>
        <c:tickLblPos val="nextTo"/>
        <c:spPr>
          <a:noFill/>
          <a:ln w="1905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logBase val="10"/>
          <c:orientation val="minMax"/>
          <c:max val="1.2"/>
        </c:scaling>
        <c:delete val="0"/>
        <c:axPos val="l"/>
        <c:majorGridlines>
          <c:spPr>
            <a:ln w="9525" cap="flat" cmpd="sng" algn="ctr">
              <a:solidFill>
                <a:schemeClr val="dk1">
                  <a:lumMod val="65000"/>
                  <a:lumOff val="35000"/>
                  <a:alpha val="75000"/>
                </a:schemeClr>
              </a:solidFill>
              <a:round/>
            </a:ln>
            <a:effectLst/>
          </c:spPr>
        </c:majorGridlines>
        <c:minorGridlines>
          <c:spPr>
            <a:ln w="3175" cap="flat" cmpd="sng" algn="ctr">
              <a:solidFill>
                <a:schemeClr val="dk1">
                  <a:lumMod val="65000"/>
                  <a:lumOff val="35000"/>
                  <a:alpha val="25000"/>
                </a:schemeClr>
              </a:solidFill>
              <a:round/>
            </a:ln>
            <a:effectLst/>
          </c:spPr>
        </c:minorGridlines>
        <c:title>
          <c:tx>
            <c:strRef>
              <c:f>'PWGGS group'!$A$89</c:f>
              <c:strCache>
                <c:ptCount val="1"/>
                <c:pt idx="0">
                  <c:v>GGS Model Fitted: y = ( x / k ) ^ n</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0"/>
        <c:majorTickMark val="out"/>
        <c:minorTickMark val="in"/>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'PWGGS group'!$D$217</c:f>
              <c:strCache>
                <c:ptCount val="1"/>
                <c:pt idx="0">
                  <c:v>SC13F</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'PWGGS group'!$D$218:$D$229</c:f>
              <c:numCache>
                <c:formatCode>0</c:formatCode>
                <c:ptCount val="12"/>
                <c:pt idx="0">
                  <c:v>1468.9254149671774</c:v>
                </c:pt>
                <c:pt idx="1">
                  <c:v>950.82172581606869</c:v>
                </c:pt>
                <c:pt idx="2">
                  <c:v>601.14986579003516</c:v>
                </c:pt>
                <c:pt idx="3">
                  <c:v>470.88327389334034</c:v>
                </c:pt>
                <c:pt idx="4">
                  <c:v>393.03045666088161</c:v>
                </c:pt>
                <c:pt idx="5">
                  <c:v>347.29531337513163</c:v>
                </c:pt>
                <c:pt idx="6">
                  <c:v>159.64514890616954</c:v>
                </c:pt>
                <c:pt idx="7">
                  <c:v>104.08599553037691</c:v>
                </c:pt>
                <c:pt idx="8">
                  <c:v>42.278719050598689</c:v>
                </c:pt>
                <c:pt idx="9">
                  <c:v>17.971940366477202</c:v>
                </c:pt>
                <c:pt idx="10">
                  <c:v>7.3000273829023623</c:v>
                </c:pt>
                <c:pt idx="11">
                  <c:v>1.9332614169491928</c:v>
                </c:pt>
              </c:numCache>
            </c:numRef>
          </c:xVal>
          <c:y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yVal>
          <c:smooth val="1"/>
          <c:extLst>
            <c:ext xmlns:c16="http://schemas.microsoft.com/office/drawing/2014/chart" uri="{C3380CC4-5D6E-409C-BE32-E72D297353CC}">
              <c16:uniqueId val="{00000000-8BEB-4FE9-82A6-9B32F8CB06AB}"/>
            </c:ext>
          </c:extLst>
        </c:ser>
        <c:ser>
          <c:idx val="1"/>
          <c:order val="1"/>
          <c:tx>
            <c:strRef>
              <c:f>'PWGGS group'!$E$217</c:f>
              <c:strCache>
                <c:ptCount val="1"/>
                <c:pt idx="0">
                  <c:v>13Fdeck1</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'PWGGS group'!$E$218:$E$229</c:f>
              <c:numCache>
                <c:formatCode>0</c:formatCode>
                <c:ptCount val="12"/>
                <c:pt idx="0">
                  <c:v>1537.9211099198712</c:v>
                </c:pt>
                <c:pt idx="1">
                  <c:v>1033.794850510646</c:v>
                </c:pt>
                <c:pt idx="2">
                  <c:v>680.15193216977923</c:v>
                </c:pt>
                <c:pt idx="3">
                  <c:v>478.16976631638545</c:v>
                </c:pt>
                <c:pt idx="4">
                  <c:v>387.29952469120451</c:v>
                </c:pt>
                <c:pt idx="5">
                  <c:v>346.81035625790696</c:v>
                </c:pt>
                <c:pt idx="6">
                  <c:v>173.30615403152586</c:v>
                </c:pt>
                <c:pt idx="7">
                  <c:v>118.30652451255278</c:v>
                </c:pt>
                <c:pt idx="8">
                  <c:v>52.938997992456322</c:v>
                </c:pt>
                <c:pt idx="9">
                  <c:v>24.669772257550751</c:v>
                </c:pt>
                <c:pt idx="10">
                  <c:v>11.039061703467283</c:v>
                </c:pt>
                <c:pt idx="11">
                  <c:v>3.3720491267271977</c:v>
                </c:pt>
              </c:numCache>
            </c:numRef>
          </c:xVal>
          <c:y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yVal>
          <c:smooth val="1"/>
          <c:extLst>
            <c:ext xmlns:c16="http://schemas.microsoft.com/office/drawing/2014/chart" uri="{C3380CC4-5D6E-409C-BE32-E72D297353CC}">
              <c16:uniqueId val="{00000001-8BEB-4FE9-82A6-9B32F8CB06AB}"/>
            </c:ext>
          </c:extLst>
        </c:ser>
        <c:ser>
          <c:idx val="2"/>
          <c:order val="2"/>
          <c:tx>
            <c:strRef>
              <c:f>'PWGGS group'!$F$217</c:f>
              <c:strCache>
                <c:ptCount val="1"/>
                <c:pt idx="0">
                  <c:v>13Fdeck2</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'PWGGS group'!$F$218:$F$229</c:f>
              <c:numCache>
                <c:formatCode>0</c:formatCode>
                <c:ptCount val="12"/>
                <c:pt idx="0">
                  <c:v>1472.5150964189204</c:v>
                </c:pt>
                <c:pt idx="1">
                  <c:v>970.36180127136788</c:v>
                </c:pt>
                <c:pt idx="2">
                  <c:v>625.19051658706735</c:v>
                </c:pt>
                <c:pt idx="3">
                  <c:v>483.7809098004663</c:v>
                </c:pt>
                <c:pt idx="4">
                  <c:v>403.42945070144805</c:v>
                </c:pt>
                <c:pt idx="5">
                  <c:v>357.40029090991385</c:v>
                </c:pt>
                <c:pt idx="6">
                  <c:v>166.9606488636843</c:v>
                </c:pt>
                <c:pt idx="7">
                  <c:v>109.82580797812834</c:v>
                </c:pt>
                <c:pt idx="8">
                  <c:v>45.451783775638184</c:v>
                </c:pt>
                <c:pt idx="9">
                  <c:v>19.666700237437588</c:v>
                </c:pt>
                <c:pt idx="10">
                  <c:v>8.1391307127949606</c:v>
                </c:pt>
                <c:pt idx="11">
                  <c:v>2.2157197626947998</c:v>
                </c:pt>
              </c:numCache>
            </c:numRef>
          </c:xVal>
          <c:y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yVal>
          <c:smooth val="1"/>
          <c:extLst>
            <c:ext xmlns:c16="http://schemas.microsoft.com/office/drawing/2014/chart" uri="{C3380CC4-5D6E-409C-BE32-E72D297353CC}">
              <c16:uniqueId val="{00000002-8BEB-4FE9-82A6-9B32F8CB06AB}"/>
            </c:ext>
          </c:extLst>
        </c:ser>
        <c:ser>
          <c:idx val="3"/>
          <c:order val="3"/>
          <c:tx>
            <c:strRef>
              <c:f>'PWGGS group'!$G$217</c:f>
              <c:strCache>
                <c:ptCount val="1"/>
                <c:pt idx="0">
                  <c:v>13Fdeck3</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'PWGGS group'!$G$218:$G$229</c:f>
              <c:numCache>
                <c:formatCode>0</c:formatCode>
                <c:ptCount val="12"/>
                <c:pt idx="0">
                  <c:v>1551.5810991674007</c:v>
                </c:pt>
                <c:pt idx="1">
                  <c:v>1100.7304532112473</c:v>
                </c:pt>
                <c:pt idx="2">
                  <c:v>766.52186770981621</c:v>
                </c:pt>
                <c:pt idx="3">
                  <c:v>551.98240438018638</c:v>
                </c:pt>
                <c:pt idx="4">
                  <c:v>465.80300757213371</c:v>
                </c:pt>
                <c:pt idx="5">
                  <c:v>381.67534508195058</c:v>
                </c:pt>
                <c:pt idx="6">
                  <c:v>187.35062185681525</c:v>
                </c:pt>
                <c:pt idx="7">
                  <c:v>126.64228035342695</c:v>
                </c:pt>
                <c:pt idx="8">
                  <c:v>55.507227269204741</c:v>
                </c:pt>
                <c:pt idx="9">
                  <c:v>25.362770955479611</c:v>
                </c:pt>
                <c:pt idx="10">
                  <c:v>11.11648564502887</c:v>
                </c:pt>
                <c:pt idx="11">
                  <c:v>3.2935321431975444</c:v>
                </c:pt>
              </c:numCache>
            </c:numRef>
          </c:xVal>
          <c:y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yVal>
          <c:smooth val="1"/>
          <c:extLst>
            <c:ext xmlns:c16="http://schemas.microsoft.com/office/drawing/2014/chart" uri="{C3380CC4-5D6E-409C-BE32-E72D297353CC}">
              <c16:uniqueId val="{00000003-8BEB-4FE9-82A6-9B32F8CB06AB}"/>
            </c:ext>
          </c:extLst>
        </c:ser>
        <c:ser>
          <c:idx val="4"/>
          <c:order val="4"/>
          <c:tx>
            <c:strRef>
              <c:f>'PWGGS group'!$H$217</c:f>
              <c:strCache>
                <c:ptCount val="1"/>
                <c:pt idx="0">
                  <c:v>13Fdeck4</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'PWGGS group'!$H$218:$H$229</c:f>
              <c:numCache>
                <c:formatCode>0</c:formatCode>
                <c:ptCount val="12"/>
                <c:pt idx="0">
                  <c:v>1425.7113544733579</c:v>
                </c:pt>
                <c:pt idx="1">
                  <c:v>958.36714059143674</c:v>
                </c:pt>
                <c:pt idx="2">
                  <c:v>630.52670660848844</c:v>
                </c:pt>
                <c:pt idx="3">
                  <c:v>478.16976595895682</c:v>
                </c:pt>
                <c:pt idx="4">
                  <c:v>387.29952469120451</c:v>
                </c:pt>
                <c:pt idx="5">
                  <c:v>346.81035625790696</c:v>
                </c:pt>
                <c:pt idx="6">
                  <c:v>173.30615403152586</c:v>
                </c:pt>
                <c:pt idx="7">
                  <c:v>118.30652451255278</c:v>
                </c:pt>
                <c:pt idx="8">
                  <c:v>52.938997992456322</c:v>
                </c:pt>
                <c:pt idx="9">
                  <c:v>24.669772257550751</c:v>
                </c:pt>
                <c:pt idx="10">
                  <c:v>11.039061703467283</c:v>
                </c:pt>
                <c:pt idx="11">
                  <c:v>3.3720491267271977</c:v>
                </c:pt>
              </c:numCache>
            </c:numRef>
          </c:xVal>
          <c:y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yVal>
          <c:smooth val="1"/>
          <c:extLst>
            <c:ext xmlns:c16="http://schemas.microsoft.com/office/drawing/2014/chart" uri="{C3380CC4-5D6E-409C-BE32-E72D297353CC}">
              <c16:uniqueId val="{00000004-8BEB-4FE9-82A6-9B32F8CB06AB}"/>
            </c:ext>
          </c:extLst>
        </c:ser>
        <c:ser>
          <c:idx val="5"/>
          <c:order val="5"/>
          <c:tx>
            <c:strRef>
              <c:f>'PWGGS group'!$I$217</c:f>
              <c:strCache>
                <c:ptCount val="1"/>
                <c:pt idx="0">
                  <c:v>13Fdeck5</c:v>
                </c:pt>
              </c:strCache>
            </c:strRef>
          </c:tx>
          <c:spPr>
            <a:ln w="22225" cap="rnd">
              <a:solidFill>
                <a:schemeClr val="accent6"/>
              </a:solid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xVal>
            <c:numRef>
              <c:f>'PWGGS group'!$I$218:$I$229</c:f>
              <c:numCache>
                <c:formatCode>0</c:formatCode>
                <c:ptCount val="12"/>
                <c:pt idx="0">
                  <c:v>1461.7300319582632</c:v>
                </c:pt>
                <c:pt idx="1">
                  <c:v>833.06099855547143</c:v>
                </c:pt>
                <c:pt idx="2">
                  <c:v>538.37486513814076</c:v>
                </c:pt>
                <c:pt idx="3">
                  <c:v>387.55364900770712</c:v>
                </c:pt>
                <c:pt idx="4">
                  <c:v>349.03065613900361</c:v>
                </c:pt>
                <c:pt idx="5">
                  <c:v>303.89195031904075</c:v>
                </c:pt>
                <c:pt idx="6">
                  <c:v>127.30938573974449</c:v>
                </c:pt>
                <c:pt idx="7">
                  <c:v>78.869617312284362</c:v>
                </c:pt>
                <c:pt idx="8">
                  <c:v>28.767795484293543</c:v>
                </c:pt>
                <c:pt idx="9">
                  <c:v>11.040918505686157</c:v>
                </c:pt>
                <c:pt idx="10">
                  <c:v>4.0271893836216197</c:v>
                </c:pt>
                <c:pt idx="11">
                  <c:v>0.91001429227991948</c:v>
                </c:pt>
              </c:numCache>
            </c:numRef>
          </c:xVal>
          <c:y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yVal>
          <c:smooth val="1"/>
          <c:extLst>
            <c:ext xmlns:c16="http://schemas.microsoft.com/office/drawing/2014/chart" uri="{C3380CC4-5D6E-409C-BE32-E72D297353CC}">
              <c16:uniqueId val="{00000005-8BEB-4FE9-82A6-9B32F8CB06AB}"/>
            </c:ext>
          </c:extLst>
        </c:ser>
        <c:dLbls>
          <c:showLegendKey val="0"/>
          <c:showVal val="0"/>
          <c:showCatName val="0"/>
          <c:showSerName val="0"/>
          <c:showPercent val="0"/>
          <c:showBubbleSize val="0"/>
        </c:dLbls>
        <c:axId val="1020547680"/>
        <c:axId val="931494560"/>
      </c:scatterChart>
      <c:valAx>
        <c:axId val="1020547680"/>
        <c:scaling>
          <c:logBase val="10"/>
          <c:orientation val="minMax"/>
          <c:max val="1200"/>
          <c:min val="10"/>
        </c:scaling>
        <c:delete val="0"/>
        <c:axPos val="b"/>
        <c:majorGridlines>
          <c:spPr>
            <a:ln w="9525" cap="flat" cmpd="sng" algn="ctr">
              <a:solidFill>
                <a:schemeClr val="dk1">
                  <a:lumMod val="65000"/>
                  <a:lumOff val="35000"/>
                  <a:alpha val="75000"/>
                </a:schemeClr>
              </a:solidFill>
              <a:round/>
            </a:ln>
            <a:effectLst/>
          </c:spPr>
        </c:majorGridlines>
        <c:title>
          <c:tx>
            <c:strRef>
              <c:f>'PWGGS group'!$C$50</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out"/>
        <c:minorTickMark val="in"/>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logBase val="10"/>
          <c:orientation val="minMax"/>
          <c:max val="1"/>
          <c:min val="0.1"/>
        </c:scaling>
        <c:delete val="0"/>
        <c:axPos val="l"/>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title>
          <c:tx>
            <c:strRef>
              <c:f>'PWGGS group'!$A$217:$B$217</c:f>
              <c:strCache>
                <c:ptCount val="2"/>
                <c:pt idx="0">
                  <c:v>GGS Piecewise Model :</c:v>
                </c:pt>
                <c:pt idx="1">
                  <c:v>x = k y ^ ( 1 / n )</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0"/>
        <c:majorTickMark val="out"/>
        <c:minorTickMark val="in"/>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06714785651794"/>
          <c:y val="6.5993256662052663E-2"/>
          <c:w val="0.80304396325459315"/>
          <c:h val="0.85549035686837138"/>
        </c:manualLayout>
      </c:layout>
      <c:scatterChart>
        <c:scatterStyle val="smoothMarker"/>
        <c:varyColors val="0"/>
        <c:ser>
          <c:idx val="6"/>
          <c:order val="0"/>
          <c:tx>
            <c:strRef>
              <c:f>'PWGGS group'!$D$50</c:f>
              <c:strCache>
                <c:ptCount val="1"/>
                <c:pt idx="0">
                  <c:v>SC13F</c:v>
                </c:pt>
              </c:strCache>
            </c:strRef>
          </c:tx>
          <c:spPr>
            <a:ln w="22225" cap="rnd">
              <a:solidFill>
                <a:schemeClr val="bg1"/>
              </a:solidFill>
            </a:ln>
            <a:effectLst>
              <a:glow rad="139700">
                <a:schemeClr val="accent1">
                  <a:lumMod val="60000"/>
                  <a:satMod val="175000"/>
                  <a:alpha val="14000"/>
                </a:schemeClr>
              </a:glow>
            </a:effectLst>
          </c:spPr>
          <c:marker>
            <c:symbol val="circle"/>
            <c:size val="3"/>
            <c:spPr>
              <a:solidFill>
                <a:schemeClr val="accent1">
                  <a:lumMod val="60000"/>
                  <a:lumMod val="60000"/>
                  <a:lumOff val="40000"/>
                </a:schemeClr>
              </a:solidFill>
              <a:ln>
                <a:noFill/>
              </a:ln>
              <a:effectLst>
                <a:glow rad="63500">
                  <a:schemeClr val="accent1">
                    <a:lumMod val="60000"/>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group'!$J$51:$J$61</c:f>
              <c:numCache>
                <c:formatCode>0.00</c:formatCode>
                <c:ptCount val="11"/>
                <c:pt idx="0" formatCode="0">
                  <c:v>0.96527360445851285</c:v>
                </c:pt>
                <c:pt idx="1">
                  <c:v>0.88818459910331493</c:v>
                </c:pt>
                <c:pt idx="2" formatCode="0">
                  <c:v>0.81729888167593223</c:v>
                </c:pt>
                <c:pt idx="3">
                  <c:v>0.69955624927302074</c:v>
                </c:pt>
                <c:pt idx="4" formatCode="0">
                  <c:v>0.57406512790748399</c:v>
                </c:pt>
                <c:pt idx="5">
                  <c:v>0.53097059720081941</c:v>
                </c:pt>
                <c:pt idx="6" formatCode="0">
                  <c:v>0.48104455948036845</c:v>
                </c:pt>
                <c:pt idx="7">
                  <c:v>0.39848147909578541</c:v>
                </c:pt>
                <c:pt idx="8" formatCode="0">
                  <c:v>0.33582006788386426</c:v>
                </c:pt>
                <c:pt idx="9">
                  <c:v>0.27024615269540453</c:v>
                </c:pt>
                <c:pt idx="10" formatCode="0">
                  <c:v>0.22887257528671798</c:v>
                </c:pt>
              </c:numCache>
            </c:numRef>
          </c:yVal>
          <c:smooth val="1"/>
          <c:extLst>
            <c:ext xmlns:c16="http://schemas.microsoft.com/office/drawing/2014/chart" uri="{C3380CC4-5D6E-409C-BE32-E72D297353CC}">
              <c16:uniqueId val="{00000000-8D00-41AE-A484-3C89DF669F57}"/>
            </c:ext>
          </c:extLst>
        </c:ser>
        <c:ser>
          <c:idx val="12"/>
          <c:order val="1"/>
          <c:tx>
            <c:strRef>
              <c:f>'PWGGS group'!$D$75</c:f>
              <c:strCache>
                <c:ptCount val="1"/>
                <c:pt idx="0">
                  <c:v>X &gt;= 600um</c:v>
                </c:pt>
              </c:strCache>
            </c:strRef>
          </c:tx>
          <c:spPr>
            <a:ln w="22225" cap="flat">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ysDash"/>
              <a:miter lim="800000"/>
            </a:ln>
            <a:effectLst>
              <a:glow rad="139700">
                <a:schemeClr val="accent1">
                  <a:lumMod val="80000"/>
                  <a:lumOff val="20000"/>
                  <a:satMod val="175000"/>
                  <a:alpha val="14000"/>
                </a:schemeClr>
              </a:glow>
            </a:effectLst>
          </c:spPr>
          <c:marker>
            <c:symbol val="circle"/>
            <c:size val="3"/>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group'!$D$76:$D$86</c:f>
              <c:numCache>
                <c:formatCode>0%</c:formatCode>
                <c:ptCount val="11"/>
                <c:pt idx="0">
                  <c:v>0.97193744044635633</c:v>
                </c:pt>
                <c:pt idx="1">
                  <c:v>0.89416946443910306</c:v>
                </c:pt>
                <c:pt idx="2">
                  <c:v>0.85694586720617372</c:v>
                </c:pt>
                <c:pt idx="3">
                  <c:v>0.82092092282953222</c:v>
                </c:pt>
                <c:pt idx="4">
                  <c:v>0.78651811273419847</c:v>
                </c:pt>
                <c:pt idx="5">
                  <c:v>0.77080808234751108</c:v>
                </c:pt>
                <c:pt idx="6">
                  <c:v>0.75367275258278199</c:v>
                </c:pt>
                <c:pt idx="7">
                  <c:v>0.72208815063139886</c:v>
                </c:pt>
                <c:pt idx="8">
                  <c:v>0.6919334154961716</c:v>
                </c:pt>
                <c:pt idx="9">
                  <c:v>0.66293615981668208</c:v>
                </c:pt>
                <c:pt idx="10">
                  <c:v>0.63628998172069207</c:v>
                </c:pt>
              </c:numCache>
            </c:numRef>
          </c:yVal>
          <c:smooth val="1"/>
          <c:extLst>
            <c:ext xmlns:c16="http://schemas.microsoft.com/office/drawing/2014/chart" uri="{C3380CC4-5D6E-409C-BE32-E72D297353CC}">
              <c16:uniqueId val="{00000001-8D00-41AE-A484-3C89DF669F57}"/>
            </c:ext>
          </c:extLst>
        </c:ser>
        <c:ser>
          <c:idx val="13"/>
          <c:order val="2"/>
          <c:tx>
            <c:strRef>
              <c:f>'PWGGS group'!$F$75</c:f>
              <c:strCache>
                <c:ptCount val="1"/>
                <c:pt idx="0">
                  <c:v>X &lt; 425um</c:v>
                </c:pt>
              </c:strCache>
            </c:strRef>
          </c:tx>
          <c:spPr>
            <a:ln w="22225" cap="flat">
              <a:solidFill>
                <a:schemeClr val="accent2">
                  <a:lumMod val="80000"/>
                  <a:lumOff val="20000"/>
                </a:schemeClr>
              </a:solidFill>
              <a:prstDash val="dash"/>
              <a:bevel/>
            </a:ln>
            <a:effectLst>
              <a:glow rad="139700">
                <a:schemeClr val="accent2">
                  <a:lumMod val="80000"/>
                  <a:lumOff val="20000"/>
                  <a:satMod val="175000"/>
                  <a:alpha val="14000"/>
                </a:schemeClr>
              </a:glow>
            </a:effectLst>
          </c:spPr>
          <c:marker>
            <c:symbol val="circle"/>
            <c:size val="3"/>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group'!$F$76:$F$86</c:f>
              <c:numCache>
                <c:formatCode>0%</c:formatCode>
                <c:ptCount val="11"/>
                <c:pt idx="0">
                  <c:v>1.4557329148602209</c:v>
                </c:pt>
                <c:pt idx="1">
                  <c:v>1.00815345935965</c:v>
                </c:pt>
                <c:pt idx="2">
                  <c:v>0.835940741930007</c:v>
                </c:pt>
                <c:pt idx="3">
                  <c:v>0.69184153018195549</c:v>
                </c:pt>
                <c:pt idx="4">
                  <c:v>0.5729275954388362</c:v>
                </c:pt>
                <c:pt idx="5">
                  <c:v>0.52420119009775457</c:v>
                </c:pt>
                <c:pt idx="6">
                  <c:v>0.47477365518195108</c:v>
                </c:pt>
                <c:pt idx="7">
                  <c:v>0.39316941347762546</c:v>
                </c:pt>
                <c:pt idx="8">
                  <c:v>0.32581164012450503</c:v>
                </c:pt>
                <c:pt idx="9">
                  <c:v>0.26981103532975609</c:v>
                </c:pt>
                <c:pt idx="10">
                  <c:v>0.22520148757312522</c:v>
                </c:pt>
              </c:numCache>
            </c:numRef>
          </c:yVal>
          <c:smooth val="1"/>
          <c:extLst>
            <c:ext xmlns:c16="http://schemas.microsoft.com/office/drawing/2014/chart" uri="{C3380CC4-5D6E-409C-BE32-E72D297353CC}">
              <c16:uniqueId val="{00000002-8D00-41AE-A484-3C89DF669F57}"/>
            </c:ext>
          </c:extLst>
        </c:ser>
        <c:dLbls>
          <c:showLegendKey val="0"/>
          <c:showVal val="0"/>
          <c:showCatName val="0"/>
          <c:showSerName val="0"/>
          <c:showPercent val="0"/>
          <c:showBubbleSize val="0"/>
        </c:dLbls>
        <c:axId val="1020547680"/>
        <c:axId val="931494560"/>
      </c:scatterChart>
      <c:valAx>
        <c:axId val="1020547680"/>
        <c:scaling>
          <c:logBase val="10"/>
          <c:orientation val="minMax"/>
          <c:max val="1200"/>
          <c:min val="10"/>
        </c:scaling>
        <c:delete val="0"/>
        <c:axPos val="b"/>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title>
          <c:tx>
            <c:strRef>
              <c:f>'PWGGS group'!$C$50</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cross"/>
        <c:minorTickMark val="in"/>
        <c:tickLblPos val="nextTo"/>
        <c:spPr>
          <a:noFill/>
          <a:ln w="1905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logBase val="10"/>
          <c:orientation val="minMax"/>
          <c:max val="1.2"/>
        </c:scaling>
        <c:delete val="0"/>
        <c:axPos val="l"/>
        <c:majorGridlines>
          <c:spPr>
            <a:ln w="9525" cap="flat" cmpd="sng" algn="ctr">
              <a:solidFill>
                <a:schemeClr val="dk1">
                  <a:lumMod val="65000"/>
                  <a:lumOff val="35000"/>
                  <a:alpha val="75000"/>
                </a:schemeClr>
              </a:solidFill>
              <a:round/>
            </a:ln>
            <a:effectLst/>
          </c:spPr>
        </c:majorGridlines>
        <c:minorGridlines>
          <c:spPr>
            <a:ln w="3175" cap="flat" cmpd="sng" algn="ctr">
              <a:solidFill>
                <a:schemeClr val="dk1">
                  <a:lumMod val="65000"/>
                  <a:lumOff val="35000"/>
                  <a:alpha val="25000"/>
                </a:schemeClr>
              </a:solidFill>
              <a:round/>
            </a:ln>
            <a:effectLst/>
          </c:spPr>
        </c:minorGridlines>
        <c:title>
          <c:tx>
            <c:strRef>
              <c:f>'PWGGS group'!$A$89</c:f>
              <c:strCache>
                <c:ptCount val="1"/>
                <c:pt idx="0">
                  <c:v>GGS Model Fitted: y = ( x / k ) ^ n</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0"/>
        <c:majorTickMark val="out"/>
        <c:minorTickMark val="in"/>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79820548270222"/>
          <c:y val="0.19508025599936155"/>
          <c:w val="0.81591339298391097"/>
          <c:h val="0.73590021937879257"/>
        </c:manualLayout>
      </c:layout>
      <c:scatterChart>
        <c:scatterStyle val="smoothMarker"/>
        <c:varyColors val="0"/>
        <c:ser>
          <c:idx val="0"/>
          <c:order val="0"/>
          <c:tx>
            <c:strRef>
              <c:f>'PWGGS group'!$J$32</c:f>
              <c:strCache>
                <c:ptCount val="1"/>
                <c:pt idx="0">
                  <c:v>Mean13F</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solidFill>
                  <a:schemeClr val="tx1"/>
                </a:solidFill>
              </a:ln>
              <a:effectLst>
                <a:glow rad="63500">
                  <a:schemeClr val="accent1">
                    <a:satMod val="175000"/>
                    <a:alpha val="25000"/>
                  </a:schemeClr>
                </a:glow>
              </a:effectLst>
            </c:spPr>
          </c:marker>
          <c:xVal>
            <c:numRef>
              <c:f>'PWGGS group'!$C$33:$C$44</c:f>
              <c:numCache>
                <c:formatCode>General</c:formatCode>
                <c:ptCount val="12"/>
                <c:pt idx="0" formatCode="0">
                  <c:v>1333.198675575416</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group'!$J$33:$J$44</c:f>
              <c:numCache>
                <c:formatCode>0.0%</c:formatCode>
                <c:ptCount val="12"/>
                <c:pt idx="0">
                  <c:v>3.4726395541487161E-2</c:v>
                </c:pt>
                <c:pt idx="1">
                  <c:v>7.7089005355197901E-2</c:v>
                </c:pt>
                <c:pt idx="2">
                  <c:v>7.0885717427382922E-2</c:v>
                </c:pt>
                <c:pt idx="3">
                  <c:v>0.11774263240291138</c:v>
                </c:pt>
                <c:pt idx="4">
                  <c:v>0.12549112136553667</c:v>
                </c:pt>
                <c:pt idx="5">
                  <c:v>4.3094530706664746E-2</c:v>
                </c:pt>
                <c:pt idx="6">
                  <c:v>4.9926037720450948E-2</c:v>
                </c:pt>
                <c:pt idx="7">
                  <c:v>8.2563080384583001E-2</c:v>
                </c:pt>
                <c:pt idx="8">
                  <c:v>6.2661411211921147E-2</c:v>
                </c:pt>
                <c:pt idx="9">
                  <c:v>6.5573915188459703E-2</c:v>
                </c:pt>
                <c:pt idx="10">
                  <c:v>4.1373577408686614E-2</c:v>
                </c:pt>
                <c:pt idx="11">
                  <c:v>0.22887257528671787</c:v>
                </c:pt>
              </c:numCache>
            </c:numRef>
          </c:yVal>
          <c:smooth val="1"/>
          <c:extLst>
            <c:ext xmlns:c16="http://schemas.microsoft.com/office/drawing/2014/chart" uri="{C3380CC4-5D6E-409C-BE32-E72D297353CC}">
              <c16:uniqueId val="{00000000-C4EB-400C-A6DA-C04A5FAC63C1}"/>
            </c:ext>
          </c:extLst>
        </c:ser>
        <c:ser>
          <c:idx val="1"/>
          <c:order val="1"/>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'PWGGS group'!$C$33:$C$44</c:f>
              <c:numCache>
                <c:formatCode>General</c:formatCode>
                <c:ptCount val="12"/>
                <c:pt idx="0" formatCode="0">
                  <c:v>1333.198675575416</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group'!$L$33:$L$44</c:f>
              <c:numCache>
                <c:formatCode>0.0%</c:formatCode>
                <c:ptCount val="12"/>
                <c:pt idx="0">
                  <c:v>1.7477727453844405E-2</c:v>
                </c:pt>
                <c:pt idx="1">
                  <c:v>5.547849330579397E-2</c:v>
                </c:pt>
                <c:pt idx="2">
                  <c:v>5.524963715190305E-2</c:v>
                </c:pt>
                <c:pt idx="3">
                  <c:v>0.10062656386648766</c:v>
                </c:pt>
                <c:pt idx="4">
                  <c:v>0.10947038106059022</c:v>
                </c:pt>
                <c:pt idx="5">
                  <c:v>3.1376323119041177E-2</c:v>
                </c:pt>
                <c:pt idx="6">
                  <c:v>4.4687492172204975E-2</c:v>
                </c:pt>
                <c:pt idx="7">
                  <c:v>7.2924387190329829E-2</c:v>
                </c:pt>
                <c:pt idx="8">
                  <c:v>5.0313657814377508E-2</c:v>
                </c:pt>
                <c:pt idx="9">
                  <c:v>4.3920102315256851E-2</c:v>
                </c:pt>
                <c:pt idx="10">
                  <c:v>3.7150827552394169E-2</c:v>
                </c:pt>
                <c:pt idx="11">
                  <c:v>0.18691951926352379</c:v>
                </c:pt>
              </c:numCache>
            </c:numRef>
          </c:yVal>
          <c:smooth val="1"/>
          <c:extLst>
            <c:ext xmlns:c16="http://schemas.microsoft.com/office/drawing/2014/chart" uri="{C3380CC4-5D6E-409C-BE32-E72D297353CC}">
              <c16:uniqueId val="{00000006-C4EB-400C-A6DA-C04A5FAC63C1}"/>
            </c:ext>
          </c:extLst>
        </c:ser>
        <c:ser>
          <c:idx val="2"/>
          <c:order val="2"/>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'PWGGS group'!$C$33:$C$44</c:f>
              <c:numCache>
                <c:formatCode>General</c:formatCode>
                <c:ptCount val="12"/>
                <c:pt idx="0" formatCode="0">
                  <c:v>1333.198675575416</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group'!$M$33:$M$44</c:f>
              <c:numCache>
                <c:formatCode>0%</c:formatCode>
                <c:ptCount val="12"/>
                <c:pt idx="0">
                  <c:v>5.1975063629129917E-2</c:v>
                </c:pt>
                <c:pt idx="1">
                  <c:v>9.8699517404601839E-2</c:v>
                </c:pt>
                <c:pt idx="2">
                  <c:v>8.6521797702862793E-2</c:v>
                </c:pt>
                <c:pt idx="3">
                  <c:v>0.13485870093933511</c:v>
                </c:pt>
                <c:pt idx="4">
                  <c:v>0.14151186167048313</c:v>
                </c:pt>
                <c:pt idx="5">
                  <c:v>5.4812738294288316E-2</c:v>
                </c:pt>
                <c:pt idx="6">
                  <c:v>5.5164583268696922E-2</c:v>
                </c:pt>
                <c:pt idx="7">
                  <c:v>9.2201773578836174E-2</c:v>
                </c:pt>
                <c:pt idx="8">
                  <c:v>7.5009164609464787E-2</c:v>
                </c:pt>
                <c:pt idx="9">
                  <c:v>8.7227728061662554E-2</c:v>
                </c:pt>
                <c:pt idx="10">
                  <c:v>4.5596327264979059E-2</c:v>
                </c:pt>
                <c:pt idx="11">
                  <c:v>0.27082563130991194</c:v>
                </c:pt>
              </c:numCache>
            </c:numRef>
          </c:yVal>
          <c:smooth val="1"/>
          <c:extLst>
            <c:ext xmlns:c16="http://schemas.microsoft.com/office/drawing/2014/chart" uri="{C3380CC4-5D6E-409C-BE32-E72D297353CC}">
              <c16:uniqueId val="{00000007-C4EB-400C-A6DA-C04A5FAC63C1}"/>
            </c:ext>
          </c:extLst>
        </c:ser>
        <c:dLbls>
          <c:showLegendKey val="0"/>
          <c:showVal val="0"/>
          <c:showCatName val="0"/>
          <c:showSerName val="0"/>
          <c:showPercent val="0"/>
          <c:showBubbleSize val="0"/>
        </c:dLbls>
        <c:axId val="1020547680"/>
        <c:axId val="931494560"/>
      </c:scatterChart>
      <c:valAx>
        <c:axId val="1020547680"/>
        <c:scaling>
          <c:logBase val="10"/>
          <c:orientation val="minMax"/>
          <c:max val="1200"/>
          <c:min val="10"/>
        </c:scaling>
        <c:delete val="0"/>
        <c:axPos val="b"/>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title>
          <c:tx>
            <c:strRef>
              <c:f>'PWGGS group'!$C$32</c:f>
              <c:strCache>
                <c:ptCount val="1"/>
                <c:pt idx="0">
                  <c:v>Mid_size</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logBase val="10"/>
          <c:orientation val="minMax"/>
        </c:scaling>
        <c:delete val="0"/>
        <c:axPos val="l"/>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title>
          <c:tx>
            <c:strRef>
              <c:f>'PWGGS group'!$A$30</c:f>
              <c:strCache>
                <c:ptCount val="1"/>
                <c:pt idx="0">
                  <c:v>Retained_perc.</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'PWGGS group'!$C$237</c:f>
              <c:strCache>
                <c:ptCount val="1"/>
                <c:pt idx="0">
                  <c:v>Q3</c:v>
                </c:pt>
              </c:strCache>
            </c:strRef>
          </c:tx>
          <c:spPr>
            <a:solidFill>
              <a:srgbClr val="002060"/>
            </a:solidFill>
            <a:ln>
              <a:noFill/>
            </a:ln>
            <a:effectLst/>
          </c:spPr>
          <c:invertIfNegative val="0"/>
          <c:errBars>
            <c:errBarType val="plus"/>
            <c:errValType val="cust"/>
            <c:noEndCap val="1"/>
            <c:plus>
              <c:numRef>
                <c:f>'PWGGS group'!$D$239:$J$239</c:f>
                <c:numCache>
                  <c:formatCode>General</c:formatCode>
                  <c:ptCount val="7"/>
                  <c:pt idx="0">
                    <c:v>253.85455241490354</c:v>
                  </c:pt>
                  <c:pt idx="1">
                    <c:v>333.34157591187227</c:v>
                  </c:pt>
                  <c:pt idx="2">
                    <c:v>267.7902256771535</c:v>
                  </c:pt>
                  <c:pt idx="3">
                    <c:v>384.84652262786562</c:v>
                  </c:pt>
                  <c:pt idx="4">
                    <c:v>283.71635035058148</c:v>
                  </c:pt>
                  <c:pt idx="5">
                    <c:v>234.48291481910002</c:v>
                  </c:pt>
                  <c:pt idx="6">
                    <c:v>284.41415029136374</c:v>
                  </c:pt>
                </c:numCache>
              </c:numRef>
            </c:plus>
            <c:minus>
              <c:numRef>
                <c:f>'PWGGS group'!$D$237:$J$237</c:f>
                <c:numCache>
                  <c:formatCode>General</c:formatCode>
                  <c:ptCount val="7"/>
                  <c:pt idx="0">
                    <c:v>347.29531337513163</c:v>
                  </c:pt>
                  <c:pt idx="1">
                    <c:v>346.81035625790696</c:v>
                  </c:pt>
                  <c:pt idx="2">
                    <c:v>357.40029090991385</c:v>
                  </c:pt>
                  <c:pt idx="3">
                    <c:v>381.67534508195058</c:v>
                  </c:pt>
                  <c:pt idx="4">
                    <c:v>346.81035625790696</c:v>
                  </c:pt>
                  <c:pt idx="5">
                    <c:v>303.89195031904075</c:v>
                  </c:pt>
                  <c:pt idx="6">
                    <c:v>348.06040236018589</c:v>
                  </c:pt>
                </c:numCache>
              </c:numRef>
            </c:minus>
            <c:spPr>
              <a:noFill/>
              <a:ln w="9525" cap="flat" cmpd="sng" algn="ctr">
                <a:solidFill>
                  <a:schemeClr val="tx1">
                    <a:lumMod val="65000"/>
                    <a:lumOff val="35000"/>
                  </a:schemeClr>
                </a:solidFill>
                <a:round/>
              </a:ln>
              <a:effectLst/>
            </c:spPr>
          </c:errBars>
          <c:cat>
            <c:strRef>
              <c:f>'PWGGS group'!$D$217:$J$217</c:f>
              <c:strCache>
                <c:ptCount val="7"/>
                <c:pt idx="0">
                  <c:v>SC13F</c:v>
                </c:pt>
                <c:pt idx="1">
                  <c:v>13Fdeck1</c:v>
                </c:pt>
                <c:pt idx="2">
                  <c:v>13Fdeck2</c:v>
                </c:pt>
                <c:pt idx="3">
                  <c:v>13Fdeck3</c:v>
                </c:pt>
                <c:pt idx="4">
                  <c:v>13Fdeck4</c:v>
                </c:pt>
                <c:pt idx="5">
                  <c:v>13Fdeck5</c:v>
                </c:pt>
                <c:pt idx="6">
                  <c:v>Mean13F</c:v>
                </c:pt>
              </c:strCache>
            </c:strRef>
          </c:cat>
          <c:val>
            <c:numRef>
              <c:f>'PWGGS group'!$D$237:$J$237</c:f>
              <c:numCache>
                <c:formatCode>0</c:formatCode>
                <c:ptCount val="7"/>
                <c:pt idx="0">
                  <c:v>347.29531337513163</c:v>
                </c:pt>
                <c:pt idx="1">
                  <c:v>346.81035625790696</c:v>
                </c:pt>
                <c:pt idx="2">
                  <c:v>357.40029090991385</c:v>
                </c:pt>
                <c:pt idx="3">
                  <c:v>381.67534508195058</c:v>
                </c:pt>
                <c:pt idx="4">
                  <c:v>346.81035625790696</c:v>
                </c:pt>
                <c:pt idx="5">
                  <c:v>303.89195031904075</c:v>
                </c:pt>
                <c:pt idx="6">
                  <c:v>348.06040236018589</c:v>
                </c:pt>
              </c:numCache>
            </c:numRef>
          </c:val>
          <c:extLst>
            <c:ext xmlns:c16="http://schemas.microsoft.com/office/drawing/2014/chart" uri="{C3380CC4-5D6E-409C-BE32-E72D297353CC}">
              <c16:uniqueId val="{00000002-00E7-42F1-B48A-4178CC1EEB46}"/>
            </c:ext>
          </c:extLst>
        </c:ser>
        <c:ser>
          <c:idx val="1"/>
          <c:order val="1"/>
          <c:tx>
            <c:strRef>
              <c:f>'PWGGS group'!$C$236</c:f>
              <c:strCache>
                <c:ptCount val="1"/>
                <c:pt idx="0">
                  <c:v>Median</c:v>
                </c:pt>
              </c:strCache>
            </c:strRef>
          </c:tx>
          <c:spPr>
            <a:solidFill>
              <a:schemeClr val="accent2"/>
            </a:solidFill>
            <a:ln>
              <a:noFill/>
            </a:ln>
            <a:effectLst/>
          </c:spPr>
          <c:invertIfNegative val="0"/>
          <c:cat>
            <c:strRef>
              <c:f>'PWGGS group'!$D$217:$J$217</c:f>
              <c:strCache>
                <c:ptCount val="7"/>
                <c:pt idx="0">
                  <c:v>SC13F</c:v>
                </c:pt>
                <c:pt idx="1">
                  <c:v>13Fdeck1</c:v>
                </c:pt>
                <c:pt idx="2">
                  <c:v>13Fdeck2</c:v>
                </c:pt>
                <c:pt idx="3">
                  <c:v>13Fdeck3</c:v>
                </c:pt>
                <c:pt idx="4">
                  <c:v>13Fdeck4</c:v>
                </c:pt>
                <c:pt idx="5">
                  <c:v>13Fdeck5</c:v>
                </c:pt>
                <c:pt idx="6">
                  <c:v>Mean13F</c:v>
                </c:pt>
              </c:strCache>
            </c:strRef>
          </c:cat>
          <c:val>
            <c:numRef>
              <c:f>'PWGGS group'!$D$236:$J$236</c:f>
              <c:numCache>
                <c:formatCode>0</c:formatCode>
                <c:ptCount val="7"/>
                <c:pt idx="0">
                  <c:v>159.64514890616954</c:v>
                </c:pt>
                <c:pt idx="1">
                  <c:v>173.30615403152586</c:v>
                </c:pt>
                <c:pt idx="2">
                  <c:v>166.9606488636843</c:v>
                </c:pt>
                <c:pt idx="3">
                  <c:v>187.35062185681525</c:v>
                </c:pt>
                <c:pt idx="4">
                  <c:v>173.30615403152586</c:v>
                </c:pt>
                <c:pt idx="5">
                  <c:v>127.30938573974449</c:v>
                </c:pt>
                <c:pt idx="6">
                  <c:v>164.99917021935045</c:v>
                </c:pt>
              </c:numCache>
            </c:numRef>
          </c:val>
          <c:extLst>
            <c:ext xmlns:c16="http://schemas.microsoft.com/office/drawing/2014/chart" uri="{C3380CC4-5D6E-409C-BE32-E72D297353CC}">
              <c16:uniqueId val="{00000001-00E7-42F1-B48A-4178CC1EEB46}"/>
            </c:ext>
          </c:extLst>
        </c:ser>
        <c:ser>
          <c:idx val="0"/>
          <c:order val="2"/>
          <c:tx>
            <c:strRef>
              <c:f>'PWGGS group'!$C$235</c:f>
              <c:strCache>
                <c:ptCount val="1"/>
                <c:pt idx="0">
                  <c:v>Q1</c:v>
                </c:pt>
              </c:strCache>
            </c:strRef>
          </c:tx>
          <c:spPr>
            <a:solidFill>
              <a:schemeClr val="bg1"/>
            </a:solidFill>
            <a:ln>
              <a:noFill/>
            </a:ln>
            <a:effectLst/>
          </c:spPr>
          <c:invertIfNegative val="0"/>
          <c:errBars>
            <c:errBarType val="minus"/>
            <c:errValType val="cust"/>
            <c:noEndCap val="1"/>
            <c:plus>
              <c:numRef>
                <c:f>'PWGGS group'!$D$235:$J$235</c:f>
                <c:numCache>
                  <c:formatCode>General</c:formatCode>
                  <c:ptCount val="7"/>
                  <c:pt idx="0">
                    <c:v>42.278719050598689</c:v>
                  </c:pt>
                  <c:pt idx="1">
                    <c:v>52.938997992456322</c:v>
                  </c:pt>
                  <c:pt idx="2">
                    <c:v>45.451783775638184</c:v>
                  </c:pt>
                  <c:pt idx="3">
                    <c:v>55.507227269204741</c:v>
                  </c:pt>
                  <c:pt idx="4">
                    <c:v>52.938997992456322</c:v>
                  </c:pt>
                  <c:pt idx="5">
                    <c:v>28.767795484293543</c:v>
                  </c:pt>
                  <c:pt idx="6">
                    <c:v>46.057949523232416</c:v>
                  </c:pt>
                </c:numCache>
              </c:numRef>
            </c:plus>
            <c:minus>
              <c:numRef>
                <c:f>'PWGGS group'!$D$233:$J$233</c:f>
                <c:numCache>
                  <c:formatCode>General</c:formatCode>
                  <c:ptCount val="7"/>
                  <c:pt idx="0">
                    <c:v>34.978691667696324</c:v>
                  </c:pt>
                  <c:pt idx="1">
                    <c:v>41.899936288989039</c:v>
                  </c:pt>
                  <c:pt idx="2">
                    <c:v>37.312653062843225</c:v>
                  </c:pt>
                  <c:pt idx="3">
                    <c:v>44.390741624175874</c:v>
                  </c:pt>
                  <c:pt idx="4">
                    <c:v>41.899936288989039</c:v>
                  </c:pt>
                  <c:pt idx="5">
                    <c:v>24.740606100671926</c:v>
                  </c:pt>
                  <c:pt idx="6">
                    <c:v>37.532402752556663</c:v>
                  </c:pt>
                </c:numCache>
              </c:numRef>
            </c:minus>
            <c:spPr>
              <a:noFill/>
              <a:ln w="9525" cap="flat" cmpd="sng" algn="ctr">
                <a:solidFill>
                  <a:schemeClr val="tx1">
                    <a:lumMod val="65000"/>
                    <a:lumOff val="35000"/>
                  </a:schemeClr>
                </a:solidFill>
                <a:round/>
              </a:ln>
              <a:effectLst/>
            </c:spPr>
          </c:errBars>
          <c:cat>
            <c:strRef>
              <c:f>'PWGGS group'!$D$217:$J$217</c:f>
              <c:strCache>
                <c:ptCount val="7"/>
                <c:pt idx="0">
                  <c:v>SC13F</c:v>
                </c:pt>
                <c:pt idx="1">
                  <c:v>13Fdeck1</c:v>
                </c:pt>
                <c:pt idx="2">
                  <c:v>13Fdeck2</c:v>
                </c:pt>
                <c:pt idx="3">
                  <c:v>13Fdeck3</c:v>
                </c:pt>
                <c:pt idx="4">
                  <c:v>13Fdeck4</c:v>
                </c:pt>
                <c:pt idx="5">
                  <c:v>13Fdeck5</c:v>
                </c:pt>
                <c:pt idx="6">
                  <c:v>Mean13F</c:v>
                </c:pt>
              </c:strCache>
            </c:strRef>
          </c:cat>
          <c:val>
            <c:numRef>
              <c:f>'PWGGS group'!$D$235:$J$235</c:f>
              <c:numCache>
                <c:formatCode>0</c:formatCode>
                <c:ptCount val="7"/>
                <c:pt idx="0">
                  <c:v>42.278719050598689</c:v>
                </c:pt>
                <c:pt idx="1">
                  <c:v>52.938997992456322</c:v>
                </c:pt>
                <c:pt idx="2">
                  <c:v>45.451783775638184</c:v>
                </c:pt>
                <c:pt idx="3">
                  <c:v>55.507227269204741</c:v>
                </c:pt>
                <c:pt idx="4">
                  <c:v>52.938997992456322</c:v>
                </c:pt>
                <c:pt idx="5">
                  <c:v>28.767795484293543</c:v>
                </c:pt>
                <c:pt idx="6">
                  <c:v>46.057949523232416</c:v>
                </c:pt>
              </c:numCache>
            </c:numRef>
          </c:val>
          <c:extLst>
            <c:ext xmlns:c16="http://schemas.microsoft.com/office/drawing/2014/chart" uri="{C3380CC4-5D6E-409C-BE32-E72D297353CC}">
              <c16:uniqueId val="{00000000-00E7-42F1-B48A-4178CC1EEB46}"/>
            </c:ext>
          </c:extLst>
        </c:ser>
        <c:dLbls>
          <c:showLegendKey val="0"/>
          <c:showVal val="0"/>
          <c:showCatName val="0"/>
          <c:showSerName val="0"/>
          <c:showPercent val="0"/>
          <c:showBubbleSize val="0"/>
        </c:dLbls>
        <c:gapWidth val="77"/>
        <c:overlap val="100"/>
        <c:axId val="1267239104"/>
        <c:axId val="1379601344"/>
      </c:barChart>
      <c:catAx>
        <c:axId val="1267239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01344"/>
        <c:crosses val="autoZero"/>
        <c:auto val="1"/>
        <c:lblAlgn val="ctr"/>
        <c:lblOffset val="100"/>
        <c:noMultiLvlLbl val="0"/>
      </c:catAx>
      <c:valAx>
        <c:axId val="1379601344"/>
        <c:scaling>
          <c:logBase val="10"/>
          <c:orientation val="minMax"/>
          <c:min val="1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239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98712542151106"/>
          <c:y val="0.18444290580298864"/>
          <c:w val="0.81927338606287681"/>
          <c:h val="0.65121532429726836"/>
        </c:manualLayout>
      </c:layout>
      <c:scatterChart>
        <c:scatterStyle val="smoothMarker"/>
        <c:varyColors val="0"/>
        <c:ser>
          <c:idx val="5"/>
          <c:order val="0"/>
          <c:tx>
            <c:strRef>
              <c:f>'PWGGS mean 2pc'!$D$2</c:f>
              <c:strCache>
                <c:ptCount val="1"/>
                <c:pt idx="0">
                  <c:v>Observed</c:v>
                </c:pt>
              </c:strCache>
            </c:strRef>
          </c:tx>
          <c:spPr>
            <a:ln w="22225" cap="rnd">
              <a:solidFill>
                <a:srgbClr val="00B050"/>
              </a:solidFill>
            </a:ln>
            <a:effectLst>
              <a:glow rad="139700">
                <a:schemeClr val="accent6">
                  <a:satMod val="175000"/>
                  <a:alpha val="14000"/>
                </a:schemeClr>
              </a:glow>
            </a:effectLst>
          </c:spPr>
          <c:marker>
            <c:symbol val="circle"/>
            <c:size val="9"/>
            <c:spPr>
              <a:solidFill>
                <a:srgbClr val="002060"/>
              </a:solidFill>
              <a:ln>
                <a:noFill/>
              </a:ln>
              <a:effectLst>
                <a:glow rad="63500">
                  <a:schemeClr val="accent6">
                    <a:satMod val="175000"/>
                    <a:alpha val="25000"/>
                  </a:schemeClr>
                </a:glow>
              </a:effectLst>
            </c:spPr>
          </c:marker>
          <c:xVal>
            <c:numRef>
              <c:f>'PWGGS mean 2pc'!$C$4:$C$14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2pc'!$F$4:$F$14</c:f>
              <c:numCache>
                <c:formatCode>0%</c:formatCode>
                <c:ptCount val="11"/>
                <c:pt idx="0">
                  <c:v>0.96459989872966945</c:v>
                </c:pt>
                <c:pt idx="1">
                  <c:v>0.886799801910782</c:v>
                </c:pt>
                <c:pt idx="2">
                  <c:v>0.81524285404274499</c:v>
                </c:pt>
                <c:pt idx="3">
                  <c:v>0.69737976930396128</c:v>
                </c:pt>
                <c:pt idx="4">
                  <c:v>0.57181012369447526</c:v>
                </c:pt>
                <c:pt idx="5">
                  <c:v>0.52914860586366352</c:v>
                </c:pt>
                <c:pt idx="6">
                  <c:v>0.47900309931726004</c:v>
                </c:pt>
                <c:pt idx="7">
                  <c:v>0.39689066699310593</c:v>
                </c:pt>
                <c:pt idx="8">
                  <c:v>0.3347485212862446</c:v>
                </c:pt>
                <c:pt idx="9">
                  <c:v>0.2696127800931466</c:v>
                </c:pt>
                <c:pt idx="10">
                  <c:v>0.2282588736736092</c:v>
                </c:pt>
              </c:numCache>
            </c:numRef>
          </c:yVal>
          <c:smooth val="1"/>
          <c:extLst>
            <c:ext xmlns:c16="http://schemas.microsoft.com/office/drawing/2014/chart" uri="{C3380CC4-5D6E-409C-BE32-E72D297353CC}">
              <c16:uniqueId val="{00000000-0DE0-4D9F-BA73-DDEE9187E4D2}"/>
            </c:ext>
          </c:extLst>
        </c:ser>
        <c:ser>
          <c:idx val="0"/>
          <c:order val="1"/>
          <c:tx>
            <c:strRef>
              <c:f>'PWGGS mean 2pc'!$G$2:$H$2</c:f>
              <c:strCache>
                <c:ptCount val="1"/>
                <c:pt idx="0">
                  <c:v>GGS Mod</c:v>
                </c:pt>
              </c:strCache>
            </c:strRef>
          </c:tx>
          <c:spPr>
            <a:ln w="22225" cap="rnd">
              <a:solidFill>
                <a:schemeClr val="bg1"/>
              </a:solidFill>
              <a:prstDash val="sysDot"/>
            </a:ln>
            <a:effectLst>
              <a:glow rad="139700">
                <a:schemeClr val="accent1">
                  <a:satMod val="175000"/>
                  <a:alpha val="14000"/>
                </a:schemeClr>
              </a:glow>
            </a:effectLst>
          </c:spPr>
          <c:marker>
            <c:symbol val="none"/>
          </c:marker>
          <c:xVal>
            <c:numRef>
              <c:f>'PWGGS mean 2pc'!$C$4:$C$14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2pc'!$G$4:$G$14</c:f>
              <c:numCache>
                <c:formatCode>0%</c:formatCode>
                <c:ptCount val="11"/>
                <c:pt idx="0">
                  <c:v>0.96143956751629045</c:v>
                </c:pt>
                <c:pt idx="1">
                  <c:v>0.88389436816805855</c:v>
                </c:pt>
                <c:pt idx="2">
                  <c:v>0.80887723687596502</c:v>
                </c:pt>
                <c:pt idx="3">
                  <c:v>0.68152851752685761</c:v>
                </c:pt>
                <c:pt idx="4">
                  <c:v>0.57454315445329995</c:v>
                </c:pt>
                <c:pt idx="5">
                  <c:v>0.53011645156040366</c:v>
                </c:pt>
                <c:pt idx="6">
                  <c:v>0.48464892736772308</c:v>
                </c:pt>
                <c:pt idx="7">
                  <c:v>0.40856943821325375</c:v>
                </c:pt>
                <c:pt idx="8">
                  <c:v>0.34464380691073315</c:v>
                </c:pt>
                <c:pt idx="9">
                  <c:v>0.2905421195049015</c:v>
                </c:pt>
                <c:pt idx="10">
                  <c:v>0.24668508523379154</c:v>
                </c:pt>
              </c:numCache>
            </c:numRef>
          </c:yVal>
          <c:smooth val="0"/>
          <c:extLst>
            <c:ext xmlns:c16="http://schemas.microsoft.com/office/drawing/2014/chart" uri="{C3380CC4-5D6E-409C-BE32-E72D297353CC}">
              <c16:uniqueId val="{00000001-0DE0-4D9F-BA73-DDEE9187E4D2}"/>
            </c:ext>
          </c:extLst>
        </c:ser>
        <c:ser>
          <c:idx val="1"/>
          <c:order val="2"/>
          <c:tx>
            <c:v>BP_1</c:v>
          </c:tx>
          <c:spPr>
            <a:ln w="22225" cap="rnd">
              <a:solidFill>
                <a:schemeClr val="accent2"/>
              </a:solidFill>
              <a:headEnd type="stealth" w="lg" len="lg"/>
              <a:tailEnd type="none"/>
            </a:ln>
            <a:effectLst>
              <a:glow rad="139700">
                <a:schemeClr val="accent2">
                  <a:satMod val="175000"/>
                  <a:alpha val="14000"/>
                </a:schemeClr>
              </a:glow>
            </a:effectLst>
          </c:spPr>
          <c:marker>
            <c:symbol val="none"/>
          </c:marker>
          <c:xVal>
            <c:numRef>
              <c:f>'PWGGS mean 2pc'!$O$5:$O$6</c:f>
              <c:numCache>
                <c:formatCode>0</c:formatCode>
                <c:ptCount val="2"/>
                <c:pt idx="0">
                  <c:v>600</c:v>
                </c:pt>
                <c:pt idx="1">
                  <c:v>600</c:v>
                </c:pt>
              </c:numCache>
            </c:numRef>
          </c:xVal>
          <c:yVal>
            <c:numRef>
              <c:f>'PWGGS mean 2pc'!$P$5:$P$6</c:f>
              <c:numCache>
                <c:formatCode>0%</c:formatCode>
                <c:ptCount val="2"/>
                <c:pt idx="0">
                  <c:v>0.88389436816805855</c:v>
                </c:pt>
                <c:pt idx="1">
                  <c:v>0.2</c:v>
                </c:pt>
              </c:numCache>
            </c:numRef>
          </c:yVal>
          <c:smooth val="0"/>
          <c:extLst>
            <c:ext xmlns:c16="http://schemas.microsoft.com/office/drawing/2014/chart" uri="{C3380CC4-5D6E-409C-BE32-E72D297353CC}">
              <c16:uniqueId val="{00000002-0DE0-4D9F-BA73-DDEE9187E4D2}"/>
            </c:ext>
          </c:extLst>
        </c:ser>
        <c:ser>
          <c:idx val="2"/>
          <c:order val="3"/>
          <c:tx>
            <c:v>BP_2</c:v>
          </c:tx>
          <c:spPr>
            <a:ln w="22225" cap="rnd">
              <a:solidFill>
                <a:schemeClr val="accent3"/>
              </a:solidFill>
              <a:headEnd type="stealth" w="lg" len="lg"/>
            </a:ln>
            <a:effectLst>
              <a:glow rad="139700">
                <a:schemeClr val="accent3">
                  <a:satMod val="175000"/>
                  <a:alpha val="14000"/>
                </a:schemeClr>
              </a:glow>
            </a:effectLst>
          </c:spPr>
          <c:marker>
            <c:symbol val="none"/>
          </c:marker>
          <c:xVal>
            <c:numRef>
              <c:f>'PWGGS mean 2pc'!$O$8:$O$9</c:f>
              <c:numCache>
                <c:formatCode>0</c:formatCode>
                <c:ptCount val="2"/>
              </c:numCache>
            </c:numRef>
          </c:xVal>
          <c:yVal>
            <c:numRef>
              <c:f>'PWGGS mean 2pc'!$P$8:$P$9</c:f>
              <c:numCache>
                <c:formatCode>0%</c:formatCode>
                <c:ptCount val="2"/>
              </c:numCache>
            </c:numRef>
          </c:yVal>
          <c:smooth val="0"/>
          <c:extLst>
            <c:ext xmlns:c16="http://schemas.microsoft.com/office/drawing/2014/chart" uri="{C3380CC4-5D6E-409C-BE32-E72D297353CC}">
              <c16:uniqueId val="{00000003-0DE0-4D9F-BA73-DDEE9187E4D2}"/>
            </c:ext>
          </c:extLst>
        </c:ser>
        <c:ser>
          <c:idx val="3"/>
          <c:order val="4"/>
          <c:tx>
            <c:v>BP_3</c:v>
          </c:tx>
          <c:spPr>
            <a:ln w="22225" cap="rnd">
              <a:solidFill>
                <a:schemeClr val="accent4"/>
              </a:solidFill>
              <a:headEnd type="stealth" w="lg" len="lg"/>
            </a:ln>
            <a:effectLst>
              <a:glow rad="139700">
                <a:schemeClr val="accent4">
                  <a:satMod val="175000"/>
                  <a:alpha val="14000"/>
                </a:schemeClr>
              </a:glow>
            </a:effectLst>
          </c:spPr>
          <c:marker>
            <c:symbol val="none"/>
          </c:marker>
          <c:xVal>
            <c:numRef>
              <c:f>'PWGGS mean 2pc'!$O$11:$O$12</c:f>
              <c:numCache>
                <c:formatCode>General</c:formatCode>
                <c:ptCount val="2"/>
              </c:numCache>
            </c:numRef>
          </c:xVal>
          <c:yVal>
            <c:numRef>
              <c:f>'PWGGS mean 2pc'!$P$11:$P$12</c:f>
              <c:numCache>
                <c:formatCode>0%</c:formatCode>
                <c:ptCount val="2"/>
              </c:numCache>
            </c:numRef>
          </c:yVal>
          <c:smooth val="1"/>
          <c:extLst>
            <c:ext xmlns:c16="http://schemas.microsoft.com/office/drawing/2014/chart" uri="{C3380CC4-5D6E-409C-BE32-E72D297353CC}">
              <c16:uniqueId val="{00000004-0DE0-4D9F-BA73-DDEE9187E4D2}"/>
            </c:ext>
          </c:extLst>
        </c:ser>
        <c:ser>
          <c:idx val="4"/>
          <c:order val="5"/>
          <c:tx>
            <c:v>BP_4</c:v>
          </c:tx>
          <c:spPr>
            <a:ln w="22225" cap="rnd">
              <a:solidFill>
                <a:schemeClr val="accent5"/>
              </a:solidFill>
              <a:headEnd type="stealth" w="lg" len="lg"/>
            </a:ln>
            <a:effectLst>
              <a:glow rad="139700">
                <a:schemeClr val="accent5">
                  <a:satMod val="175000"/>
                  <a:alpha val="14000"/>
                </a:schemeClr>
              </a:glow>
            </a:effectLst>
          </c:spPr>
          <c:marker>
            <c:symbol val="none"/>
          </c:marker>
          <c:xVal>
            <c:numRef>
              <c:f>'PWGGS mean 2pc'!$O$14:$O$15</c:f>
              <c:numCache>
                <c:formatCode>General</c:formatCode>
                <c:ptCount val="2"/>
              </c:numCache>
            </c:numRef>
          </c:xVal>
          <c:yVal>
            <c:numRef>
              <c:f>'PWGGS mean 2pc'!$P$14:$P$15</c:f>
              <c:numCache>
                <c:formatCode>0%</c:formatCode>
                <c:ptCount val="2"/>
              </c:numCache>
            </c:numRef>
          </c:yVal>
          <c:smooth val="1"/>
          <c:extLst>
            <c:ext xmlns:c16="http://schemas.microsoft.com/office/drawing/2014/chart" uri="{C3380CC4-5D6E-409C-BE32-E72D297353CC}">
              <c16:uniqueId val="{00000005-0DE0-4D9F-BA73-DDEE9187E4D2}"/>
            </c:ext>
          </c:extLst>
        </c:ser>
        <c:dLbls>
          <c:showLegendKey val="0"/>
          <c:showVal val="0"/>
          <c:showCatName val="0"/>
          <c:showSerName val="0"/>
          <c:showPercent val="0"/>
          <c:showBubbleSize val="0"/>
        </c:dLbls>
        <c:axId val="1020547680"/>
        <c:axId val="931494560"/>
      </c:scatterChart>
      <c:valAx>
        <c:axId val="1020547680"/>
        <c:scaling>
          <c:logBase val="10"/>
          <c:orientation val="minMax"/>
          <c:max val="1200"/>
          <c:min val="10"/>
        </c:scaling>
        <c:delete val="0"/>
        <c:axPos val="b"/>
        <c:majorGridlines>
          <c:spPr>
            <a:ln w="9525" cap="flat" cmpd="sng" algn="ctr">
              <a:solidFill>
                <a:schemeClr val="dk1">
                  <a:lumMod val="65000"/>
                  <a:lumOff val="35000"/>
                  <a:alpha val="75000"/>
                </a:schemeClr>
              </a:solidFill>
              <a:round/>
            </a:ln>
            <a:effectLst/>
          </c:spPr>
        </c:majorGridlines>
        <c:title>
          <c:tx>
            <c:strRef>
              <c:f>'PWGGS mean 2pc'!$B$3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in"/>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At val="0.1"/>
        <c:crossBetween val="midCat"/>
      </c:valAx>
      <c:valAx>
        <c:axId val="931494560"/>
        <c:scaling>
          <c:logBase val="10"/>
          <c:orientation val="minMax"/>
          <c:max val="1"/>
        </c:scaling>
        <c:delete val="0"/>
        <c:axPos val="l"/>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Cumpass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0"/>
        <c:majorTickMark val="out"/>
        <c:minorTickMark val="in"/>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layout>
        <c:manualLayout>
          <c:xMode val="edge"/>
          <c:yMode val="edge"/>
          <c:x val="0.13848989782500223"/>
          <c:y val="0"/>
          <c:w val="0.2007735489983285"/>
          <c:h val="0.537381321282828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5"/>
          <c:order val="0"/>
          <c:tx>
            <c:strRef>
              <c:f>'PWGGS mean 2pc'!$D$2</c:f>
              <c:strCache>
                <c:ptCount val="1"/>
                <c:pt idx="0">
                  <c:v>Observed</c:v>
                </c:pt>
              </c:strCache>
            </c:strRef>
          </c:tx>
          <c:spPr>
            <a:ln w="22225" cap="rnd">
              <a:solidFill>
                <a:schemeClr val="accent6"/>
              </a:solidFill>
            </a:ln>
            <a:effectLst>
              <a:glow rad="139700">
                <a:schemeClr val="accent6">
                  <a:satMod val="175000"/>
                  <a:alpha val="14000"/>
                </a:schemeClr>
              </a:glow>
            </a:effectLst>
          </c:spPr>
          <c:marker>
            <c:symbol val="circle"/>
            <c:size val="9"/>
            <c:spPr>
              <a:solidFill>
                <a:schemeClr val="accent6">
                  <a:lumMod val="60000"/>
                  <a:lumOff val="40000"/>
                </a:schemeClr>
              </a:solidFill>
              <a:ln>
                <a:noFill/>
              </a:ln>
              <a:effectLst>
                <a:glow rad="63500">
                  <a:schemeClr val="accent6">
                    <a:satMod val="175000"/>
                    <a:alpha val="25000"/>
                  </a:schemeClr>
                </a:glow>
              </a:effectLst>
            </c:spPr>
          </c:marker>
          <c:xVal>
            <c:numRef>
              <c:f>'PWGGS mean 2pc'!$C$4:$C$15</c:f>
              <c:numCache>
                <c:formatCode>General</c:formatCode>
                <c:ptCount val="12"/>
                <c:pt idx="0">
                  <c:v>1180</c:v>
                </c:pt>
                <c:pt idx="1">
                  <c:v>600</c:v>
                </c:pt>
                <c:pt idx="2">
                  <c:v>425</c:v>
                </c:pt>
                <c:pt idx="3">
                  <c:v>300</c:v>
                </c:pt>
                <c:pt idx="4">
                  <c:v>212</c:v>
                </c:pt>
                <c:pt idx="5">
                  <c:v>180</c:v>
                </c:pt>
                <c:pt idx="6">
                  <c:v>150</c:v>
                </c:pt>
                <c:pt idx="7">
                  <c:v>106</c:v>
                </c:pt>
                <c:pt idx="8">
                  <c:v>75</c:v>
                </c:pt>
                <c:pt idx="9">
                  <c:v>53</c:v>
                </c:pt>
                <c:pt idx="10">
                  <c:v>38</c:v>
                </c:pt>
                <c:pt idx="11">
                  <c:v>0</c:v>
                </c:pt>
              </c:numCache>
            </c:numRef>
          </c:xVal>
          <c:yVal>
            <c:numRef>
              <c:f>'PWGGS mean 2pc'!$E$4:$E$15</c:f>
              <c:numCache>
                <c:formatCode>0.0%</c:formatCode>
                <c:ptCount val="12"/>
                <c:pt idx="0">
                  <c:v>3.5400101270330574E-2</c:v>
                </c:pt>
                <c:pt idx="1">
                  <c:v>7.7800096818887457E-2</c:v>
                </c:pt>
                <c:pt idx="2">
                  <c:v>7.1556947868036971E-2</c:v>
                </c:pt>
                <c:pt idx="3">
                  <c:v>0.11786308473878375</c:v>
                </c:pt>
                <c:pt idx="4">
                  <c:v>0.12556964560948602</c:v>
                </c:pt>
                <c:pt idx="5">
                  <c:v>4.2661517830811777E-2</c:v>
                </c:pt>
                <c:pt idx="6">
                  <c:v>5.0145506546403512E-2</c:v>
                </c:pt>
                <c:pt idx="7">
                  <c:v>8.2112432324154078E-2</c:v>
                </c:pt>
                <c:pt idx="8">
                  <c:v>6.2142145706861336E-2</c:v>
                </c:pt>
                <c:pt idx="9">
                  <c:v>6.5135741193098035E-2</c:v>
                </c:pt>
                <c:pt idx="10">
                  <c:v>4.1353906419537387E-2</c:v>
                </c:pt>
                <c:pt idx="11">
                  <c:v>0.228258873673609</c:v>
                </c:pt>
              </c:numCache>
            </c:numRef>
          </c:yVal>
          <c:smooth val="0"/>
          <c:extLst>
            <c:ext xmlns:c16="http://schemas.microsoft.com/office/drawing/2014/chart" uri="{C3380CC4-5D6E-409C-BE32-E72D297353CC}">
              <c16:uniqueId val="{00000000-A52D-484E-8302-0EB8EE045DB1}"/>
            </c:ext>
          </c:extLst>
        </c:ser>
        <c:ser>
          <c:idx val="0"/>
          <c:order val="1"/>
          <c:tx>
            <c:strRef>
              <c:f>'PWGGS mean 2pc'!$G$2:$H$2</c:f>
              <c:strCache>
                <c:ptCount val="1"/>
                <c:pt idx="0">
                  <c:v>GGS Mod</c:v>
                </c:pt>
              </c:strCache>
            </c:strRef>
          </c:tx>
          <c:spPr>
            <a:ln w="22225" cap="rnd">
              <a:solidFill>
                <a:schemeClr val="bg1"/>
              </a:solidFill>
              <a:prstDash val="lgDashDot"/>
            </a:ln>
            <a:effectLst>
              <a:glow rad="139700">
                <a:schemeClr val="accent1">
                  <a:satMod val="175000"/>
                  <a:alpha val="14000"/>
                </a:schemeClr>
              </a:glow>
            </a:effectLst>
          </c:spPr>
          <c:marker>
            <c:symbol val="none"/>
          </c:marker>
          <c:xVal>
            <c:numRef>
              <c:f>'PWGGS mean 2pc'!$C$4:$C$15</c:f>
              <c:numCache>
                <c:formatCode>General</c:formatCode>
                <c:ptCount val="12"/>
                <c:pt idx="0">
                  <c:v>1180</c:v>
                </c:pt>
                <c:pt idx="1">
                  <c:v>600</c:v>
                </c:pt>
                <c:pt idx="2">
                  <c:v>425</c:v>
                </c:pt>
                <c:pt idx="3">
                  <c:v>300</c:v>
                </c:pt>
                <c:pt idx="4">
                  <c:v>212</c:v>
                </c:pt>
                <c:pt idx="5">
                  <c:v>180</c:v>
                </c:pt>
                <c:pt idx="6">
                  <c:v>150</c:v>
                </c:pt>
                <c:pt idx="7">
                  <c:v>106</c:v>
                </c:pt>
                <c:pt idx="8">
                  <c:v>75</c:v>
                </c:pt>
                <c:pt idx="9">
                  <c:v>53</c:v>
                </c:pt>
                <c:pt idx="10">
                  <c:v>38</c:v>
                </c:pt>
                <c:pt idx="11">
                  <c:v>0</c:v>
                </c:pt>
              </c:numCache>
            </c:numRef>
          </c:xVal>
          <c:yVal>
            <c:numRef>
              <c:f>'PWGGS mean 2pc'!$H$4:$H$15</c:f>
              <c:numCache>
                <c:formatCode>0.0%</c:formatCode>
                <c:ptCount val="12"/>
                <c:pt idx="0">
                  <c:v>3.856043248370955E-2</c:v>
                </c:pt>
                <c:pt idx="1">
                  <c:v>7.7545199348231897E-2</c:v>
                </c:pt>
                <c:pt idx="2">
                  <c:v>7.5017131292093531E-2</c:v>
                </c:pt>
                <c:pt idx="3">
                  <c:v>0.12734871934910741</c:v>
                </c:pt>
                <c:pt idx="4">
                  <c:v>0.10698536307355766</c:v>
                </c:pt>
                <c:pt idx="5">
                  <c:v>4.4426702892896297E-2</c:v>
                </c:pt>
                <c:pt idx="6">
                  <c:v>4.5467524192680575E-2</c:v>
                </c:pt>
                <c:pt idx="7">
                  <c:v>7.6079489154469326E-2</c:v>
                </c:pt>
                <c:pt idx="8">
                  <c:v>6.3925631302520602E-2</c:v>
                </c:pt>
                <c:pt idx="9">
                  <c:v>5.4101687405831655E-2</c:v>
                </c:pt>
                <c:pt idx="10">
                  <c:v>4.3857034271109957E-2</c:v>
                </c:pt>
                <c:pt idx="11">
                  <c:v>0.24668508523379154</c:v>
                </c:pt>
              </c:numCache>
            </c:numRef>
          </c:yVal>
          <c:smooth val="0"/>
          <c:extLst>
            <c:ext xmlns:c16="http://schemas.microsoft.com/office/drawing/2014/chart" uri="{C3380CC4-5D6E-409C-BE32-E72D297353CC}">
              <c16:uniqueId val="{00000001-A52D-484E-8302-0EB8EE045DB1}"/>
            </c:ext>
          </c:extLst>
        </c:ser>
        <c:dLbls>
          <c:showLegendKey val="0"/>
          <c:showVal val="0"/>
          <c:showCatName val="0"/>
          <c:showSerName val="0"/>
          <c:showPercent val="0"/>
          <c:showBubbleSize val="0"/>
        </c:dLbls>
        <c:axId val="1020547680"/>
        <c:axId val="931494560"/>
      </c:scatterChart>
      <c:valAx>
        <c:axId val="1020547680"/>
        <c:scaling>
          <c:orientation val="minMax"/>
          <c:max val="1200"/>
        </c:scaling>
        <c:delete val="0"/>
        <c:axPos val="b"/>
        <c:majorGridlines>
          <c:spPr>
            <a:ln w="9525" cap="flat" cmpd="sng" algn="ctr">
              <a:solidFill>
                <a:schemeClr val="dk1">
                  <a:lumMod val="65000"/>
                  <a:lumOff val="35000"/>
                  <a:alpha val="75000"/>
                </a:schemeClr>
              </a:solidFill>
              <a:round/>
            </a:ln>
            <a:effectLst/>
          </c:spPr>
        </c:majorGridlines>
        <c:title>
          <c:tx>
            <c:strRef>
              <c:f>'PWGGS mean 2pc'!$B$3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QQ Plot - CUMPAS</a:t>
            </a:r>
          </a:p>
        </c:rich>
      </c:tx>
      <c:layout>
        <c:manualLayout>
          <c:xMode val="edge"/>
          <c:yMode val="edge"/>
          <c:x val="0.2709893544017703"/>
          <c:y val="1.1176702734517796E-2"/>
        </c:manualLayout>
      </c:layout>
      <c:overlay val="1"/>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smoothMarker"/>
        <c:varyColors val="0"/>
        <c:ser>
          <c:idx val="0"/>
          <c:order val="0"/>
          <c:tx>
            <c:strRef>
              <c:f>'PWGGS mean 2pc'!$F$3</c:f>
              <c:strCache>
                <c:ptCount val="1"/>
                <c:pt idx="0">
                  <c:v>cumpas</c:v>
                </c:pt>
              </c:strCache>
            </c:strRef>
          </c:tx>
          <c:spPr>
            <a:ln w="28575" cap="rnd">
              <a:solidFill>
                <a:schemeClr val="lt1">
                  <a:alpha val="50000"/>
                </a:schemeClr>
              </a:solid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1"/>
            <c:dispEq val="1"/>
            <c:trendlineLbl>
              <c:layout>
                <c:manualLayout>
                  <c:x val="-5.9047328435468699E-2"/>
                  <c:y val="2.5931188403526782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rendlineLbl>
          </c:trendline>
          <c:xVal>
            <c:numRef>
              <c:f>'PWGGS mean 2pc'!$F$4:$F$14</c:f>
              <c:numCache>
                <c:formatCode>0%</c:formatCode>
                <c:ptCount val="11"/>
                <c:pt idx="0">
                  <c:v>0.96459989872966945</c:v>
                </c:pt>
                <c:pt idx="1">
                  <c:v>0.886799801910782</c:v>
                </c:pt>
                <c:pt idx="2">
                  <c:v>0.81524285404274499</c:v>
                </c:pt>
                <c:pt idx="3">
                  <c:v>0.69737976930396128</c:v>
                </c:pt>
                <c:pt idx="4">
                  <c:v>0.57181012369447526</c:v>
                </c:pt>
                <c:pt idx="5">
                  <c:v>0.52914860586366352</c:v>
                </c:pt>
                <c:pt idx="6">
                  <c:v>0.47900309931726004</c:v>
                </c:pt>
                <c:pt idx="7">
                  <c:v>0.39689066699310593</c:v>
                </c:pt>
                <c:pt idx="8">
                  <c:v>0.3347485212862446</c:v>
                </c:pt>
                <c:pt idx="9">
                  <c:v>0.2696127800931466</c:v>
                </c:pt>
                <c:pt idx="10">
                  <c:v>0.2282588736736092</c:v>
                </c:pt>
              </c:numCache>
            </c:numRef>
          </c:xVal>
          <c:yVal>
            <c:numRef>
              <c:f>'PWGGS mean 2pc'!$G$4:$G$14</c:f>
              <c:numCache>
                <c:formatCode>0%</c:formatCode>
                <c:ptCount val="11"/>
                <c:pt idx="0">
                  <c:v>0.96143956751629045</c:v>
                </c:pt>
                <c:pt idx="1">
                  <c:v>0.88389436816805855</c:v>
                </c:pt>
                <c:pt idx="2">
                  <c:v>0.80887723687596502</c:v>
                </c:pt>
                <c:pt idx="3">
                  <c:v>0.68152851752685761</c:v>
                </c:pt>
                <c:pt idx="4">
                  <c:v>0.57454315445329995</c:v>
                </c:pt>
                <c:pt idx="5">
                  <c:v>0.53011645156040366</c:v>
                </c:pt>
                <c:pt idx="6">
                  <c:v>0.48464892736772308</c:v>
                </c:pt>
                <c:pt idx="7">
                  <c:v>0.40856943821325375</c:v>
                </c:pt>
                <c:pt idx="8">
                  <c:v>0.34464380691073315</c:v>
                </c:pt>
                <c:pt idx="9">
                  <c:v>0.2905421195049015</c:v>
                </c:pt>
                <c:pt idx="10">
                  <c:v>0.24668508523379154</c:v>
                </c:pt>
              </c:numCache>
            </c:numRef>
          </c:yVal>
          <c:smooth val="1"/>
          <c:extLst>
            <c:ext xmlns:c16="http://schemas.microsoft.com/office/drawing/2014/chart" uri="{C3380CC4-5D6E-409C-BE32-E72D297353CC}">
              <c16:uniqueId val="{00000001-9BF9-4A0B-83F4-5241F692FDC2}"/>
            </c:ext>
          </c:extLst>
        </c:ser>
        <c:dLbls>
          <c:showLegendKey val="0"/>
          <c:showVal val="0"/>
          <c:showCatName val="0"/>
          <c:showSerName val="0"/>
          <c:showPercent val="0"/>
          <c:showBubbleSize val="0"/>
        </c:dLbls>
        <c:axId val="1020547680"/>
        <c:axId val="931494560"/>
      </c:scatterChart>
      <c:valAx>
        <c:axId val="1020547680"/>
        <c:scaling>
          <c:orientation val="minMax"/>
          <c:max val="1"/>
        </c:scaling>
        <c:delete val="0"/>
        <c:axPos val="b"/>
        <c:majorGridlines>
          <c:spPr>
            <a:ln w="9525" cap="flat" cmpd="sng" algn="ctr">
              <a:solidFill>
                <a:schemeClr val="lt1">
                  <a:alpha val="25000"/>
                </a:schemeClr>
              </a:solidFill>
              <a:round/>
            </a:ln>
            <a:effectLst/>
          </c:spPr>
        </c:majorGridlines>
        <c:title>
          <c:tx>
            <c:strRef>
              <c:f>'PWGGS mean 2pc'!$B$3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lt1">
                  <a:alpha val="25000"/>
                </a:schemeClr>
              </a:solidFill>
              <a:round/>
            </a:ln>
            <a:effectLst/>
          </c:spPr>
        </c:majorGridlines>
        <c:title>
          <c:tx>
            <c:strRef>
              <c:f>'PWGGS mean 2pc'!$A$26</c:f>
              <c:strCache>
                <c:ptCount val="1"/>
                <c:pt idx="0">
                  <c:v>GGS Model Fitted: y = ( x / k ) ^ n</c:v>
                </c:pt>
              </c:strCache>
            </c:strRef>
          </c:tx>
          <c:layout>
            <c:manualLayout>
              <c:xMode val="edge"/>
              <c:yMode val="edge"/>
              <c:x val="2.8000822827329067E-3"/>
              <c:y val="0.1446012480236984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0547680"/>
        <c:crosses val="autoZero"/>
        <c:crossBetween val="midCat"/>
      </c:valAx>
      <c:spPr>
        <a:noFill/>
        <a:ln>
          <a:noFill/>
        </a:ln>
        <a:effectLst/>
      </c:spPr>
    </c:plotArea>
    <c:legend>
      <c:legendPos val="t"/>
      <c:layout>
        <c:manualLayout>
          <c:xMode val="edge"/>
          <c:yMode val="edge"/>
          <c:x val="0.77800881518817544"/>
          <c:y val="2.7942142603494837E-2"/>
          <c:w val="0.22199113586745869"/>
          <c:h val="9.43053913374077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Rosin Rammler Regression Check</a:t>
            </a:r>
          </a:p>
        </c:rich>
      </c:tx>
      <c:layout>
        <c:manualLayout>
          <c:xMode val="edge"/>
          <c:yMode val="edge"/>
          <c:x val="0.25051747969394889"/>
          <c:y val="3.716346744378330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4782072862974208"/>
          <c:y val="0.1648093146895539"/>
          <c:w val="0.81221168964045998"/>
          <c:h val="0.73324890174529578"/>
        </c:manualLayout>
      </c:layout>
      <c:scatterChart>
        <c:scatterStyle val="lineMarker"/>
        <c:varyColors val="0"/>
        <c:ser>
          <c:idx val="0"/>
          <c:order val="0"/>
          <c:tx>
            <c:strRef>
              <c:f>'RR (2)'!$H$28</c:f>
              <c:strCache>
                <c:ptCount val="1"/>
                <c:pt idx="0">
                  <c:v>Y</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'RR (2)'!$G$30:$G$40</c:f>
              <c:numCache>
                <c:formatCode>0.000</c:formatCode>
                <c:ptCount val="11"/>
                <c:pt idx="0">
                  <c:v>7.0732697174597101</c:v>
                </c:pt>
                <c:pt idx="1">
                  <c:v>6.3969296552161463</c:v>
                </c:pt>
                <c:pt idx="2">
                  <c:v>6.0520891689244172</c:v>
                </c:pt>
                <c:pt idx="3">
                  <c:v>5.7037824746562009</c:v>
                </c:pt>
                <c:pt idx="4">
                  <c:v>5.3565862746720123</c:v>
                </c:pt>
                <c:pt idx="5">
                  <c:v>5.1929568508902104</c:v>
                </c:pt>
                <c:pt idx="6">
                  <c:v>5.0106352940962555</c:v>
                </c:pt>
                <c:pt idx="7">
                  <c:v>4.6634390941120669</c:v>
                </c:pt>
                <c:pt idx="8">
                  <c:v>4.3174881135363101</c:v>
                </c:pt>
                <c:pt idx="9">
                  <c:v>3.970291913552122</c:v>
                </c:pt>
                <c:pt idx="10">
                  <c:v>3.6375861597263857</c:v>
                </c:pt>
              </c:numCache>
            </c:numRef>
          </c:xVal>
          <c:yVal>
            <c:numRef>
              <c:f>'RR (2)'!$H$30:$H$40</c:f>
              <c:numCache>
                <c:formatCode>0.000</c:formatCode>
                <c:ptCount val="11"/>
                <c:pt idx="0">
                  <c:v>1.2312960574412903</c:v>
                </c:pt>
                <c:pt idx="1">
                  <c:v>0.80548628065882344</c:v>
                </c:pt>
                <c:pt idx="2">
                  <c:v>0.53417392086031124</c:v>
                </c:pt>
                <c:pt idx="3">
                  <c:v>0.17363675622308758</c:v>
                </c:pt>
                <c:pt idx="4">
                  <c:v>-0.15197352232954023</c:v>
                </c:pt>
                <c:pt idx="5">
                  <c:v>-0.27781034963198903</c:v>
                </c:pt>
                <c:pt idx="6">
                  <c:v>-0.41565783836442438</c:v>
                </c:pt>
                <c:pt idx="7">
                  <c:v>-0.65777373181062482</c:v>
                </c:pt>
                <c:pt idx="8">
                  <c:v>-0.85077411877137399</c:v>
                </c:pt>
                <c:pt idx="9">
                  <c:v>-1.1125142398732921</c:v>
                </c:pt>
                <c:pt idx="10">
                  <c:v>-1.2885770246489232</c:v>
                </c:pt>
              </c:numCache>
            </c:numRef>
          </c:yVal>
          <c:smooth val="0"/>
          <c:extLst>
            <c:ext xmlns:c16="http://schemas.microsoft.com/office/drawing/2014/chart" uri="{C3380CC4-5D6E-409C-BE32-E72D297353CC}">
              <c16:uniqueId val="{00000000-7624-47E1-96B6-EE04E30ABCFA}"/>
            </c:ext>
          </c:extLst>
        </c:ser>
        <c:ser>
          <c:idx val="1"/>
          <c:order val="1"/>
          <c:tx>
            <c:strRef>
              <c:f>'RR (2)'!$I$28</c:f>
              <c:strCache>
                <c:ptCount val="1"/>
                <c:pt idx="0">
                  <c:v>Fitted Y</c:v>
                </c:pt>
              </c:strCache>
            </c:strRef>
          </c:tx>
          <c:spPr>
            <a:ln w="25400" cap="rnd">
              <a:solidFill>
                <a:srgbClr val="FFC000"/>
              </a:solidFill>
              <a:round/>
            </a:ln>
            <a:effectLst>
              <a:outerShdw blurRad="57150" dist="19050" dir="5400000" algn="ctr" rotWithShape="0">
                <a:srgbClr val="000000">
                  <a:alpha val="63000"/>
                </a:srgbClr>
              </a:outerShdw>
            </a:effectLst>
          </c:spPr>
          <c:marker>
            <c:symbol val="none"/>
          </c:marker>
          <c:xVal>
            <c:numRef>
              <c:f>'RR (2)'!$G$30:$G$40</c:f>
              <c:numCache>
                <c:formatCode>0.000</c:formatCode>
                <c:ptCount val="11"/>
                <c:pt idx="0">
                  <c:v>7.0732697174597101</c:v>
                </c:pt>
                <c:pt idx="1">
                  <c:v>6.3969296552161463</c:v>
                </c:pt>
                <c:pt idx="2">
                  <c:v>6.0520891689244172</c:v>
                </c:pt>
                <c:pt idx="3">
                  <c:v>5.7037824746562009</c:v>
                </c:pt>
                <c:pt idx="4">
                  <c:v>5.3565862746720123</c:v>
                </c:pt>
                <c:pt idx="5">
                  <c:v>5.1929568508902104</c:v>
                </c:pt>
                <c:pt idx="6">
                  <c:v>5.0106352940962555</c:v>
                </c:pt>
                <c:pt idx="7">
                  <c:v>4.6634390941120669</c:v>
                </c:pt>
                <c:pt idx="8">
                  <c:v>4.3174881135363101</c:v>
                </c:pt>
                <c:pt idx="9">
                  <c:v>3.970291913552122</c:v>
                </c:pt>
                <c:pt idx="10">
                  <c:v>3.6375861597263857</c:v>
                </c:pt>
              </c:numCache>
            </c:numRef>
          </c:xVal>
          <c:yVal>
            <c:numRef>
              <c:f>'RR (2)'!$I$30:$I$40</c:f>
              <c:numCache>
                <c:formatCode>0.00</c:formatCode>
                <c:ptCount val="11"/>
                <c:pt idx="0">
                  <c:v>1.2335121301616105</c:v>
                </c:pt>
                <c:pt idx="1">
                  <c:v>0.71778460218010842</c:v>
                </c:pt>
                <c:pt idx="2">
                  <c:v>0.45483443632237819</c:v>
                </c:pt>
                <c:pt idx="3">
                  <c:v>0.189241193452097</c:v>
                </c:pt>
                <c:pt idx="4">
                  <c:v>-7.5505267593610093E-2</c:v>
                </c:pt>
                <c:pt idx="5">
                  <c:v>-0.20027711380377333</c:v>
                </c:pt>
                <c:pt idx="6">
                  <c:v>-0.33930221527591398</c:v>
                </c:pt>
                <c:pt idx="7">
                  <c:v>-0.60404867632162107</c:v>
                </c:pt>
                <c:pt idx="8">
                  <c:v>-0.86784562400392495</c:v>
                </c:pt>
                <c:pt idx="9">
                  <c:v>-1.1325920850496316</c:v>
                </c:pt>
                <c:pt idx="10">
                  <c:v>-1.3862891903143759</c:v>
                </c:pt>
              </c:numCache>
            </c:numRef>
          </c:yVal>
          <c:smooth val="0"/>
          <c:extLst>
            <c:ext xmlns:c16="http://schemas.microsoft.com/office/drawing/2014/chart" uri="{C3380CC4-5D6E-409C-BE32-E72D297353CC}">
              <c16:uniqueId val="{00000001-7624-47E1-96B6-EE04E30ABCFA}"/>
            </c:ext>
          </c:extLst>
        </c:ser>
        <c:dLbls>
          <c:showLegendKey val="0"/>
          <c:showVal val="0"/>
          <c:showCatName val="0"/>
          <c:showSerName val="0"/>
          <c:showPercent val="0"/>
          <c:showBubbleSize val="0"/>
        </c:dLbls>
        <c:axId val="1823205951"/>
        <c:axId val="1"/>
      </c:scatterChart>
      <c:valAx>
        <c:axId val="182320595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Sieve, µm</a:t>
                </a:r>
              </a:p>
            </c:rich>
          </c:tx>
          <c:layout>
            <c:manualLayout>
              <c:xMode val="edge"/>
              <c:yMode val="edge"/>
              <c:x val="0.4969615472995238"/>
              <c:y val="0.9325507219616033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
        <c:crosses val="autoZero"/>
        <c:crossBetween val="midCat"/>
      </c:valAx>
      <c:valAx>
        <c:axId val="1"/>
        <c:scaling>
          <c:orientation val="minMax"/>
          <c:max val="1"/>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Cumulative %Pass</a:t>
                </a:r>
              </a:p>
            </c:rich>
          </c:tx>
          <c:layout>
            <c:manualLayout>
              <c:xMode val="edge"/>
              <c:yMode val="edge"/>
              <c:x val="5.6862889119949373E-3"/>
              <c:y val="0.2785630795333596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205951"/>
        <c:crosses val="autoZero"/>
        <c:crossBetween val="midCat"/>
      </c:valAx>
      <c:spPr>
        <a:noFill/>
        <a:ln>
          <a:noFill/>
        </a:ln>
        <a:effectLst/>
      </c:spPr>
    </c:plotArea>
    <c:legend>
      <c:legendPos val="r"/>
      <c:layout>
        <c:manualLayout>
          <c:xMode val="edge"/>
          <c:yMode val="edge"/>
          <c:x val="0.89527318345426898"/>
          <c:y val="0.4873446958359548"/>
          <c:w val="9.2095627055676366E-2"/>
          <c:h val="0.318788902395074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alignWithMargins="0"/>
    <c:pageMargins b="1" l="0.75" r="0.75" t="1" header="0.51180555555555551" footer="0.51180555555555551"/>
    <c:pageSetup firstPageNumber="0"/>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'PWGGS mean 2pc'!$A$52</c:f>
          <c:strCache>
            <c:ptCount val="1"/>
            <c:pt idx="0">
              <c:v>Percentiles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'PWGGS mean 2pc'!$D$50</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'PWGGS mean 2pc'!$C$51:$C$62</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xVal>
          <c:yVal>
            <c:numRef>
              <c:f>'PWGGS mean 2pc'!$D$51:$D$62</c:f>
              <c:numCache>
                <c:formatCode>0</c:formatCode>
                <c:ptCount val="12"/>
                <c:pt idx="0">
                  <c:v>1618.9539912947644</c:v>
                </c:pt>
                <c:pt idx="1">
                  <c:v>1071.6999041221572</c:v>
                </c:pt>
                <c:pt idx="2">
                  <c:v>693.78176928506002</c:v>
                </c:pt>
                <c:pt idx="3">
                  <c:v>458.90918482776351</c:v>
                </c:pt>
                <c:pt idx="4">
                  <c:v>415.57032715526668</c:v>
                </c:pt>
                <c:pt idx="5">
                  <c:v>364.46543591470618</c:v>
                </c:pt>
                <c:pt idx="6">
                  <c:v>159.81828379614365</c:v>
                </c:pt>
                <c:pt idx="7">
                  <c:v>101.52860011646526</c:v>
                </c:pt>
                <c:pt idx="8">
                  <c:v>39.045440847310466</c:v>
                </c:pt>
                <c:pt idx="9">
                  <c:v>15.757749837174087</c:v>
                </c:pt>
                <c:pt idx="10">
                  <c:v>6.0600489758384581</c:v>
                </c:pt>
                <c:pt idx="11">
                  <c:v>1.4805395114849453</c:v>
                </c:pt>
              </c:numCache>
            </c:numRef>
          </c:yVal>
          <c:smooth val="0"/>
          <c:extLst>
            <c:ext xmlns:c16="http://schemas.microsoft.com/office/drawing/2014/chart" uri="{C3380CC4-5D6E-409C-BE32-E72D297353CC}">
              <c16:uniqueId val="{00000000-154D-4241-9D46-A2C141436333}"/>
            </c:ext>
          </c:extLst>
        </c:ser>
        <c:dLbls>
          <c:showLegendKey val="0"/>
          <c:showVal val="0"/>
          <c:showCatName val="0"/>
          <c:showSerName val="0"/>
          <c:showPercent val="0"/>
          <c:showBubbleSize val="0"/>
        </c:dLbls>
        <c:axId val="436082832"/>
        <c:axId val="1980303743"/>
      </c:scatterChart>
      <c:valAx>
        <c:axId val="4360828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303743"/>
        <c:crosses val="autoZero"/>
        <c:crossBetween val="midCat"/>
      </c:valAx>
      <c:valAx>
        <c:axId val="1980303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0828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'PWGGS mean 2pc'!$C$70</c:f>
              <c:strCache>
                <c:ptCount val="1"/>
                <c:pt idx="0">
                  <c:v>Q3</c:v>
                </c:pt>
              </c:strCache>
            </c:strRef>
          </c:tx>
          <c:spPr>
            <a:solidFill>
              <a:srgbClr val="002060"/>
            </a:solidFill>
            <a:ln>
              <a:noFill/>
            </a:ln>
            <a:effectLst/>
          </c:spPr>
          <c:invertIfNegative val="0"/>
          <c:errBars>
            <c:errBarType val="plus"/>
            <c:errValType val="cust"/>
            <c:noEndCap val="1"/>
            <c:plus>
              <c:numRef>
                <c:f>'PWGGS mean 2pc'!$D$72</c:f>
                <c:numCache>
                  <c:formatCode>General</c:formatCode>
                  <c:ptCount val="1"/>
                  <c:pt idx="0">
                    <c:v>0</c:v>
                  </c:pt>
                </c:numCache>
              </c:numRef>
            </c:plus>
            <c:minus>
              <c:numRef>
                <c:f>'PWGGS mean 2pc'!$D$70</c:f>
                <c:numCache>
                  <c:formatCode>General</c:formatCode>
                  <c:ptCount val="1"/>
                  <c:pt idx="0">
                    <c:v>0</c:v>
                  </c:pt>
                </c:numCache>
              </c:numRef>
            </c:minus>
            <c:spPr>
              <a:noFill/>
              <a:ln w="9525" cap="flat" cmpd="sng" algn="ctr">
                <a:solidFill>
                  <a:schemeClr val="tx1">
                    <a:lumMod val="65000"/>
                    <a:lumOff val="35000"/>
                  </a:schemeClr>
                </a:solidFill>
                <a:round/>
              </a:ln>
              <a:effectLst/>
            </c:spPr>
          </c:errBars>
          <c:cat>
            <c:numRef>
              <c:f>'PWGGS mean 2pc'!$D$50</c:f>
              <c:numCache>
                <c:formatCode>General</c:formatCode>
                <c:ptCount val="1"/>
              </c:numCache>
            </c:numRef>
          </c:cat>
          <c:val>
            <c:numRef>
              <c:f>'PWGGS mean 2pc'!$D$70:$I$70</c:f>
              <c:numCache>
                <c:formatCode>0</c:formatCode>
                <c:ptCount val="6"/>
                <c:pt idx="0">
                  <c:v>0</c:v>
                </c:pt>
              </c:numCache>
            </c:numRef>
          </c:val>
          <c:extLst>
            <c:ext xmlns:c16="http://schemas.microsoft.com/office/drawing/2014/chart" uri="{C3380CC4-5D6E-409C-BE32-E72D297353CC}">
              <c16:uniqueId val="{00000000-08D5-4ED8-9B7B-95DCF7D52451}"/>
            </c:ext>
          </c:extLst>
        </c:ser>
        <c:ser>
          <c:idx val="1"/>
          <c:order val="1"/>
          <c:tx>
            <c:strRef>
              <c:f>'PWGGS mean 2pc'!$C$69</c:f>
              <c:strCache>
                <c:ptCount val="1"/>
                <c:pt idx="0">
                  <c:v>Median</c:v>
                </c:pt>
              </c:strCache>
            </c:strRef>
          </c:tx>
          <c:spPr>
            <a:solidFill>
              <a:schemeClr val="accent2"/>
            </a:solidFill>
            <a:ln>
              <a:noFill/>
            </a:ln>
            <a:effectLst/>
          </c:spPr>
          <c:invertIfNegative val="0"/>
          <c:cat>
            <c:numRef>
              <c:f>'PWGGS mean 2pc'!$D$50</c:f>
              <c:numCache>
                <c:formatCode>General</c:formatCode>
                <c:ptCount val="1"/>
              </c:numCache>
            </c:numRef>
          </c:cat>
          <c:val>
            <c:numRef>
              <c:f>'PWGGS mean 2pc'!$D$69</c:f>
              <c:numCache>
                <c:formatCode>0</c:formatCode>
                <c:ptCount val="1"/>
                <c:pt idx="0">
                  <c:v>0</c:v>
                </c:pt>
              </c:numCache>
            </c:numRef>
          </c:val>
          <c:extLst>
            <c:ext xmlns:c16="http://schemas.microsoft.com/office/drawing/2014/chart" uri="{C3380CC4-5D6E-409C-BE32-E72D297353CC}">
              <c16:uniqueId val="{00000001-08D5-4ED8-9B7B-95DCF7D52451}"/>
            </c:ext>
          </c:extLst>
        </c:ser>
        <c:ser>
          <c:idx val="0"/>
          <c:order val="2"/>
          <c:tx>
            <c:strRef>
              <c:f>'PWGGS mean 2pc'!$C$68</c:f>
              <c:strCache>
                <c:ptCount val="1"/>
                <c:pt idx="0">
                  <c:v>Q1</c:v>
                </c:pt>
              </c:strCache>
            </c:strRef>
          </c:tx>
          <c:spPr>
            <a:solidFill>
              <a:schemeClr val="bg1"/>
            </a:solidFill>
            <a:ln>
              <a:noFill/>
            </a:ln>
            <a:effectLst/>
          </c:spPr>
          <c:invertIfNegative val="0"/>
          <c:errBars>
            <c:errBarType val="minus"/>
            <c:errValType val="cust"/>
            <c:noEndCap val="1"/>
            <c:plus>
              <c:numRef>
                <c:f>'PWGGS mean 2pc'!$D$68</c:f>
                <c:numCache>
                  <c:formatCode>General</c:formatCode>
                  <c:ptCount val="1"/>
                  <c:pt idx="0">
                    <c:v>0</c:v>
                  </c:pt>
                </c:numCache>
              </c:numRef>
            </c:plus>
            <c:minus>
              <c:numRef>
                <c:f>'PWGGS mean 2pc'!$D$66</c:f>
                <c:numCache>
                  <c:formatCode>General</c:formatCode>
                  <c:ptCount val="1"/>
                  <c:pt idx="0">
                    <c:v>0</c:v>
                  </c:pt>
                </c:numCache>
              </c:numRef>
            </c:minus>
            <c:spPr>
              <a:noFill/>
              <a:ln w="9525" cap="flat" cmpd="sng" algn="ctr">
                <a:solidFill>
                  <a:schemeClr val="tx1">
                    <a:lumMod val="65000"/>
                    <a:lumOff val="35000"/>
                  </a:schemeClr>
                </a:solidFill>
                <a:round/>
              </a:ln>
              <a:effectLst/>
            </c:spPr>
          </c:errBars>
          <c:cat>
            <c:numRef>
              <c:f>'PWGGS mean 2pc'!$D$50</c:f>
              <c:numCache>
                <c:formatCode>General</c:formatCode>
                <c:ptCount val="1"/>
              </c:numCache>
            </c:numRef>
          </c:cat>
          <c:val>
            <c:numRef>
              <c:f>'PWGGS mean 2pc'!$D$68</c:f>
              <c:numCache>
                <c:formatCode>0</c:formatCode>
                <c:ptCount val="1"/>
                <c:pt idx="0">
                  <c:v>0</c:v>
                </c:pt>
              </c:numCache>
            </c:numRef>
          </c:val>
          <c:extLst>
            <c:ext xmlns:c16="http://schemas.microsoft.com/office/drawing/2014/chart" uri="{C3380CC4-5D6E-409C-BE32-E72D297353CC}">
              <c16:uniqueId val="{00000002-08D5-4ED8-9B7B-95DCF7D52451}"/>
            </c:ext>
          </c:extLst>
        </c:ser>
        <c:dLbls>
          <c:showLegendKey val="0"/>
          <c:showVal val="0"/>
          <c:showCatName val="0"/>
          <c:showSerName val="0"/>
          <c:showPercent val="0"/>
          <c:showBubbleSize val="0"/>
        </c:dLbls>
        <c:gapWidth val="77"/>
        <c:overlap val="100"/>
        <c:axId val="1267239104"/>
        <c:axId val="1379601344"/>
      </c:barChart>
      <c:catAx>
        <c:axId val="1267239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01344"/>
        <c:crosses val="autoZero"/>
        <c:auto val="1"/>
        <c:lblAlgn val="ctr"/>
        <c:lblOffset val="100"/>
        <c:noMultiLvlLbl val="0"/>
      </c:catAx>
      <c:valAx>
        <c:axId val="1379601344"/>
        <c:scaling>
          <c:logBase val="10"/>
          <c:orientation val="minMax"/>
          <c:min val="1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239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5"/>
          <c:order val="0"/>
          <c:tx>
            <c:strRef>
              <c:f>'PWGGS mean 3pc'!$D$2</c:f>
              <c:strCache>
                <c:ptCount val="1"/>
                <c:pt idx="0">
                  <c:v>Observed</c:v>
                </c:pt>
              </c:strCache>
            </c:strRef>
          </c:tx>
          <c:spPr>
            <a:ln w="22225" cap="rnd">
              <a:solidFill>
                <a:schemeClr val="accent6"/>
              </a:solidFill>
            </a:ln>
            <a:effectLst>
              <a:glow rad="139700">
                <a:schemeClr val="accent6">
                  <a:satMod val="175000"/>
                  <a:alpha val="14000"/>
                </a:schemeClr>
              </a:glow>
            </a:effectLst>
          </c:spPr>
          <c:marker>
            <c:symbol val="circle"/>
            <c:size val="9"/>
            <c:spPr>
              <a:solidFill>
                <a:schemeClr val="accent6">
                  <a:lumMod val="60000"/>
                  <a:lumOff val="40000"/>
                </a:schemeClr>
              </a:solidFill>
              <a:ln>
                <a:noFill/>
              </a:ln>
              <a:effectLst>
                <a:glow rad="63500">
                  <a:schemeClr val="accent6">
                    <a:satMod val="175000"/>
                    <a:alpha val="25000"/>
                  </a:schemeClr>
                </a:glow>
              </a:effectLst>
            </c:spPr>
          </c:marker>
          <c:xVal>
            <c:numRef>
              <c:f>'PWGGS mean 3pc'!$C$4:$C$14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3pc'!$F$4:$F$14</c:f>
              <c:numCache>
                <c:formatCode>0%</c:formatCode>
                <c:ptCount val="11"/>
                <c:pt idx="0">
                  <c:v>0.96459989872966945</c:v>
                </c:pt>
                <c:pt idx="1">
                  <c:v>0.886799801910782</c:v>
                </c:pt>
                <c:pt idx="2">
                  <c:v>0.81524285404274499</c:v>
                </c:pt>
                <c:pt idx="3">
                  <c:v>0.69737976930396128</c:v>
                </c:pt>
                <c:pt idx="4">
                  <c:v>0.57181012369447526</c:v>
                </c:pt>
                <c:pt idx="5">
                  <c:v>0.52914860586366352</c:v>
                </c:pt>
                <c:pt idx="6">
                  <c:v>0.47900309931726004</c:v>
                </c:pt>
                <c:pt idx="7">
                  <c:v>0.39689066699310593</c:v>
                </c:pt>
                <c:pt idx="8">
                  <c:v>0.3347485212862446</c:v>
                </c:pt>
                <c:pt idx="9">
                  <c:v>0.2696127800931466</c:v>
                </c:pt>
                <c:pt idx="10">
                  <c:v>0.2282588736736092</c:v>
                </c:pt>
              </c:numCache>
            </c:numRef>
          </c:yVal>
          <c:smooth val="1"/>
          <c:extLst>
            <c:ext xmlns:c16="http://schemas.microsoft.com/office/drawing/2014/chart" uri="{C3380CC4-5D6E-409C-BE32-E72D297353CC}">
              <c16:uniqueId val="{00000005-D6DB-4346-9E73-4EC36A88C13B}"/>
            </c:ext>
          </c:extLst>
        </c:ser>
        <c:ser>
          <c:idx val="0"/>
          <c:order val="1"/>
          <c:tx>
            <c:strRef>
              <c:f>'PWGGS mean 3pc'!$G$2:$H$2</c:f>
              <c:strCache>
                <c:ptCount val="1"/>
                <c:pt idx="0">
                  <c:v>GGS Mod</c:v>
                </c:pt>
              </c:strCache>
            </c:strRef>
          </c:tx>
          <c:spPr>
            <a:ln w="22225" cap="rnd">
              <a:solidFill>
                <a:schemeClr val="bg1"/>
              </a:solidFill>
            </a:ln>
            <a:effectLst>
              <a:glow rad="139700">
                <a:schemeClr val="accent1">
                  <a:satMod val="175000"/>
                  <a:alpha val="14000"/>
                </a:schemeClr>
              </a:glow>
            </a:effectLst>
          </c:spPr>
          <c:marker>
            <c:symbol val="none"/>
          </c:marker>
          <c:xVal>
            <c:numRef>
              <c:f>'PWGGS mean 3pc'!$C$4:$C$14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3pc'!$G$4:$G$14</c:f>
              <c:numCache>
                <c:formatCode>0%</c:formatCode>
                <c:ptCount val="11"/>
                <c:pt idx="0">
                  <c:v>0.96412945265050376</c:v>
                </c:pt>
                <c:pt idx="1">
                  <c:v>0.88636729980253681</c:v>
                </c:pt>
                <c:pt idx="2">
                  <c:v>0.81429474113530276</c:v>
                </c:pt>
                <c:pt idx="3">
                  <c:v>0.69591589104170759</c:v>
                </c:pt>
                <c:pt idx="4">
                  <c:v>0.57950570902635212</c:v>
                </c:pt>
                <c:pt idx="5">
                  <c:v>0.53160710026902047</c:v>
                </c:pt>
                <c:pt idx="6">
                  <c:v>0.48288510266694579</c:v>
                </c:pt>
                <c:pt idx="7">
                  <c:v>0.40210990638594324</c:v>
                </c:pt>
                <c:pt idx="8">
                  <c:v>0.33506638572173658</c:v>
                </c:pt>
                <c:pt idx="9">
                  <c:v>0.27901774615020974</c:v>
                </c:pt>
                <c:pt idx="10">
                  <c:v>0.23412658601107622</c:v>
                </c:pt>
              </c:numCache>
            </c:numRef>
          </c:yVal>
          <c:smooth val="0"/>
          <c:extLst>
            <c:ext xmlns:c16="http://schemas.microsoft.com/office/drawing/2014/chart" uri="{C3380CC4-5D6E-409C-BE32-E72D297353CC}">
              <c16:uniqueId val="{00000007-D6DB-4346-9E73-4EC36A88C13B}"/>
            </c:ext>
          </c:extLst>
        </c:ser>
        <c:dLbls>
          <c:showLegendKey val="0"/>
          <c:showVal val="0"/>
          <c:showCatName val="0"/>
          <c:showSerName val="0"/>
          <c:showPercent val="0"/>
          <c:showBubbleSize val="0"/>
        </c:dLbls>
        <c:axId val="1020547680"/>
        <c:axId val="931494560"/>
      </c:scatterChart>
      <c:valAx>
        <c:axId val="1020547680"/>
        <c:scaling>
          <c:logBase val="10"/>
          <c:orientation val="minMax"/>
          <c:max val="1200"/>
          <c:min val="10"/>
        </c:scaling>
        <c:delete val="0"/>
        <c:axPos val="b"/>
        <c:majorGridlines>
          <c:spPr>
            <a:ln w="9525" cap="flat" cmpd="sng" algn="ctr">
              <a:solidFill>
                <a:schemeClr val="dk1">
                  <a:lumMod val="65000"/>
                  <a:lumOff val="35000"/>
                  <a:alpha val="75000"/>
                </a:schemeClr>
              </a:solidFill>
              <a:round/>
            </a:ln>
            <a:effectLst/>
          </c:spPr>
        </c:majorGridlines>
        <c:title>
          <c:tx>
            <c:strRef>
              <c:f>'PWGGS mean 3pc'!$B$3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in"/>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logBase val="10"/>
          <c:orientation val="minMax"/>
          <c:max val="1"/>
        </c:scaling>
        <c:delete val="0"/>
        <c:axPos val="l"/>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Cumpass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0"/>
        <c:majorTickMark val="out"/>
        <c:minorTickMark val="in"/>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5"/>
          <c:order val="0"/>
          <c:tx>
            <c:strRef>
              <c:f>'PWGGS mean 3pc'!$D$2</c:f>
              <c:strCache>
                <c:ptCount val="1"/>
                <c:pt idx="0">
                  <c:v>Observed</c:v>
                </c:pt>
              </c:strCache>
            </c:strRef>
          </c:tx>
          <c:spPr>
            <a:ln w="22225" cap="rnd">
              <a:solidFill>
                <a:schemeClr val="accent6"/>
              </a:solidFill>
            </a:ln>
            <a:effectLst>
              <a:glow rad="139700">
                <a:schemeClr val="accent6">
                  <a:satMod val="175000"/>
                  <a:alpha val="14000"/>
                </a:schemeClr>
              </a:glow>
            </a:effectLst>
          </c:spPr>
          <c:marker>
            <c:symbol val="circle"/>
            <c:size val="9"/>
            <c:spPr>
              <a:solidFill>
                <a:schemeClr val="accent6">
                  <a:lumMod val="60000"/>
                  <a:lumOff val="40000"/>
                </a:schemeClr>
              </a:solidFill>
              <a:ln>
                <a:noFill/>
              </a:ln>
              <a:effectLst>
                <a:glow rad="63500">
                  <a:schemeClr val="accent6">
                    <a:satMod val="175000"/>
                    <a:alpha val="25000"/>
                  </a:schemeClr>
                </a:glow>
              </a:effectLst>
            </c:spPr>
          </c:marker>
          <c:xVal>
            <c:numRef>
              <c:f>'PWGGS mean 3pc'!$C$4:$C$14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3pc'!$E$4:$E$15</c:f>
              <c:numCache>
                <c:formatCode>0.0%</c:formatCode>
                <c:ptCount val="12"/>
                <c:pt idx="0">
                  <c:v>3.5400101270330574E-2</c:v>
                </c:pt>
                <c:pt idx="1">
                  <c:v>7.7800096818887457E-2</c:v>
                </c:pt>
                <c:pt idx="2">
                  <c:v>7.1556947868036971E-2</c:v>
                </c:pt>
                <c:pt idx="3">
                  <c:v>0.11786308473878375</c:v>
                </c:pt>
                <c:pt idx="4">
                  <c:v>0.12556964560948602</c:v>
                </c:pt>
                <c:pt idx="5">
                  <c:v>4.2661517830811777E-2</c:v>
                </c:pt>
                <c:pt idx="6">
                  <c:v>5.0145506546403512E-2</c:v>
                </c:pt>
                <c:pt idx="7">
                  <c:v>8.2112432324154078E-2</c:v>
                </c:pt>
                <c:pt idx="8">
                  <c:v>6.2142145706861336E-2</c:v>
                </c:pt>
                <c:pt idx="9">
                  <c:v>6.5135741193098035E-2</c:v>
                </c:pt>
                <c:pt idx="10">
                  <c:v>4.1353906419537387E-2</c:v>
                </c:pt>
                <c:pt idx="11">
                  <c:v>0.228258873673609</c:v>
                </c:pt>
              </c:numCache>
            </c:numRef>
          </c:yVal>
          <c:smooth val="0"/>
          <c:extLst>
            <c:ext xmlns:c16="http://schemas.microsoft.com/office/drawing/2014/chart" uri="{C3380CC4-5D6E-409C-BE32-E72D297353CC}">
              <c16:uniqueId val="{00000005-C468-47E3-8B22-3780C2B2A66C}"/>
            </c:ext>
          </c:extLst>
        </c:ser>
        <c:ser>
          <c:idx val="0"/>
          <c:order val="1"/>
          <c:tx>
            <c:strRef>
              <c:f>'PWGGS mean 3pc'!$G$2:$H$2</c:f>
              <c:strCache>
                <c:ptCount val="1"/>
                <c:pt idx="0">
                  <c:v>GGS Mod</c:v>
                </c:pt>
              </c:strCache>
            </c:strRef>
          </c:tx>
          <c:spPr>
            <a:ln w="22225" cap="rnd">
              <a:solidFill>
                <a:schemeClr val="bg1"/>
              </a:solidFill>
            </a:ln>
            <a:effectLst>
              <a:glow rad="139700">
                <a:schemeClr val="accent1">
                  <a:satMod val="175000"/>
                  <a:alpha val="14000"/>
                </a:schemeClr>
              </a:glow>
            </a:effectLst>
          </c:spPr>
          <c:marker>
            <c:symbol val="none"/>
          </c:marker>
          <c:xVal>
            <c:numRef>
              <c:f>'PWGGS mean 3pc'!$C$4:$C$14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3pc'!$H$4:$H$15</c:f>
              <c:numCache>
                <c:formatCode>0.0%</c:formatCode>
                <c:ptCount val="12"/>
                <c:pt idx="0">
                  <c:v>3.587054734949624E-2</c:v>
                </c:pt>
                <c:pt idx="1">
                  <c:v>7.7762152847966948E-2</c:v>
                </c:pt>
                <c:pt idx="2">
                  <c:v>7.2072558667234055E-2</c:v>
                </c:pt>
                <c:pt idx="3">
                  <c:v>0.11837885009359517</c:v>
                </c:pt>
                <c:pt idx="4">
                  <c:v>0.11641018201535547</c:v>
                </c:pt>
                <c:pt idx="5">
                  <c:v>4.7898608757331651E-2</c:v>
                </c:pt>
                <c:pt idx="6">
                  <c:v>4.8721997602074685E-2</c:v>
                </c:pt>
                <c:pt idx="7">
                  <c:v>8.0775196281002548E-2</c:v>
                </c:pt>
                <c:pt idx="8">
                  <c:v>6.7043520664206657E-2</c:v>
                </c:pt>
                <c:pt idx="9">
                  <c:v>5.6048639571526837E-2</c:v>
                </c:pt>
                <c:pt idx="10">
                  <c:v>4.4891160139133524E-2</c:v>
                </c:pt>
                <c:pt idx="11">
                  <c:v>0.23412658601107622</c:v>
                </c:pt>
              </c:numCache>
            </c:numRef>
          </c:yVal>
          <c:smooth val="0"/>
          <c:extLst>
            <c:ext xmlns:c16="http://schemas.microsoft.com/office/drawing/2014/chart" uri="{C3380CC4-5D6E-409C-BE32-E72D297353CC}">
              <c16:uniqueId val="{00000006-C468-47E3-8B22-3780C2B2A66C}"/>
            </c:ext>
          </c:extLst>
        </c:ser>
        <c:dLbls>
          <c:showLegendKey val="0"/>
          <c:showVal val="0"/>
          <c:showCatName val="0"/>
          <c:showSerName val="0"/>
          <c:showPercent val="0"/>
          <c:showBubbleSize val="0"/>
        </c:dLbls>
        <c:axId val="1020547680"/>
        <c:axId val="931494560"/>
      </c:scatterChart>
      <c:valAx>
        <c:axId val="1020547680"/>
        <c:scaling>
          <c:orientation val="minMax"/>
          <c:max val="1200"/>
        </c:scaling>
        <c:delete val="0"/>
        <c:axPos val="b"/>
        <c:majorGridlines>
          <c:spPr>
            <a:ln w="9525" cap="flat" cmpd="sng" algn="ctr">
              <a:solidFill>
                <a:schemeClr val="dk1">
                  <a:lumMod val="65000"/>
                  <a:lumOff val="35000"/>
                  <a:alpha val="75000"/>
                </a:schemeClr>
              </a:solidFill>
              <a:round/>
            </a:ln>
            <a:effectLst/>
          </c:spPr>
        </c:majorGridlines>
        <c:title>
          <c:tx>
            <c:strRef>
              <c:f>'PWGGS mean 3pc'!$B$3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QQ Plot - CUMPAS</a:t>
            </a:r>
          </a:p>
        </c:rich>
      </c:tx>
      <c:layout>
        <c:manualLayout>
          <c:xMode val="edge"/>
          <c:yMode val="edge"/>
          <c:x val="0.2709893544017703"/>
          <c:y val="1.1176702734517796E-2"/>
        </c:manualLayout>
      </c:layout>
      <c:overlay val="1"/>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smoothMarker"/>
        <c:varyColors val="0"/>
        <c:ser>
          <c:idx val="0"/>
          <c:order val="0"/>
          <c:tx>
            <c:strRef>
              <c:f>'PWGGS mean 3pc'!$F$3</c:f>
              <c:strCache>
                <c:ptCount val="1"/>
                <c:pt idx="0">
                  <c:v>cumpas</c:v>
                </c:pt>
              </c:strCache>
            </c:strRef>
          </c:tx>
          <c:spPr>
            <a:ln w="28575" cap="rnd">
              <a:solidFill>
                <a:schemeClr val="lt1">
                  <a:alpha val="50000"/>
                </a:schemeClr>
              </a:solid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1"/>
            <c:dispEq val="1"/>
            <c:trendlineLbl>
              <c:layout>
                <c:manualLayout>
                  <c:x val="-5.9047328435468699E-2"/>
                  <c:y val="2.5931188403526782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rendlineLbl>
          </c:trendline>
          <c:xVal>
            <c:numRef>
              <c:f>'PWGGS mean 3pc'!$F$4:$F$14</c:f>
              <c:numCache>
                <c:formatCode>0%</c:formatCode>
                <c:ptCount val="11"/>
                <c:pt idx="0">
                  <c:v>0.96459989872966945</c:v>
                </c:pt>
                <c:pt idx="1">
                  <c:v>0.886799801910782</c:v>
                </c:pt>
                <c:pt idx="2">
                  <c:v>0.81524285404274499</c:v>
                </c:pt>
                <c:pt idx="3">
                  <c:v>0.69737976930396128</c:v>
                </c:pt>
                <c:pt idx="4">
                  <c:v>0.57181012369447526</c:v>
                </c:pt>
                <c:pt idx="5">
                  <c:v>0.52914860586366352</c:v>
                </c:pt>
                <c:pt idx="6">
                  <c:v>0.47900309931726004</c:v>
                </c:pt>
                <c:pt idx="7">
                  <c:v>0.39689066699310593</c:v>
                </c:pt>
                <c:pt idx="8">
                  <c:v>0.3347485212862446</c:v>
                </c:pt>
                <c:pt idx="9">
                  <c:v>0.2696127800931466</c:v>
                </c:pt>
                <c:pt idx="10">
                  <c:v>0.2282588736736092</c:v>
                </c:pt>
              </c:numCache>
            </c:numRef>
          </c:xVal>
          <c:yVal>
            <c:numRef>
              <c:f>'PWGGS mean 3pc'!$G$4:$G$14</c:f>
              <c:numCache>
                <c:formatCode>0%</c:formatCode>
                <c:ptCount val="11"/>
                <c:pt idx="0">
                  <c:v>0.96412945265050376</c:v>
                </c:pt>
                <c:pt idx="1">
                  <c:v>0.88636729980253681</c:v>
                </c:pt>
                <c:pt idx="2">
                  <c:v>0.81429474113530276</c:v>
                </c:pt>
                <c:pt idx="3">
                  <c:v>0.69591589104170759</c:v>
                </c:pt>
                <c:pt idx="4">
                  <c:v>0.57950570902635212</c:v>
                </c:pt>
                <c:pt idx="5">
                  <c:v>0.53160710026902047</c:v>
                </c:pt>
                <c:pt idx="6">
                  <c:v>0.48288510266694579</c:v>
                </c:pt>
                <c:pt idx="7">
                  <c:v>0.40210990638594324</c:v>
                </c:pt>
                <c:pt idx="8">
                  <c:v>0.33506638572173658</c:v>
                </c:pt>
                <c:pt idx="9">
                  <c:v>0.27901774615020974</c:v>
                </c:pt>
                <c:pt idx="10">
                  <c:v>0.23412658601107622</c:v>
                </c:pt>
              </c:numCache>
            </c:numRef>
          </c:yVal>
          <c:smooth val="1"/>
          <c:extLst>
            <c:ext xmlns:c16="http://schemas.microsoft.com/office/drawing/2014/chart" uri="{C3380CC4-5D6E-409C-BE32-E72D297353CC}">
              <c16:uniqueId val="{00000001-8779-4265-9E34-BD023028E9E2}"/>
            </c:ext>
          </c:extLst>
        </c:ser>
        <c:dLbls>
          <c:showLegendKey val="0"/>
          <c:showVal val="0"/>
          <c:showCatName val="0"/>
          <c:showSerName val="0"/>
          <c:showPercent val="0"/>
          <c:showBubbleSize val="0"/>
        </c:dLbls>
        <c:axId val="1020547680"/>
        <c:axId val="931494560"/>
      </c:scatterChart>
      <c:valAx>
        <c:axId val="1020547680"/>
        <c:scaling>
          <c:orientation val="minMax"/>
          <c:max val="1"/>
        </c:scaling>
        <c:delete val="0"/>
        <c:axPos val="b"/>
        <c:majorGridlines>
          <c:spPr>
            <a:ln w="9525" cap="flat" cmpd="sng" algn="ctr">
              <a:solidFill>
                <a:schemeClr val="lt1">
                  <a:alpha val="25000"/>
                </a:schemeClr>
              </a:solidFill>
              <a:round/>
            </a:ln>
            <a:effectLst/>
          </c:spPr>
        </c:majorGridlines>
        <c:title>
          <c:tx>
            <c:strRef>
              <c:f>'PWGGS mean 3pc'!$B$3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lt1">
                  <a:alpha val="25000"/>
                </a:schemeClr>
              </a:solidFill>
              <a:round/>
            </a:ln>
            <a:effectLst/>
          </c:spPr>
        </c:majorGridlines>
        <c:title>
          <c:tx>
            <c:strRef>
              <c:f>'PWGGS mean 3pc'!$A$26</c:f>
              <c:strCache>
                <c:ptCount val="1"/>
                <c:pt idx="0">
                  <c:v>GGS Model Fitted: y = ( x / k ) ^ n</c:v>
                </c:pt>
              </c:strCache>
            </c:strRef>
          </c:tx>
          <c:layout>
            <c:manualLayout>
              <c:xMode val="edge"/>
              <c:yMode val="edge"/>
              <c:x val="2.8000822827329067E-3"/>
              <c:y val="0.1446012480236984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0547680"/>
        <c:crosses val="autoZero"/>
        <c:crossBetween val="midCat"/>
      </c:valAx>
      <c:spPr>
        <a:noFill/>
        <a:ln>
          <a:noFill/>
        </a:ln>
        <a:effectLst/>
      </c:spPr>
    </c:plotArea>
    <c:legend>
      <c:legendPos val="t"/>
      <c:layout>
        <c:manualLayout>
          <c:xMode val="edge"/>
          <c:yMode val="edge"/>
          <c:x val="0.77800881518817544"/>
          <c:y val="2.7942142603494837E-2"/>
          <c:w val="0.22199113586745869"/>
          <c:h val="9.43053913374077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'PWGGS mean 3pc'!$A$49</c:f>
          <c:strCache>
            <c:ptCount val="1"/>
            <c:pt idx="0">
              <c:v>Percentiles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'PWGGS mean 3pc'!$D$47</c:f>
              <c:strCache>
                <c:ptCount val="1"/>
                <c:pt idx="0">
                  <c:v>GGS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'PWGGS mean 3pc'!$D$48:$D$60</c:f>
              <c:numCache>
                <c:formatCode>0</c:formatCode>
                <c:ptCount val="13"/>
                <c:pt idx="0">
                  <c:v>1582.9816594516128</c:v>
                </c:pt>
                <c:pt idx="1">
                  <c:v>1047.8872789366051</c:v>
                </c:pt>
                <c:pt idx="2">
                  <c:v>678.36629227604908</c:v>
                </c:pt>
                <c:pt idx="3">
                  <c:v>482.73898096926865</c:v>
                </c:pt>
                <c:pt idx="4">
                  <c:v>390.78178694895587</c:v>
                </c:pt>
                <c:pt idx="5">
                  <c:v>345.75811706552366</c:v>
                </c:pt>
                <c:pt idx="6">
                  <c:v>160.24372648103309</c:v>
                </c:pt>
                <c:pt idx="7">
                  <c:v>104.94755690452556</c:v>
                </c:pt>
                <c:pt idx="8">
                  <c:v>43.034727218897018</c:v>
                </c:pt>
                <c:pt idx="9">
                  <c:v>18.458722827581038</c:v>
                </c:pt>
                <c:pt idx="10">
                  <c:v>7.5691719285742005</c:v>
                </c:pt>
                <c:pt idx="11">
                  <c:v>2.0327613215964386</c:v>
                </c:pt>
                <c:pt idx="12" formatCode="0.00">
                  <c:v>9.6018235913530994E-2</c:v>
                </c:pt>
              </c:numCache>
            </c:numRef>
          </c:xVal>
          <c:yVal>
            <c:numRef>
              <c:f>'PWGGS mean 3pc'!$C$48:$C$60</c:f>
              <c:numCache>
                <c:formatCode>0%</c:formatCode>
                <c:ptCount val="13"/>
                <c:pt idx="0">
                  <c:v>1</c:v>
                </c:pt>
                <c:pt idx="1">
                  <c:v>0.95</c:v>
                </c:pt>
                <c:pt idx="2">
                  <c:v>0.9</c:v>
                </c:pt>
                <c:pt idx="3">
                  <c:v>0.84</c:v>
                </c:pt>
                <c:pt idx="4">
                  <c:v>0.8</c:v>
                </c:pt>
                <c:pt idx="5">
                  <c:v>0.75</c:v>
                </c:pt>
                <c:pt idx="6">
                  <c:v>0.5</c:v>
                </c:pt>
                <c:pt idx="7">
                  <c:v>0.4</c:v>
                </c:pt>
                <c:pt idx="8">
                  <c:v>0.25</c:v>
                </c:pt>
                <c:pt idx="9">
                  <c:v>0.16</c:v>
                </c:pt>
                <c:pt idx="10">
                  <c:v>0.1</c:v>
                </c:pt>
                <c:pt idx="11">
                  <c:v>0.05</c:v>
                </c:pt>
                <c:pt idx="12">
                  <c:v>0.01</c:v>
                </c:pt>
              </c:numCache>
            </c:numRef>
          </c:yVal>
          <c:smooth val="0"/>
          <c:extLst>
            <c:ext xmlns:c16="http://schemas.microsoft.com/office/drawing/2014/chart" uri="{C3380CC4-5D6E-409C-BE32-E72D297353CC}">
              <c16:uniqueId val="{00000000-BCFC-45DB-87A0-710E87363BFB}"/>
            </c:ext>
          </c:extLst>
        </c:ser>
        <c:dLbls>
          <c:showLegendKey val="0"/>
          <c:showVal val="0"/>
          <c:showCatName val="0"/>
          <c:showSerName val="0"/>
          <c:showPercent val="0"/>
          <c:showBubbleSize val="0"/>
        </c:dLbls>
        <c:axId val="436082832"/>
        <c:axId val="1980303743"/>
      </c:scatterChart>
      <c:valAx>
        <c:axId val="4360828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303743"/>
        <c:crosses val="autoZero"/>
        <c:crossBetween val="midCat"/>
      </c:valAx>
      <c:valAx>
        <c:axId val="1980303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0828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'PWGGS mean 3pc'!$C$67</c:f>
              <c:strCache>
                <c:ptCount val="1"/>
                <c:pt idx="0">
                  <c:v>Q3</c:v>
                </c:pt>
              </c:strCache>
            </c:strRef>
          </c:tx>
          <c:spPr>
            <a:solidFill>
              <a:srgbClr val="002060"/>
            </a:solidFill>
            <a:ln>
              <a:noFill/>
            </a:ln>
            <a:effectLst/>
          </c:spPr>
          <c:invertIfNegative val="0"/>
          <c:errBars>
            <c:errBarType val="plus"/>
            <c:errValType val="cust"/>
            <c:noEndCap val="1"/>
            <c:plus>
              <c:numRef>
                <c:f>'PWGGS mean 3pc'!$D$69</c:f>
                <c:numCache>
                  <c:formatCode>General</c:formatCode>
                  <c:ptCount val="1"/>
                  <c:pt idx="0">
                    <c:v>332.60817521052542</c:v>
                  </c:pt>
                </c:numCache>
              </c:numRef>
            </c:plus>
            <c:minus>
              <c:numRef>
                <c:f>'PWGGS mean 3pc'!$D$67</c:f>
                <c:numCache>
                  <c:formatCode>General</c:formatCode>
                  <c:ptCount val="1"/>
                  <c:pt idx="0">
                    <c:v>345.75811706552366</c:v>
                  </c:pt>
                </c:numCache>
              </c:numRef>
            </c:minus>
            <c:spPr>
              <a:noFill/>
              <a:ln w="9525" cap="flat" cmpd="sng" algn="ctr">
                <a:solidFill>
                  <a:schemeClr val="tx1">
                    <a:lumMod val="65000"/>
                    <a:lumOff val="35000"/>
                  </a:schemeClr>
                </a:solidFill>
                <a:round/>
              </a:ln>
              <a:effectLst/>
            </c:spPr>
          </c:errBars>
          <c:cat>
            <c:strRef>
              <c:f>'PWGGS mean 3pc'!$D$47</c:f>
              <c:strCache>
                <c:ptCount val="1"/>
                <c:pt idx="0">
                  <c:v>GGS</c:v>
                </c:pt>
              </c:strCache>
            </c:strRef>
          </c:cat>
          <c:val>
            <c:numRef>
              <c:f>'PWGGS mean 3pc'!$D$67:$I$67</c:f>
              <c:numCache>
                <c:formatCode>0</c:formatCode>
                <c:ptCount val="6"/>
                <c:pt idx="0">
                  <c:v>345.75811706552366</c:v>
                </c:pt>
              </c:numCache>
            </c:numRef>
          </c:val>
          <c:extLst>
            <c:ext xmlns:c16="http://schemas.microsoft.com/office/drawing/2014/chart" uri="{C3380CC4-5D6E-409C-BE32-E72D297353CC}">
              <c16:uniqueId val="{00000000-7D5F-43BA-BC49-7F0C6BBA0153}"/>
            </c:ext>
          </c:extLst>
        </c:ser>
        <c:ser>
          <c:idx val="1"/>
          <c:order val="1"/>
          <c:tx>
            <c:strRef>
              <c:f>'PWGGS mean 3pc'!$C$66</c:f>
              <c:strCache>
                <c:ptCount val="1"/>
                <c:pt idx="0">
                  <c:v>Median</c:v>
                </c:pt>
              </c:strCache>
            </c:strRef>
          </c:tx>
          <c:spPr>
            <a:solidFill>
              <a:schemeClr val="accent2"/>
            </a:solidFill>
            <a:ln>
              <a:noFill/>
            </a:ln>
            <a:effectLst/>
          </c:spPr>
          <c:invertIfNegative val="0"/>
          <c:cat>
            <c:strRef>
              <c:f>'PWGGS mean 3pc'!$D$47</c:f>
              <c:strCache>
                <c:ptCount val="1"/>
                <c:pt idx="0">
                  <c:v>GGS</c:v>
                </c:pt>
              </c:strCache>
            </c:strRef>
          </c:cat>
          <c:val>
            <c:numRef>
              <c:f>'PWGGS mean 3pc'!$D$66</c:f>
              <c:numCache>
                <c:formatCode>0</c:formatCode>
                <c:ptCount val="1"/>
                <c:pt idx="0">
                  <c:v>160.24372648103309</c:v>
                </c:pt>
              </c:numCache>
            </c:numRef>
          </c:val>
          <c:extLst>
            <c:ext xmlns:c16="http://schemas.microsoft.com/office/drawing/2014/chart" uri="{C3380CC4-5D6E-409C-BE32-E72D297353CC}">
              <c16:uniqueId val="{00000001-7D5F-43BA-BC49-7F0C6BBA0153}"/>
            </c:ext>
          </c:extLst>
        </c:ser>
        <c:ser>
          <c:idx val="0"/>
          <c:order val="2"/>
          <c:tx>
            <c:strRef>
              <c:f>'PWGGS mean 3pc'!$C$65</c:f>
              <c:strCache>
                <c:ptCount val="1"/>
                <c:pt idx="0">
                  <c:v>Q1</c:v>
                </c:pt>
              </c:strCache>
            </c:strRef>
          </c:tx>
          <c:spPr>
            <a:solidFill>
              <a:schemeClr val="bg1"/>
            </a:solidFill>
            <a:ln>
              <a:noFill/>
            </a:ln>
            <a:effectLst/>
          </c:spPr>
          <c:invertIfNegative val="0"/>
          <c:errBars>
            <c:errBarType val="minus"/>
            <c:errValType val="cust"/>
            <c:noEndCap val="1"/>
            <c:plus>
              <c:numRef>
                <c:f>'PWGGS mean 3pc'!$D$65</c:f>
                <c:numCache>
                  <c:formatCode>General</c:formatCode>
                  <c:ptCount val="1"/>
                  <c:pt idx="0">
                    <c:v>43.034727218897018</c:v>
                  </c:pt>
                </c:numCache>
              </c:numRef>
            </c:plus>
            <c:minus>
              <c:numRef>
                <c:f>'PWGGS mean 3pc'!$D$63</c:f>
                <c:numCache>
                  <c:formatCode>General</c:formatCode>
                  <c:ptCount val="1"/>
                  <c:pt idx="0">
                    <c:v>35.465555290322818</c:v>
                  </c:pt>
                </c:numCache>
              </c:numRef>
            </c:minus>
            <c:spPr>
              <a:noFill/>
              <a:ln w="9525" cap="flat" cmpd="sng" algn="ctr">
                <a:solidFill>
                  <a:schemeClr val="tx1">
                    <a:lumMod val="65000"/>
                    <a:lumOff val="35000"/>
                  </a:schemeClr>
                </a:solidFill>
                <a:round/>
              </a:ln>
              <a:effectLst/>
            </c:spPr>
          </c:errBars>
          <c:cat>
            <c:strRef>
              <c:f>'PWGGS mean 3pc'!$D$47</c:f>
              <c:strCache>
                <c:ptCount val="1"/>
                <c:pt idx="0">
                  <c:v>GGS</c:v>
                </c:pt>
              </c:strCache>
            </c:strRef>
          </c:cat>
          <c:val>
            <c:numRef>
              <c:f>'PWGGS mean 3pc'!$D$65</c:f>
              <c:numCache>
                <c:formatCode>0</c:formatCode>
                <c:ptCount val="1"/>
                <c:pt idx="0">
                  <c:v>43.034727218897018</c:v>
                </c:pt>
              </c:numCache>
            </c:numRef>
          </c:val>
          <c:extLst>
            <c:ext xmlns:c16="http://schemas.microsoft.com/office/drawing/2014/chart" uri="{C3380CC4-5D6E-409C-BE32-E72D297353CC}">
              <c16:uniqueId val="{00000002-7D5F-43BA-BC49-7F0C6BBA0153}"/>
            </c:ext>
          </c:extLst>
        </c:ser>
        <c:dLbls>
          <c:showLegendKey val="0"/>
          <c:showVal val="0"/>
          <c:showCatName val="0"/>
          <c:showSerName val="0"/>
          <c:showPercent val="0"/>
          <c:showBubbleSize val="0"/>
        </c:dLbls>
        <c:gapWidth val="77"/>
        <c:overlap val="100"/>
        <c:axId val="1267239104"/>
        <c:axId val="1379601344"/>
      </c:barChart>
      <c:catAx>
        <c:axId val="1267239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01344"/>
        <c:crosses val="autoZero"/>
        <c:auto val="1"/>
        <c:lblAlgn val="ctr"/>
        <c:lblOffset val="100"/>
        <c:noMultiLvlLbl val="0"/>
      </c:catAx>
      <c:valAx>
        <c:axId val="1379601344"/>
        <c:scaling>
          <c:logBase val="10"/>
          <c:orientation val="minMax"/>
          <c:min val="1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239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5"/>
          <c:order val="0"/>
          <c:tx>
            <c:strRef>
              <c:f>'PWGGS mean 4pc'!$D$2</c:f>
              <c:strCache>
                <c:ptCount val="1"/>
                <c:pt idx="0">
                  <c:v>Observed</c:v>
                </c:pt>
              </c:strCache>
            </c:strRef>
          </c:tx>
          <c:spPr>
            <a:ln w="22225" cap="rnd">
              <a:solidFill>
                <a:schemeClr val="accent6"/>
              </a:solidFill>
            </a:ln>
            <a:effectLst>
              <a:glow rad="139700">
                <a:schemeClr val="accent6">
                  <a:satMod val="175000"/>
                  <a:alpha val="14000"/>
                </a:schemeClr>
              </a:glow>
            </a:effectLst>
          </c:spPr>
          <c:marker>
            <c:symbol val="circle"/>
            <c:size val="9"/>
            <c:spPr>
              <a:solidFill>
                <a:schemeClr val="accent6">
                  <a:lumMod val="60000"/>
                  <a:lumOff val="40000"/>
                </a:schemeClr>
              </a:solidFill>
              <a:ln>
                <a:noFill/>
              </a:ln>
              <a:effectLst>
                <a:glow rad="63500">
                  <a:schemeClr val="accent6">
                    <a:satMod val="175000"/>
                    <a:alpha val="25000"/>
                  </a:schemeClr>
                </a:glow>
              </a:effectLst>
            </c:spPr>
          </c:marker>
          <c:xVal>
            <c:numRef>
              <c:f>'PWGGS mean 4pc'!$C$4:$C$14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4pc'!$F$4:$F$14</c:f>
              <c:numCache>
                <c:formatCode>0%</c:formatCode>
                <c:ptCount val="11"/>
                <c:pt idx="0">
                  <c:v>0.96459989872966945</c:v>
                </c:pt>
                <c:pt idx="1">
                  <c:v>0.886799801910782</c:v>
                </c:pt>
                <c:pt idx="2">
                  <c:v>0.81524285404274499</c:v>
                </c:pt>
                <c:pt idx="3">
                  <c:v>0.69737976930396128</c:v>
                </c:pt>
                <c:pt idx="4">
                  <c:v>0.57181012369447526</c:v>
                </c:pt>
                <c:pt idx="5">
                  <c:v>0.52914860586366352</c:v>
                </c:pt>
                <c:pt idx="6">
                  <c:v>0.47900309931726004</c:v>
                </c:pt>
                <c:pt idx="7">
                  <c:v>0.39689066699310593</c:v>
                </c:pt>
                <c:pt idx="8">
                  <c:v>0.3347485212862446</c:v>
                </c:pt>
                <c:pt idx="9">
                  <c:v>0.2696127800931466</c:v>
                </c:pt>
                <c:pt idx="10">
                  <c:v>0.2282588736736092</c:v>
                </c:pt>
              </c:numCache>
            </c:numRef>
          </c:yVal>
          <c:smooth val="1"/>
          <c:extLst>
            <c:ext xmlns:c16="http://schemas.microsoft.com/office/drawing/2014/chart" uri="{C3380CC4-5D6E-409C-BE32-E72D297353CC}">
              <c16:uniqueId val="{00000000-0E07-4AF2-A337-59CB0D5F9B22}"/>
            </c:ext>
          </c:extLst>
        </c:ser>
        <c:ser>
          <c:idx val="0"/>
          <c:order val="1"/>
          <c:tx>
            <c:strRef>
              <c:f>'PWGGS mean 4pc'!$G$2:$H$2</c:f>
              <c:strCache>
                <c:ptCount val="1"/>
                <c:pt idx="0">
                  <c:v>GGS Mod</c:v>
                </c:pt>
              </c:strCache>
            </c:strRef>
          </c:tx>
          <c:spPr>
            <a:ln w="22225" cap="rnd">
              <a:solidFill>
                <a:schemeClr val="bg1"/>
              </a:solidFill>
              <a:prstDash val="lgDashDot"/>
            </a:ln>
            <a:effectLst>
              <a:glow rad="139700">
                <a:schemeClr val="accent1">
                  <a:satMod val="175000"/>
                  <a:alpha val="14000"/>
                </a:schemeClr>
              </a:glow>
            </a:effectLst>
          </c:spPr>
          <c:marker>
            <c:symbol val="none"/>
          </c:marker>
          <c:xVal>
            <c:numRef>
              <c:f>'PWGGS mean 4pc'!$C$4:$C$14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4pc'!$G$4:$G$14</c:f>
              <c:numCache>
                <c:formatCode>0%</c:formatCode>
                <c:ptCount val="11"/>
                <c:pt idx="0">
                  <c:v>0.96499824473673679</c:v>
                </c:pt>
                <c:pt idx="1">
                  <c:v>0.88716601920006899</c:v>
                </c:pt>
                <c:pt idx="2">
                  <c:v>0.81604513086772223</c:v>
                </c:pt>
                <c:pt idx="3">
                  <c:v>0.6986175216130841</c:v>
                </c:pt>
                <c:pt idx="4">
                  <c:v>0.57348294243749631</c:v>
                </c:pt>
                <c:pt idx="5">
                  <c:v>0.52493838663665759</c:v>
                </c:pt>
                <c:pt idx="6">
                  <c:v>0.47567262920368636</c:v>
                </c:pt>
                <c:pt idx="7">
                  <c:v>0.39427887000856526</c:v>
                </c:pt>
                <c:pt idx="8">
                  <c:v>0.32703268546975733</c:v>
                </c:pt>
                <c:pt idx="9">
                  <c:v>0.27107314940265059</c:v>
                </c:pt>
                <c:pt idx="10">
                  <c:v>0.22645582139243564</c:v>
                </c:pt>
              </c:numCache>
            </c:numRef>
          </c:yVal>
          <c:smooth val="0"/>
          <c:extLst>
            <c:ext xmlns:c16="http://schemas.microsoft.com/office/drawing/2014/chart" uri="{C3380CC4-5D6E-409C-BE32-E72D297353CC}">
              <c16:uniqueId val="{00000001-0E07-4AF2-A337-59CB0D5F9B22}"/>
            </c:ext>
          </c:extLst>
        </c:ser>
        <c:dLbls>
          <c:showLegendKey val="0"/>
          <c:showVal val="0"/>
          <c:showCatName val="0"/>
          <c:showSerName val="0"/>
          <c:showPercent val="0"/>
          <c:showBubbleSize val="0"/>
        </c:dLbls>
        <c:axId val="1020547680"/>
        <c:axId val="931494560"/>
      </c:scatterChart>
      <c:valAx>
        <c:axId val="1020547680"/>
        <c:scaling>
          <c:logBase val="10"/>
          <c:orientation val="minMax"/>
          <c:max val="1200"/>
          <c:min val="10"/>
        </c:scaling>
        <c:delete val="0"/>
        <c:axPos val="b"/>
        <c:majorGridlines>
          <c:spPr>
            <a:ln w="9525" cap="flat" cmpd="sng" algn="ctr">
              <a:solidFill>
                <a:schemeClr val="dk1">
                  <a:lumMod val="65000"/>
                  <a:lumOff val="35000"/>
                  <a:alpha val="75000"/>
                </a:schemeClr>
              </a:solidFill>
              <a:round/>
            </a:ln>
            <a:effectLst/>
          </c:spPr>
        </c:majorGridlines>
        <c:title>
          <c:tx>
            <c:strRef>
              <c:f>'PWGGS mean 4pc'!$B$3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in"/>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logBase val="10"/>
          <c:orientation val="minMax"/>
          <c:max val="1"/>
        </c:scaling>
        <c:delete val="0"/>
        <c:axPos val="l"/>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Cumpass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0"/>
        <c:majorTickMark val="out"/>
        <c:minorTickMark val="in"/>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5"/>
          <c:order val="0"/>
          <c:tx>
            <c:strRef>
              <c:f>'PWGGS mean 4pc'!$D$2</c:f>
              <c:strCache>
                <c:ptCount val="1"/>
                <c:pt idx="0">
                  <c:v>Observed</c:v>
                </c:pt>
              </c:strCache>
            </c:strRef>
          </c:tx>
          <c:spPr>
            <a:ln w="22225" cap="rnd">
              <a:solidFill>
                <a:schemeClr val="accent6"/>
              </a:solidFill>
            </a:ln>
            <a:effectLst>
              <a:glow rad="139700">
                <a:schemeClr val="accent6">
                  <a:satMod val="175000"/>
                  <a:alpha val="14000"/>
                </a:schemeClr>
              </a:glow>
            </a:effectLst>
          </c:spPr>
          <c:marker>
            <c:symbol val="circle"/>
            <c:size val="9"/>
            <c:spPr>
              <a:solidFill>
                <a:schemeClr val="accent6">
                  <a:lumMod val="60000"/>
                  <a:lumOff val="40000"/>
                </a:schemeClr>
              </a:solidFill>
              <a:ln>
                <a:noFill/>
              </a:ln>
              <a:effectLst>
                <a:glow rad="63500">
                  <a:schemeClr val="accent6">
                    <a:satMod val="175000"/>
                    <a:alpha val="25000"/>
                  </a:schemeClr>
                </a:glow>
              </a:effectLst>
            </c:spPr>
          </c:marker>
          <c:xVal>
            <c:numRef>
              <c:f>'PWGGS mean 4pc'!$C$4:$C$15</c:f>
              <c:numCache>
                <c:formatCode>General</c:formatCode>
                <c:ptCount val="12"/>
                <c:pt idx="0">
                  <c:v>1180</c:v>
                </c:pt>
                <c:pt idx="1">
                  <c:v>600</c:v>
                </c:pt>
                <c:pt idx="2">
                  <c:v>425</c:v>
                </c:pt>
                <c:pt idx="3">
                  <c:v>300</c:v>
                </c:pt>
                <c:pt idx="4">
                  <c:v>212</c:v>
                </c:pt>
                <c:pt idx="5">
                  <c:v>180</c:v>
                </c:pt>
                <c:pt idx="6">
                  <c:v>150</c:v>
                </c:pt>
                <c:pt idx="7">
                  <c:v>106</c:v>
                </c:pt>
                <c:pt idx="8">
                  <c:v>75</c:v>
                </c:pt>
                <c:pt idx="9">
                  <c:v>53</c:v>
                </c:pt>
                <c:pt idx="10">
                  <c:v>38</c:v>
                </c:pt>
                <c:pt idx="11">
                  <c:v>0</c:v>
                </c:pt>
              </c:numCache>
            </c:numRef>
          </c:xVal>
          <c:yVal>
            <c:numRef>
              <c:f>'PWGGS mean 4pc'!$E$4:$E$15</c:f>
              <c:numCache>
                <c:formatCode>0.0%</c:formatCode>
                <c:ptCount val="12"/>
                <c:pt idx="0">
                  <c:v>3.5400101270330574E-2</c:v>
                </c:pt>
                <c:pt idx="1">
                  <c:v>7.7800096818887457E-2</c:v>
                </c:pt>
                <c:pt idx="2">
                  <c:v>7.1556947868036971E-2</c:v>
                </c:pt>
                <c:pt idx="3">
                  <c:v>0.11786308473878375</c:v>
                </c:pt>
                <c:pt idx="4">
                  <c:v>0.12556964560948602</c:v>
                </c:pt>
                <c:pt idx="5">
                  <c:v>4.2661517830811777E-2</c:v>
                </c:pt>
                <c:pt idx="6">
                  <c:v>5.0145506546403512E-2</c:v>
                </c:pt>
                <c:pt idx="7">
                  <c:v>8.2112432324154078E-2</c:v>
                </c:pt>
                <c:pt idx="8">
                  <c:v>6.2142145706861336E-2</c:v>
                </c:pt>
                <c:pt idx="9">
                  <c:v>6.5135741193098035E-2</c:v>
                </c:pt>
                <c:pt idx="10">
                  <c:v>4.1353906419537387E-2</c:v>
                </c:pt>
                <c:pt idx="11">
                  <c:v>0.228258873673609</c:v>
                </c:pt>
              </c:numCache>
            </c:numRef>
          </c:yVal>
          <c:smooth val="0"/>
          <c:extLst>
            <c:ext xmlns:c16="http://schemas.microsoft.com/office/drawing/2014/chart" uri="{C3380CC4-5D6E-409C-BE32-E72D297353CC}">
              <c16:uniqueId val="{00000000-BC64-4243-A88F-9EF161969AB7}"/>
            </c:ext>
          </c:extLst>
        </c:ser>
        <c:ser>
          <c:idx val="0"/>
          <c:order val="1"/>
          <c:tx>
            <c:strRef>
              <c:f>'PWGGS mean 4pc'!$G$2:$H$2</c:f>
              <c:strCache>
                <c:ptCount val="1"/>
                <c:pt idx="0">
                  <c:v>GGS Mod</c:v>
                </c:pt>
              </c:strCache>
            </c:strRef>
          </c:tx>
          <c:spPr>
            <a:ln w="22225" cap="rnd">
              <a:solidFill>
                <a:schemeClr val="bg1"/>
              </a:solidFill>
              <a:prstDash val="lgDashDot"/>
            </a:ln>
            <a:effectLst>
              <a:glow rad="139700">
                <a:schemeClr val="accent1">
                  <a:satMod val="175000"/>
                  <a:alpha val="14000"/>
                </a:schemeClr>
              </a:glow>
            </a:effectLst>
          </c:spPr>
          <c:marker>
            <c:symbol val="none"/>
          </c:marker>
          <c:xVal>
            <c:numRef>
              <c:f>'PWGGS mean 4pc'!$C$4:$C$15</c:f>
              <c:numCache>
                <c:formatCode>General</c:formatCode>
                <c:ptCount val="12"/>
                <c:pt idx="0">
                  <c:v>1180</c:v>
                </c:pt>
                <c:pt idx="1">
                  <c:v>600</c:v>
                </c:pt>
                <c:pt idx="2">
                  <c:v>425</c:v>
                </c:pt>
                <c:pt idx="3">
                  <c:v>300</c:v>
                </c:pt>
                <c:pt idx="4">
                  <c:v>212</c:v>
                </c:pt>
                <c:pt idx="5">
                  <c:v>180</c:v>
                </c:pt>
                <c:pt idx="6">
                  <c:v>150</c:v>
                </c:pt>
                <c:pt idx="7">
                  <c:v>106</c:v>
                </c:pt>
                <c:pt idx="8">
                  <c:v>75</c:v>
                </c:pt>
                <c:pt idx="9">
                  <c:v>53</c:v>
                </c:pt>
                <c:pt idx="10">
                  <c:v>38</c:v>
                </c:pt>
                <c:pt idx="11">
                  <c:v>0</c:v>
                </c:pt>
              </c:numCache>
            </c:numRef>
          </c:xVal>
          <c:yVal>
            <c:numRef>
              <c:f>'PWGGS mean 4pc'!$H$4:$H$15</c:f>
              <c:numCache>
                <c:formatCode>0.0%</c:formatCode>
                <c:ptCount val="12"/>
                <c:pt idx="0">
                  <c:v>3.5001755263263212E-2</c:v>
                </c:pt>
                <c:pt idx="1">
                  <c:v>7.7832225536667798E-2</c:v>
                </c:pt>
                <c:pt idx="2">
                  <c:v>7.1120888332346754E-2</c:v>
                </c:pt>
                <c:pt idx="3">
                  <c:v>0.11742760925463813</c:v>
                </c:pt>
                <c:pt idx="4">
                  <c:v>0.12513457917558779</c:v>
                </c:pt>
                <c:pt idx="5">
                  <c:v>4.8544555800838718E-2</c:v>
                </c:pt>
                <c:pt idx="6">
                  <c:v>4.9265757432971236E-2</c:v>
                </c:pt>
                <c:pt idx="7">
                  <c:v>8.1393759195121096E-2</c:v>
                </c:pt>
                <c:pt idx="8">
                  <c:v>6.7246184538807929E-2</c:v>
                </c:pt>
                <c:pt idx="9">
                  <c:v>5.5959536067106741E-2</c:v>
                </c:pt>
                <c:pt idx="10">
                  <c:v>4.4617328010214952E-2</c:v>
                </c:pt>
                <c:pt idx="11">
                  <c:v>0.22645582139243564</c:v>
                </c:pt>
              </c:numCache>
            </c:numRef>
          </c:yVal>
          <c:smooth val="0"/>
          <c:extLst>
            <c:ext xmlns:c16="http://schemas.microsoft.com/office/drawing/2014/chart" uri="{C3380CC4-5D6E-409C-BE32-E72D297353CC}">
              <c16:uniqueId val="{00000001-BC64-4243-A88F-9EF161969AB7}"/>
            </c:ext>
          </c:extLst>
        </c:ser>
        <c:dLbls>
          <c:showLegendKey val="0"/>
          <c:showVal val="0"/>
          <c:showCatName val="0"/>
          <c:showSerName val="0"/>
          <c:showPercent val="0"/>
          <c:showBubbleSize val="0"/>
        </c:dLbls>
        <c:axId val="1020547680"/>
        <c:axId val="931494560"/>
      </c:scatterChart>
      <c:valAx>
        <c:axId val="1020547680"/>
        <c:scaling>
          <c:orientation val="minMax"/>
          <c:max val="1200"/>
        </c:scaling>
        <c:delete val="0"/>
        <c:axPos val="b"/>
        <c:majorGridlines>
          <c:spPr>
            <a:ln w="9525" cap="flat" cmpd="sng" algn="ctr">
              <a:solidFill>
                <a:schemeClr val="dk1">
                  <a:lumMod val="65000"/>
                  <a:lumOff val="35000"/>
                  <a:alpha val="75000"/>
                </a:schemeClr>
              </a:solidFill>
              <a:round/>
            </a:ln>
            <a:effectLst/>
          </c:spPr>
        </c:majorGridlines>
        <c:title>
          <c:tx>
            <c:strRef>
              <c:f>'PWGGS mean 4pc'!$B$3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QQ Plot - CUMPAS</a:t>
            </a:r>
          </a:p>
        </c:rich>
      </c:tx>
      <c:layout>
        <c:manualLayout>
          <c:xMode val="edge"/>
          <c:yMode val="edge"/>
          <c:x val="0.2709893544017703"/>
          <c:y val="1.1176702734517796E-2"/>
        </c:manualLayout>
      </c:layout>
      <c:overlay val="1"/>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smoothMarker"/>
        <c:varyColors val="0"/>
        <c:ser>
          <c:idx val="0"/>
          <c:order val="0"/>
          <c:tx>
            <c:strRef>
              <c:f>'PWGGS mean 4pc'!$F$3</c:f>
              <c:strCache>
                <c:ptCount val="1"/>
                <c:pt idx="0">
                  <c:v>cumpas</c:v>
                </c:pt>
              </c:strCache>
            </c:strRef>
          </c:tx>
          <c:spPr>
            <a:ln w="28575" cap="rnd">
              <a:solidFill>
                <a:schemeClr val="lt1">
                  <a:alpha val="50000"/>
                </a:schemeClr>
              </a:solid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1"/>
            <c:dispEq val="1"/>
            <c:trendlineLbl>
              <c:layout>
                <c:manualLayout>
                  <c:x val="-5.9047328435468699E-2"/>
                  <c:y val="2.5931188403526782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rendlineLbl>
          </c:trendline>
          <c:xVal>
            <c:numRef>
              <c:f>'PWGGS mean 4pc'!$F$4:$F$14</c:f>
              <c:numCache>
                <c:formatCode>0%</c:formatCode>
                <c:ptCount val="11"/>
                <c:pt idx="0">
                  <c:v>0.96459989872966945</c:v>
                </c:pt>
                <c:pt idx="1">
                  <c:v>0.886799801910782</c:v>
                </c:pt>
                <c:pt idx="2">
                  <c:v>0.81524285404274499</c:v>
                </c:pt>
                <c:pt idx="3">
                  <c:v>0.69737976930396128</c:v>
                </c:pt>
                <c:pt idx="4">
                  <c:v>0.57181012369447526</c:v>
                </c:pt>
                <c:pt idx="5">
                  <c:v>0.52914860586366352</c:v>
                </c:pt>
                <c:pt idx="6">
                  <c:v>0.47900309931726004</c:v>
                </c:pt>
                <c:pt idx="7">
                  <c:v>0.39689066699310593</c:v>
                </c:pt>
                <c:pt idx="8">
                  <c:v>0.3347485212862446</c:v>
                </c:pt>
                <c:pt idx="9">
                  <c:v>0.2696127800931466</c:v>
                </c:pt>
                <c:pt idx="10">
                  <c:v>0.2282588736736092</c:v>
                </c:pt>
              </c:numCache>
            </c:numRef>
          </c:xVal>
          <c:yVal>
            <c:numRef>
              <c:f>'PWGGS mean 4pc'!$G$4:$G$14</c:f>
              <c:numCache>
                <c:formatCode>0%</c:formatCode>
                <c:ptCount val="11"/>
                <c:pt idx="0">
                  <c:v>0.96499824473673679</c:v>
                </c:pt>
                <c:pt idx="1">
                  <c:v>0.88716601920006899</c:v>
                </c:pt>
                <c:pt idx="2">
                  <c:v>0.81604513086772223</c:v>
                </c:pt>
                <c:pt idx="3">
                  <c:v>0.6986175216130841</c:v>
                </c:pt>
                <c:pt idx="4">
                  <c:v>0.57348294243749631</c:v>
                </c:pt>
                <c:pt idx="5">
                  <c:v>0.52493838663665759</c:v>
                </c:pt>
                <c:pt idx="6">
                  <c:v>0.47567262920368636</c:v>
                </c:pt>
                <c:pt idx="7">
                  <c:v>0.39427887000856526</c:v>
                </c:pt>
                <c:pt idx="8">
                  <c:v>0.32703268546975733</c:v>
                </c:pt>
                <c:pt idx="9">
                  <c:v>0.27107314940265059</c:v>
                </c:pt>
                <c:pt idx="10">
                  <c:v>0.22645582139243564</c:v>
                </c:pt>
              </c:numCache>
            </c:numRef>
          </c:yVal>
          <c:smooth val="1"/>
          <c:extLst>
            <c:ext xmlns:c16="http://schemas.microsoft.com/office/drawing/2014/chart" uri="{C3380CC4-5D6E-409C-BE32-E72D297353CC}">
              <c16:uniqueId val="{00000001-F01E-4275-9510-9CFB52F5CB72}"/>
            </c:ext>
          </c:extLst>
        </c:ser>
        <c:dLbls>
          <c:showLegendKey val="0"/>
          <c:showVal val="0"/>
          <c:showCatName val="0"/>
          <c:showSerName val="0"/>
          <c:showPercent val="0"/>
          <c:showBubbleSize val="0"/>
        </c:dLbls>
        <c:axId val="1020547680"/>
        <c:axId val="931494560"/>
      </c:scatterChart>
      <c:valAx>
        <c:axId val="1020547680"/>
        <c:scaling>
          <c:orientation val="minMax"/>
          <c:max val="1"/>
        </c:scaling>
        <c:delete val="0"/>
        <c:axPos val="b"/>
        <c:majorGridlines>
          <c:spPr>
            <a:ln w="9525" cap="flat" cmpd="sng" algn="ctr">
              <a:solidFill>
                <a:schemeClr val="lt1">
                  <a:alpha val="25000"/>
                </a:schemeClr>
              </a:solidFill>
              <a:round/>
            </a:ln>
            <a:effectLst/>
          </c:spPr>
        </c:majorGridlines>
        <c:title>
          <c:tx>
            <c:strRef>
              <c:f>'PWGGS mean 4pc'!$B$3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lt1">
                  <a:alpha val="25000"/>
                </a:schemeClr>
              </a:solidFill>
              <a:round/>
            </a:ln>
            <a:effectLst/>
          </c:spPr>
        </c:majorGridlines>
        <c:title>
          <c:tx>
            <c:strRef>
              <c:f>'PWGGS mean 4pc'!$A$26</c:f>
              <c:strCache>
                <c:ptCount val="1"/>
                <c:pt idx="0">
                  <c:v>GGS Model Fitted: y = ( x / k ) ^ n</c:v>
                </c:pt>
              </c:strCache>
            </c:strRef>
          </c:tx>
          <c:layout>
            <c:manualLayout>
              <c:xMode val="edge"/>
              <c:yMode val="edge"/>
              <c:x val="2.8000822827329067E-3"/>
              <c:y val="0.1446012480236984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0547680"/>
        <c:crosses val="autoZero"/>
        <c:crossBetween val="midCat"/>
      </c:valAx>
      <c:spPr>
        <a:noFill/>
        <a:ln>
          <a:noFill/>
        </a:ln>
        <a:effectLst/>
      </c:spPr>
    </c:plotArea>
    <c:legend>
      <c:legendPos val="t"/>
      <c:layout>
        <c:manualLayout>
          <c:xMode val="edge"/>
          <c:yMode val="edge"/>
          <c:x val="0.77800881518817544"/>
          <c:y val="2.7942142603494837E-2"/>
          <c:w val="0.22199113586745869"/>
          <c:h val="9.43053913374077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Rosin Rammler Regression Check</a:t>
            </a:r>
          </a:p>
        </c:rich>
      </c:tx>
      <c:layout>
        <c:manualLayout>
          <c:xMode val="edge"/>
          <c:yMode val="edge"/>
          <c:x val="0.25051747969394889"/>
          <c:y val="3.716346744378330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4782072862974208"/>
          <c:y val="0.1648093146895539"/>
          <c:w val="0.81221168964045998"/>
          <c:h val="0.6725344624853018"/>
        </c:manualLayout>
      </c:layout>
      <c:scatterChart>
        <c:scatterStyle val="lineMarker"/>
        <c:varyColors val="0"/>
        <c:ser>
          <c:idx val="0"/>
          <c:order val="0"/>
          <c:tx>
            <c:strRef>
              <c:f>'RR 1pc'!$D$29</c:f>
              <c:strCache>
                <c:ptCount val="1"/>
                <c:pt idx="0">
                  <c:v>Cum % Passing</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'RR 1pc'!$A$30:$A$40</c:f>
              <c:numCache>
                <c:formatCode>General</c:formatCode>
                <c:ptCount val="11"/>
                <c:pt idx="0">
                  <c:v>1.18</c:v>
                </c:pt>
                <c:pt idx="1">
                  <c:v>0.6</c:v>
                </c:pt>
                <c:pt idx="2">
                  <c:v>0.42499999999999999</c:v>
                </c:pt>
                <c:pt idx="3">
                  <c:v>0.3</c:v>
                </c:pt>
                <c:pt idx="4">
                  <c:v>0.21199999999999999</c:v>
                </c:pt>
                <c:pt idx="5">
                  <c:v>0.18</c:v>
                </c:pt>
                <c:pt idx="6">
                  <c:v>0.15</c:v>
                </c:pt>
                <c:pt idx="7">
                  <c:v>0.106</c:v>
                </c:pt>
                <c:pt idx="8">
                  <c:v>7.4999999999999997E-2</c:v>
                </c:pt>
                <c:pt idx="9">
                  <c:v>5.2999999999999999E-2</c:v>
                </c:pt>
                <c:pt idx="10">
                  <c:v>3.7999999999999999E-2</c:v>
                </c:pt>
              </c:numCache>
            </c:numRef>
          </c:xVal>
          <c:yVal>
            <c:numRef>
              <c:f>'RR 1pc'!$D$30:$D$40</c:f>
              <c:numCache>
                <c:formatCode>0.0000</c:formatCode>
                <c:ptCount val="11"/>
                <c:pt idx="0">
                  <c:v>0.96747240656053368</c:v>
                </c:pt>
                <c:pt idx="1">
                  <c:v>0.89330536739676092</c:v>
                </c:pt>
                <c:pt idx="2">
                  <c:v>0.81841625691985009</c:v>
                </c:pt>
                <c:pt idx="3">
                  <c:v>0.69566413368634583</c:v>
                </c:pt>
                <c:pt idx="4">
                  <c:v>0.57641921397379903</c:v>
                </c:pt>
                <c:pt idx="5">
                  <c:v>0.53113502733555673</c:v>
                </c:pt>
                <c:pt idx="6">
                  <c:v>0.48310009283774019</c:v>
                </c:pt>
                <c:pt idx="7">
                  <c:v>0.4042911666609359</c:v>
                </c:pt>
                <c:pt idx="8">
                  <c:v>0.34759137640546017</c:v>
                </c:pt>
                <c:pt idx="9">
                  <c:v>0.28016366949764465</c:v>
                </c:pt>
                <c:pt idx="10">
                  <c:v>0.24093112815046591</c:v>
                </c:pt>
              </c:numCache>
            </c:numRef>
          </c:yVal>
          <c:smooth val="0"/>
          <c:extLst>
            <c:ext xmlns:c16="http://schemas.microsoft.com/office/drawing/2014/chart" uri="{C3380CC4-5D6E-409C-BE32-E72D297353CC}">
              <c16:uniqueId val="{00000000-1301-49E5-945E-4650E2216815}"/>
            </c:ext>
          </c:extLst>
        </c:ser>
        <c:ser>
          <c:idx val="1"/>
          <c:order val="1"/>
          <c:tx>
            <c:strRef>
              <c:f>'RR 1pc'!$K$28</c:f>
              <c:strCache>
                <c:ptCount val="1"/>
                <c:pt idx="0">
                  <c:v>Fitted  %Cumpass</c:v>
                </c:pt>
              </c:strCache>
            </c:strRef>
          </c:tx>
          <c:spPr>
            <a:ln w="25400" cap="rnd">
              <a:solidFill>
                <a:srgbClr val="FFFF00"/>
              </a:solidFill>
              <a:round/>
            </a:ln>
            <a:effectLst>
              <a:outerShdw blurRad="57150" dist="19050" dir="5400000" algn="ctr" rotWithShape="0">
                <a:srgbClr val="000000">
                  <a:alpha val="63000"/>
                </a:srgbClr>
              </a:outerShdw>
            </a:effectLst>
          </c:spPr>
          <c:marker>
            <c:symbol val="none"/>
          </c:marker>
          <c:xVal>
            <c:numRef>
              <c:f>'RR 1pc'!$A$30:$A$40</c:f>
              <c:numCache>
                <c:formatCode>General</c:formatCode>
                <c:ptCount val="11"/>
                <c:pt idx="0">
                  <c:v>1.18</c:v>
                </c:pt>
                <c:pt idx="1">
                  <c:v>0.6</c:v>
                </c:pt>
                <c:pt idx="2">
                  <c:v>0.42499999999999999</c:v>
                </c:pt>
                <c:pt idx="3">
                  <c:v>0.3</c:v>
                </c:pt>
                <c:pt idx="4">
                  <c:v>0.21199999999999999</c:v>
                </c:pt>
                <c:pt idx="5">
                  <c:v>0.18</c:v>
                </c:pt>
                <c:pt idx="6">
                  <c:v>0.15</c:v>
                </c:pt>
                <c:pt idx="7">
                  <c:v>0.106</c:v>
                </c:pt>
                <c:pt idx="8">
                  <c:v>7.4999999999999997E-2</c:v>
                </c:pt>
                <c:pt idx="9">
                  <c:v>5.2999999999999999E-2</c:v>
                </c:pt>
                <c:pt idx="10">
                  <c:v>3.7999999999999999E-2</c:v>
                </c:pt>
              </c:numCache>
            </c:numRef>
          </c:xVal>
          <c:yVal>
            <c:numRef>
              <c:f>'RR 1pc'!$K$30:$K$40</c:f>
              <c:numCache>
                <c:formatCode>0.0%</c:formatCode>
                <c:ptCount val="11"/>
                <c:pt idx="0">
                  <c:v>0.96771867744228257</c:v>
                </c:pt>
                <c:pt idx="1">
                  <c:v>0.87125053073150183</c:v>
                </c:pt>
                <c:pt idx="2">
                  <c:v>0.79318124471101503</c:v>
                </c:pt>
                <c:pt idx="3">
                  <c:v>0.70130501974027393</c:v>
                </c:pt>
                <c:pt idx="4">
                  <c:v>0.60436960361065473</c:v>
                </c:pt>
                <c:pt idx="5">
                  <c:v>0.5589089238243834</c:v>
                </c:pt>
                <c:pt idx="6">
                  <c:v>0.50946917530820812</c:v>
                </c:pt>
                <c:pt idx="7">
                  <c:v>0.42108184509662439</c:v>
                </c:pt>
                <c:pt idx="8">
                  <c:v>0.34285796809307878</c:v>
                </c:pt>
                <c:pt idx="9">
                  <c:v>0.27544456914074122</c:v>
                </c:pt>
                <c:pt idx="10">
                  <c:v>0.22120022368739334</c:v>
                </c:pt>
              </c:numCache>
            </c:numRef>
          </c:yVal>
          <c:smooth val="0"/>
          <c:extLst>
            <c:ext xmlns:c16="http://schemas.microsoft.com/office/drawing/2014/chart" uri="{C3380CC4-5D6E-409C-BE32-E72D297353CC}">
              <c16:uniqueId val="{00000001-1301-49E5-945E-4650E2216815}"/>
            </c:ext>
          </c:extLst>
        </c:ser>
        <c:dLbls>
          <c:showLegendKey val="0"/>
          <c:showVal val="0"/>
          <c:showCatName val="0"/>
          <c:showSerName val="0"/>
          <c:showPercent val="0"/>
          <c:showBubbleSize val="0"/>
        </c:dLbls>
        <c:axId val="1823205951"/>
        <c:axId val="1"/>
      </c:scatterChart>
      <c:valAx>
        <c:axId val="1823205951"/>
        <c:scaling>
          <c:logBase val="2"/>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Sieve, µm</a:t>
                </a:r>
              </a:p>
            </c:rich>
          </c:tx>
          <c:layout>
            <c:manualLayout>
              <c:xMode val="edge"/>
              <c:yMode val="edge"/>
              <c:x val="0.4969615472995238"/>
              <c:y val="0.9325507219616033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
        <c:crossesAt val="0"/>
        <c:crossBetween val="midCat"/>
      </c:valAx>
      <c:valAx>
        <c:axId val="1"/>
        <c:scaling>
          <c:logBase val="2"/>
          <c:orientation val="minMax"/>
          <c:max val="1"/>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Cumulative %Pass</a:t>
                </a:r>
              </a:p>
            </c:rich>
          </c:tx>
          <c:layout>
            <c:manualLayout>
              <c:xMode val="edge"/>
              <c:yMode val="edge"/>
              <c:x val="5.6862889119949373E-3"/>
              <c:y val="0.2785630795333596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205951"/>
        <c:crossesAt val="1.0000000000000002E-2"/>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alignWithMargins="0"/>
    <c:pageMargins b="1" l="0.75" r="0.75" t="1" header="0.51180555555555551" footer="0.51180555555555551"/>
    <c:pageSetup firstPageNumber="0"/>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'PWGGS mean 4pc'!$A$52</c:f>
          <c:strCache>
            <c:ptCount val="1"/>
            <c:pt idx="0">
              <c:v>Percentiles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'PWGGS mean 4pc'!$D$50</c:f>
              <c:strCache>
                <c:ptCount val="1"/>
                <c:pt idx="0">
                  <c:v>GGS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'PWGGS mean 4pc'!$C$51:$C$62</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xVal>
          <c:yVal>
            <c:numRef>
              <c:f>'PWGGS mean 4pc'!$D$51:$D$62</c:f>
              <c:numCache>
                <c:formatCode>0</c:formatCode>
                <c:ptCount val="12"/>
                <c:pt idx="0">
                  <c:v>1571.5558220666189</c:v>
                </c:pt>
                <c:pt idx="1">
                  <c:v>1040.3237107957832</c:v>
                </c:pt>
                <c:pt idx="2">
                  <c:v>673.46989761681311</c:v>
                </c:pt>
                <c:pt idx="3">
                  <c:v>478.50898242007929</c:v>
                </c:pt>
                <c:pt idx="4">
                  <c:v>405.8706675220684</c:v>
                </c:pt>
                <c:pt idx="5">
                  <c:v>351.45476455360404</c:v>
                </c:pt>
                <c:pt idx="6">
                  <c:v>164.50008945257795</c:v>
                </c:pt>
                <c:pt idx="7">
                  <c:v>108.86305170008605</c:v>
                </c:pt>
                <c:pt idx="8">
                  <c:v>45.630380742646508</c:v>
                </c:pt>
                <c:pt idx="9">
                  <c:v>19.984018573269029</c:v>
                </c:pt>
                <c:pt idx="10">
                  <c:v>8.3763808016201793</c:v>
                </c:pt>
                <c:pt idx="11">
                  <c:v>2.3235090418203628</c:v>
                </c:pt>
              </c:numCache>
            </c:numRef>
          </c:yVal>
          <c:smooth val="0"/>
          <c:extLst>
            <c:ext xmlns:c16="http://schemas.microsoft.com/office/drawing/2014/chart" uri="{C3380CC4-5D6E-409C-BE32-E72D297353CC}">
              <c16:uniqueId val="{00000000-9C7B-47A7-9FE6-213C315858A0}"/>
            </c:ext>
          </c:extLst>
        </c:ser>
        <c:dLbls>
          <c:showLegendKey val="0"/>
          <c:showVal val="0"/>
          <c:showCatName val="0"/>
          <c:showSerName val="0"/>
          <c:showPercent val="0"/>
          <c:showBubbleSize val="0"/>
        </c:dLbls>
        <c:axId val="436082832"/>
        <c:axId val="1980303743"/>
      </c:scatterChart>
      <c:valAx>
        <c:axId val="4360828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303743"/>
        <c:crosses val="autoZero"/>
        <c:crossBetween val="midCat"/>
      </c:valAx>
      <c:valAx>
        <c:axId val="1980303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0828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'PWGGS mean 4pc'!$C$70</c:f>
              <c:strCache>
                <c:ptCount val="1"/>
                <c:pt idx="0">
                  <c:v>Q3</c:v>
                </c:pt>
              </c:strCache>
            </c:strRef>
          </c:tx>
          <c:spPr>
            <a:solidFill>
              <a:srgbClr val="002060"/>
            </a:solidFill>
            <a:ln>
              <a:noFill/>
            </a:ln>
            <a:effectLst/>
          </c:spPr>
          <c:invertIfNegative val="0"/>
          <c:errBars>
            <c:errBarType val="plus"/>
            <c:errValType val="cust"/>
            <c:noEndCap val="1"/>
            <c:plus>
              <c:numRef>
                <c:f>'PWGGS mean 4pc'!$D$72</c:f>
                <c:numCache>
                  <c:formatCode>General</c:formatCode>
                  <c:ptCount val="1"/>
                  <c:pt idx="0">
                    <c:v>322.01513306320908</c:v>
                  </c:pt>
                </c:numCache>
              </c:numRef>
            </c:plus>
            <c:minus>
              <c:numRef>
                <c:f>'PWGGS mean 4pc'!$D$70</c:f>
                <c:numCache>
                  <c:formatCode>General</c:formatCode>
                  <c:ptCount val="1"/>
                  <c:pt idx="0">
                    <c:v>351.45476455360404</c:v>
                  </c:pt>
                </c:numCache>
              </c:numRef>
            </c:minus>
            <c:spPr>
              <a:noFill/>
              <a:ln w="9525" cap="flat" cmpd="sng" algn="ctr">
                <a:solidFill>
                  <a:schemeClr val="tx1">
                    <a:lumMod val="65000"/>
                    <a:lumOff val="35000"/>
                  </a:schemeClr>
                </a:solidFill>
                <a:round/>
              </a:ln>
              <a:effectLst/>
            </c:spPr>
          </c:errBars>
          <c:cat>
            <c:strRef>
              <c:f>'PWGGS mean 4pc'!$D$50</c:f>
              <c:strCache>
                <c:ptCount val="1"/>
                <c:pt idx="0">
                  <c:v>GGS</c:v>
                </c:pt>
              </c:strCache>
            </c:strRef>
          </c:cat>
          <c:val>
            <c:numRef>
              <c:f>'PWGGS mean 4pc'!$D$70:$I$70</c:f>
              <c:numCache>
                <c:formatCode>0</c:formatCode>
                <c:ptCount val="6"/>
                <c:pt idx="0">
                  <c:v>351.45476455360404</c:v>
                </c:pt>
              </c:numCache>
            </c:numRef>
          </c:val>
          <c:extLst>
            <c:ext xmlns:c16="http://schemas.microsoft.com/office/drawing/2014/chart" uri="{C3380CC4-5D6E-409C-BE32-E72D297353CC}">
              <c16:uniqueId val="{00000000-0F98-4E88-954D-4DCAE0CB8F65}"/>
            </c:ext>
          </c:extLst>
        </c:ser>
        <c:ser>
          <c:idx val="1"/>
          <c:order val="1"/>
          <c:tx>
            <c:strRef>
              <c:f>'PWGGS mean 4pc'!$C$69</c:f>
              <c:strCache>
                <c:ptCount val="1"/>
                <c:pt idx="0">
                  <c:v>Median</c:v>
                </c:pt>
              </c:strCache>
            </c:strRef>
          </c:tx>
          <c:spPr>
            <a:solidFill>
              <a:schemeClr val="accent2"/>
            </a:solidFill>
            <a:ln>
              <a:noFill/>
            </a:ln>
            <a:effectLst/>
          </c:spPr>
          <c:invertIfNegative val="0"/>
          <c:cat>
            <c:strRef>
              <c:f>'PWGGS mean 4pc'!$D$50</c:f>
              <c:strCache>
                <c:ptCount val="1"/>
                <c:pt idx="0">
                  <c:v>GGS</c:v>
                </c:pt>
              </c:strCache>
            </c:strRef>
          </c:cat>
          <c:val>
            <c:numRef>
              <c:f>'PWGGS mean 4pc'!$D$69</c:f>
              <c:numCache>
                <c:formatCode>0</c:formatCode>
                <c:ptCount val="1"/>
                <c:pt idx="0">
                  <c:v>164.50008945257795</c:v>
                </c:pt>
              </c:numCache>
            </c:numRef>
          </c:val>
          <c:extLst>
            <c:ext xmlns:c16="http://schemas.microsoft.com/office/drawing/2014/chart" uri="{C3380CC4-5D6E-409C-BE32-E72D297353CC}">
              <c16:uniqueId val="{00000001-0F98-4E88-954D-4DCAE0CB8F65}"/>
            </c:ext>
          </c:extLst>
        </c:ser>
        <c:ser>
          <c:idx val="0"/>
          <c:order val="2"/>
          <c:tx>
            <c:strRef>
              <c:f>'PWGGS mean 4pc'!$C$68</c:f>
              <c:strCache>
                <c:ptCount val="1"/>
                <c:pt idx="0">
                  <c:v>Q1</c:v>
                </c:pt>
              </c:strCache>
            </c:strRef>
          </c:tx>
          <c:spPr>
            <a:solidFill>
              <a:schemeClr val="bg1"/>
            </a:solidFill>
            <a:ln>
              <a:noFill/>
            </a:ln>
            <a:effectLst/>
          </c:spPr>
          <c:invertIfNegative val="0"/>
          <c:errBars>
            <c:errBarType val="minus"/>
            <c:errValType val="cust"/>
            <c:noEndCap val="1"/>
            <c:plus>
              <c:numRef>
                <c:f>'PWGGS mean 4pc'!$D$68</c:f>
                <c:numCache>
                  <c:formatCode>General</c:formatCode>
                  <c:ptCount val="1"/>
                  <c:pt idx="0">
                    <c:v>45.630380742646508</c:v>
                  </c:pt>
                </c:numCache>
              </c:numRef>
            </c:plus>
            <c:minus>
              <c:numRef>
                <c:f>'PWGGS mean 4pc'!$D$66</c:f>
                <c:numCache>
                  <c:formatCode>General</c:formatCode>
                  <c:ptCount val="1"/>
                  <c:pt idx="0">
                    <c:v>37.253999941026329</c:v>
                  </c:pt>
                </c:numCache>
              </c:numRef>
            </c:minus>
            <c:spPr>
              <a:noFill/>
              <a:ln w="9525" cap="flat" cmpd="sng" algn="ctr">
                <a:solidFill>
                  <a:schemeClr val="tx1">
                    <a:lumMod val="65000"/>
                    <a:lumOff val="35000"/>
                  </a:schemeClr>
                </a:solidFill>
                <a:round/>
              </a:ln>
              <a:effectLst/>
            </c:spPr>
          </c:errBars>
          <c:cat>
            <c:strRef>
              <c:f>'PWGGS mean 4pc'!$D$50</c:f>
              <c:strCache>
                <c:ptCount val="1"/>
                <c:pt idx="0">
                  <c:v>GGS</c:v>
                </c:pt>
              </c:strCache>
            </c:strRef>
          </c:cat>
          <c:val>
            <c:numRef>
              <c:f>'PWGGS mean 4pc'!$D$68</c:f>
              <c:numCache>
                <c:formatCode>0</c:formatCode>
                <c:ptCount val="1"/>
                <c:pt idx="0">
                  <c:v>45.630380742646508</c:v>
                </c:pt>
              </c:numCache>
            </c:numRef>
          </c:val>
          <c:extLst>
            <c:ext xmlns:c16="http://schemas.microsoft.com/office/drawing/2014/chart" uri="{C3380CC4-5D6E-409C-BE32-E72D297353CC}">
              <c16:uniqueId val="{00000002-0F98-4E88-954D-4DCAE0CB8F65}"/>
            </c:ext>
          </c:extLst>
        </c:ser>
        <c:dLbls>
          <c:showLegendKey val="0"/>
          <c:showVal val="0"/>
          <c:showCatName val="0"/>
          <c:showSerName val="0"/>
          <c:showPercent val="0"/>
          <c:showBubbleSize val="0"/>
        </c:dLbls>
        <c:gapWidth val="77"/>
        <c:overlap val="100"/>
        <c:axId val="1267239104"/>
        <c:axId val="1379601344"/>
      </c:barChart>
      <c:catAx>
        <c:axId val="1267239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01344"/>
        <c:crosses val="autoZero"/>
        <c:auto val="1"/>
        <c:lblAlgn val="ctr"/>
        <c:lblOffset val="100"/>
        <c:noMultiLvlLbl val="0"/>
      </c:catAx>
      <c:valAx>
        <c:axId val="1379601344"/>
        <c:scaling>
          <c:logBase val="10"/>
          <c:orientation val="minMax"/>
          <c:min val="1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239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98712542151106"/>
          <c:y val="0.18444290580298864"/>
          <c:w val="0.81927338606287681"/>
          <c:h val="0.65121532429726836"/>
        </c:manualLayout>
      </c:layout>
      <c:scatterChart>
        <c:scatterStyle val="smoothMarker"/>
        <c:varyColors val="0"/>
        <c:ser>
          <c:idx val="5"/>
          <c:order val="0"/>
          <c:tx>
            <c:strRef>
              <c:f>'PWGGS mean 5pc'!$D$2</c:f>
              <c:strCache>
                <c:ptCount val="1"/>
                <c:pt idx="0">
                  <c:v>Observed</c:v>
                </c:pt>
              </c:strCache>
            </c:strRef>
          </c:tx>
          <c:spPr>
            <a:ln w="22225" cap="rnd">
              <a:solidFill>
                <a:srgbClr val="00B050"/>
              </a:solidFill>
            </a:ln>
            <a:effectLst>
              <a:glow rad="139700">
                <a:schemeClr val="accent6">
                  <a:satMod val="175000"/>
                  <a:alpha val="14000"/>
                </a:schemeClr>
              </a:glow>
            </a:effectLst>
          </c:spPr>
          <c:marker>
            <c:symbol val="circle"/>
            <c:size val="9"/>
            <c:spPr>
              <a:solidFill>
                <a:srgbClr val="002060"/>
              </a:solidFill>
              <a:ln>
                <a:noFill/>
              </a:ln>
              <a:effectLst>
                <a:glow rad="63500">
                  <a:schemeClr val="accent6">
                    <a:satMod val="175000"/>
                    <a:alpha val="25000"/>
                  </a:schemeClr>
                </a:glow>
              </a:effectLst>
            </c:spPr>
          </c:marker>
          <c:xVal>
            <c:numRef>
              <c:f>'PWGGS mean 5pc'!$C$4:$C$14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5pc'!$F$4:$F$14</c:f>
              <c:numCache>
                <c:formatCode>0%</c:formatCode>
                <c:ptCount val="11"/>
                <c:pt idx="0">
                  <c:v>0.96459989872966945</c:v>
                </c:pt>
                <c:pt idx="1">
                  <c:v>0.886799801910782</c:v>
                </c:pt>
                <c:pt idx="2">
                  <c:v>0.81524285404274499</c:v>
                </c:pt>
                <c:pt idx="3">
                  <c:v>0.69737976930396128</c:v>
                </c:pt>
                <c:pt idx="4">
                  <c:v>0.57181012369447526</c:v>
                </c:pt>
                <c:pt idx="5">
                  <c:v>0.52914860586366352</c:v>
                </c:pt>
                <c:pt idx="6">
                  <c:v>0.47900309931726004</c:v>
                </c:pt>
                <c:pt idx="7">
                  <c:v>0.39689066699310593</c:v>
                </c:pt>
                <c:pt idx="8">
                  <c:v>0.3347485212862446</c:v>
                </c:pt>
                <c:pt idx="9">
                  <c:v>0.2696127800931466</c:v>
                </c:pt>
                <c:pt idx="10">
                  <c:v>0.2282588736736092</c:v>
                </c:pt>
              </c:numCache>
            </c:numRef>
          </c:yVal>
          <c:smooth val="1"/>
          <c:extLst>
            <c:ext xmlns:c16="http://schemas.microsoft.com/office/drawing/2014/chart" uri="{C3380CC4-5D6E-409C-BE32-E72D297353CC}">
              <c16:uniqueId val="{00000000-5D75-4F2F-8E44-52A68A756D83}"/>
            </c:ext>
          </c:extLst>
        </c:ser>
        <c:ser>
          <c:idx val="0"/>
          <c:order val="1"/>
          <c:tx>
            <c:strRef>
              <c:f>'PWGGS mean 5pc'!$G$2:$H$2</c:f>
              <c:strCache>
                <c:ptCount val="1"/>
                <c:pt idx="0">
                  <c:v>GGS Mod</c:v>
                </c:pt>
              </c:strCache>
            </c:strRef>
          </c:tx>
          <c:spPr>
            <a:ln w="22225" cap="rnd">
              <a:solidFill>
                <a:schemeClr val="bg1"/>
              </a:solidFill>
              <a:prstDash val="sysDot"/>
            </a:ln>
            <a:effectLst>
              <a:glow rad="139700">
                <a:schemeClr val="accent1">
                  <a:satMod val="175000"/>
                  <a:alpha val="14000"/>
                </a:schemeClr>
              </a:glow>
            </a:effectLst>
          </c:spPr>
          <c:marker>
            <c:symbol val="none"/>
          </c:marker>
          <c:xVal>
            <c:numRef>
              <c:f>'PWGGS mean 5pc'!$C$4:$C$14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5pc'!$G$4:$G$14</c:f>
              <c:numCache>
                <c:formatCode>0%</c:formatCode>
                <c:ptCount val="11"/>
                <c:pt idx="0">
                  <c:v>0.96451875324977387</c:v>
                </c:pt>
                <c:pt idx="1">
                  <c:v>0.88672520124413046</c:v>
                </c:pt>
                <c:pt idx="2">
                  <c:v>0.8127629053211094</c:v>
                </c:pt>
                <c:pt idx="3">
                  <c:v>0.69115584703936339</c:v>
                </c:pt>
                <c:pt idx="4">
                  <c:v>0.56983112255768642</c:v>
                </c:pt>
                <c:pt idx="5">
                  <c:v>0.52332855208792151</c:v>
                </c:pt>
                <c:pt idx="6">
                  <c:v>0.47475999489476545</c:v>
                </c:pt>
                <c:pt idx="7">
                  <c:v>0.39438586164403566</c:v>
                </c:pt>
                <c:pt idx="8">
                  <c:v>0.32783661819773385</c:v>
                </c:pt>
                <c:pt idx="9">
                  <c:v>0.27233576656988373</c:v>
                </c:pt>
                <c:pt idx="10">
                  <c:v>0.22798896274130076</c:v>
                </c:pt>
              </c:numCache>
            </c:numRef>
          </c:yVal>
          <c:smooth val="0"/>
          <c:extLst>
            <c:ext xmlns:c16="http://schemas.microsoft.com/office/drawing/2014/chart" uri="{C3380CC4-5D6E-409C-BE32-E72D297353CC}">
              <c16:uniqueId val="{00000001-5D75-4F2F-8E44-52A68A756D83}"/>
            </c:ext>
          </c:extLst>
        </c:ser>
        <c:dLbls>
          <c:showLegendKey val="0"/>
          <c:showVal val="0"/>
          <c:showCatName val="0"/>
          <c:showSerName val="0"/>
          <c:showPercent val="0"/>
          <c:showBubbleSize val="0"/>
        </c:dLbls>
        <c:axId val="1020547680"/>
        <c:axId val="931494560"/>
      </c:scatterChart>
      <c:valAx>
        <c:axId val="1020547680"/>
        <c:scaling>
          <c:logBase val="10"/>
          <c:orientation val="minMax"/>
          <c:max val="1200"/>
          <c:min val="10"/>
        </c:scaling>
        <c:delete val="0"/>
        <c:axPos val="b"/>
        <c:majorGridlines>
          <c:spPr>
            <a:ln w="9525" cap="flat" cmpd="sng" algn="ctr">
              <a:solidFill>
                <a:schemeClr val="dk1">
                  <a:lumMod val="65000"/>
                  <a:lumOff val="35000"/>
                  <a:alpha val="75000"/>
                </a:schemeClr>
              </a:solidFill>
              <a:round/>
            </a:ln>
            <a:effectLst/>
          </c:spPr>
        </c:majorGridlines>
        <c:title>
          <c:tx>
            <c:strRef>
              <c:f>'PWGGS mean 5pc'!$B$3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in"/>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At val="0.1"/>
        <c:crossBetween val="midCat"/>
      </c:valAx>
      <c:valAx>
        <c:axId val="931494560"/>
        <c:scaling>
          <c:logBase val="10"/>
          <c:orientation val="minMax"/>
          <c:max val="1"/>
        </c:scaling>
        <c:delete val="0"/>
        <c:axPos val="l"/>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Cumpass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0"/>
        <c:majorTickMark val="out"/>
        <c:minorTickMark val="in"/>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layout>
        <c:manualLayout>
          <c:xMode val="edge"/>
          <c:yMode val="edge"/>
          <c:x val="0.15020401574939329"/>
          <c:y val="4.8944335346203023E-2"/>
          <c:w val="0.17734554699164681"/>
          <c:h val="0.5373813212828286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5"/>
          <c:order val="0"/>
          <c:tx>
            <c:strRef>
              <c:f>'PWGGS mean 5pc'!$D$2</c:f>
              <c:strCache>
                <c:ptCount val="1"/>
                <c:pt idx="0">
                  <c:v>Observed</c:v>
                </c:pt>
              </c:strCache>
            </c:strRef>
          </c:tx>
          <c:spPr>
            <a:ln w="22225" cap="rnd">
              <a:solidFill>
                <a:schemeClr val="accent6"/>
              </a:solidFill>
            </a:ln>
            <a:effectLst>
              <a:glow rad="139700">
                <a:schemeClr val="accent6">
                  <a:satMod val="175000"/>
                  <a:alpha val="14000"/>
                </a:schemeClr>
              </a:glow>
            </a:effectLst>
          </c:spPr>
          <c:marker>
            <c:symbol val="circle"/>
            <c:size val="9"/>
            <c:spPr>
              <a:solidFill>
                <a:schemeClr val="accent6">
                  <a:lumMod val="60000"/>
                  <a:lumOff val="40000"/>
                </a:schemeClr>
              </a:solidFill>
              <a:ln>
                <a:noFill/>
              </a:ln>
              <a:effectLst>
                <a:glow rad="63500">
                  <a:schemeClr val="accent6">
                    <a:satMod val="175000"/>
                    <a:alpha val="25000"/>
                  </a:schemeClr>
                </a:glow>
              </a:effectLst>
            </c:spPr>
          </c:marker>
          <c:xVal>
            <c:numRef>
              <c:f>'PWGGS mean 5pc'!$C$4:$C$15</c:f>
              <c:numCache>
                <c:formatCode>General</c:formatCode>
                <c:ptCount val="12"/>
                <c:pt idx="0">
                  <c:v>1180</c:v>
                </c:pt>
                <c:pt idx="1">
                  <c:v>600</c:v>
                </c:pt>
                <c:pt idx="2">
                  <c:v>425</c:v>
                </c:pt>
                <c:pt idx="3">
                  <c:v>300</c:v>
                </c:pt>
                <c:pt idx="4">
                  <c:v>212</c:v>
                </c:pt>
                <c:pt idx="5">
                  <c:v>180</c:v>
                </c:pt>
                <c:pt idx="6">
                  <c:v>150</c:v>
                </c:pt>
                <c:pt idx="7">
                  <c:v>106</c:v>
                </c:pt>
                <c:pt idx="8">
                  <c:v>75</c:v>
                </c:pt>
                <c:pt idx="9">
                  <c:v>53</c:v>
                </c:pt>
                <c:pt idx="10">
                  <c:v>38</c:v>
                </c:pt>
                <c:pt idx="11">
                  <c:v>0</c:v>
                </c:pt>
              </c:numCache>
            </c:numRef>
          </c:xVal>
          <c:yVal>
            <c:numRef>
              <c:f>'PWGGS mean 5pc'!$E$4:$E$15</c:f>
              <c:numCache>
                <c:formatCode>0.0%</c:formatCode>
                <c:ptCount val="12"/>
                <c:pt idx="0">
                  <c:v>3.5400101270330574E-2</c:v>
                </c:pt>
                <c:pt idx="1">
                  <c:v>7.7800096818887457E-2</c:v>
                </c:pt>
                <c:pt idx="2">
                  <c:v>7.1556947868036971E-2</c:v>
                </c:pt>
                <c:pt idx="3">
                  <c:v>0.11786308473878375</c:v>
                </c:pt>
                <c:pt idx="4">
                  <c:v>0.12556964560948602</c:v>
                </c:pt>
                <c:pt idx="5">
                  <c:v>4.2661517830811777E-2</c:v>
                </c:pt>
                <c:pt idx="6">
                  <c:v>5.0145506546403512E-2</c:v>
                </c:pt>
                <c:pt idx="7">
                  <c:v>8.2112432324154078E-2</c:v>
                </c:pt>
                <c:pt idx="8">
                  <c:v>6.2142145706861336E-2</c:v>
                </c:pt>
                <c:pt idx="9">
                  <c:v>6.5135741193098035E-2</c:v>
                </c:pt>
                <c:pt idx="10">
                  <c:v>4.1353906419537387E-2</c:v>
                </c:pt>
                <c:pt idx="11">
                  <c:v>0.228258873673609</c:v>
                </c:pt>
              </c:numCache>
            </c:numRef>
          </c:yVal>
          <c:smooth val="0"/>
          <c:extLst>
            <c:ext xmlns:c16="http://schemas.microsoft.com/office/drawing/2014/chart" uri="{C3380CC4-5D6E-409C-BE32-E72D297353CC}">
              <c16:uniqueId val="{00000000-167E-42E8-9247-DEBFF177AE00}"/>
            </c:ext>
          </c:extLst>
        </c:ser>
        <c:ser>
          <c:idx val="0"/>
          <c:order val="1"/>
          <c:tx>
            <c:strRef>
              <c:f>'PWGGS mean 5pc'!$G$2:$H$2</c:f>
              <c:strCache>
                <c:ptCount val="1"/>
                <c:pt idx="0">
                  <c:v>GGS Mod</c:v>
                </c:pt>
              </c:strCache>
            </c:strRef>
          </c:tx>
          <c:spPr>
            <a:ln w="22225" cap="rnd">
              <a:solidFill>
                <a:schemeClr val="bg1"/>
              </a:solidFill>
              <a:prstDash val="lgDashDot"/>
            </a:ln>
            <a:effectLst>
              <a:glow rad="139700">
                <a:schemeClr val="accent1">
                  <a:satMod val="175000"/>
                  <a:alpha val="14000"/>
                </a:schemeClr>
              </a:glow>
            </a:effectLst>
          </c:spPr>
          <c:marker>
            <c:symbol val="none"/>
          </c:marker>
          <c:xVal>
            <c:numRef>
              <c:f>'PWGGS mean 5pc'!$C$4:$C$15</c:f>
              <c:numCache>
                <c:formatCode>General</c:formatCode>
                <c:ptCount val="12"/>
                <c:pt idx="0">
                  <c:v>1180</c:v>
                </c:pt>
                <c:pt idx="1">
                  <c:v>600</c:v>
                </c:pt>
                <c:pt idx="2">
                  <c:v>425</c:v>
                </c:pt>
                <c:pt idx="3">
                  <c:v>300</c:v>
                </c:pt>
                <c:pt idx="4">
                  <c:v>212</c:v>
                </c:pt>
                <c:pt idx="5">
                  <c:v>180</c:v>
                </c:pt>
                <c:pt idx="6">
                  <c:v>150</c:v>
                </c:pt>
                <c:pt idx="7">
                  <c:v>106</c:v>
                </c:pt>
                <c:pt idx="8">
                  <c:v>75</c:v>
                </c:pt>
                <c:pt idx="9">
                  <c:v>53</c:v>
                </c:pt>
                <c:pt idx="10">
                  <c:v>38</c:v>
                </c:pt>
                <c:pt idx="11">
                  <c:v>0</c:v>
                </c:pt>
              </c:numCache>
            </c:numRef>
          </c:xVal>
          <c:yVal>
            <c:numRef>
              <c:f>'PWGGS mean 5pc'!$H$4:$H$15</c:f>
              <c:numCache>
                <c:formatCode>0.0%</c:formatCode>
                <c:ptCount val="12"/>
                <c:pt idx="0">
                  <c:v>3.5481246750226125E-2</c:v>
                </c:pt>
                <c:pt idx="1">
                  <c:v>7.7793552005643418E-2</c:v>
                </c:pt>
                <c:pt idx="2">
                  <c:v>7.396229592302106E-2</c:v>
                </c:pt>
                <c:pt idx="3">
                  <c:v>0.12160705828174601</c:v>
                </c:pt>
                <c:pt idx="4">
                  <c:v>0.12132472448167697</c:v>
                </c:pt>
                <c:pt idx="5">
                  <c:v>4.6502570469764914E-2</c:v>
                </c:pt>
                <c:pt idx="6">
                  <c:v>4.8568557193156059E-2</c:v>
                </c:pt>
                <c:pt idx="7">
                  <c:v>8.0374133250729785E-2</c:v>
                </c:pt>
                <c:pt idx="8">
                  <c:v>6.6549243446301809E-2</c:v>
                </c:pt>
                <c:pt idx="9">
                  <c:v>5.5500851627850123E-2</c:v>
                </c:pt>
                <c:pt idx="10">
                  <c:v>4.434680382858297E-2</c:v>
                </c:pt>
                <c:pt idx="11">
                  <c:v>0.22798896274130076</c:v>
                </c:pt>
              </c:numCache>
            </c:numRef>
          </c:yVal>
          <c:smooth val="0"/>
          <c:extLst>
            <c:ext xmlns:c16="http://schemas.microsoft.com/office/drawing/2014/chart" uri="{C3380CC4-5D6E-409C-BE32-E72D297353CC}">
              <c16:uniqueId val="{00000001-167E-42E8-9247-DEBFF177AE00}"/>
            </c:ext>
          </c:extLst>
        </c:ser>
        <c:dLbls>
          <c:showLegendKey val="0"/>
          <c:showVal val="0"/>
          <c:showCatName val="0"/>
          <c:showSerName val="0"/>
          <c:showPercent val="0"/>
          <c:showBubbleSize val="0"/>
        </c:dLbls>
        <c:axId val="1020547680"/>
        <c:axId val="931494560"/>
      </c:scatterChart>
      <c:valAx>
        <c:axId val="1020547680"/>
        <c:scaling>
          <c:orientation val="minMax"/>
          <c:max val="1200"/>
        </c:scaling>
        <c:delete val="0"/>
        <c:axPos val="b"/>
        <c:majorGridlines>
          <c:spPr>
            <a:ln w="9525" cap="flat" cmpd="sng" algn="ctr">
              <a:solidFill>
                <a:schemeClr val="dk1">
                  <a:lumMod val="65000"/>
                  <a:lumOff val="35000"/>
                  <a:alpha val="75000"/>
                </a:schemeClr>
              </a:solidFill>
              <a:round/>
            </a:ln>
            <a:effectLst/>
          </c:spPr>
        </c:majorGridlines>
        <c:title>
          <c:tx>
            <c:strRef>
              <c:f>'PWGGS mean 5pc'!$B$3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QQ Plot - CUMPAS</a:t>
            </a:r>
          </a:p>
        </c:rich>
      </c:tx>
      <c:layout>
        <c:manualLayout>
          <c:xMode val="edge"/>
          <c:yMode val="edge"/>
          <c:x val="0.2709893544017703"/>
          <c:y val="1.1176702734517796E-2"/>
        </c:manualLayout>
      </c:layout>
      <c:overlay val="1"/>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smoothMarker"/>
        <c:varyColors val="0"/>
        <c:ser>
          <c:idx val="0"/>
          <c:order val="0"/>
          <c:tx>
            <c:strRef>
              <c:f>'PWGGS mean 5pc'!$F$3</c:f>
              <c:strCache>
                <c:ptCount val="1"/>
                <c:pt idx="0">
                  <c:v>cumpas</c:v>
                </c:pt>
              </c:strCache>
            </c:strRef>
          </c:tx>
          <c:spPr>
            <a:ln w="28575" cap="rnd">
              <a:solidFill>
                <a:schemeClr val="lt1">
                  <a:alpha val="50000"/>
                </a:schemeClr>
              </a:solid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1"/>
            <c:dispEq val="1"/>
            <c:trendlineLbl>
              <c:layout>
                <c:manualLayout>
                  <c:x val="-5.9047328435468699E-2"/>
                  <c:y val="2.5931188403526782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rendlineLbl>
          </c:trendline>
          <c:xVal>
            <c:numRef>
              <c:f>'PWGGS mean 5pc'!$F$4:$F$14</c:f>
              <c:numCache>
                <c:formatCode>0%</c:formatCode>
                <c:ptCount val="11"/>
                <c:pt idx="0">
                  <c:v>0.96459989872966945</c:v>
                </c:pt>
                <c:pt idx="1">
                  <c:v>0.886799801910782</c:v>
                </c:pt>
                <c:pt idx="2">
                  <c:v>0.81524285404274499</c:v>
                </c:pt>
                <c:pt idx="3">
                  <c:v>0.69737976930396128</c:v>
                </c:pt>
                <c:pt idx="4">
                  <c:v>0.57181012369447526</c:v>
                </c:pt>
                <c:pt idx="5">
                  <c:v>0.52914860586366352</c:v>
                </c:pt>
                <c:pt idx="6">
                  <c:v>0.47900309931726004</c:v>
                </c:pt>
                <c:pt idx="7">
                  <c:v>0.39689066699310593</c:v>
                </c:pt>
                <c:pt idx="8">
                  <c:v>0.3347485212862446</c:v>
                </c:pt>
                <c:pt idx="9">
                  <c:v>0.2696127800931466</c:v>
                </c:pt>
                <c:pt idx="10">
                  <c:v>0.2282588736736092</c:v>
                </c:pt>
              </c:numCache>
            </c:numRef>
          </c:xVal>
          <c:yVal>
            <c:numRef>
              <c:f>'PWGGS mean 5pc'!$G$4:$G$14</c:f>
              <c:numCache>
                <c:formatCode>0%</c:formatCode>
                <c:ptCount val="11"/>
                <c:pt idx="0">
                  <c:v>0.96451875324977387</c:v>
                </c:pt>
                <c:pt idx="1">
                  <c:v>0.88672520124413046</c:v>
                </c:pt>
                <c:pt idx="2">
                  <c:v>0.8127629053211094</c:v>
                </c:pt>
                <c:pt idx="3">
                  <c:v>0.69115584703936339</c:v>
                </c:pt>
                <c:pt idx="4">
                  <c:v>0.56983112255768642</c:v>
                </c:pt>
                <c:pt idx="5">
                  <c:v>0.52332855208792151</c:v>
                </c:pt>
                <c:pt idx="6">
                  <c:v>0.47475999489476545</c:v>
                </c:pt>
                <c:pt idx="7">
                  <c:v>0.39438586164403566</c:v>
                </c:pt>
                <c:pt idx="8">
                  <c:v>0.32783661819773385</c:v>
                </c:pt>
                <c:pt idx="9">
                  <c:v>0.27233576656988373</c:v>
                </c:pt>
                <c:pt idx="10">
                  <c:v>0.22798896274130076</c:v>
                </c:pt>
              </c:numCache>
            </c:numRef>
          </c:yVal>
          <c:smooth val="1"/>
          <c:extLst>
            <c:ext xmlns:c16="http://schemas.microsoft.com/office/drawing/2014/chart" uri="{C3380CC4-5D6E-409C-BE32-E72D297353CC}">
              <c16:uniqueId val="{00000001-C682-4A8B-98B2-95015F0B1B6C}"/>
            </c:ext>
          </c:extLst>
        </c:ser>
        <c:dLbls>
          <c:showLegendKey val="0"/>
          <c:showVal val="0"/>
          <c:showCatName val="0"/>
          <c:showSerName val="0"/>
          <c:showPercent val="0"/>
          <c:showBubbleSize val="0"/>
        </c:dLbls>
        <c:axId val="1020547680"/>
        <c:axId val="931494560"/>
      </c:scatterChart>
      <c:valAx>
        <c:axId val="1020547680"/>
        <c:scaling>
          <c:orientation val="minMax"/>
          <c:max val="1"/>
        </c:scaling>
        <c:delete val="0"/>
        <c:axPos val="b"/>
        <c:majorGridlines>
          <c:spPr>
            <a:ln w="9525" cap="flat" cmpd="sng" algn="ctr">
              <a:solidFill>
                <a:schemeClr val="lt1">
                  <a:alpha val="25000"/>
                </a:schemeClr>
              </a:solidFill>
              <a:round/>
            </a:ln>
            <a:effectLst/>
          </c:spPr>
        </c:majorGridlines>
        <c:title>
          <c:tx>
            <c:strRef>
              <c:f>'PWGGS mean 5pc'!$B$3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lt1">
                  <a:alpha val="25000"/>
                </a:schemeClr>
              </a:solidFill>
              <a:round/>
            </a:ln>
            <a:effectLst/>
          </c:spPr>
        </c:majorGridlines>
        <c:title>
          <c:tx>
            <c:strRef>
              <c:f>'PWGGS mean 5pc'!$A$26</c:f>
              <c:strCache>
                <c:ptCount val="1"/>
                <c:pt idx="0">
                  <c:v>GGS Model Fitted: y = ( x / k ) ^ n</c:v>
                </c:pt>
              </c:strCache>
            </c:strRef>
          </c:tx>
          <c:layout>
            <c:manualLayout>
              <c:xMode val="edge"/>
              <c:yMode val="edge"/>
              <c:x val="2.8000822827329067E-3"/>
              <c:y val="0.1446012480236984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0547680"/>
        <c:crosses val="autoZero"/>
        <c:crossBetween val="midCat"/>
      </c:valAx>
      <c:spPr>
        <a:noFill/>
        <a:ln>
          <a:noFill/>
        </a:ln>
        <a:effectLst/>
      </c:spPr>
    </c:plotArea>
    <c:legend>
      <c:legendPos val="t"/>
      <c:layout>
        <c:manualLayout>
          <c:xMode val="edge"/>
          <c:yMode val="edge"/>
          <c:x val="0.77800881518817544"/>
          <c:y val="2.7942142603494837E-2"/>
          <c:w val="0.22199113586745869"/>
          <c:h val="9.43053913374077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98712542151106"/>
          <c:y val="0.18444290580298864"/>
          <c:w val="0.81927338606287681"/>
          <c:h val="0.65121532429726836"/>
        </c:manualLayout>
      </c:layout>
      <c:scatterChart>
        <c:scatterStyle val="smoothMarker"/>
        <c:varyColors val="0"/>
        <c:ser>
          <c:idx val="5"/>
          <c:order val="0"/>
          <c:tx>
            <c:strRef>
              <c:f>'PWGGS mean 5pc'!$D$2</c:f>
              <c:strCache>
                <c:ptCount val="1"/>
                <c:pt idx="0">
                  <c:v>Observed</c:v>
                </c:pt>
              </c:strCache>
            </c:strRef>
          </c:tx>
          <c:spPr>
            <a:ln w="22225" cap="rnd">
              <a:solidFill>
                <a:srgbClr val="00B050"/>
              </a:solidFill>
            </a:ln>
            <a:effectLst>
              <a:glow rad="139700">
                <a:schemeClr val="accent6">
                  <a:satMod val="175000"/>
                  <a:alpha val="14000"/>
                </a:schemeClr>
              </a:glow>
            </a:effectLst>
          </c:spPr>
          <c:marker>
            <c:symbol val="circle"/>
            <c:size val="9"/>
            <c:spPr>
              <a:solidFill>
                <a:srgbClr val="002060"/>
              </a:solidFill>
              <a:ln>
                <a:noFill/>
              </a:ln>
              <a:effectLst>
                <a:glow rad="63500">
                  <a:schemeClr val="accent6">
                    <a:satMod val="175000"/>
                    <a:alpha val="25000"/>
                  </a:schemeClr>
                </a:glow>
              </a:effectLst>
            </c:spPr>
          </c:marker>
          <c:xVal>
            <c:numRef>
              <c:f>'PWGGS mean 5pc'!$C$4:$C$14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5pc'!$F$4:$F$14</c:f>
              <c:numCache>
                <c:formatCode>0%</c:formatCode>
                <c:ptCount val="11"/>
                <c:pt idx="0">
                  <c:v>0.96459989872966945</c:v>
                </c:pt>
                <c:pt idx="1">
                  <c:v>0.886799801910782</c:v>
                </c:pt>
                <c:pt idx="2">
                  <c:v>0.81524285404274499</c:v>
                </c:pt>
                <c:pt idx="3">
                  <c:v>0.69737976930396128</c:v>
                </c:pt>
                <c:pt idx="4">
                  <c:v>0.57181012369447526</c:v>
                </c:pt>
                <c:pt idx="5">
                  <c:v>0.52914860586366352</c:v>
                </c:pt>
                <c:pt idx="6">
                  <c:v>0.47900309931726004</c:v>
                </c:pt>
                <c:pt idx="7">
                  <c:v>0.39689066699310593</c:v>
                </c:pt>
                <c:pt idx="8">
                  <c:v>0.3347485212862446</c:v>
                </c:pt>
                <c:pt idx="9">
                  <c:v>0.2696127800931466</c:v>
                </c:pt>
                <c:pt idx="10">
                  <c:v>0.2282588736736092</c:v>
                </c:pt>
              </c:numCache>
            </c:numRef>
          </c:yVal>
          <c:smooth val="0"/>
          <c:extLst>
            <c:ext xmlns:c16="http://schemas.microsoft.com/office/drawing/2014/chart" uri="{C3380CC4-5D6E-409C-BE32-E72D297353CC}">
              <c16:uniqueId val="{00000000-A3D1-4B95-9263-3150062A20B7}"/>
            </c:ext>
          </c:extLst>
        </c:ser>
        <c:ser>
          <c:idx val="0"/>
          <c:order val="1"/>
          <c:tx>
            <c:strRef>
              <c:f>'PWGGS mean 5pc'!$G$2:$H$2</c:f>
              <c:strCache>
                <c:ptCount val="1"/>
                <c:pt idx="0">
                  <c:v>GGS Mod</c:v>
                </c:pt>
              </c:strCache>
            </c:strRef>
          </c:tx>
          <c:spPr>
            <a:ln w="22225" cap="rnd">
              <a:solidFill>
                <a:schemeClr val="bg1"/>
              </a:solidFill>
              <a:prstDash val="sysDot"/>
            </a:ln>
            <a:effectLst>
              <a:glow rad="139700">
                <a:schemeClr val="accent1">
                  <a:satMod val="175000"/>
                  <a:alpha val="14000"/>
                </a:schemeClr>
              </a:glow>
            </a:effectLst>
          </c:spPr>
          <c:marker>
            <c:symbol val="none"/>
          </c:marker>
          <c:xVal>
            <c:numRef>
              <c:f>'PWGGS mean 5pc'!$C$4:$C$14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5pc'!$G$4:$G$14</c:f>
              <c:numCache>
                <c:formatCode>0%</c:formatCode>
                <c:ptCount val="11"/>
                <c:pt idx="0">
                  <c:v>0.96451875324977387</c:v>
                </c:pt>
                <c:pt idx="1">
                  <c:v>0.88672520124413046</c:v>
                </c:pt>
                <c:pt idx="2">
                  <c:v>0.8127629053211094</c:v>
                </c:pt>
                <c:pt idx="3">
                  <c:v>0.69115584703936339</c:v>
                </c:pt>
                <c:pt idx="4">
                  <c:v>0.56983112255768642</c:v>
                </c:pt>
                <c:pt idx="5">
                  <c:v>0.52332855208792151</c:v>
                </c:pt>
                <c:pt idx="6">
                  <c:v>0.47475999489476545</c:v>
                </c:pt>
                <c:pt idx="7">
                  <c:v>0.39438586164403566</c:v>
                </c:pt>
                <c:pt idx="8">
                  <c:v>0.32783661819773385</c:v>
                </c:pt>
                <c:pt idx="9">
                  <c:v>0.27233576656988373</c:v>
                </c:pt>
                <c:pt idx="10">
                  <c:v>0.22798896274130076</c:v>
                </c:pt>
              </c:numCache>
            </c:numRef>
          </c:yVal>
          <c:smooth val="0"/>
          <c:extLst>
            <c:ext xmlns:c16="http://schemas.microsoft.com/office/drawing/2014/chart" uri="{C3380CC4-5D6E-409C-BE32-E72D297353CC}">
              <c16:uniqueId val="{00000001-A3D1-4B95-9263-3150062A20B7}"/>
            </c:ext>
          </c:extLst>
        </c:ser>
        <c:ser>
          <c:idx val="1"/>
          <c:order val="2"/>
          <c:tx>
            <c:v>BP_1</c:v>
          </c:tx>
          <c:spPr>
            <a:ln w="22225" cap="rnd">
              <a:solidFill>
                <a:schemeClr val="accent2"/>
              </a:solidFill>
            </a:ln>
            <a:effectLst>
              <a:glow rad="139700">
                <a:schemeClr val="accent2">
                  <a:satMod val="175000"/>
                  <a:alpha val="14000"/>
                </a:schemeClr>
              </a:glow>
            </a:effectLst>
          </c:spPr>
          <c:marker>
            <c:symbol val="none"/>
          </c:marker>
          <c:xVal>
            <c:numRef>
              <c:f>'PWGGS mean 5pc'!#REF!</c:f>
            </c:numRef>
          </c:xVal>
          <c:yVal>
            <c:numRef>
              <c:f>'PWGGS mean 5pc'!#REF!</c:f>
              <c:numCache>
                <c:formatCode>General</c:formatCode>
                <c:ptCount val="1"/>
                <c:pt idx="0">
                  <c:v>1</c:v>
                </c:pt>
              </c:numCache>
            </c:numRef>
          </c:yVal>
          <c:smooth val="0"/>
          <c:extLst>
            <c:ext xmlns:c16="http://schemas.microsoft.com/office/drawing/2014/chart" uri="{C3380CC4-5D6E-409C-BE32-E72D297353CC}">
              <c16:uniqueId val="{00000002-A3D1-4B95-9263-3150062A20B7}"/>
            </c:ext>
          </c:extLst>
        </c:ser>
        <c:ser>
          <c:idx val="2"/>
          <c:order val="3"/>
          <c:tx>
            <c:v>BP_2</c:v>
          </c:tx>
          <c:spPr>
            <a:ln w="22225" cap="rnd">
              <a:solidFill>
                <a:schemeClr val="accent3"/>
              </a:solidFill>
            </a:ln>
            <a:effectLst>
              <a:glow rad="139700">
                <a:schemeClr val="accent3">
                  <a:satMod val="175000"/>
                  <a:alpha val="14000"/>
                </a:schemeClr>
              </a:glow>
            </a:effectLst>
          </c:spPr>
          <c:marker>
            <c:symbol val="none"/>
          </c:marker>
          <c:xVal>
            <c:numRef>
              <c:f>'PWGGS mean 5pc'!#REF!</c:f>
            </c:numRef>
          </c:xVal>
          <c:yVal>
            <c:numRef>
              <c:f>'PWGGS mean 5pc'!#REF!</c:f>
              <c:numCache>
                <c:formatCode>General</c:formatCode>
                <c:ptCount val="1"/>
                <c:pt idx="0">
                  <c:v>1</c:v>
                </c:pt>
              </c:numCache>
            </c:numRef>
          </c:yVal>
          <c:smooth val="0"/>
          <c:extLst>
            <c:ext xmlns:c16="http://schemas.microsoft.com/office/drawing/2014/chart" uri="{C3380CC4-5D6E-409C-BE32-E72D297353CC}">
              <c16:uniqueId val="{00000003-A3D1-4B95-9263-3150062A20B7}"/>
            </c:ext>
          </c:extLst>
        </c:ser>
        <c:ser>
          <c:idx val="3"/>
          <c:order val="4"/>
          <c:tx>
            <c:v>BP_3</c:v>
          </c:tx>
          <c:spPr>
            <a:ln w="22225" cap="rnd">
              <a:solidFill>
                <a:schemeClr val="accent4"/>
              </a:solidFill>
            </a:ln>
            <a:effectLst>
              <a:glow rad="139700">
                <a:schemeClr val="accent4">
                  <a:satMod val="175000"/>
                  <a:alpha val="14000"/>
                </a:schemeClr>
              </a:glow>
            </a:effectLst>
          </c:spPr>
          <c:marker>
            <c:symbol val="none"/>
          </c:marker>
          <c:xVal>
            <c:numRef>
              <c:f>'PWGGS mean 5pc'!#REF!</c:f>
            </c:numRef>
          </c:xVal>
          <c:yVal>
            <c:numRef>
              <c:f>'PWGGS mean 5pc'!#REF!</c:f>
              <c:numCache>
                <c:formatCode>General</c:formatCode>
                <c:ptCount val="1"/>
                <c:pt idx="0">
                  <c:v>1</c:v>
                </c:pt>
              </c:numCache>
            </c:numRef>
          </c:yVal>
          <c:smooth val="1"/>
          <c:extLst>
            <c:ext xmlns:c16="http://schemas.microsoft.com/office/drawing/2014/chart" uri="{C3380CC4-5D6E-409C-BE32-E72D297353CC}">
              <c16:uniqueId val="{00000004-A3D1-4B95-9263-3150062A20B7}"/>
            </c:ext>
          </c:extLst>
        </c:ser>
        <c:ser>
          <c:idx val="4"/>
          <c:order val="5"/>
          <c:tx>
            <c:v>BP_4</c:v>
          </c:tx>
          <c:spPr>
            <a:ln w="22225" cap="rnd">
              <a:solidFill>
                <a:schemeClr val="accent5"/>
              </a:solidFill>
            </a:ln>
            <a:effectLst>
              <a:glow rad="139700">
                <a:schemeClr val="accent5">
                  <a:satMod val="175000"/>
                  <a:alpha val="14000"/>
                </a:schemeClr>
              </a:glow>
            </a:effectLst>
          </c:spPr>
          <c:marker>
            <c:symbol val="none"/>
          </c:marker>
          <c:xVal>
            <c:numRef>
              <c:f>'PWGGS mean 5pc'!#REF!</c:f>
            </c:numRef>
          </c:xVal>
          <c:yVal>
            <c:numRef>
              <c:f>'PWGGS mean 5pc'!#REF!</c:f>
              <c:numCache>
                <c:formatCode>General</c:formatCode>
                <c:ptCount val="1"/>
                <c:pt idx="0">
                  <c:v>1</c:v>
                </c:pt>
              </c:numCache>
            </c:numRef>
          </c:yVal>
          <c:smooth val="1"/>
          <c:extLst>
            <c:ext xmlns:c16="http://schemas.microsoft.com/office/drawing/2014/chart" uri="{C3380CC4-5D6E-409C-BE32-E72D297353CC}">
              <c16:uniqueId val="{00000005-A3D1-4B95-9263-3150062A20B7}"/>
            </c:ext>
          </c:extLst>
        </c:ser>
        <c:dLbls>
          <c:showLegendKey val="0"/>
          <c:showVal val="0"/>
          <c:showCatName val="0"/>
          <c:showSerName val="0"/>
          <c:showPercent val="0"/>
          <c:showBubbleSize val="0"/>
        </c:dLbls>
        <c:axId val="1020547680"/>
        <c:axId val="931494560"/>
      </c:scatterChart>
      <c:valAx>
        <c:axId val="1020547680"/>
        <c:scaling>
          <c:orientation val="minMax"/>
          <c:max val="1200"/>
          <c:min val="10"/>
        </c:scaling>
        <c:delete val="0"/>
        <c:axPos val="b"/>
        <c:majorGridlines>
          <c:spPr>
            <a:ln w="9525" cap="flat" cmpd="sng" algn="ctr">
              <a:solidFill>
                <a:schemeClr val="dk1">
                  <a:lumMod val="65000"/>
                  <a:lumOff val="35000"/>
                  <a:alpha val="75000"/>
                </a:schemeClr>
              </a:solidFill>
              <a:round/>
            </a:ln>
            <a:effectLst/>
          </c:spPr>
        </c:majorGridlines>
        <c:title>
          <c:tx>
            <c:strRef>
              <c:f>'PWGGS mean 5pc'!$B$3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in"/>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At val="0.1"/>
        <c:crossBetween val="midCat"/>
      </c:valAx>
      <c:valAx>
        <c:axId val="931494560"/>
        <c:scaling>
          <c:orientation val="minMax"/>
          <c:max val="1"/>
        </c:scaling>
        <c:delete val="0"/>
        <c:axPos val="l"/>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Cumpass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0"/>
        <c:majorTickMark val="out"/>
        <c:minorTickMark val="in"/>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layout>
        <c:manualLayout>
          <c:xMode val="edge"/>
          <c:yMode val="edge"/>
          <c:x val="0.63633682487158938"/>
          <c:y val="5.976871202874736E-2"/>
          <c:w val="0.17734554699164681"/>
          <c:h val="0.5373813212828286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64260717410319E-2"/>
          <c:y val="0.13004629629629633"/>
          <c:w val="0.86611351706036743"/>
          <c:h val="0.8190277777777778"/>
        </c:manualLayout>
      </c:layout>
      <c:scatterChart>
        <c:scatterStyle val="smoothMarker"/>
        <c:varyColors val="0"/>
        <c:ser>
          <c:idx val="0"/>
          <c:order val="0"/>
          <c:tx>
            <c:strRef>
              <c:f>notes_Piecewise_GGS!$D$15</c:f>
              <c:strCache>
                <c:ptCount val="1"/>
                <c:pt idx="0">
                  <c:v>CumPass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notes_Piecewise_GGS!$B$16:$B$26</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notes_Piecewise_GGS!$D$16:$D$26</c:f>
              <c:numCache>
                <c:formatCode>0.000</c:formatCode>
                <c:ptCount val="11"/>
                <c:pt idx="0">
                  <c:v>0.96747240656053368</c:v>
                </c:pt>
                <c:pt idx="1">
                  <c:v>0.89330536739676092</c:v>
                </c:pt>
                <c:pt idx="2">
                  <c:v>0.81841625691985009</c:v>
                </c:pt>
                <c:pt idx="3">
                  <c:v>0.69566413368634583</c:v>
                </c:pt>
                <c:pt idx="4">
                  <c:v>0.57641921397379903</c:v>
                </c:pt>
                <c:pt idx="5">
                  <c:v>0.53113502733555673</c:v>
                </c:pt>
                <c:pt idx="6">
                  <c:v>0.48310009283774019</c:v>
                </c:pt>
                <c:pt idx="7">
                  <c:v>0.4042911666609359</c:v>
                </c:pt>
                <c:pt idx="8">
                  <c:v>0.34759137640546017</c:v>
                </c:pt>
                <c:pt idx="9">
                  <c:v>0.28016366949764465</c:v>
                </c:pt>
                <c:pt idx="10">
                  <c:v>0.24093112815046591</c:v>
                </c:pt>
              </c:numCache>
            </c:numRef>
          </c:yVal>
          <c:smooth val="1"/>
          <c:extLst>
            <c:ext xmlns:c16="http://schemas.microsoft.com/office/drawing/2014/chart" uri="{C3380CC4-5D6E-409C-BE32-E72D297353CC}">
              <c16:uniqueId val="{00000000-6D8A-446D-B16F-270E755E6382}"/>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notes_Piecewise_GGS!$B$16:$B$26</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notes_Piecewise_GGS!$E$16:$E$26</c:f>
              <c:numCache>
                <c:formatCode>0.000</c:formatCode>
                <c:ptCount val="11"/>
                <c:pt idx="0">
                  <c:v>0.98104740121386669</c:v>
                </c:pt>
                <c:pt idx="1">
                  <c:v>0.87813953969426173</c:v>
                </c:pt>
                <c:pt idx="2">
                  <c:v>0.82989978475645787</c:v>
                </c:pt>
                <c:pt idx="3">
                  <c:v>0.69190190776507587</c:v>
                </c:pt>
                <c:pt idx="4">
                  <c:v>0.57727404774349056</c:v>
                </c:pt>
                <c:pt idx="5">
                  <c:v>0.53004084669435247</c:v>
                </c:pt>
                <c:pt idx="6">
                  <c:v>0.48194964212224661</c:v>
                </c:pt>
                <c:pt idx="7">
                  <c:v>0.40210471685951776</c:v>
                </c:pt>
                <c:pt idx="8">
                  <c:v>0.33570576252931361</c:v>
                </c:pt>
                <c:pt idx="9">
                  <c:v>0.28008916034368214</c:v>
                </c:pt>
                <c:pt idx="10">
                  <c:v>0.23545983455101194</c:v>
                </c:pt>
              </c:numCache>
            </c:numRef>
          </c:yVal>
          <c:smooth val="1"/>
          <c:extLst>
            <c:ext xmlns:c16="http://schemas.microsoft.com/office/drawing/2014/chart" uri="{C3380CC4-5D6E-409C-BE32-E72D297353CC}">
              <c16:uniqueId val="{00000001-6D8A-446D-B16F-270E755E6382}"/>
            </c:ext>
          </c:extLst>
        </c:ser>
        <c:dLbls>
          <c:showLegendKey val="0"/>
          <c:showVal val="0"/>
          <c:showCatName val="0"/>
          <c:showSerName val="0"/>
          <c:showPercent val="0"/>
          <c:showBubbleSize val="0"/>
        </c:dLbls>
        <c:axId val="1352425312"/>
        <c:axId val="1425119632"/>
      </c:scatterChart>
      <c:valAx>
        <c:axId val="1352425312"/>
        <c:scaling>
          <c:logBase val="10"/>
          <c:orientation val="minMax"/>
        </c:scaling>
        <c:delete val="0"/>
        <c:axPos val="b"/>
        <c:majorGridlines>
          <c:spPr>
            <a:ln w="19050" cap="flat" cmpd="sng" algn="ctr">
              <a:solidFill>
                <a:schemeClr val="tx1">
                  <a:lumMod val="15000"/>
                  <a:lumOff val="85000"/>
                </a:schemeClr>
              </a:solidFill>
              <a:round/>
            </a:ln>
            <a:effectLst/>
          </c:spPr>
        </c:majorGridlines>
        <c:minorGridlines>
          <c:spPr>
            <a:ln w="3175" cap="flat" cmpd="sng" algn="ctr">
              <a:solidFill>
                <a:schemeClr val="tx1">
                  <a:alpha val="38000"/>
                </a:schemeClr>
              </a:solidFill>
              <a:round/>
            </a:ln>
            <a:effectLst/>
          </c:spPr>
        </c:minorGridlines>
        <c:numFmt formatCode="General" sourceLinked="1"/>
        <c:majorTickMark val="out"/>
        <c:minorTickMark val="in"/>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119632"/>
        <c:crosses val="autoZero"/>
        <c:crossBetween val="midCat"/>
        <c:majorUnit val="100"/>
        <c:minorUnit val="10"/>
      </c:valAx>
      <c:valAx>
        <c:axId val="1425119632"/>
        <c:scaling>
          <c:logBase val="10"/>
          <c:orientation val="minMax"/>
        </c:scaling>
        <c:delete val="0"/>
        <c:axPos val="l"/>
        <c:majorGridlines>
          <c:spPr>
            <a:ln w="9525" cap="flat" cmpd="sng" algn="ctr">
              <a:solidFill>
                <a:schemeClr val="accent1"/>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425312"/>
        <c:crosses val="autoZero"/>
        <c:crossBetween val="midCat"/>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'RR 1pc'!$B$52:$B$60</c:f>
              <c:numCache>
                <c:formatCode>0%</c:formatCode>
                <c:ptCount val="9"/>
                <c:pt idx="0">
                  <c:v>0.95</c:v>
                </c:pt>
                <c:pt idx="1">
                  <c:v>0.84</c:v>
                </c:pt>
                <c:pt idx="2">
                  <c:v>0.8</c:v>
                </c:pt>
                <c:pt idx="3">
                  <c:v>0.75</c:v>
                </c:pt>
                <c:pt idx="4">
                  <c:v>0.5</c:v>
                </c:pt>
                <c:pt idx="5">
                  <c:v>0.4</c:v>
                </c:pt>
                <c:pt idx="6">
                  <c:v>0.25</c:v>
                </c:pt>
                <c:pt idx="7">
                  <c:v>0.16</c:v>
                </c:pt>
                <c:pt idx="8">
                  <c:v>0.05</c:v>
                </c:pt>
              </c:numCache>
            </c:numRef>
          </c:xVal>
          <c:yVal>
            <c:numRef>
              <c:f>'RR 1pc'!$C$52:$C$60</c:f>
              <c:numCache>
                <c:formatCode>0</c:formatCode>
                <c:ptCount val="9"/>
                <c:pt idx="0">
                  <c:v>1043.3625405655994</c:v>
                </c:pt>
                <c:pt idx="1">
                  <c:v>475.43663911845715</c:v>
                </c:pt>
                <c:pt idx="2">
                  <c:v>406.24649859943986</c:v>
                </c:pt>
                <c:pt idx="3">
                  <c:v>355.33088235294133</c:v>
                </c:pt>
                <c:pt idx="4">
                  <c:v>160.55476020042954</c:v>
                </c:pt>
                <c:pt idx="5">
                  <c:v>103.65385081867805</c:v>
                </c:pt>
                <c:pt idx="6">
                  <c:v>41.467353198948288</c:v>
                </c:pt>
                <c:pt idx="7">
                  <c:v>25.235427429713145</c:v>
                </c:pt>
                <c:pt idx="8">
                  <c:v>7.8860710717853584</c:v>
                </c:pt>
              </c:numCache>
            </c:numRef>
          </c:yVal>
          <c:smooth val="0"/>
          <c:extLst>
            <c:ext xmlns:c16="http://schemas.microsoft.com/office/drawing/2014/chart" uri="{C3380CC4-5D6E-409C-BE32-E72D297353CC}">
              <c16:uniqueId val="{00000000-E668-4A6F-9F31-5D16C96D5C6F}"/>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'RR 1pc'!$B$52:$B$60</c:f>
              <c:numCache>
                <c:formatCode>0%</c:formatCode>
                <c:ptCount val="9"/>
                <c:pt idx="0">
                  <c:v>0.95</c:v>
                </c:pt>
                <c:pt idx="1">
                  <c:v>0.84</c:v>
                </c:pt>
                <c:pt idx="2">
                  <c:v>0.8</c:v>
                </c:pt>
                <c:pt idx="3">
                  <c:v>0.75</c:v>
                </c:pt>
                <c:pt idx="4">
                  <c:v>0.5</c:v>
                </c:pt>
                <c:pt idx="5">
                  <c:v>0.4</c:v>
                </c:pt>
                <c:pt idx="6">
                  <c:v>0.25</c:v>
                </c:pt>
                <c:pt idx="7">
                  <c:v>0.16</c:v>
                </c:pt>
                <c:pt idx="8">
                  <c:v>0.05</c:v>
                </c:pt>
              </c:numCache>
            </c:numRef>
          </c:xVal>
          <c:yVal>
            <c:numRef>
              <c:f>'RR 1pc'!$D$52:$D$60</c:f>
              <c:numCache>
                <c:formatCode>0</c:formatCode>
                <c:ptCount val="9"/>
                <c:pt idx="0">
                  <c:v>986.82351249747046</c:v>
                </c:pt>
                <c:pt idx="1">
                  <c:v>517.99844271211168</c:v>
                </c:pt>
                <c:pt idx="2">
                  <c:v>436.89613239100385</c:v>
                </c:pt>
                <c:pt idx="3">
                  <c:v>359.23031667553943</c:v>
                </c:pt>
                <c:pt idx="4">
                  <c:v>144.74164356686666</c:v>
                </c:pt>
                <c:pt idx="5">
                  <c:v>96.997362240239795</c:v>
                </c:pt>
                <c:pt idx="6">
                  <c:v>45.681687624756023</c:v>
                </c:pt>
                <c:pt idx="7">
                  <c:v>23.688054273719654</c:v>
                </c:pt>
                <c:pt idx="8">
                  <c:v>4.760752487394897</c:v>
                </c:pt>
              </c:numCache>
            </c:numRef>
          </c:yVal>
          <c:smooth val="0"/>
          <c:extLst>
            <c:ext xmlns:c16="http://schemas.microsoft.com/office/drawing/2014/chart" uri="{C3380CC4-5D6E-409C-BE32-E72D297353CC}">
              <c16:uniqueId val="{00000001-E668-4A6F-9F31-5D16C96D5C6F}"/>
            </c:ext>
          </c:extLst>
        </c:ser>
        <c:dLbls>
          <c:showLegendKey val="0"/>
          <c:showVal val="0"/>
          <c:showCatName val="0"/>
          <c:showSerName val="0"/>
          <c:showPercent val="0"/>
          <c:showBubbleSize val="0"/>
        </c:dLbls>
        <c:axId val="1572931040"/>
        <c:axId val="1624985776"/>
      </c:scatterChart>
      <c:valAx>
        <c:axId val="15729310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985776"/>
        <c:crosses val="autoZero"/>
        <c:crossBetween val="midCat"/>
      </c:valAx>
      <c:valAx>
        <c:axId val="1624985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9310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Rosin Rammler Regression Check</a:t>
            </a:r>
          </a:p>
        </c:rich>
      </c:tx>
      <c:layout>
        <c:manualLayout>
          <c:xMode val="edge"/>
          <c:yMode val="edge"/>
          <c:x val="0.25051747969394889"/>
          <c:y val="3.716346744378330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4782072862974208"/>
          <c:y val="0.1648093146895539"/>
          <c:w val="0.81221168964045998"/>
          <c:h val="0.6725344624853018"/>
        </c:manualLayout>
      </c:layout>
      <c:scatterChart>
        <c:scatterStyle val="lineMarker"/>
        <c:varyColors val="0"/>
        <c:ser>
          <c:idx val="0"/>
          <c:order val="0"/>
          <c:tx>
            <c:strRef>
              <c:f>'RR 1pc (2)'!$D$29</c:f>
              <c:strCache>
                <c:ptCount val="1"/>
                <c:pt idx="0">
                  <c:v>Cum % Passing</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'RR 1pc (2)'!$A$30:$A$40</c:f>
              <c:numCache>
                <c:formatCode>General</c:formatCode>
                <c:ptCount val="11"/>
                <c:pt idx="0">
                  <c:v>1.18</c:v>
                </c:pt>
                <c:pt idx="1">
                  <c:v>0.6</c:v>
                </c:pt>
                <c:pt idx="2">
                  <c:v>0.42499999999999999</c:v>
                </c:pt>
                <c:pt idx="3">
                  <c:v>0.3</c:v>
                </c:pt>
                <c:pt idx="4">
                  <c:v>0.21199999999999999</c:v>
                </c:pt>
                <c:pt idx="5">
                  <c:v>0.18</c:v>
                </c:pt>
                <c:pt idx="6">
                  <c:v>0.15</c:v>
                </c:pt>
                <c:pt idx="7">
                  <c:v>0.106</c:v>
                </c:pt>
                <c:pt idx="8">
                  <c:v>7.4999999999999997E-2</c:v>
                </c:pt>
                <c:pt idx="9">
                  <c:v>5.2999999999999999E-2</c:v>
                </c:pt>
                <c:pt idx="10">
                  <c:v>3.7999999999999999E-2</c:v>
                </c:pt>
              </c:numCache>
            </c:numRef>
          </c:xVal>
          <c:yVal>
            <c:numRef>
              <c:f>'RR 1pc (2)'!$D$30:$D$40</c:f>
              <c:numCache>
                <c:formatCode>0.0000</c:formatCode>
                <c:ptCount val="11"/>
                <c:pt idx="0">
                  <c:v>0.96747240656053368</c:v>
                </c:pt>
                <c:pt idx="1">
                  <c:v>0.89330536739676092</c:v>
                </c:pt>
                <c:pt idx="2">
                  <c:v>0.81841625691985009</c:v>
                </c:pt>
                <c:pt idx="3">
                  <c:v>0.69566413368634583</c:v>
                </c:pt>
                <c:pt idx="4">
                  <c:v>0.57641921397379903</c:v>
                </c:pt>
                <c:pt idx="5">
                  <c:v>0.53113502733555673</c:v>
                </c:pt>
                <c:pt idx="6">
                  <c:v>0.48310009283774019</c:v>
                </c:pt>
                <c:pt idx="7">
                  <c:v>0.4042911666609359</c:v>
                </c:pt>
                <c:pt idx="8">
                  <c:v>0.34759137640546017</c:v>
                </c:pt>
                <c:pt idx="9">
                  <c:v>0.28016366949764465</c:v>
                </c:pt>
                <c:pt idx="10">
                  <c:v>0.24093112815046591</c:v>
                </c:pt>
              </c:numCache>
            </c:numRef>
          </c:yVal>
          <c:smooth val="0"/>
          <c:extLst>
            <c:ext xmlns:c16="http://schemas.microsoft.com/office/drawing/2014/chart" uri="{C3380CC4-5D6E-409C-BE32-E72D297353CC}">
              <c16:uniqueId val="{00000000-90F2-4E74-869B-DD70CF8C874B}"/>
            </c:ext>
          </c:extLst>
        </c:ser>
        <c:ser>
          <c:idx val="1"/>
          <c:order val="1"/>
          <c:tx>
            <c:strRef>
              <c:f>'RR 1pc (2)'!$K$28</c:f>
              <c:strCache>
                <c:ptCount val="1"/>
                <c:pt idx="0">
                  <c:v>Fitted  %Cumpass</c:v>
                </c:pt>
              </c:strCache>
            </c:strRef>
          </c:tx>
          <c:spPr>
            <a:ln w="25400" cap="rnd">
              <a:solidFill>
                <a:srgbClr val="FFFF00"/>
              </a:solidFill>
              <a:round/>
            </a:ln>
            <a:effectLst>
              <a:outerShdw blurRad="57150" dist="19050" dir="5400000" algn="ctr" rotWithShape="0">
                <a:srgbClr val="000000">
                  <a:alpha val="63000"/>
                </a:srgbClr>
              </a:outerShdw>
            </a:effectLst>
          </c:spPr>
          <c:marker>
            <c:symbol val="none"/>
          </c:marker>
          <c:xVal>
            <c:numRef>
              <c:f>'RR 1pc (2)'!$A$30:$A$40</c:f>
              <c:numCache>
                <c:formatCode>General</c:formatCode>
                <c:ptCount val="11"/>
                <c:pt idx="0">
                  <c:v>1.18</c:v>
                </c:pt>
                <c:pt idx="1">
                  <c:v>0.6</c:v>
                </c:pt>
                <c:pt idx="2">
                  <c:v>0.42499999999999999</c:v>
                </c:pt>
                <c:pt idx="3">
                  <c:v>0.3</c:v>
                </c:pt>
                <c:pt idx="4">
                  <c:v>0.21199999999999999</c:v>
                </c:pt>
                <c:pt idx="5">
                  <c:v>0.18</c:v>
                </c:pt>
                <c:pt idx="6">
                  <c:v>0.15</c:v>
                </c:pt>
                <c:pt idx="7">
                  <c:v>0.106</c:v>
                </c:pt>
                <c:pt idx="8">
                  <c:v>7.4999999999999997E-2</c:v>
                </c:pt>
                <c:pt idx="9">
                  <c:v>5.2999999999999999E-2</c:v>
                </c:pt>
                <c:pt idx="10">
                  <c:v>3.7999999999999999E-2</c:v>
                </c:pt>
              </c:numCache>
            </c:numRef>
          </c:xVal>
          <c:yVal>
            <c:numRef>
              <c:f>'RR 1pc (2)'!$J$30:$J$40</c:f>
              <c:numCache>
                <c:formatCode>0.0%</c:formatCode>
                <c:ptCount val="11"/>
                <c:pt idx="0">
                  <c:v>3.2281322557717429E-2</c:v>
                </c:pt>
                <c:pt idx="1">
                  <c:v>0.1287494692684982</c:v>
                </c:pt>
                <c:pt idx="2">
                  <c:v>0.206818755288985</c:v>
                </c:pt>
                <c:pt idx="3">
                  <c:v>0.29869498025972624</c:v>
                </c:pt>
                <c:pt idx="4">
                  <c:v>0.39563039638934533</c:v>
                </c:pt>
                <c:pt idx="5">
                  <c:v>0.44109107617561671</c:v>
                </c:pt>
                <c:pt idx="6">
                  <c:v>0.49053082469179204</c:v>
                </c:pt>
                <c:pt idx="7">
                  <c:v>0.57891815490337584</c:v>
                </c:pt>
                <c:pt idx="8">
                  <c:v>0.65714203190692122</c:v>
                </c:pt>
                <c:pt idx="9">
                  <c:v>0.72455543085925866</c:v>
                </c:pt>
                <c:pt idx="10">
                  <c:v>0.77879977631260677</c:v>
                </c:pt>
              </c:numCache>
            </c:numRef>
          </c:yVal>
          <c:smooth val="0"/>
          <c:extLst>
            <c:ext xmlns:c16="http://schemas.microsoft.com/office/drawing/2014/chart" uri="{C3380CC4-5D6E-409C-BE32-E72D297353CC}">
              <c16:uniqueId val="{00000001-90F2-4E74-869B-DD70CF8C874B}"/>
            </c:ext>
          </c:extLst>
        </c:ser>
        <c:dLbls>
          <c:showLegendKey val="0"/>
          <c:showVal val="0"/>
          <c:showCatName val="0"/>
          <c:showSerName val="0"/>
          <c:showPercent val="0"/>
          <c:showBubbleSize val="0"/>
        </c:dLbls>
        <c:axId val="1823205951"/>
        <c:axId val="1"/>
      </c:scatterChart>
      <c:valAx>
        <c:axId val="1823205951"/>
        <c:scaling>
          <c:logBase val="2"/>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Sieve, µm</a:t>
                </a:r>
              </a:p>
            </c:rich>
          </c:tx>
          <c:layout>
            <c:manualLayout>
              <c:xMode val="edge"/>
              <c:yMode val="edge"/>
              <c:x val="0.4969615472995238"/>
              <c:y val="0.9325507219616033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
        <c:crossesAt val="0"/>
        <c:crossBetween val="midCat"/>
      </c:valAx>
      <c:valAx>
        <c:axId val="1"/>
        <c:scaling>
          <c:logBase val="2"/>
          <c:orientation val="minMax"/>
          <c:max val="1"/>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Cumulative %Pass</a:t>
                </a:r>
              </a:p>
            </c:rich>
          </c:tx>
          <c:layout>
            <c:manualLayout>
              <c:xMode val="edge"/>
              <c:yMode val="edge"/>
              <c:x val="5.6862889119949373E-3"/>
              <c:y val="0.2785630795333596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205951"/>
        <c:crossesAt val="1.0000000000000002E-2"/>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alignWithMargins="0"/>
    <c:pageMargins b="1" l="0.75" r="0.75" t="1" header="0.51180555555555551" footer="0.51180555555555551"/>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'RR 1pc (2)'!$B$52:$B$60</c:f>
              <c:numCache>
                <c:formatCode>0%</c:formatCode>
                <c:ptCount val="9"/>
                <c:pt idx="0">
                  <c:v>0.95</c:v>
                </c:pt>
                <c:pt idx="1">
                  <c:v>0.84</c:v>
                </c:pt>
                <c:pt idx="2">
                  <c:v>0.8</c:v>
                </c:pt>
                <c:pt idx="3">
                  <c:v>0.75</c:v>
                </c:pt>
                <c:pt idx="4">
                  <c:v>0.5</c:v>
                </c:pt>
                <c:pt idx="5">
                  <c:v>0.4</c:v>
                </c:pt>
                <c:pt idx="6">
                  <c:v>0.25</c:v>
                </c:pt>
                <c:pt idx="7">
                  <c:v>0.16</c:v>
                </c:pt>
                <c:pt idx="8">
                  <c:v>0.05</c:v>
                </c:pt>
              </c:numCache>
            </c:numRef>
          </c:xVal>
          <c:yVal>
            <c:numRef>
              <c:f>'RR 1pc (2)'!$C$52:$C$60</c:f>
              <c:numCache>
                <c:formatCode>0</c:formatCode>
                <c:ptCount val="9"/>
                <c:pt idx="0">
                  <c:v>1043.3625405655994</c:v>
                </c:pt>
                <c:pt idx="1">
                  <c:v>475.43663911845715</c:v>
                </c:pt>
                <c:pt idx="2">
                  <c:v>406.24649859943986</c:v>
                </c:pt>
                <c:pt idx="3">
                  <c:v>355.33088235294133</c:v>
                </c:pt>
                <c:pt idx="4">
                  <c:v>160.55476020042954</c:v>
                </c:pt>
                <c:pt idx="5">
                  <c:v>103.65385081867805</c:v>
                </c:pt>
                <c:pt idx="6">
                  <c:v>41.467353198948288</c:v>
                </c:pt>
                <c:pt idx="7">
                  <c:v>25.235427429713145</c:v>
                </c:pt>
                <c:pt idx="8">
                  <c:v>7.8860710717853584</c:v>
                </c:pt>
              </c:numCache>
            </c:numRef>
          </c:yVal>
          <c:smooth val="0"/>
          <c:extLst>
            <c:ext xmlns:c16="http://schemas.microsoft.com/office/drawing/2014/chart" uri="{C3380CC4-5D6E-409C-BE32-E72D297353CC}">
              <c16:uniqueId val="{00000000-A6E6-4306-A7DD-D401FA7F7EA6}"/>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'RR 1pc (2)'!$B$52:$B$60</c:f>
              <c:numCache>
                <c:formatCode>0%</c:formatCode>
                <c:ptCount val="9"/>
                <c:pt idx="0">
                  <c:v>0.95</c:v>
                </c:pt>
                <c:pt idx="1">
                  <c:v>0.84</c:v>
                </c:pt>
                <c:pt idx="2">
                  <c:v>0.8</c:v>
                </c:pt>
                <c:pt idx="3">
                  <c:v>0.75</c:v>
                </c:pt>
                <c:pt idx="4">
                  <c:v>0.5</c:v>
                </c:pt>
                <c:pt idx="5">
                  <c:v>0.4</c:v>
                </c:pt>
                <c:pt idx="6">
                  <c:v>0.25</c:v>
                </c:pt>
                <c:pt idx="7">
                  <c:v>0.16</c:v>
                </c:pt>
                <c:pt idx="8">
                  <c:v>0.05</c:v>
                </c:pt>
              </c:numCache>
            </c:numRef>
          </c:xVal>
          <c:yVal>
            <c:numRef>
              <c:f>'RR 1pc (2)'!$D$52:$D$60</c:f>
              <c:numCache>
                <c:formatCode>0</c:formatCode>
                <c:ptCount val="9"/>
                <c:pt idx="0">
                  <c:v>986.82351249747069</c:v>
                </c:pt>
                <c:pt idx="1">
                  <c:v>517.9984427121118</c:v>
                </c:pt>
                <c:pt idx="2">
                  <c:v>436.8961323910039</c:v>
                </c:pt>
                <c:pt idx="3">
                  <c:v>359.23031667553954</c:v>
                </c:pt>
                <c:pt idx="4">
                  <c:v>144.74164356686671</c:v>
                </c:pt>
                <c:pt idx="5">
                  <c:v>96.997362240239809</c:v>
                </c:pt>
                <c:pt idx="6">
                  <c:v>45.681687624756037</c:v>
                </c:pt>
                <c:pt idx="7">
                  <c:v>23.688054273719661</c:v>
                </c:pt>
                <c:pt idx="8">
                  <c:v>4.7607524873948979</c:v>
                </c:pt>
              </c:numCache>
            </c:numRef>
          </c:yVal>
          <c:smooth val="0"/>
          <c:extLst>
            <c:ext xmlns:c16="http://schemas.microsoft.com/office/drawing/2014/chart" uri="{C3380CC4-5D6E-409C-BE32-E72D297353CC}">
              <c16:uniqueId val="{00000001-A6E6-4306-A7DD-D401FA7F7EA6}"/>
            </c:ext>
          </c:extLst>
        </c:ser>
        <c:dLbls>
          <c:showLegendKey val="0"/>
          <c:showVal val="0"/>
          <c:showCatName val="0"/>
          <c:showSerName val="0"/>
          <c:showPercent val="0"/>
          <c:showBubbleSize val="0"/>
        </c:dLbls>
        <c:axId val="1572931040"/>
        <c:axId val="1624985776"/>
      </c:scatterChart>
      <c:valAx>
        <c:axId val="15729310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985776"/>
        <c:crosses val="autoZero"/>
        <c:crossBetween val="midCat"/>
      </c:valAx>
      <c:valAx>
        <c:axId val="1624985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9310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'RR 1pc (2)'!$E$29</c:f>
              <c:strCache>
                <c:ptCount val="1"/>
                <c:pt idx="0">
                  <c:v>cum retained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'RR 1pc (2)'!$B$30:$B$40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'RR 1pc (2)'!$E$30:$E$40</c:f>
              <c:numCache>
                <c:formatCode>0.00%</c:formatCode>
                <c:ptCount val="11"/>
                <c:pt idx="0">
                  <c:v>3.2527593439466318E-2</c:v>
                </c:pt>
                <c:pt idx="1">
                  <c:v>0.10669463260323908</c:v>
                </c:pt>
                <c:pt idx="2">
                  <c:v>0.18158374308014991</c:v>
                </c:pt>
                <c:pt idx="3">
                  <c:v>0.30433586631365417</c:v>
                </c:pt>
                <c:pt idx="4">
                  <c:v>0.42358078602620097</c:v>
                </c:pt>
                <c:pt idx="5">
                  <c:v>0.46886497266444327</c:v>
                </c:pt>
                <c:pt idx="6">
                  <c:v>0.51689990716225975</c:v>
                </c:pt>
                <c:pt idx="7">
                  <c:v>0.5957088333390641</c:v>
                </c:pt>
                <c:pt idx="8">
                  <c:v>0.65240862359453988</c:v>
                </c:pt>
                <c:pt idx="9">
                  <c:v>0.7198363305023554</c:v>
                </c:pt>
                <c:pt idx="10">
                  <c:v>0.75906887184953409</c:v>
                </c:pt>
              </c:numCache>
            </c:numRef>
          </c:yVal>
          <c:smooth val="1"/>
          <c:extLst>
            <c:ext xmlns:c16="http://schemas.microsoft.com/office/drawing/2014/chart" uri="{C3380CC4-5D6E-409C-BE32-E72D297353CC}">
              <c16:uniqueId val="{00000000-7E45-4B7E-BD5C-79488D15ED4F}"/>
            </c:ext>
          </c:extLst>
        </c:ser>
        <c:ser>
          <c:idx val="1"/>
          <c:order val="1"/>
          <c:tx>
            <c:strRef>
              <c:f>'RR 1pc (2)'!$J$28</c:f>
              <c:strCache>
                <c:ptCount val="1"/>
                <c:pt idx="0">
                  <c:v>Fitted  %Retain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'RR 1pc (2)'!$B$30:$B$40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'RR 1pc (2)'!$J$30:$J$40</c:f>
              <c:numCache>
                <c:formatCode>0.0%</c:formatCode>
                <c:ptCount val="11"/>
                <c:pt idx="0">
                  <c:v>3.2281322557717429E-2</c:v>
                </c:pt>
                <c:pt idx="1">
                  <c:v>0.1287494692684982</c:v>
                </c:pt>
                <c:pt idx="2">
                  <c:v>0.206818755288985</c:v>
                </c:pt>
                <c:pt idx="3">
                  <c:v>0.29869498025972624</c:v>
                </c:pt>
                <c:pt idx="4">
                  <c:v>0.39563039638934533</c:v>
                </c:pt>
                <c:pt idx="5">
                  <c:v>0.44109107617561671</c:v>
                </c:pt>
                <c:pt idx="6">
                  <c:v>0.49053082469179204</c:v>
                </c:pt>
                <c:pt idx="7">
                  <c:v>0.57891815490337584</c:v>
                </c:pt>
                <c:pt idx="8">
                  <c:v>0.65714203190692122</c:v>
                </c:pt>
                <c:pt idx="9">
                  <c:v>0.72455543085925866</c:v>
                </c:pt>
                <c:pt idx="10">
                  <c:v>0.77879977631260677</c:v>
                </c:pt>
              </c:numCache>
            </c:numRef>
          </c:yVal>
          <c:smooth val="1"/>
          <c:extLst>
            <c:ext xmlns:c16="http://schemas.microsoft.com/office/drawing/2014/chart" uri="{C3380CC4-5D6E-409C-BE32-E72D297353CC}">
              <c16:uniqueId val="{00000001-7E45-4B7E-BD5C-79488D15ED4F}"/>
            </c:ext>
          </c:extLst>
        </c:ser>
        <c:dLbls>
          <c:showLegendKey val="0"/>
          <c:showVal val="0"/>
          <c:showCatName val="0"/>
          <c:showSerName val="0"/>
          <c:showPercent val="0"/>
          <c:showBubbleSize val="0"/>
        </c:dLbls>
        <c:axId val="857302048"/>
        <c:axId val="999664800"/>
      </c:scatterChart>
      <c:valAx>
        <c:axId val="857302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664800"/>
        <c:crosses val="autoZero"/>
        <c:crossBetween val="midCat"/>
      </c:valAx>
      <c:valAx>
        <c:axId val="999664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302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Rosin Rammler Regression Check</a:t>
            </a:r>
          </a:p>
        </c:rich>
      </c:tx>
      <c:layout>
        <c:manualLayout>
          <c:xMode val="edge"/>
          <c:yMode val="edge"/>
          <c:x val="0.25051747969394889"/>
          <c:y val="3.716346744378330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4782072862974208"/>
          <c:y val="0.1648093146895539"/>
          <c:w val="0.81221168964045998"/>
          <c:h val="0.6725344624853018"/>
        </c:manualLayout>
      </c:layout>
      <c:scatterChart>
        <c:scatterStyle val="lineMarker"/>
        <c:varyColors val="0"/>
        <c:ser>
          <c:idx val="0"/>
          <c:order val="0"/>
          <c:tx>
            <c:strRef>
              <c:f>'RR 2pc'!$D$30</c:f>
              <c:strCache>
                <c:ptCount val="1"/>
                <c:pt idx="0">
                  <c:v>Cum % Passing</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'RR 2pc'!$A$31:$A$41</c:f>
              <c:numCache>
                <c:formatCode>General</c:formatCode>
                <c:ptCount val="11"/>
                <c:pt idx="0">
                  <c:v>1.18</c:v>
                </c:pt>
                <c:pt idx="1">
                  <c:v>0.6</c:v>
                </c:pt>
                <c:pt idx="2">
                  <c:v>0.42499999999999999</c:v>
                </c:pt>
                <c:pt idx="3">
                  <c:v>0.3</c:v>
                </c:pt>
                <c:pt idx="4">
                  <c:v>0.21199999999999999</c:v>
                </c:pt>
                <c:pt idx="5">
                  <c:v>0.18</c:v>
                </c:pt>
                <c:pt idx="6">
                  <c:v>0.15</c:v>
                </c:pt>
                <c:pt idx="7">
                  <c:v>0.106</c:v>
                </c:pt>
                <c:pt idx="8">
                  <c:v>7.4999999999999997E-2</c:v>
                </c:pt>
                <c:pt idx="9">
                  <c:v>5.2999999999999999E-2</c:v>
                </c:pt>
                <c:pt idx="10">
                  <c:v>3.7999999999999999E-2</c:v>
                </c:pt>
              </c:numCache>
            </c:numRef>
          </c:xVal>
          <c:yVal>
            <c:numRef>
              <c:f>'RR 2pc'!$D$31:$D$41</c:f>
              <c:numCache>
                <c:formatCode>0%</c:formatCode>
                <c:ptCount val="11"/>
                <c:pt idx="0">
                  <c:v>0.96747240656053368</c:v>
                </c:pt>
                <c:pt idx="1">
                  <c:v>0.89330536739676092</c:v>
                </c:pt>
                <c:pt idx="2">
                  <c:v>0.81841625691985009</c:v>
                </c:pt>
                <c:pt idx="3">
                  <c:v>0.69566413368634583</c:v>
                </c:pt>
                <c:pt idx="4">
                  <c:v>0.57641921397379903</c:v>
                </c:pt>
                <c:pt idx="5">
                  <c:v>0.53113502733555673</c:v>
                </c:pt>
                <c:pt idx="6">
                  <c:v>0.48310009283774019</c:v>
                </c:pt>
                <c:pt idx="7">
                  <c:v>0.4042911666609359</c:v>
                </c:pt>
                <c:pt idx="8">
                  <c:v>0.34759137640546017</c:v>
                </c:pt>
                <c:pt idx="9">
                  <c:v>0.28016366949764465</c:v>
                </c:pt>
                <c:pt idx="10">
                  <c:v>0.24093112815046591</c:v>
                </c:pt>
              </c:numCache>
            </c:numRef>
          </c:yVal>
          <c:smooth val="0"/>
          <c:extLst>
            <c:ext xmlns:c16="http://schemas.microsoft.com/office/drawing/2014/chart" uri="{C3380CC4-5D6E-409C-BE32-E72D297353CC}">
              <c16:uniqueId val="{00000000-E6F2-4F6D-BD4E-CF9D9ECB823D}"/>
            </c:ext>
          </c:extLst>
        </c:ser>
        <c:ser>
          <c:idx val="1"/>
          <c:order val="1"/>
          <c:tx>
            <c:strRef>
              <c:f>'RR 2pc'!$K$29</c:f>
              <c:strCache>
                <c:ptCount val="1"/>
                <c:pt idx="0">
                  <c:v>Fitted  %Cumpass</c:v>
                </c:pt>
              </c:strCache>
            </c:strRef>
          </c:tx>
          <c:spPr>
            <a:ln w="25400" cap="rnd">
              <a:solidFill>
                <a:srgbClr val="FFFF00"/>
              </a:solidFill>
              <a:round/>
            </a:ln>
            <a:effectLst>
              <a:outerShdw blurRad="57150" dist="19050" dir="5400000" algn="ctr" rotWithShape="0">
                <a:srgbClr val="000000">
                  <a:alpha val="63000"/>
                </a:srgbClr>
              </a:outerShdw>
            </a:effectLst>
          </c:spPr>
          <c:marker>
            <c:symbol val="none"/>
          </c:marker>
          <c:xVal>
            <c:numRef>
              <c:f>'RR 2pc'!$A$31:$A$41</c:f>
              <c:numCache>
                <c:formatCode>General</c:formatCode>
                <c:ptCount val="11"/>
                <c:pt idx="0">
                  <c:v>1.18</c:v>
                </c:pt>
                <c:pt idx="1">
                  <c:v>0.6</c:v>
                </c:pt>
                <c:pt idx="2">
                  <c:v>0.42499999999999999</c:v>
                </c:pt>
                <c:pt idx="3">
                  <c:v>0.3</c:v>
                </c:pt>
                <c:pt idx="4">
                  <c:v>0.21199999999999999</c:v>
                </c:pt>
                <c:pt idx="5">
                  <c:v>0.18</c:v>
                </c:pt>
                <c:pt idx="6">
                  <c:v>0.15</c:v>
                </c:pt>
                <c:pt idx="7">
                  <c:v>0.106</c:v>
                </c:pt>
                <c:pt idx="8">
                  <c:v>7.4999999999999997E-2</c:v>
                </c:pt>
                <c:pt idx="9">
                  <c:v>5.2999999999999999E-2</c:v>
                </c:pt>
                <c:pt idx="10">
                  <c:v>3.7999999999999999E-2</c:v>
                </c:pt>
              </c:numCache>
            </c:numRef>
          </c:xVal>
          <c:yVal>
            <c:numRef>
              <c:f>'RR 2pc'!$K$31:$K$41</c:f>
              <c:numCache>
                <c:formatCode>0.0%</c:formatCode>
                <c:ptCount val="11"/>
                <c:pt idx="0">
                  <c:v>0.96521411158460391</c:v>
                </c:pt>
                <c:pt idx="1">
                  <c:v>0.88852299364677123</c:v>
                </c:pt>
                <c:pt idx="2">
                  <c:v>0.79346271683461844</c:v>
                </c:pt>
                <c:pt idx="3">
                  <c:v>0.70153777285643792</c:v>
                </c:pt>
                <c:pt idx="4">
                  <c:v>0.6045261571860413</c:v>
                </c:pt>
                <c:pt idx="5">
                  <c:v>0.55902586773822971</c:v>
                </c:pt>
                <c:pt idx="6">
                  <c:v>0.50954231355281454</c:v>
                </c:pt>
                <c:pt idx="7">
                  <c:v>0.4210790395018783</c:v>
                </c:pt>
                <c:pt idx="8">
                  <c:v>0.34279554173539095</c:v>
                </c:pt>
                <c:pt idx="9">
                  <c:v>0.27534082400727777</c:v>
                </c:pt>
                <c:pt idx="10">
                  <c:v>0.22107300747594871</c:v>
                </c:pt>
              </c:numCache>
            </c:numRef>
          </c:yVal>
          <c:smooth val="0"/>
          <c:extLst>
            <c:ext xmlns:c16="http://schemas.microsoft.com/office/drawing/2014/chart" uri="{C3380CC4-5D6E-409C-BE32-E72D297353CC}">
              <c16:uniqueId val="{00000001-E6F2-4F6D-BD4E-CF9D9ECB823D}"/>
            </c:ext>
          </c:extLst>
        </c:ser>
        <c:dLbls>
          <c:showLegendKey val="0"/>
          <c:showVal val="0"/>
          <c:showCatName val="0"/>
          <c:showSerName val="0"/>
          <c:showPercent val="0"/>
          <c:showBubbleSize val="0"/>
        </c:dLbls>
        <c:axId val="1823205951"/>
        <c:axId val="1"/>
      </c:scatterChart>
      <c:valAx>
        <c:axId val="1823205951"/>
        <c:scaling>
          <c:logBase val="2"/>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Sieve, µm</a:t>
                </a:r>
              </a:p>
            </c:rich>
          </c:tx>
          <c:layout>
            <c:manualLayout>
              <c:xMode val="edge"/>
              <c:yMode val="edge"/>
              <c:x val="0.4969615472995238"/>
              <c:y val="0.9325507219616033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
        <c:crossesAt val="0"/>
        <c:crossBetween val="midCat"/>
      </c:valAx>
      <c:valAx>
        <c:axId val="1"/>
        <c:scaling>
          <c:logBase val="2"/>
          <c:orientation val="minMax"/>
          <c:max val="1"/>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Cumulative %Pass</a:t>
                </a:r>
              </a:p>
            </c:rich>
          </c:tx>
          <c:layout>
            <c:manualLayout>
              <c:xMode val="edge"/>
              <c:yMode val="edge"/>
              <c:x val="5.6862889119949373E-3"/>
              <c:y val="0.2785630795333596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205951"/>
        <c:crossesAt val="1.0000000000000002E-2"/>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alignWithMargins="0"/>
    <c:pageMargins b="1" l="0.75" r="0.75" t="1" header="0.51180555555555551" footer="0.51180555555555551"/>
    <c:pageSetup firstPageNumber="0"/>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chart" Target="../charts/chart34.xml"/><Relationship Id="rId7" Type="http://schemas.openxmlformats.org/officeDocument/2006/relationships/image" Target="../media/image18.png"/><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6.xml"/><Relationship Id="rId5" Type="http://schemas.openxmlformats.org/officeDocument/2006/relationships/image" Target="../media/image15.png"/><Relationship Id="rId4" Type="http://schemas.openxmlformats.org/officeDocument/2006/relationships/chart" Target="../charts/chart35.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chart" Target="../charts/chart39.xml"/><Relationship Id="rId7" Type="http://schemas.openxmlformats.org/officeDocument/2006/relationships/image" Target="../media/image20.png"/><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1.xml"/><Relationship Id="rId5" Type="http://schemas.openxmlformats.org/officeDocument/2006/relationships/image" Target="../media/image15.png"/><Relationship Id="rId4" Type="http://schemas.openxmlformats.org/officeDocument/2006/relationships/chart" Target="../charts/chart40.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 Id="rId6" Type="http://schemas.openxmlformats.org/officeDocument/2006/relationships/image" Target="../media/image23.png"/><Relationship Id="rId5" Type="http://schemas.openxmlformats.org/officeDocument/2006/relationships/image" Target="../media/image22.png"/><Relationship Id="rId4" Type="http://schemas.openxmlformats.org/officeDocument/2006/relationships/chart" Target="../charts/chart4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4.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15.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chart" Target="../charts/chart46.xml"/></Relationships>
</file>

<file path=xl/drawings/_rels/drawing16.xml.rels><?xml version="1.0" encoding="UTF-8" standalone="yes"?>
<Relationships xmlns="http://schemas.openxmlformats.org/package/2006/relationships"><Relationship Id="rId2" Type="http://schemas.openxmlformats.org/officeDocument/2006/relationships/image" Target="../media/image30.png"/><Relationship Id="rId1" Type="http://schemas.openxmlformats.org/officeDocument/2006/relationships/image" Target="../media/image29.png"/></Relationships>
</file>

<file path=xl/drawings/_rels/drawing17.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image" Target="../media/image34.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4.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2.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4.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6.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9.xml"/><Relationship Id="rId5" Type="http://schemas.openxmlformats.org/officeDocument/2006/relationships/image" Target="../media/image3.jpeg"/><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5.pn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9.png"/><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chart" Target="../charts/chart20.xml"/><Relationship Id="rId18" Type="http://schemas.openxmlformats.org/officeDocument/2006/relationships/image" Target="../media/image15.png"/><Relationship Id="rId3" Type="http://schemas.openxmlformats.org/officeDocument/2006/relationships/chart" Target="../charts/chart15.xml"/><Relationship Id="rId7" Type="http://schemas.openxmlformats.org/officeDocument/2006/relationships/image" Target="../media/image11.png"/><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14.xml"/><Relationship Id="rId16" Type="http://schemas.openxmlformats.org/officeDocument/2006/relationships/chart" Target="../charts/chart23.xml"/><Relationship Id="rId20" Type="http://schemas.openxmlformats.org/officeDocument/2006/relationships/chart" Target="../charts/chart26.xml"/><Relationship Id="rId1" Type="http://schemas.openxmlformats.org/officeDocument/2006/relationships/chart" Target="../charts/chart13.xml"/><Relationship Id="rId6" Type="http://schemas.openxmlformats.org/officeDocument/2006/relationships/chart" Target="../charts/chart17.xml"/><Relationship Id="rId11" Type="http://schemas.openxmlformats.org/officeDocument/2006/relationships/chart" Target="../charts/chart18.xml"/><Relationship Id="rId5" Type="http://schemas.openxmlformats.org/officeDocument/2006/relationships/chart" Target="../charts/chart16.xml"/><Relationship Id="rId15" Type="http://schemas.openxmlformats.org/officeDocument/2006/relationships/chart" Target="../charts/chart22.xml"/><Relationship Id="rId10" Type="http://schemas.openxmlformats.org/officeDocument/2006/relationships/image" Target="../media/image14.png"/><Relationship Id="rId19" Type="http://schemas.openxmlformats.org/officeDocument/2006/relationships/chart" Target="../charts/chart25.xml"/><Relationship Id="rId4" Type="http://schemas.openxmlformats.org/officeDocument/2006/relationships/image" Target="../media/image10.jpeg"/><Relationship Id="rId9" Type="http://schemas.openxmlformats.org/officeDocument/2006/relationships/image" Target="../media/image13.png"/><Relationship Id="rId14" Type="http://schemas.openxmlformats.org/officeDocument/2006/relationships/chart" Target="../charts/chart21.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9.xml"/><Relationship Id="rId7" Type="http://schemas.openxmlformats.org/officeDocument/2006/relationships/image" Target="../media/image17.png"/><Relationship Id="rId2" Type="http://schemas.openxmlformats.org/officeDocument/2006/relationships/chart" Target="../charts/chart28.xml"/><Relationship Id="rId1" Type="http://schemas.openxmlformats.org/officeDocument/2006/relationships/chart" Target="../charts/chart27.xml"/><Relationship Id="rId6" Type="http://schemas.openxmlformats.org/officeDocument/2006/relationships/image" Target="../media/image16.png"/><Relationship Id="rId5" Type="http://schemas.openxmlformats.org/officeDocument/2006/relationships/chart" Target="../charts/chart31.xml"/><Relationship Id="rId4"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7</xdr:col>
      <xdr:colOff>257175</xdr:colOff>
      <xdr:row>2</xdr:row>
      <xdr:rowOff>85725</xdr:rowOff>
    </xdr:from>
    <xdr:to>
      <xdr:col>7</xdr:col>
      <xdr:colOff>571500</xdr:colOff>
      <xdr:row>4</xdr:row>
      <xdr:rowOff>133350</xdr:rowOff>
    </xdr:to>
    <xdr:sp macro="" textlink="" fLocksText="0">
      <xdr:nvSpPr>
        <xdr:cNvPr id="2" name="AutoShape 1">
          <a:extLst>
            <a:ext uri="{FF2B5EF4-FFF2-40B4-BE49-F238E27FC236}">
              <a16:creationId xmlns:a16="http://schemas.microsoft.com/office/drawing/2014/main" id="{E7BF048D-A892-4035-9DCC-8CE9066AAE3F}"/>
            </a:ext>
          </a:extLst>
        </xdr:cNvPr>
        <xdr:cNvSpPr>
          <a:spLocks noChangeArrowheads="1"/>
        </xdr:cNvSpPr>
      </xdr:nvSpPr>
      <xdr:spPr bwMode="auto">
        <a:xfrm>
          <a:off x="4457700" y="409575"/>
          <a:ext cx="314325" cy="371475"/>
        </a:xfrm>
        <a:prstGeom prst="triangle">
          <a:avLst>
            <a:gd name="adj" fmla="val 50000"/>
          </a:avLst>
        </a:prstGeom>
        <a:noFill/>
        <a:ln w="9360" cap="sq">
          <a:solidFill>
            <a:srgbClr val="313739"/>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b"/>
        <a:lstStyle/>
        <a:p>
          <a:pPr algn="ctr" rtl="0">
            <a:defRPr sz="1000"/>
          </a:pPr>
          <a:r>
            <a:rPr lang="en-US" sz="800" b="0" i="0" u="none" strike="noStrike" baseline="0">
              <a:solidFill>
                <a:srgbClr val="000000"/>
              </a:solidFill>
              <a:latin typeface="Arial"/>
              <a:cs typeface="Arial"/>
            </a:rPr>
            <a:t>1</a:t>
          </a:r>
        </a:p>
      </xdr:txBody>
    </xdr:sp>
    <xdr:clientData/>
  </xdr:twoCellAnchor>
  <xdr:twoCellAnchor>
    <xdr:from>
      <xdr:col>1</xdr:col>
      <xdr:colOff>590550</xdr:colOff>
      <xdr:row>6</xdr:row>
      <xdr:rowOff>0</xdr:rowOff>
    </xdr:from>
    <xdr:to>
      <xdr:col>8</xdr:col>
      <xdr:colOff>19050</xdr:colOff>
      <xdr:row>8</xdr:row>
      <xdr:rowOff>38100</xdr:rowOff>
    </xdr:to>
    <xdr:sp macro="" textlink="" fLocksText="0">
      <xdr:nvSpPr>
        <xdr:cNvPr id="3" name="Text 3">
          <a:extLst>
            <a:ext uri="{FF2B5EF4-FFF2-40B4-BE49-F238E27FC236}">
              <a16:creationId xmlns:a16="http://schemas.microsoft.com/office/drawing/2014/main" id="{07BABACB-4E8C-44E4-B380-198EB7961B32}"/>
            </a:ext>
          </a:extLst>
        </xdr:cNvPr>
        <xdr:cNvSpPr txBox="1">
          <a:spLocks noChangeArrowheads="1"/>
        </xdr:cNvSpPr>
      </xdr:nvSpPr>
      <xdr:spPr bwMode="auto">
        <a:xfrm>
          <a:off x="1190625" y="971550"/>
          <a:ext cx="3629025" cy="361950"/>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Given a data set from a sieve analysis, determine the Rosin Rammler parameters by regression</a:t>
          </a:r>
        </a:p>
      </xdr:txBody>
    </xdr:sp>
    <xdr:clientData/>
  </xdr:twoCellAnchor>
  <xdr:twoCellAnchor>
    <xdr:from>
      <xdr:col>1</xdr:col>
      <xdr:colOff>581025</xdr:colOff>
      <xdr:row>10</xdr:row>
      <xdr:rowOff>28575</xdr:rowOff>
    </xdr:from>
    <xdr:to>
      <xdr:col>8</xdr:col>
      <xdr:colOff>9525</xdr:colOff>
      <xdr:row>17</xdr:row>
      <xdr:rowOff>66675</xdr:rowOff>
    </xdr:to>
    <xdr:sp macro="" textlink="" fLocksText="0">
      <xdr:nvSpPr>
        <xdr:cNvPr id="4" name="Text 5">
          <a:extLst>
            <a:ext uri="{FF2B5EF4-FFF2-40B4-BE49-F238E27FC236}">
              <a16:creationId xmlns:a16="http://schemas.microsoft.com/office/drawing/2014/main" id="{DE916E79-851A-4043-8C15-5C5F617D2863}"/>
            </a:ext>
          </a:extLst>
        </xdr:cNvPr>
        <xdr:cNvSpPr txBox="1">
          <a:spLocks noChangeArrowheads="1"/>
        </xdr:cNvSpPr>
      </xdr:nvSpPr>
      <xdr:spPr bwMode="auto">
        <a:xfrm>
          <a:off x="1181100" y="1647825"/>
          <a:ext cx="3629025" cy="1171575"/>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Data set is assumed to follow a Rosin-Rammler distribution.  This distribution is commonly seen in mineral grinding circuits as cyclone overflow or SAG mill feed streams.  Plotting the data set on a Rosin-Rammler chart (like the one available at http://www.sagmilling.com) should result in a straight line if the data is suitable for fitting by this method.</a:t>
          </a:r>
        </a:p>
      </xdr:txBody>
    </xdr:sp>
    <xdr:clientData/>
  </xdr:twoCellAnchor>
  <xdr:twoCellAnchor>
    <xdr:from>
      <xdr:col>2</xdr:col>
      <xdr:colOff>0</xdr:colOff>
      <xdr:row>67</xdr:row>
      <xdr:rowOff>95250</xdr:rowOff>
    </xdr:from>
    <xdr:to>
      <xdr:col>8</xdr:col>
      <xdr:colOff>504825</xdr:colOff>
      <xdr:row>72</xdr:row>
      <xdr:rowOff>38100</xdr:rowOff>
    </xdr:to>
    <xdr:sp macro="" textlink="" fLocksText="0">
      <xdr:nvSpPr>
        <xdr:cNvPr id="5" name="Text 9">
          <a:extLst>
            <a:ext uri="{FF2B5EF4-FFF2-40B4-BE49-F238E27FC236}">
              <a16:creationId xmlns:a16="http://schemas.microsoft.com/office/drawing/2014/main" id="{E0AB45B5-1B0A-46BF-9F90-34B06A743C01}"/>
            </a:ext>
          </a:extLst>
        </xdr:cNvPr>
        <xdr:cNvSpPr txBox="1">
          <a:spLocks noChangeArrowheads="1"/>
        </xdr:cNvSpPr>
      </xdr:nvSpPr>
      <xdr:spPr bwMode="auto">
        <a:xfrm>
          <a:off x="1200150" y="13954125"/>
          <a:ext cx="4105275" cy="752475"/>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The equation was originally published under:</a:t>
          </a:r>
        </a:p>
        <a:p>
          <a:pPr algn="l" rtl="0">
            <a:defRPr sz="1000"/>
          </a:pPr>
          <a:r>
            <a:rPr lang="en-US" sz="1000" b="0" i="0" u="none" strike="noStrike" baseline="0">
              <a:solidFill>
                <a:srgbClr val="000000"/>
              </a:solidFill>
              <a:latin typeface="Arial"/>
              <a:cs typeface="Arial"/>
            </a:rPr>
            <a:t>Rosin, P. and Rammler, E., The Laws Governing the Fineness of Powdered Coal,</a:t>
          </a:r>
          <a:r>
            <a:rPr lang="en-US" sz="1000" b="0" i="1" u="none" strike="noStrike" baseline="0">
              <a:solidFill>
                <a:srgbClr val="000000"/>
              </a:solidFill>
              <a:latin typeface="Arial"/>
              <a:cs typeface="Arial"/>
            </a:rPr>
            <a:t> J. Inst. Fuel</a:t>
          </a:r>
          <a:r>
            <a:rPr lang="en-US" sz="1000" b="0" i="0" u="none" strike="noStrike" baseline="0">
              <a:solidFill>
                <a:srgbClr val="000000"/>
              </a:solidFill>
              <a:latin typeface="Arial"/>
              <a:cs typeface="Arial"/>
            </a:rPr>
            <a:t>, Vol.7, No. 31, pp.29-36, 1933</a:t>
          </a:r>
        </a:p>
      </xdr:txBody>
    </xdr:sp>
    <xdr:clientData/>
  </xdr:twoCellAnchor>
  <xdr:twoCellAnchor>
    <xdr:from>
      <xdr:col>8</xdr:col>
      <xdr:colOff>153520</xdr:colOff>
      <xdr:row>10</xdr:row>
      <xdr:rowOff>114859</xdr:rowOff>
    </xdr:from>
    <xdr:to>
      <xdr:col>18</xdr:col>
      <xdr:colOff>224676</xdr:colOff>
      <xdr:row>24</xdr:row>
      <xdr:rowOff>67235</xdr:rowOff>
    </xdr:to>
    <xdr:graphicFrame macro="">
      <xdr:nvGraphicFramePr>
        <xdr:cNvPr id="6" name="Chart 5">
          <a:extLst>
            <a:ext uri="{FF2B5EF4-FFF2-40B4-BE49-F238E27FC236}">
              <a16:creationId xmlns:a16="http://schemas.microsoft.com/office/drawing/2014/main" id="{DFBC10B0-739F-45CA-B3D0-A1FD47714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134471</xdr:colOff>
      <xdr:row>25</xdr:row>
      <xdr:rowOff>112059</xdr:rowOff>
    </xdr:from>
    <xdr:to>
      <xdr:col>20</xdr:col>
      <xdr:colOff>175693</xdr:colOff>
      <xdr:row>27</xdr:row>
      <xdr:rowOff>54869</xdr:rowOff>
    </xdr:to>
    <xdr:pic>
      <xdr:nvPicPr>
        <xdr:cNvPr id="9" name="Picture 8">
          <a:extLst>
            <a:ext uri="{FF2B5EF4-FFF2-40B4-BE49-F238E27FC236}">
              <a16:creationId xmlns:a16="http://schemas.microsoft.com/office/drawing/2014/main" id="{406204B8-8982-4E8A-A4D2-C340A3BC862E}"/>
            </a:ext>
          </a:extLst>
        </xdr:cNvPr>
        <xdr:cNvPicPr>
          <a:picLocks noChangeAspect="1"/>
        </xdr:cNvPicPr>
      </xdr:nvPicPr>
      <xdr:blipFill>
        <a:blip xmlns:r="http://schemas.openxmlformats.org/officeDocument/2006/relationships" r:embed="rId2"/>
        <a:stretch>
          <a:fillRect/>
        </a:stretch>
      </xdr:blipFill>
      <xdr:spPr>
        <a:xfrm>
          <a:off x="10522324" y="4874559"/>
          <a:ext cx="1923810" cy="323810"/>
        </a:xfrm>
        <a:prstGeom prst="rect">
          <a:avLst/>
        </a:prstGeom>
      </xdr:spPr>
    </xdr:pic>
    <xdr:clientData/>
  </xdr:twoCellAnchor>
  <xdr:twoCellAnchor editAs="oneCell">
    <xdr:from>
      <xdr:col>0</xdr:col>
      <xdr:colOff>268941</xdr:colOff>
      <xdr:row>46</xdr:row>
      <xdr:rowOff>179294</xdr:rowOff>
    </xdr:from>
    <xdr:to>
      <xdr:col>0</xdr:col>
      <xdr:colOff>440370</xdr:colOff>
      <xdr:row>48</xdr:row>
      <xdr:rowOff>36389</xdr:rowOff>
    </xdr:to>
    <xdr:pic>
      <xdr:nvPicPr>
        <xdr:cNvPr id="10" name="Picture 9">
          <a:extLst>
            <a:ext uri="{FF2B5EF4-FFF2-40B4-BE49-F238E27FC236}">
              <a16:creationId xmlns:a16="http://schemas.microsoft.com/office/drawing/2014/main" id="{DD732591-A53C-4374-96CD-0E575436E399}"/>
            </a:ext>
          </a:extLst>
        </xdr:cNvPr>
        <xdr:cNvPicPr>
          <a:picLocks noChangeAspect="1"/>
        </xdr:cNvPicPr>
      </xdr:nvPicPr>
      <xdr:blipFill>
        <a:blip xmlns:r="http://schemas.openxmlformats.org/officeDocument/2006/relationships" r:embed="rId3"/>
        <a:stretch>
          <a:fillRect/>
        </a:stretch>
      </xdr:blipFill>
      <xdr:spPr>
        <a:xfrm>
          <a:off x="268941" y="9043147"/>
          <a:ext cx="171429" cy="23809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21</xdr:col>
      <xdr:colOff>490818</xdr:colOff>
      <xdr:row>0</xdr:row>
      <xdr:rowOff>0</xdr:rowOff>
    </xdr:from>
    <xdr:to>
      <xdr:col>29</xdr:col>
      <xdr:colOff>0</xdr:colOff>
      <xdr:row>15</xdr:row>
      <xdr:rowOff>136152</xdr:rowOff>
    </xdr:to>
    <xdr:graphicFrame macro="">
      <xdr:nvGraphicFramePr>
        <xdr:cNvPr id="2" name="Chart 1">
          <a:extLst>
            <a:ext uri="{FF2B5EF4-FFF2-40B4-BE49-F238E27FC236}">
              <a16:creationId xmlns:a16="http://schemas.microsoft.com/office/drawing/2014/main" id="{E037DF25-DE20-4C24-BF79-8CEA8BA11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428624</xdr:colOff>
      <xdr:row>0</xdr:row>
      <xdr:rowOff>0</xdr:rowOff>
    </xdr:from>
    <xdr:to>
      <xdr:col>22</xdr:col>
      <xdr:colOff>0</xdr:colOff>
      <xdr:row>16</xdr:row>
      <xdr:rowOff>0</xdr:rowOff>
    </xdr:to>
    <xdr:graphicFrame macro="">
      <xdr:nvGraphicFramePr>
        <xdr:cNvPr id="3" name="Chart 2">
          <a:extLst>
            <a:ext uri="{FF2B5EF4-FFF2-40B4-BE49-F238E27FC236}">
              <a16:creationId xmlns:a16="http://schemas.microsoft.com/office/drawing/2014/main" id="{4B042D18-CF75-4DF1-85CF-07A8A19B3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30</xdr:row>
      <xdr:rowOff>0</xdr:rowOff>
    </xdr:from>
    <xdr:to>
      <xdr:col>22</xdr:col>
      <xdr:colOff>68357</xdr:colOff>
      <xdr:row>44</xdr:row>
      <xdr:rowOff>62344</xdr:rowOff>
    </xdr:to>
    <xdr:graphicFrame macro="">
      <xdr:nvGraphicFramePr>
        <xdr:cNvPr id="7" name="Chart 6">
          <a:extLst>
            <a:ext uri="{FF2B5EF4-FFF2-40B4-BE49-F238E27FC236}">
              <a16:creationId xmlns:a16="http://schemas.microsoft.com/office/drawing/2014/main" id="{0A9232AF-310B-460F-B33D-381A2F370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57</xdr:row>
      <xdr:rowOff>0</xdr:rowOff>
    </xdr:from>
    <xdr:to>
      <xdr:col>18</xdr:col>
      <xdr:colOff>222997</xdr:colOff>
      <xdr:row>70</xdr:row>
      <xdr:rowOff>30816</xdr:rowOff>
    </xdr:to>
    <xdr:graphicFrame macro="">
      <xdr:nvGraphicFramePr>
        <xdr:cNvPr id="14" name="Chart 13">
          <a:extLst>
            <a:ext uri="{FF2B5EF4-FFF2-40B4-BE49-F238E27FC236}">
              <a16:creationId xmlns:a16="http://schemas.microsoft.com/office/drawing/2014/main" id="{18911BB3-EBEE-4058-88C3-7AA623ECD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280147</xdr:colOff>
      <xdr:row>71</xdr:row>
      <xdr:rowOff>145676</xdr:rowOff>
    </xdr:from>
    <xdr:to>
      <xdr:col>25</xdr:col>
      <xdr:colOff>388155</xdr:colOff>
      <xdr:row>92</xdr:row>
      <xdr:rowOff>47261</xdr:rowOff>
    </xdr:to>
    <xdr:pic>
      <xdr:nvPicPr>
        <xdr:cNvPr id="19" name="Picture 18">
          <a:extLst>
            <a:ext uri="{FF2B5EF4-FFF2-40B4-BE49-F238E27FC236}">
              <a16:creationId xmlns:a16="http://schemas.microsoft.com/office/drawing/2014/main" id="{534FE36E-DCA5-4804-BFAB-05CCEF7C48AA}"/>
            </a:ext>
          </a:extLst>
        </xdr:cNvPr>
        <xdr:cNvPicPr>
          <a:picLocks noChangeAspect="1"/>
        </xdr:cNvPicPr>
      </xdr:nvPicPr>
      <xdr:blipFill>
        <a:blip xmlns:r="http://schemas.openxmlformats.org/officeDocument/2006/relationships" r:embed="rId5"/>
        <a:stretch>
          <a:fillRect/>
        </a:stretch>
      </xdr:blipFill>
      <xdr:spPr>
        <a:xfrm>
          <a:off x="9323294" y="10578352"/>
          <a:ext cx="5509243" cy="2960791"/>
        </a:xfrm>
        <a:prstGeom prst="rect">
          <a:avLst/>
        </a:prstGeom>
      </xdr:spPr>
    </xdr:pic>
    <xdr:clientData/>
  </xdr:twoCellAnchor>
  <xdr:twoCellAnchor>
    <xdr:from>
      <xdr:col>5</xdr:col>
      <xdr:colOff>7868</xdr:colOff>
      <xdr:row>73</xdr:row>
      <xdr:rowOff>15931</xdr:rowOff>
    </xdr:from>
    <xdr:to>
      <xdr:col>14</xdr:col>
      <xdr:colOff>313764</xdr:colOff>
      <xdr:row>83</xdr:row>
      <xdr:rowOff>89647</xdr:rowOff>
    </xdr:to>
    <xdr:graphicFrame macro="">
      <xdr:nvGraphicFramePr>
        <xdr:cNvPr id="21" name="Chart 20">
          <a:extLst>
            <a:ext uri="{FF2B5EF4-FFF2-40B4-BE49-F238E27FC236}">
              <a16:creationId xmlns:a16="http://schemas.microsoft.com/office/drawing/2014/main" id="{2794D3D0-BB2E-4D17-9CE4-C6440978F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1725706</xdr:colOff>
      <xdr:row>16</xdr:row>
      <xdr:rowOff>11205</xdr:rowOff>
    </xdr:from>
    <xdr:to>
      <xdr:col>6</xdr:col>
      <xdr:colOff>38660</xdr:colOff>
      <xdr:row>23</xdr:row>
      <xdr:rowOff>17369</xdr:rowOff>
    </xdr:to>
    <xdr:pic>
      <xdr:nvPicPr>
        <xdr:cNvPr id="12" name="Picture 11">
          <a:extLst>
            <a:ext uri="{FF2B5EF4-FFF2-40B4-BE49-F238E27FC236}">
              <a16:creationId xmlns:a16="http://schemas.microsoft.com/office/drawing/2014/main" id="{F853FA12-E88E-4C42-9195-7AFCD462E3EB}"/>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725706" y="2342029"/>
          <a:ext cx="3086660" cy="1093134"/>
        </a:xfrm>
        <a:prstGeom prst="rect">
          <a:avLst/>
        </a:prstGeom>
        <a:solidFill>
          <a:schemeClr val="bg1"/>
        </a:solidFill>
        <a:ln w="19050">
          <a:solidFill>
            <a:schemeClr val="tx1"/>
          </a:solidFill>
        </a:ln>
      </xdr:spPr>
    </xdr:pic>
    <xdr:clientData/>
  </xdr:twoCellAnchor>
  <xdr:twoCellAnchor>
    <xdr:from>
      <xdr:col>7</xdr:col>
      <xdr:colOff>336176</xdr:colOff>
      <xdr:row>17</xdr:row>
      <xdr:rowOff>11206</xdr:rowOff>
    </xdr:from>
    <xdr:to>
      <xdr:col>13</xdr:col>
      <xdr:colOff>414057</xdr:colOff>
      <xdr:row>22</xdr:row>
      <xdr:rowOff>39220</xdr:rowOff>
    </xdr:to>
    <xdr:pic>
      <xdr:nvPicPr>
        <xdr:cNvPr id="13" name="Picture 12">
          <a:extLst>
            <a:ext uri="{FF2B5EF4-FFF2-40B4-BE49-F238E27FC236}">
              <a16:creationId xmlns:a16="http://schemas.microsoft.com/office/drawing/2014/main" id="{27E74232-631C-442F-A4CA-57CF82284E24}"/>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569323" y="2487706"/>
          <a:ext cx="2968999" cy="823632"/>
        </a:xfrm>
        <a:prstGeom prst="rect">
          <a:avLst/>
        </a:prstGeom>
        <a:solidFill>
          <a:schemeClr val="bg1"/>
        </a:solidFill>
        <a:ln w="19050">
          <a:solidFill>
            <a:schemeClr val="tx1"/>
          </a:solidFill>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22</xdr:col>
      <xdr:colOff>490818</xdr:colOff>
      <xdr:row>0</xdr:row>
      <xdr:rowOff>0</xdr:rowOff>
    </xdr:from>
    <xdr:to>
      <xdr:col>30</xdr:col>
      <xdr:colOff>0</xdr:colOff>
      <xdr:row>15</xdr:row>
      <xdr:rowOff>136152</xdr:rowOff>
    </xdr:to>
    <xdr:graphicFrame macro="">
      <xdr:nvGraphicFramePr>
        <xdr:cNvPr id="2" name="Chart 1">
          <a:extLst>
            <a:ext uri="{FF2B5EF4-FFF2-40B4-BE49-F238E27FC236}">
              <a16:creationId xmlns:a16="http://schemas.microsoft.com/office/drawing/2014/main" id="{4556D9A3-F104-4992-A907-60ACBD577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0</xdr:row>
      <xdr:rowOff>0</xdr:rowOff>
    </xdr:from>
    <xdr:to>
      <xdr:col>23</xdr:col>
      <xdr:colOff>0</xdr:colOff>
      <xdr:row>16</xdr:row>
      <xdr:rowOff>44823</xdr:rowOff>
    </xdr:to>
    <xdr:graphicFrame macro="">
      <xdr:nvGraphicFramePr>
        <xdr:cNvPr id="3" name="Chart 2">
          <a:extLst>
            <a:ext uri="{FF2B5EF4-FFF2-40B4-BE49-F238E27FC236}">
              <a16:creationId xmlns:a16="http://schemas.microsoft.com/office/drawing/2014/main" id="{5AB70D30-F7AF-4F05-80A2-3BAB46540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17</xdr:row>
      <xdr:rowOff>0</xdr:rowOff>
    </xdr:from>
    <xdr:to>
      <xdr:col>23</xdr:col>
      <xdr:colOff>68357</xdr:colOff>
      <xdr:row>34</xdr:row>
      <xdr:rowOff>6314</xdr:rowOff>
    </xdr:to>
    <xdr:graphicFrame macro="">
      <xdr:nvGraphicFramePr>
        <xdr:cNvPr id="4" name="Chart 3">
          <a:extLst>
            <a:ext uri="{FF2B5EF4-FFF2-40B4-BE49-F238E27FC236}">
              <a16:creationId xmlns:a16="http://schemas.microsoft.com/office/drawing/2014/main" id="{63CA5A17-8A5E-4578-8F0D-F662FB48A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60</xdr:row>
      <xdr:rowOff>0</xdr:rowOff>
    </xdr:from>
    <xdr:to>
      <xdr:col>19</xdr:col>
      <xdr:colOff>222997</xdr:colOff>
      <xdr:row>73</xdr:row>
      <xdr:rowOff>30816</xdr:rowOff>
    </xdr:to>
    <xdr:graphicFrame macro="">
      <xdr:nvGraphicFramePr>
        <xdr:cNvPr id="5" name="Chart 4">
          <a:extLst>
            <a:ext uri="{FF2B5EF4-FFF2-40B4-BE49-F238E27FC236}">
              <a16:creationId xmlns:a16="http://schemas.microsoft.com/office/drawing/2014/main" id="{B08709BA-F207-42AE-82E8-C3CCCAA3B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0</xdr:colOff>
      <xdr:row>120</xdr:row>
      <xdr:rowOff>0</xdr:rowOff>
    </xdr:from>
    <xdr:to>
      <xdr:col>24</xdr:col>
      <xdr:colOff>399361</xdr:colOff>
      <xdr:row>140</xdr:row>
      <xdr:rowOff>47261</xdr:rowOff>
    </xdr:to>
    <xdr:pic>
      <xdr:nvPicPr>
        <xdr:cNvPr id="6" name="Picture 5">
          <a:extLst>
            <a:ext uri="{FF2B5EF4-FFF2-40B4-BE49-F238E27FC236}">
              <a16:creationId xmlns:a16="http://schemas.microsoft.com/office/drawing/2014/main" id="{39D75346-7A22-4E49-B421-054F0043DDD0}"/>
            </a:ext>
          </a:extLst>
        </xdr:cNvPr>
        <xdr:cNvPicPr>
          <a:picLocks noChangeAspect="1"/>
        </xdr:cNvPicPr>
      </xdr:nvPicPr>
      <xdr:blipFill>
        <a:blip xmlns:r="http://schemas.openxmlformats.org/officeDocument/2006/relationships" r:embed="rId5"/>
        <a:stretch>
          <a:fillRect/>
        </a:stretch>
      </xdr:blipFill>
      <xdr:spPr>
        <a:xfrm>
          <a:off x="8382000" y="17383125"/>
          <a:ext cx="5514286" cy="2904761"/>
        </a:xfrm>
        <a:prstGeom prst="rect">
          <a:avLst/>
        </a:prstGeom>
      </xdr:spPr>
    </xdr:pic>
    <xdr:clientData/>
  </xdr:twoCellAnchor>
  <xdr:twoCellAnchor>
    <xdr:from>
      <xdr:col>5</xdr:col>
      <xdr:colOff>422485</xdr:colOff>
      <xdr:row>46</xdr:row>
      <xdr:rowOff>4726</xdr:rowOff>
    </xdr:from>
    <xdr:to>
      <xdr:col>16</xdr:col>
      <xdr:colOff>268940</xdr:colOff>
      <xdr:row>56</xdr:row>
      <xdr:rowOff>67236</xdr:rowOff>
    </xdr:to>
    <xdr:graphicFrame macro="">
      <xdr:nvGraphicFramePr>
        <xdr:cNvPr id="7" name="Chart 6">
          <a:extLst>
            <a:ext uri="{FF2B5EF4-FFF2-40B4-BE49-F238E27FC236}">
              <a16:creationId xmlns:a16="http://schemas.microsoft.com/office/drawing/2014/main" id="{2946B633-7AC1-4C1F-A2A9-B2FEF55DD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1792941</xdr:colOff>
      <xdr:row>16</xdr:row>
      <xdr:rowOff>-1</xdr:rowOff>
    </xdr:from>
    <xdr:to>
      <xdr:col>4</xdr:col>
      <xdr:colOff>108802</xdr:colOff>
      <xdr:row>22</xdr:row>
      <xdr:rowOff>78441</xdr:rowOff>
    </xdr:to>
    <xdr:pic>
      <xdr:nvPicPr>
        <xdr:cNvPr id="8" name="Picture 7">
          <a:extLst>
            <a:ext uri="{FF2B5EF4-FFF2-40B4-BE49-F238E27FC236}">
              <a16:creationId xmlns:a16="http://schemas.microsoft.com/office/drawing/2014/main" id="{295B7AA0-C0BF-4F50-A581-9B53535DE9BB}"/>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792941" y="2305049"/>
          <a:ext cx="2163961" cy="1069042"/>
        </a:xfrm>
        <a:prstGeom prst="rect">
          <a:avLst/>
        </a:prstGeom>
        <a:solidFill>
          <a:schemeClr val="bg1"/>
        </a:solidFill>
        <a:ln w="19050">
          <a:solidFill>
            <a:schemeClr val="tx1"/>
          </a:solidFill>
        </a:ln>
      </xdr:spPr>
    </xdr:pic>
    <xdr:clientData/>
  </xdr:twoCellAnchor>
  <xdr:twoCellAnchor>
    <xdr:from>
      <xdr:col>1</xdr:col>
      <xdr:colOff>33619</xdr:colOff>
      <xdr:row>43</xdr:row>
      <xdr:rowOff>67235</xdr:rowOff>
    </xdr:from>
    <xdr:to>
      <xdr:col>4</xdr:col>
      <xdr:colOff>280148</xdr:colOff>
      <xdr:row>48</xdr:row>
      <xdr:rowOff>116306</xdr:rowOff>
    </xdr:to>
    <xdr:pic>
      <xdr:nvPicPr>
        <xdr:cNvPr id="9" name="Picture 8">
          <a:extLst>
            <a:ext uri="{FF2B5EF4-FFF2-40B4-BE49-F238E27FC236}">
              <a16:creationId xmlns:a16="http://schemas.microsoft.com/office/drawing/2014/main" id="{8E365400-9949-4C00-920D-A8698AE81CC3}"/>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882590" y="6465794"/>
          <a:ext cx="2252382" cy="822277"/>
        </a:xfrm>
        <a:prstGeom prst="rect">
          <a:avLst/>
        </a:prstGeom>
        <a:solidFill>
          <a:schemeClr val="bg1"/>
        </a:solidFill>
        <a:ln w="19050">
          <a:solidFill>
            <a:schemeClr val="tx1"/>
          </a:solidFill>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123825</xdr:colOff>
      <xdr:row>0</xdr:row>
      <xdr:rowOff>19050</xdr:rowOff>
    </xdr:from>
    <xdr:to>
      <xdr:col>27</xdr:col>
      <xdr:colOff>123824</xdr:colOff>
      <xdr:row>16</xdr:row>
      <xdr:rowOff>12327</xdr:rowOff>
    </xdr:to>
    <xdr:graphicFrame macro="">
      <xdr:nvGraphicFramePr>
        <xdr:cNvPr id="2" name="Chart 1">
          <a:extLst>
            <a:ext uri="{FF2B5EF4-FFF2-40B4-BE49-F238E27FC236}">
              <a16:creationId xmlns:a16="http://schemas.microsoft.com/office/drawing/2014/main" id="{20B301AB-0195-45CD-BB5A-4BCF326B6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123265</xdr:colOff>
      <xdr:row>17</xdr:row>
      <xdr:rowOff>33618</xdr:rowOff>
    </xdr:from>
    <xdr:to>
      <xdr:col>32</xdr:col>
      <xdr:colOff>392207</xdr:colOff>
      <xdr:row>32</xdr:row>
      <xdr:rowOff>78441</xdr:rowOff>
    </xdr:to>
    <xdr:graphicFrame macro="">
      <xdr:nvGraphicFramePr>
        <xdr:cNvPr id="3" name="Chart 2">
          <a:extLst>
            <a:ext uri="{FF2B5EF4-FFF2-40B4-BE49-F238E27FC236}">
              <a16:creationId xmlns:a16="http://schemas.microsoft.com/office/drawing/2014/main" id="{17C89261-EFA9-4B5B-AB31-84680197C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17</xdr:row>
      <xdr:rowOff>0</xdr:rowOff>
    </xdr:from>
    <xdr:to>
      <xdr:col>25</xdr:col>
      <xdr:colOff>68357</xdr:colOff>
      <xdr:row>34</xdr:row>
      <xdr:rowOff>6314</xdr:rowOff>
    </xdr:to>
    <xdr:graphicFrame macro="">
      <xdr:nvGraphicFramePr>
        <xdr:cNvPr id="4" name="Chart 3">
          <a:extLst>
            <a:ext uri="{FF2B5EF4-FFF2-40B4-BE49-F238E27FC236}">
              <a16:creationId xmlns:a16="http://schemas.microsoft.com/office/drawing/2014/main" id="{6577C9FE-2C14-44B2-A80A-8DCD6F169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0</xdr:colOff>
      <xdr:row>0</xdr:row>
      <xdr:rowOff>0</xdr:rowOff>
    </xdr:from>
    <xdr:to>
      <xdr:col>35</xdr:col>
      <xdr:colOff>100852</xdr:colOff>
      <xdr:row>15</xdr:row>
      <xdr:rowOff>138953</xdr:rowOff>
    </xdr:to>
    <xdr:graphicFrame macro="">
      <xdr:nvGraphicFramePr>
        <xdr:cNvPr id="10" name="Chart 9">
          <a:extLst>
            <a:ext uri="{FF2B5EF4-FFF2-40B4-BE49-F238E27FC236}">
              <a16:creationId xmlns:a16="http://schemas.microsoft.com/office/drawing/2014/main" id="{28A92EC6-8A1D-4A6C-8268-EC91AAFC9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17</xdr:row>
      <xdr:rowOff>180975</xdr:rowOff>
    </xdr:from>
    <xdr:to>
      <xdr:col>12</xdr:col>
      <xdr:colOff>114300</xdr:colOff>
      <xdr:row>29</xdr:row>
      <xdr:rowOff>0</xdr:rowOff>
    </xdr:to>
    <xdr:pic>
      <xdr:nvPicPr>
        <xdr:cNvPr id="17" name="Picture 16">
          <a:extLst>
            <a:ext uri="{FF2B5EF4-FFF2-40B4-BE49-F238E27FC236}">
              <a16:creationId xmlns:a16="http://schemas.microsoft.com/office/drawing/2014/main" id="{D04871B9-7D76-4B34-954D-21895B12A79B}"/>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773706" y="2691093"/>
          <a:ext cx="2826123" cy="1724025"/>
        </a:xfrm>
        <a:prstGeom prst="rect">
          <a:avLst/>
        </a:prstGeom>
        <a:solidFill>
          <a:schemeClr val="bg1"/>
        </a:solidFill>
        <a:ln w="19050">
          <a:solidFill>
            <a:schemeClr val="tx1"/>
          </a:solidFill>
        </a:ln>
      </xdr:spPr>
    </xdr:pic>
    <xdr:clientData/>
  </xdr:twoCellAnchor>
  <xdr:twoCellAnchor>
    <xdr:from>
      <xdr:col>6</xdr:col>
      <xdr:colOff>0</xdr:colOff>
      <xdr:row>29</xdr:row>
      <xdr:rowOff>21851</xdr:rowOff>
    </xdr:from>
    <xdr:to>
      <xdr:col>12</xdr:col>
      <xdr:colOff>247651</xdr:colOff>
      <xdr:row>38</xdr:row>
      <xdr:rowOff>0</xdr:rowOff>
    </xdr:to>
    <xdr:pic>
      <xdr:nvPicPr>
        <xdr:cNvPr id="19" name="Picture 18">
          <a:extLst>
            <a:ext uri="{FF2B5EF4-FFF2-40B4-BE49-F238E27FC236}">
              <a16:creationId xmlns:a16="http://schemas.microsoft.com/office/drawing/2014/main" id="{6AB795C7-9746-4850-82B6-D9EAA0EB9326}"/>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773706" y="4436969"/>
          <a:ext cx="2959474" cy="1334060"/>
        </a:xfrm>
        <a:prstGeom prst="rect">
          <a:avLst/>
        </a:prstGeom>
        <a:solidFill>
          <a:schemeClr val="bg1"/>
        </a:solidFill>
        <a:ln w="19050">
          <a:solidFill>
            <a:schemeClr val="tx1"/>
          </a:solid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11</xdr:col>
      <xdr:colOff>504264</xdr:colOff>
      <xdr:row>0</xdr:row>
      <xdr:rowOff>100853</xdr:rowOff>
    </xdr:from>
    <xdr:to>
      <xdr:col>16</xdr:col>
      <xdr:colOff>553160</xdr:colOff>
      <xdr:row>16</xdr:row>
      <xdr:rowOff>14758</xdr:rowOff>
    </xdr:to>
    <xdr:pic>
      <xdr:nvPicPr>
        <xdr:cNvPr id="4" name="Picture 3">
          <a:extLst>
            <a:ext uri="{FF2B5EF4-FFF2-40B4-BE49-F238E27FC236}">
              <a16:creationId xmlns:a16="http://schemas.microsoft.com/office/drawing/2014/main" id="{492F55F5-0E54-4134-9CAB-CB8CD2223989}"/>
            </a:ext>
          </a:extLst>
        </xdr:cNvPr>
        <xdr:cNvPicPr>
          <a:picLocks noChangeAspect="1"/>
        </xdr:cNvPicPr>
      </xdr:nvPicPr>
      <xdr:blipFill>
        <a:blip xmlns:r="http://schemas.openxmlformats.org/officeDocument/2006/relationships" r:embed="rId1"/>
        <a:stretch>
          <a:fillRect/>
        </a:stretch>
      </xdr:blipFill>
      <xdr:spPr>
        <a:xfrm>
          <a:off x="7676029" y="100853"/>
          <a:ext cx="3276190" cy="296190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581026</xdr:colOff>
      <xdr:row>64</xdr:row>
      <xdr:rowOff>126595</xdr:rowOff>
    </xdr:from>
    <xdr:to>
      <xdr:col>10</xdr:col>
      <xdr:colOff>485775</xdr:colOff>
      <xdr:row>69</xdr:row>
      <xdr:rowOff>28450</xdr:rowOff>
    </xdr:to>
    <xdr:pic>
      <xdr:nvPicPr>
        <xdr:cNvPr id="5" name="Picture 4">
          <a:extLst>
            <a:ext uri="{FF2B5EF4-FFF2-40B4-BE49-F238E27FC236}">
              <a16:creationId xmlns:a16="http://schemas.microsoft.com/office/drawing/2014/main" id="{8F9C8AA8-A2C6-4C9A-9600-1A1EF8ACD31C}"/>
            </a:ext>
          </a:extLst>
        </xdr:cNvPr>
        <xdr:cNvPicPr>
          <a:picLocks noChangeAspect="1"/>
        </xdr:cNvPicPr>
      </xdr:nvPicPr>
      <xdr:blipFill>
        <a:blip xmlns:r="http://schemas.openxmlformats.org/officeDocument/2006/relationships" r:embed="rId1"/>
        <a:stretch>
          <a:fillRect/>
        </a:stretch>
      </xdr:blipFill>
      <xdr:spPr>
        <a:xfrm>
          <a:off x="3619501" y="9184870"/>
          <a:ext cx="4562474" cy="616230"/>
        </a:xfrm>
        <a:prstGeom prst="rect">
          <a:avLst/>
        </a:prstGeom>
        <a:ln w="25400">
          <a:solidFill>
            <a:schemeClr val="tx1"/>
          </a:solidFill>
        </a:ln>
      </xdr:spPr>
    </xdr:pic>
    <xdr:clientData/>
  </xdr:twoCellAnchor>
  <xdr:twoCellAnchor editAs="oneCell">
    <xdr:from>
      <xdr:col>12</xdr:col>
      <xdr:colOff>66675</xdr:colOff>
      <xdr:row>31</xdr:row>
      <xdr:rowOff>122633</xdr:rowOff>
    </xdr:from>
    <xdr:to>
      <xdr:col>19</xdr:col>
      <xdr:colOff>218152</xdr:colOff>
      <xdr:row>35</xdr:row>
      <xdr:rowOff>85629</xdr:rowOff>
    </xdr:to>
    <xdr:pic>
      <xdr:nvPicPr>
        <xdr:cNvPr id="6" name="Picture 5">
          <a:extLst>
            <a:ext uri="{FF2B5EF4-FFF2-40B4-BE49-F238E27FC236}">
              <a16:creationId xmlns:a16="http://schemas.microsoft.com/office/drawing/2014/main" id="{3F87579A-3430-40E9-BF82-81D6E8EAD9C4}"/>
            </a:ext>
          </a:extLst>
        </xdr:cNvPr>
        <xdr:cNvPicPr>
          <a:picLocks noChangeAspect="1"/>
        </xdr:cNvPicPr>
      </xdr:nvPicPr>
      <xdr:blipFill>
        <a:blip xmlns:r="http://schemas.openxmlformats.org/officeDocument/2006/relationships" r:embed="rId2"/>
        <a:stretch>
          <a:fillRect/>
        </a:stretch>
      </xdr:blipFill>
      <xdr:spPr>
        <a:xfrm>
          <a:off x="11830050" y="5294708"/>
          <a:ext cx="5114002" cy="534496"/>
        </a:xfrm>
        <a:prstGeom prst="rect">
          <a:avLst/>
        </a:prstGeom>
        <a:ln w="25400">
          <a:solidFill>
            <a:schemeClr val="tx1"/>
          </a:solidFill>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349624</xdr:colOff>
      <xdr:row>14</xdr:row>
      <xdr:rowOff>10647</xdr:rowOff>
    </xdr:from>
    <xdr:to>
      <xdr:col>19</xdr:col>
      <xdr:colOff>44824</xdr:colOff>
      <xdr:row>28</xdr:row>
      <xdr:rowOff>86847</xdr:rowOff>
    </xdr:to>
    <xdr:graphicFrame macro="">
      <xdr:nvGraphicFramePr>
        <xdr:cNvPr id="5" name="Chart 4">
          <a:extLst>
            <a:ext uri="{FF2B5EF4-FFF2-40B4-BE49-F238E27FC236}">
              <a16:creationId xmlns:a16="http://schemas.microsoft.com/office/drawing/2014/main" id="{39FA8223-06C8-48D6-B760-1E9DB0C88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0</xdr:colOff>
      <xdr:row>0</xdr:row>
      <xdr:rowOff>0</xdr:rowOff>
    </xdr:from>
    <xdr:to>
      <xdr:col>24</xdr:col>
      <xdr:colOff>104457</xdr:colOff>
      <xdr:row>30</xdr:row>
      <xdr:rowOff>123095</xdr:rowOff>
    </xdr:to>
    <xdr:pic>
      <xdr:nvPicPr>
        <xdr:cNvPr id="6" name="Picture 5">
          <a:extLst>
            <a:ext uri="{FF2B5EF4-FFF2-40B4-BE49-F238E27FC236}">
              <a16:creationId xmlns:a16="http://schemas.microsoft.com/office/drawing/2014/main" id="{1A13E03C-BA52-4917-9441-F72CD71A7647}"/>
            </a:ext>
          </a:extLst>
        </xdr:cNvPr>
        <xdr:cNvPicPr>
          <a:picLocks noChangeAspect="1"/>
        </xdr:cNvPicPr>
      </xdr:nvPicPr>
      <xdr:blipFill>
        <a:blip xmlns:r="http://schemas.openxmlformats.org/officeDocument/2006/relationships" r:embed="rId2"/>
        <a:stretch>
          <a:fillRect/>
        </a:stretch>
      </xdr:blipFill>
      <xdr:spPr>
        <a:xfrm>
          <a:off x="12192000" y="0"/>
          <a:ext cx="2542857" cy="5838095"/>
        </a:xfrm>
        <a:prstGeom prst="rect">
          <a:avLst/>
        </a:prstGeom>
      </xdr:spPr>
    </xdr:pic>
    <xdr:clientData/>
  </xdr:twoCellAnchor>
  <xdr:twoCellAnchor editAs="oneCell">
    <xdr:from>
      <xdr:col>24</xdr:col>
      <xdr:colOff>605116</xdr:colOff>
      <xdr:row>0</xdr:row>
      <xdr:rowOff>0</xdr:rowOff>
    </xdr:from>
    <xdr:to>
      <xdr:col>29</xdr:col>
      <xdr:colOff>156881</xdr:colOff>
      <xdr:row>30</xdr:row>
      <xdr:rowOff>110048</xdr:rowOff>
    </xdr:to>
    <xdr:pic>
      <xdr:nvPicPr>
        <xdr:cNvPr id="7" name="Picture 6">
          <a:extLst>
            <a:ext uri="{FF2B5EF4-FFF2-40B4-BE49-F238E27FC236}">
              <a16:creationId xmlns:a16="http://schemas.microsoft.com/office/drawing/2014/main" id="{F213A671-9661-4513-9221-AFBE5F4357FD}"/>
            </a:ext>
          </a:extLst>
        </xdr:cNvPr>
        <xdr:cNvPicPr>
          <a:picLocks noChangeAspect="1"/>
        </xdr:cNvPicPr>
      </xdr:nvPicPr>
      <xdr:blipFill>
        <a:blip xmlns:r="http://schemas.openxmlformats.org/officeDocument/2006/relationships" r:embed="rId3"/>
        <a:stretch>
          <a:fillRect/>
        </a:stretch>
      </xdr:blipFill>
      <xdr:spPr>
        <a:xfrm>
          <a:off x="15127940" y="0"/>
          <a:ext cx="2577353" cy="5825048"/>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7</xdr:col>
      <xdr:colOff>304305</xdr:colOff>
      <xdr:row>28</xdr:row>
      <xdr:rowOff>151762</xdr:rowOff>
    </xdr:to>
    <xdr:pic>
      <xdr:nvPicPr>
        <xdr:cNvPr id="7" name="Picture 6">
          <a:extLst>
            <a:ext uri="{FF2B5EF4-FFF2-40B4-BE49-F238E27FC236}">
              <a16:creationId xmlns:a16="http://schemas.microsoft.com/office/drawing/2014/main" id="{31786413-F928-4540-92DB-4FF8470E0CE8}"/>
            </a:ext>
          </a:extLst>
        </xdr:cNvPr>
        <xdr:cNvPicPr>
          <a:picLocks noChangeAspect="1"/>
        </xdr:cNvPicPr>
      </xdr:nvPicPr>
      <xdr:blipFill>
        <a:blip xmlns:r="http://schemas.openxmlformats.org/officeDocument/2006/relationships" r:embed="rId1"/>
        <a:stretch>
          <a:fillRect/>
        </a:stretch>
      </xdr:blipFill>
      <xdr:spPr>
        <a:xfrm>
          <a:off x="609600" y="381000"/>
          <a:ext cx="3961905" cy="5104762"/>
        </a:xfrm>
        <a:prstGeom prst="rect">
          <a:avLst/>
        </a:prstGeom>
      </xdr:spPr>
    </xdr:pic>
    <xdr:clientData/>
  </xdr:twoCellAnchor>
  <xdr:twoCellAnchor editAs="oneCell">
    <xdr:from>
      <xdr:col>8</xdr:col>
      <xdr:colOff>0</xdr:colOff>
      <xdr:row>2</xdr:row>
      <xdr:rowOff>0</xdr:rowOff>
    </xdr:from>
    <xdr:to>
      <xdr:col>14</xdr:col>
      <xdr:colOff>332876</xdr:colOff>
      <xdr:row>29</xdr:row>
      <xdr:rowOff>37452</xdr:rowOff>
    </xdr:to>
    <xdr:pic>
      <xdr:nvPicPr>
        <xdr:cNvPr id="8" name="Picture 7">
          <a:extLst>
            <a:ext uri="{FF2B5EF4-FFF2-40B4-BE49-F238E27FC236}">
              <a16:creationId xmlns:a16="http://schemas.microsoft.com/office/drawing/2014/main" id="{C51A8642-E858-482B-A39B-D6E26D74A0E2}"/>
            </a:ext>
          </a:extLst>
        </xdr:cNvPr>
        <xdr:cNvPicPr>
          <a:picLocks noChangeAspect="1"/>
        </xdr:cNvPicPr>
      </xdr:nvPicPr>
      <xdr:blipFill>
        <a:blip xmlns:r="http://schemas.openxmlformats.org/officeDocument/2006/relationships" r:embed="rId2"/>
        <a:stretch>
          <a:fillRect/>
        </a:stretch>
      </xdr:blipFill>
      <xdr:spPr>
        <a:xfrm>
          <a:off x="4876800" y="381000"/>
          <a:ext cx="3990476" cy="5180952"/>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161143</xdr:colOff>
      <xdr:row>20</xdr:row>
      <xdr:rowOff>37619</xdr:rowOff>
    </xdr:to>
    <xdr:pic>
      <xdr:nvPicPr>
        <xdr:cNvPr id="2" name="Picture 1">
          <a:extLst>
            <a:ext uri="{FF2B5EF4-FFF2-40B4-BE49-F238E27FC236}">
              <a16:creationId xmlns:a16="http://schemas.microsoft.com/office/drawing/2014/main" id="{1A8C4C93-832C-4CF5-B76E-FF86A8580159}"/>
            </a:ext>
          </a:extLst>
        </xdr:cNvPr>
        <xdr:cNvPicPr>
          <a:picLocks noChangeAspect="1"/>
        </xdr:cNvPicPr>
      </xdr:nvPicPr>
      <xdr:blipFill>
        <a:blip xmlns:r="http://schemas.openxmlformats.org/officeDocument/2006/relationships" r:embed="rId1"/>
        <a:stretch>
          <a:fillRect/>
        </a:stretch>
      </xdr:blipFill>
      <xdr:spPr>
        <a:xfrm>
          <a:off x="0" y="0"/>
          <a:ext cx="6257143" cy="3847619"/>
        </a:xfrm>
        <a:prstGeom prst="rect">
          <a:avLst/>
        </a:prstGeom>
      </xdr:spPr>
    </xdr:pic>
    <xdr:clientData/>
  </xdr:twoCellAnchor>
  <xdr:twoCellAnchor editAs="oneCell">
    <xdr:from>
      <xdr:col>0</xdr:col>
      <xdr:colOff>0</xdr:colOff>
      <xdr:row>20</xdr:row>
      <xdr:rowOff>34636</xdr:rowOff>
    </xdr:from>
    <xdr:to>
      <xdr:col>10</xdr:col>
      <xdr:colOff>205966</xdr:colOff>
      <xdr:row>42</xdr:row>
      <xdr:rowOff>129350</xdr:rowOff>
    </xdr:to>
    <xdr:pic>
      <xdr:nvPicPr>
        <xdr:cNvPr id="3" name="Picture 2">
          <a:extLst>
            <a:ext uri="{FF2B5EF4-FFF2-40B4-BE49-F238E27FC236}">
              <a16:creationId xmlns:a16="http://schemas.microsoft.com/office/drawing/2014/main" id="{18A3F938-BC46-4FF8-80E9-C02CA2782AC9}"/>
            </a:ext>
          </a:extLst>
        </xdr:cNvPr>
        <xdr:cNvPicPr>
          <a:picLocks noChangeAspect="1"/>
        </xdr:cNvPicPr>
      </xdr:nvPicPr>
      <xdr:blipFill>
        <a:blip xmlns:r="http://schemas.openxmlformats.org/officeDocument/2006/relationships" r:embed="rId2"/>
        <a:stretch>
          <a:fillRect/>
        </a:stretch>
      </xdr:blipFill>
      <xdr:spPr>
        <a:xfrm>
          <a:off x="0" y="3844636"/>
          <a:ext cx="6267330" cy="4285714"/>
        </a:xfrm>
        <a:prstGeom prst="rect">
          <a:avLst/>
        </a:prstGeom>
      </xdr:spPr>
    </xdr:pic>
    <xdr:clientData/>
  </xdr:twoCellAnchor>
  <xdr:twoCellAnchor editAs="oneCell">
    <xdr:from>
      <xdr:col>14</xdr:col>
      <xdr:colOff>0</xdr:colOff>
      <xdr:row>0</xdr:row>
      <xdr:rowOff>0</xdr:rowOff>
    </xdr:from>
    <xdr:to>
      <xdr:col>23</xdr:col>
      <xdr:colOff>211440</xdr:colOff>
      <xdr:row>23</xdr:row>
      <xdr:rowOff>18500</xdr:rowOff>
    </xdr:to>
    <xdr:pic>
      <xdr:nvPicPr>
        <xdr:cNvPr id="4" name="Picture 3">
          <a:extLst>
            <a:ext uri="{FF2B5EF4-FFF2-40B4-BE49-F238E27FC236}">
              <a16:creationId xmlns:a16="http://schemas.microsoft.com/office/drawing/2014/main" id="{54AD88FF-9255-4CFF-BC0E-BB92BACA6053}"/>
            </a:ext>
          </a:extLst>
        </xdr:cNvPr>
        <xdr:cNvPicPr>
          <a:picLocks noChangeAspect="1"/>
        </xdr:cNvPicPr>
      </xdr:nvPicPr>
      <xdr:blipFill>
        <a:blip xmlns:r="http://schemas.openxmlformats.org/officeDocument/2006/relationships" r:embed="rId3"/>
        <a:stretch>
          <a:fillRect/>
        </a:stretch>
      </xdr:blipFill>
      <xdr:spPr>
        <a:xfrm>
          <a:off x="13335000" y="0"/>
          <a:ext cx="5666667" cy="4400000"/>
        </a:xfrm>
        <a:prstGeom prst="rect">
          <a:avLst/>
        </a:prstGeom>
      </xdr:spPr>
    </xdr:pic>
    <xdr:clientData/>
  </xdr:twoCellAnchor>
  <xdr:twoCellAnchor editAs="oneCell">
    <xdr:from>
      <xdr:col>14</xdr:col>
      <xdr:colOff>0</xdr:colOff>
      <xdr:row>24</xdr:row>
      <xdr:rowOff>0</xdr:rowOff>
    </xdr:from>
    <xdr:to>
      <xdr:col>23</xdr:col>
      <xdr:colOff>440011</xdr:colOff>
      <xdr:row>51</xdr:row>
      <xdr:rowOff>132690</xdr:rowOff>
    </xdr:to>
    <xdr:pic>
      <xdr:nvPicPr>
        <xdr:cNvPr id="5" name="Picture 4">
          <a:extLst>
            <a:ext uri="{FF2B5EF4-FFF2-40B4-BE49-F238E27FC236}">
              <a16:creationId xmlns:a16="http://schemas.microsoft.com/office/drawing/2014/main" id="{A39E5800-04DF-4820-9C06-D1564345F86F}"/>
            </a:ext>
          </a:extLst>
        </xdr:cNvPr>
        <xdr:cNvPicPr>
          <a:picLocks noChangeAspect="1"/>
        </xdr:cNvPicPr>
      </xdr:nvPicPr>
      <xdr:blipFill>
        <a:blip xmlns:r="http://schemas.openxmlformats.org/officeDocument/2006/relationships" r:embed="rId4"/>
        <a:stretch>
          <a:fillRect/>
        </a:stretch>
      </xdr:blipFill>
      <xdr:spPr>
        <a:xfrm>
          <a:off x="13335000" y="4572000"/>
          <a:ext cx="5895238" cy="5276190"/>
        </a:xfrm>
        <a:prstGeom prst="rect">
          <a:avLst/>
        </a:prstGeom>
      </xdr:spPr>
    </xdr:pic>
    <xdr:clientData/>
  </xdr:twoCellAnchor>
  <xdr:twoCellAnchor editAs="oneCell">
    <xdr:from>
      <xdr:col>14</xdr:col>
      <xdr:colOff>0</xdr:colOff>
      <xdr:row>53</xdr:row>
      <xdr:rowOff>0</xdr:rowOff>
    </xdr:from>
    <xdr:to>
      <xdr:col>17</xdr:col>
      <xdr:colOff>210162</xdr:colOff>
      <xdr:row>57</xdr:row>
      <xdr:rowOff>152286</xdr:rowOff>
    </xdr:to>
    <xdr:pic>
      <xdr:nvPicPr>
        <xdr:cNvPr id="6" name="Picture 5">
          <a:extLst>
            <a:ext uri="{FF2B5EF4-FFF2-40B4-BE49-F238E27FC236}">
              <a16:creationId xmlns:a16="http://schemas.microsoft.com/office/drawing/2014/main" id="{A670213F-B915-46EA-9964-DFCD9692AD28}"/>
            </a:ext>
          </a:extLst>
        </xdr:cNvPr>
        <xdr:cNvPicPr>
          <a:picLocks noChangeAspect="1"/>
        </xdr:cNvPicPr>
      </xdr:nvPicPr>
      <xdr:blipFill>
        <a:blip xmlns:r="http://schemas.openxmlformats.org/officeDocument/2006/relationships" r:embed="rId5"/>
        <a:stretch>
          <a:fillRect/>
        </a:stretch>
      </xdr:blipFill>
      <xdr:spPr>
        <a:xfrm>
          <a:off x="13335000" y="10096500"/>
          <a:ext cx="2028571" cy="914286"/>
        </a:xfrm>
        <a:prstGeom prst="rect">
          <a:avLst/>
        </a:prstGeom>
      </xdr:spPr>
    </xdr:pic>
    <xdr:clientData/>
  </xdr:twoCellAnchor>
  <xdr:twoCellAnchor editAs="oneCell">
    <xdr:from>
      <xdr:col>26</xdr:col>
      <xdr:colOff>89647</xdr:colOff>
      <xdr:row>9</xdr:row>
      <xdr:rowOff>112058</xdr:rowOff>
    </xdr:from>
    <xdr:to>
      <xdr:col>28</xdr:col>
      <xdr:colOff>198692</xdr:colOff>
      <xdr:row>11</xdr:row>
      <xdr:rowOff>133225</xdr:rowOff>
    </xdr:to>
    <xdr:pic>
      <xdr:nvPicPr>
        <xdr:cNvPr id="8" name="Picture 7">
          <a:extLst>
            <a:ext uri="{FF2B5EF4-FFF2-40B4-BE49-F238E27FC236}">
              <a16:creationId xmlns:a16="http://schemas.microsoft.com/office/drawing/2014/main" id="{F4C35C83-F8B6-4A4E-990F-D1A956365DA9}"/>
            </a:ext>
          </a:extLst>
        </xdr:cNvPr>
        <xdr:cNvPicPr>
          <a:picLocks noChangeAspect="1"/>
        </xdr:cNvPicPr>
      </xdr:nvPicPr>
      <xdr:blipFill>
        <a:blip xmlns:r="http://schemas.openxmlformats.org/officeDocument/2006/relationships" r:embed="rId6"/>
        <a:stretch>
          <a:fillRect/>
        </a:stretch>
      </xdr:blipFill>
      <xdr:spPr>
        <a:xfrm>
          <a:off x="7728697" y="7846358"/>
          <a:ext cx="1328245" cy="402167"/>
        </a:xfrm>
        <a:prstGeom prst="rect">
          <a:avLst/>
        </a:prstGeom>
        <a:ln w="19050">
          <a:solidFill>
            <a:schemeClr val="tx1"/>
          </a:solidFill>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6</xdr:col>
      <xdr:colOff>228190</xdr:colOff>
      <xdr:row>16</xdr:row>
      <xdr:rowOff>104405</xdr:rowOff>
    </xdr:to>
    <xdr:pic>
      <xdr:nvPicPr>
        <xdr:cNvPr id="2" name="Picture 1">
          <a:extLst>
            <a:ext uri="{FF2B5EF4-FFF2-40B4-BE49-F238E27FC236}">
              <a16:creationId xmlns:a16="http://schemas.microsoft.com/office/drawing/2014/main" id="{07F7A2AA-BA6C-4129-B143-7CBA38007717}"/>
            </a:ext>
          </a:extLst>
        </xdr:cNvPr>
        <xdr:cNvPicPr>
          <a:picLocks noChangeAspect="1"/>
        </xdr:cNvPicPr>
      </xdr:nvPicPr>
      <xdr:blipFill>
        <a:blip xmlns:r="http://schemas.openxmlformats.org/officeDocument/2006/relationships" r:embed="rId1"/>
        <a:stretch>
          <a:fillRect/>
        </a:stretch>
      </xdr:blipFill>
      <xdr:spPr>
        <a:xfrm>
          <a:off x="609600" y="190500"/>
          <a:ext cx="3276190" cy="29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257175</xdr:colOff>
      <xdr:row>2</xdr:row>
      <xdr:rowOff>85725</xdr:rowOff>
    </xdr:from>
    <xdr:to>
      <xdr:col>7</xdr:col>
      <xdr:colOff>571500</xdr:colOff>
      <xdr:row>4</xdr:row>
      <xdr:rowOff>133350</xdr:rowOff>
    </xdr:to>
    <xdr:sp macro="" textlink="" fLocksText="0">
      <xdr:nvSpPr>
        <xdr:cNvPr id="2" name="AutoShape 1">
          <a:extLst>
            <a:ext uri="{FF2B5EF4-FFF2-40B4-BE49-F238E27FC236}">
              <a16:creationId xmlns:a16="http://schemas.microsoft.com/office/drawing/2014/main" id="{72144FAE-0FFE-419A-B251-F8BC99ACFFCF}"/>
            </a:ext>
          </a:extLst>
        </xdr:cNvPr>
        <xdr:cNvSpPr>
          <a:spLocks noChangeArrowheads="1"/>
        </xdr:cNvSpPr>
      </xdr:nvSpPr>
      <xdr:spPr bwMode="auto">
        <a:xfrm>
          <a:off x="4657725" y="466725"/>
          <a:ext cx="314325" cy="428625"/>
        </a:xfrm>
        <a:prstGeom prst="triangle">
          <a:avLst>
            <a:gd name="adj" fmla="val 50000"/>
          </a:avLst>
        </a:prstGeom>
        <a:noFill/>
        <a:ln w="9360" cap="sq">
          <a:solidFill>
            <a:srgbClr val="313739"/>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b"/>
        <a:lstStyle/>
        <a:p>
          <a:pPr algn="ctr" rtl="0">
            <a:defRPr sz="1000"/>
          </a:pPr>
          <a:r>
            <a:rPr lang="en-US" sz="800" b="0" i="0" u="none" strike="noStrike" baseline="0">
              <a:solidFill>
                <a:srgbClr val="000000"/>
              </a:solidFill>
              <a:latin typeface="Arial"/>
              <a:cs typeface="Arial"/>
            </a:rPr>
            <a:t>1</a:t>
          </a:r>
        </a:p>
      </xdr:txBody>
    </xdr:sp>
    <xdr:clientData/>
  </xdr:twoCellAnchor>
  <xdr:twoCellAnchor>
    <xdr:from>
      <xdr:col>1</xdr:col>
      <xdr:colOff>590550</xdr:colOff>
      <xdr:row>6</xdr:row>
      <xdr:rowOff>0</xdr:rowOff>
    </xdr:from>
    <xdr:to>
      <xdr:col>8</xdr:col>
      <xdr:colOff>19050</xdr:colOff>
      <xdr:row>8</xdr:row>
      <xdr:rowOff>38100</xdr:rowOff>
    </xdr:to>
    <xdr:sp macro="" textlink="" fLocksText="0">
      <xdr:nvSpPr>
        <xdr:cNvPr id="3" name="Text 3">
          <a:extLst>
            <a:ext uri="{FF2B5EF4-FFF2-40B4-BE49-F238E27FC236}">
              <a16:creationId xmlns:a16="http://schemas.microsoft.com/office/drawing/2014/main" id="{252E1646-5921-499F-B2F5-ECC08D300F69}"/>
            </a:ext>
          </a:extLst>
        </xdr:cNvPr>
        <xdr:cNvSpPr txBox="1">
          <a:spLocks noChangeArrowheads="1"/>
        </xdr:cNvSpPr>
      </xdr:nvSpPr>
      <xdr:spPr bwMode="auto">
        <a:xfrm>
          <a:off x="1390650" y="1143000"/>
          <a:ext cx="3629025" cy="419100"/>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Given a data set from a sieve analysis, determine the Rosin Rammler parameters by regression</a:t>
          </a:r>
        </a:p>
      </xdr:txBody>
    </xdr:sp>
    <xdr:clientData/>
  </xdr:twoCellAnchor>
  <xdr:twoCellAnchor>
    <xdr:from>
      <xdr:col>1</xdr:col>
      <xdr:colOff>581025</xdr:colOff>
      <xdr:row>10</xdr:row>
      <xdr:rowOff>28575</xdr:rowOff>
    </xdr:from>
    <xdr:to>
      <xdr:col>8</xdr:col>
      <xdr:colOff>9525</xdr:colOff>
      <xdr:row>17</xdr:row>
      <xdr:rowOff>66675</xdr:rowOff>
    </xdr:to>
    <xdr:sp macro="" textlink="" fLocksText="0">
      <xdr:nvSpPr>
        <xdr:cNvPr id="4" name="Text 5">
          <a:extLst>
            <a:ext uri="{FF2B5EF4-FFF2-40B4-BE49-F238E27FC236}">
              <a16:creationId xmlns:a16="http://schemas.microsoft.com/office/drawing/2014/main" id="{0B53C1F6-5DEA-4078-B608-5E572D361E0B}"/>
            </a:ext>
          </a:extLst>
        </xdr:cNvPr>
        <xdr:cNvSpPr txBox="1">
          <a:spLocks noChangeArrowheads="1"/>
        </xdr:cNvSpPr>
      </xdr:nvSpPr>
      <xdr:spPr bwMode="auto">
        <a:xfrm>
          <a:off x="1381125" y="1933575"/>
          <a:ext cx="3629025" cy="1371600"/>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Data set is assumed to follow a Rosin-Rammler distribution.  This distribution is commonly seen in mineral grinding circuits as cyclone overflow or SAG mill feed streams.  Plotting the data set on a Rosin-Rammler chart (like the one available at http://www.sagmilling.com) should result in a straight line if the data is suitable for fitting by this method.</a:t>
          </a:r>
        </a:p>
      </xdr:txBody>
    </xdr:sp>
    <xdr:clientData/>
  </xdr:twoCellAnchor>
  <xdr:twoCellAnchor>
    <xdr:from>
      <xdr:col>2</xdr:col>
      <xdr:colOff>0</xdr:colOff>
      <xdr:row>67</xdr:row>
      <xdr:rowOff>95250</xdr:rowOff>
    </xdr:from>
    <xdr:to>
      <xdr:col>8</xdr:col>
      <xdr:colOff>504825</xdr:colOff>
      <xdr:row>72</xdr:row>
      <xdr:rowOff>38100</xdr:rowOff>
    </xdr:to>
    <xdr:sp macro="" textlink="" fLocksText="0">
      <xdr:nvSpPr>
        <xdr:cNvPr id="5" name="Text 9">
          <a:extLst>
            <a:ext uri="{FF2B5EF4-FFF2-40B4-BE49-F238E27FC236}">
              <a16:creationId xmlns:a16="http://schemas.microsoft.com/office/drawing/2014/main" id="{19B2F7B1-1824-4237-9677-9DC42CF766A2}"/>
            </a:ext>
          </a:extLst>
        </xdr:cNvPr>
        <xdr:cNvSpPr txBox="1">
          <a:spLocks noChangeArrowheads="1"/>
        </xdr:cNvSpPr>
      </xdr:nvSpPr>
      <xdr:spPr bwMode="auto">
        <a:xfrm>
          <a:off x="1400175" y="12963525"/>
          <a:ext cx="4105275" cy="895350"/>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The equation was originally published under:</a:t>
          </a:r>
        </a:p>
        <a:p>
          <a:pPr algn="l" rtl="0">
            <a:defRPr sz="1000"/>
          </a:pPr>
          <a:r>
            <a:rPr lang="en-US" sz="1000" b="0" i="0" u="none" strike="noStrike" baseline="0">
              <a:solidFill>
                <a:srgbClr val="000000"/>
              </a:solidFill>
              <a:latin typeface="Arial"/>
              <a:cs typeface="Arial"/>
            </a:rPr>
            <a:t>Rosin, P. and Rammler, E., The Laws Governing the Fineness of Powdered Coal,</a:t>
          </a:r>
          <a:r>
            <a:rPr lang="en-US" sz="1000" b="0" i="1" u="none" strike="noStrike" baseline="0">
              <a:solidFill>
                <a:srgbClr val="000000"/>
              </a:solidFill>
              <a:latin typeface="Arial"/>
              <a:cs typeface="Arial"/>
            </a:rPr>
            <a:t> J. Inst. Fuel</a:t>
          </a:r>
          <a:r>
            <a:rPr lang="en-US" sz="1000" b="0" i="0" u="none" strike="noStrike" baseline="0">
              <a:solidFill>
                <a:srgbClr val="000000"/>
              </a:solidFill>
              <a:latin typeface="Arial"/>
              <a:cs typeface="Arial"/>
            </a:rPr>
            <a:t>, Vol.7, No. 31, pp.29-36, 1933</a:t>
          </a:r>
        </a:p>
      </xdr:txBody>
    </xdr:sp>
    <xdr:clientData/>
  </xdr:twoCellAnchor>
  <xdr:twoCellAnchor>
    <xdr:from>
      <xdr:col>13</xdr:col>
      <xdr:colOff>347381</xdr:colOff>
      <xdr:row>11</xdr:row>
      <xdr:rowOff>11206</xdr:rowOff>
    </xdr:from>
    <xdr:to>
      <xdr:col>19</xdr:col>
      <xdr:colOff>336176</xdr:colOff>
      <xdr:row>24</xdr:row>
      <xdr:rowOff>0</xdr:rowOff>
    </xdr:to>
    <xdr:graphicFrame macro="">
      <xdr:nvGraphicFramePr>
        <xdr:cNvPr id="6" name="Chart 5">
          <a:extLst>
            <a:ext uri="{FF2B5EF4-FFF2-40B4-BE49-F238E27FC236}">
              <a16:creationId xmlns:a16="http://schemas.microsoft.com/office/drawing/2014/main" id="{B36BA5FE-B4BB-472D-B2D0-2D66476DD2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504266</xdr:colOff>
      <xdr:row>24</xdr:row>
      <xdr:rowOff>78442</xdr:rowOff>
    </xdr:from>
    <xdr:to>
      <xdr:col>19</xdr:col>
      <xdr:colOff>545487</xdr:colOff>
      <xdr:row>26</xdr:row>
      <xdr:rowOff>21252</xdr:rowOff>
    </xdr:to>
    <xdr:pic>
      <xdr:nvPicPr>
        <xdr:cNvPr id="7" name="Picture 6">
          <a:extLst>
            <a:ext uri="{FF2B5EF4-FFF2-40B4-BE49-F238E27FC236}">
              <a16:creationId xmlns:a16="http://schemas.microsoft.com/office/drawing/2014/main" id="{270BE2ED-6D66-4C86-83A1-AA7770E656B6}"/>
            </a:ext>
          </a:extLst>
        </xdr:cNvPr>
        <xdr:cNvPicPr>
          <a:picLocks noChangeAspect="1"/>
        </xdr:cNvPicPr>
      </xdr:nvPicPr>
      <xdr:blipFill>
        <a:blip xmlns:r="http://schemas.openxmlformats.org/officeDocument/2006/relationships" r:embed="rId2"/>
        <a:stretch>
          <a:fillRect/>
        </a:stretch>
      </xdr:blipFill>
      <xdr:spPr>
        <a:xfrm>
          <a:off x="10287001" y="4650442"/>
          <a:ext cx="1923810" cy="323810"/>
        </a:xfrm>
        <a:prstGeom prst="rect">
          <a:avLst/>
        </a:prstGeom>
      </xdr:spPr>
    </xdr:pic>
    <xdr:clientData/>
  </xdr:twoCellAnchor>
  <xdr:twoCellAnchor editAs="oneCell">
    <xdr:from>
      <xdr:col>0</xdr:col>
      <xdr:colOff>268941</xdr:colOff>
      <xdr:row>46</xdr:row>
      <xdr:rowOff>179294</xdr:rowOff>
    </xdr:from>
    <xdr:to>
      <xdr:col>0</xdr:col>
      <xdr:colOff>440370</xdr:colOff>
      <xdr:row>48</xdr:row>
      <xdr:rowOff>36389</xdr:rowOff>
    </xdr:to>
    <xdr:pic>
      <xdr:nvPicPr>
        <xdr:cNvPr id="8" name="Picture 7">
          <a:extLst>
            <a:ext uri="{FF2B5EF4-FFF2-40B4-BE49-F238E27FC236}">
              <a16:creationId xmlns:a16="http://schemas.microsoft.com/office/drawing/2014/main" id="{F81C130E-42DC-4FE3-B8AF-A5A0D1C5B018}"/>
            </a:ext>
          </a:extLst>
        </xdr:cNvPr>
        <xdr:cNvPicPr>
          <a:picLocks noChangeAspect="1"/>
        </xdr:cNvPicPr>
      </xdr:nvPicPr>
      <xdr:blipFill>
        <a:blip xmlns:r="http://schemas.openxmlformats.org/officeDocument/2006/relationships" r:embed="rId3"/>
        <a:stretch>
          <a:fillRect/>
        </a:stretch>
      </xdr:blipFill>
      <xdr:spPr>
        <a:xfrm>
          <a:off x="268941" y="9047069"/>
          <a:ext cx="171429" cy="238095"/>
        </a:xfrm>
        <a:prstGeom prst="rect">
          <a:avLst/>
        </a:prstGeom>
      </xdr:spPr>
    </xdr:pic>
    <xdr:clientData/>
  </xdr:twoCellAnchor>
  <xdr:twoCellAnchor>
    <xdr:from>
      <xdr:col>8</xdr:col>
      <xdr:colOff>179293</xdr:colOff>
      <xdr:row>10</xdr:row>
      <xdr:rowOff>179293</xdr:rowOff>
    </xdr:from>
    <xdr:to>
      <xdr:col>13</xdr:col>
      <xdr:colOff>212911</xdr:colOff>
      <xdr:row>24</xdr:row>
      <xdr:rowOff>22412</xdr:rowOff>
    </xdr:to>
    <xdr:graphicFrame macro="">
      <xdr:nvGraphicFramePr>
        <xdr:cNvPr id="9" name="Chart 8">
          <a:extLst>
            <a:ext uri="{FF2B5EF4-FFF2-40B4-BE49-F238E27FC236}">
              <a16:creationId xmlns:a16="http://schemas.microsoft.com/office/drawing/2014/main" id="{9303CFCB-A78B-4769-B3CA-52DAC0F5B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257175</xdr:colOff>
      <xdr:row>2</xdr:row>
      <xdr:rowOff>85725</xdr:rowOff>
    </xdr:from>
    <xdr:to>
      <xdr:col>7</xdr:col>
      <xdr:colOff>571500</xdr:colOff>
      <xdr:row>4</xdr:row>
      <xdr:rowOff>133350</xdr:rowOff>
    </xdr:to>
    <xdr:sp macro="" textlink="" fLocksText="0">
      <xdr:nvSpPr>
        <xdr:cNvPr id="2" name="AutoShape 1">
          <a:extLst>
            <a:ext uri="{FF2B5EF4-FFF2-40B4-BE49-F238E27FC236}">
              <a16:creationId xmlns:a16="http://schemas.microsoft.com/office/drawing/2014/main" id="{175934CF-C9BA-4A9E-B569-9E83FD436213}"/>
            </a:ext>
          </a:extLst>
        </xdr:cNvPr>
        <xdr:cNvSpPr>
          <a:spLocks noChangeArrowheads="1"/>
        </xdr:cNvSpPr>
      </xdr:nvSpPr>
      <xdr:spPr bwMode="auto">
        <a:xfrm>
          <a:off x="4657725" y="466725"/>
          <a:ext cx="314325" cy="428625"/>
        </a:xfrm>
        <a:prstGeom prst="triangle">
          <a:avLst>
            <a:gd name="adj" fmla="val 50000"/>
          </a:avLst>
        </a:prstGeom>
        <a:noFill/>
        <a:ln w="9360" cap="sq">
          <a:solidFill>
            <a:srgbClr val="313739"/>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b"/>
        <a:lstStyle/>
        <a:p>
          <a:pPr algn="ctr" rtl="0">
            <a:defRPr sz="1000"/>
          </a:pPr>
          <a:r>
            <a:rPr lang="en-US" sz="800" b="0" i="0" u="none" strike="noStrike" baseline="0">
              <a:solidFill>
                <a:srgbClr val="000000"/>
              </a:solidFill>
              <a:latin typeface="Arial"/>
              <a:cs typeface="Arial"/>
            </a:rPr>
            <a:t>1</a:t>
          </a:r>
        </a:p>
      </xdr:txBody>
    </xdr:sp>
    <xdr:clientData/>
  </xdr:twoCellAnchor>
  <xdr:twoCellAnchor>
    <xdr:from>
      <xdr:col>1</xdr:col>
      <xdr:colOff>590550</xdr:colOff>
      <xdr:row>6</xdr:row>
      <xdr:rowOff>0</xdr:rowOff>
    </xdr:from>
    <xdr:to>
      <xdr:col>8</xdr:col>
      <xdr:colOff>19050</xdr:colOff>
      <xdr:row>8</xdr:row>
      <xdr:rowOff>38100</xdr:rowOff>
    </xdr:to>
    <xdr:sp macro="" textlink="" fLocksText="0">
      <xdr:nvSpPr>
        <xdr:cNvPr id="3" name="Text 3">
          <a:extLst>
            <a:ext uri="{FF2B5EF4-FFF2-40B4-BE49-F238E27FC236}">
              <a16:creationId xmlns:a16="http://schemas.microsoft.com/office/drawing/2014/main" id="{36B6732D-63FF-4C73-AECA-1C16F4CE1716}"/>
            </a:ext>
          </a:extLst>
        </xdr:cNvPr>
        <xdr:cNvSpPr txBox="1">
          <a:spLocks noChangeArrowheads="1"/>
        </xdr:cNvSpPr>
      </xdr:nvSpPr>
      <xdr:spPr bwMode="auto">
        <a:xfrm>
          <a:off x="1390650" y="1143000"/>
          <a:ext cx="3629025" cy="419100"/>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Given a data set from a sieve analysis, determine the Rosin Rammler parameters by regression</a:t>
          </a:r>
        </a:p>
      </xdr:txBody>
    </xdr:sp>
    <xdr:clientData/>
  </xdr:twoCellAnchor>
  <xdr:twoCellAnchor>
    <xdr:from>
      <xdr:col>1</xdr:col>
      <xdr:colOff>581025</xdr:colOff>
      <xdr:row>10</xdr:row>
      <xdr:rowOff>28575</xdr:rowOff>
    </xdr:from>
    <xdr:to>
      <xdr:col>8</xdr:col>
      <xdr:colOff>9525</xdr:colOff>
      <xdr:row>17</xdr:row>
      <xdr:rowOff>66675</xdr:rowOff>
    </xdr:to>
    <xdr:sp macro="" textlink="" fLocksText="0">
      <xdr:nvSpPr>
        <xdr:cNvPr id="4" name="Text 5">
          <a:extLst>
            <a:ext uri="{FF2B5EF4-FFF2-40B4-BE49-F238E27FC236}">
              <a16:creationId xmlns:a16="http://schemas.microsoft.com/office/drawing/2014/main" id="{CB655409-A035-4CD8-A2FB-07F49AE96D6F}"/>
            </a:ext>
          </a:extLst>
        </xdr:cNvPr>
        <xdr:cNvSpPr txBox="1">
          <a:spLocks noChangeArrowheads="1"/>
        </xdr:cNvSpPr>
      </xdr:nvSpPr>
      <xdr:spPr bwMode="auto">
        <a:xfrm>
          <a:off x="1381125" y="1933575"/>
          <a:ext cx="3629025" cy="1371600"/>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Data set is assumed to follow a Rosin-Rammler distribution.  This distribution is commonly seen in mineral grinding circuits as cyclone overflow or SAG mill feed streams.  Plotting the data set on a Rosin-Rammler chart (like the one available at http://www.sagmilling.com) should result in a straight line if the data is suitable for fitting by this method.</a:t>
          </a:r>
        </a:p>
      </xdr:txBody>
    </xdr:sp>
    <xdr:clientData/>
  </xdr:twoCellAnchor>
  <xdr:twoCellAnchor>
    <xdr:from>
      <xdr:col>8</xdr:col>
      <xdr:colOff>478490</xdr:colOff>
      <xdr:row>1</xdr:row>
      <xdr:rowOff>148477</xdr:rowOff>
    </xdr:from>
    <xdr:to>
      <xdr:col>18</xdr:col>
      <xdr:colOff>549646</xdr:colOff>
      <xdr:row>15</xdr:row>
      <xdr:rowOff>100853</xdr:rowOff>
    </xdr:to>
    <xdr:graphicFrame macro="">
      <xdr:nvGraphicFramePr>
        <xdr:cNvPr id="6" name="Chart 5">
          <a:extLst>
            <a:ext uri="{FF2B5EF4-FFF2-40B4-BE49-F238E27FC236}">
              <a16:creationId xmlns:a16="http://schemas.microsoft.com/office/drawing/2014/main" id="{D7B25D5E-ED00-46CE-A904-DA0C31430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481852</xdr:colOff>
      <xdr:row>44</xdr:row>
      <xdr:rowOff>123265</xdr:rowOff>
    </xdr:from>
    <xdr:to>
      <xdr:col>6</xdr:col>
      <xdr:colOff>590309</xdr:colOff>
      <xdr:row>46</xdr:row>
      <xdr:rowOff>66075</xdr:rowOff>
    </xdr:to>
    <xdr:pic>
      <xdr:nvPicPr>
        <xdr:cNvPr id="7" name="Picture 6">
          <a:extLst>
            <a:ext uri="{FF2B5EF4-FFF2-40B4-BE49-F238E27FC236}">
              <a16:creationId xmlns:a16="http://schemas.microsoft.com/office/drawing/2014/main" id="{5B17A67A-19C1-43E6-8FEA-42158C395197}"/>
            </a:ext>
          </a:extLst>
        </xdr:cNvPr>
        <xdr:cNvPicPr>
          <a:picLocks noChangeAspect="1"/>
        </xdr:cNvPicPr>
      </xdr:nvPicPr>
      <xdr:blipFill>
        <a:blip xmlns:r="http://schemas.openxmlformats.org/officeDocument/2006/relationships" r:embed="rId2"/>
        <a:stretch>
          <a:fillRect/>
        </a:stretch>
      </xdr:blipFill>
      <xdr:spPr>
        <a:xfrm>
          <a:off x="2487705" y="8606118"/>
          <a:ext cx="1923810" cy="323810"/>
        </a:xfrm>
        <a:prstGeom prst="rect">
          <a:avLst/>
        </a:prstGeom>
        <a:ln w="25400">
          <a:solidFill>
            <a:schemeClr val="tx1"/>
          </a:solidFill>
        </a:ln>
      </xdr:spPr>
    </xdr:pic>
    <xdr:clientData/>
  </xdr:twoCellAnchor>
  <xdr:twoCellAnchor editAs="oneCell">
    <xdr:from>
      <xdr:col>0</xdr:col>
      <xdr:colOff>268941</xdr:colOff>
      <xdr:row>44</xdr:row>
      <xdr:rowOff>179294</xdr:rowOff>
    </xdr:from>
    <xdr:to>
      <xdr:col>0</xdr:col>
      <xdr:colOff>440370</xdr:colOff>
      <xdr:row>46</xdr:row>
      <xdr:rowOff>36389</xdr:rowOff>
    </xdr:to>
    <xdr:pic>
      <xdr:nvPicPr>
        <xdr:cNvPr id="8" name="Picture 7">
          <a:extLst>
            <a:ext uri="{FF2B5EF4-FFF2-40B4-BE49-F238E27FC236}">
              <a16:creationId xmlns:a16="http://schemas.microsoft.com/office/drawing/2014/main" id="{508C61DB-B785-4642-8352-D823BDCBA1A1}"/>
            </a:ext>
          </a:extLst>
        </xdr:cNvPr>
        <xdr:cNvPicPr>
          <a:picLocks noChangeAspect="1"/>
        </xdr:cNvPicPr>
      </xdr:nvPicPr>
      <xdr:blipFill>
        <a:blip xmlns:r="http://schemas.openxmlformats.org/officeDocument/2006/relationships" r:embed="rId3"/>
        <a:stretch>
          <a:fillRect/>
        </a:stretch>
      </xdr:blipFill>
      <xdr:spPr>
        <a:xfrm>
          <a:off x="268941" y="9047069"/>
          <a:ext cx="171429" cy="238095"/>
        </a:xfrm>
        <a:prstGeom prst="rect">
          <a:avLst/>
        </a:prstGeom>
      </xdr:spPr>
    </xdr:pic>
    <xdr:clientData/>
  </xdr:twoCellAnchor>
  <xdr:twoCellAnchor>
    <xdr:from>
      <xdr:col>5</xdr:col>
      <xdr:colOff>56029</xdr:colOff>
      <xdr:row>49</xdr:row>
      <xdr:rowOff>129988</xdr:rowOff>
    </xdr:from>
    <xdr:to>
      <xdr:col>12</xdr:col>
      <xdr:colOff>347382</xdr:colOff>
      <xdr:row>64</xdr:row>
      <xdr:rowOff>15688</xdr:rowOff>
    </xdr:to>
    <xdr:graphicFrame macro="">
      <xdr:nvGraphicFramePr>
        <xdr:cNvPr id="9" name="Chart 8">
          <a:extLst>
            <a:ext uri="{FF2B5EF4-FFF2-40B4-BE49-F238E27FC236}">
              <a16:creationId xmlns:a16="http://schemas.microsoft.com/office/drawing/2014/main" id="{E207B20C-F6C3-4934-8032-57930A9978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257175</xdr:colOff>
      <xdr:row>2</xdr:row>
      <xdr:rowOff>85725</xdr:rowOff>
    </xdr:from>
    <xdr:to>
      <xdr:col>7</xdr:col>
      <xdr:colOff>571500</xdr:colOff>
      <xdr:row>4</xdr:row>
      <xdr:rowOff>133350</xdr:rowOff>
    </xdr:to>
    <xdr:sp macro="" textlink="" fLocksText="0">
      <xdr:nvSpPr>
        <xdr:cNvPr id="2" name="AutoShape 1">
          <a:extLst>
            <a:ext uri="{FF2B5EF4-FFF2-40B4-BE49-F238E27FC236}">
              <a16:creationId xmlns:a16="http://schemas.microsoft.com/office/drawing/2014/main" id="{B7DFE4E7-867C-491B-A554-8670CB2AFCFD}"/>
            </a:ext>
          </a:extLst>
        </xdr:cNvPr>
        <xdr:cNvSpPr>
          <a:spLocks noChangeArrowheads="1"/>
        </xdr:cNvSpPr>
      </xdr:nvSpPr>
      <xdr:spPr bwMode="auto">
        <a:xfrm>
          <a:off x="4657725" y="466725"/>
          <a:ext cx="314325" cy="428625"/>
        </a:xfrm>
        <a:prstGeom prst="triangle">
          <a:avLst>
            <a:gd name="adj" fmla="val 50000"/>
          </a:avLst>
        </a:prstGeom>
        <a:noFill/>
        <a:ln w="9360" cap="sq">
          <a:solidFill>
            <a:srgbClr val="313739"/>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b"/>
        <a:lstStyle/>
        <a:p>
          <a:pPr algn="ctr" rtl="0">
            <a:defRPr sz="1000"/>
          </a:pPr>
          <a:r>
            <a:rPr lang="en-US" sz="800" b="0" i="0" u="none" strike="noStrike" baseline="0">
              <a:solidFill>
                <a:srgbClr val="000000"/>
              </a:solidFill>
              <a:latin typeface="Arial"/>
              <a:cs typeface="Arial"/>
            </a:rPr>
            <a:t>1</a:t>
          </a:r>
        </a:p>
      </xdr:txBody>
    </xdr:sp>
    <xdr:clientData/>
  </xdr:twoCellAnchor>
  <xdr:twoCellAnchor>
    <xdr:from>
      <xdr:col>1</xdr:col>
      <xdr:colOff>590550</xdr:colOff>
      <xdr:row>6</xdr:row>
      <xdr:rowOff>0</xdr:rowOff>
    </xdr:from>
    <xdr:to>
      <xdr:col>8</xdr:col>
      <xdr:colOff>19050</xdr:colOff>
      <xdr:row>8</xdr:row>
      <xdr:rowOff>38100</xdr:rowOff>
    </xdr:to>
    <xdr:sp macro="" textlink="" fLocksText="0">
      <xdr:nvSpPr>
        <xdr:cNvPr id="3" name="Text 3">
          <a:extLst>
            <a:ext uri="{FF2B5EF4-FFF2-40B4-BE49-F238E27FC236}">
              <a16:creationId xmlns:a16="http://schemas.microsoft.com/office/drawing/2014/main" id="{160ABFCB-24EC-45FF-A676-DBEB1AD09056}"/>
            </a:ext>
          </a:extLst>
        </xdr:cNvPr>
        <xdr:cNvSpPr txBox="1">
          <a:spLocks noChangeArrowheads="1"/>
        </xdr:cNvSpPr>
      </xdr:nvSpPr>
      <xdr:spPr bwMode="auto">
        <a:xfrm>
          <a:off x="1390650" y="1143000"/>
          <a:ext cx="3629025" cy="419100"/>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Given a data set from a sieve analysis, determine the Rosin Rammler parameters by regression</a:t>
          </a:r>
        </a:p>
      </xdr:txBody>
    </xdr:sp>
    <xdr:clientData/>
  </xdr:twoCellAnchor>
  <xdr:twoCellAnchor>
    <xdr:from>
      <xdr:col>1</xdr:col>
      <xdr:colOff>581025</xdr:colOff>
      <xdr:row>10</xdr:row>
      <xdr:rowOff>28575</xdr:rowOff>
    </xdr:from>
    <xdr:to>
      <xdr:col>8</xdr:col>
      <xdr:colOff>9525</xdr:colOff>
      <xdr:row>17</xdr:row>
      <xdr:rowOff>66675</xdr:rowOff>
    </xdr:to>
    <xdr:sp macro="" textlink="" fLocksText="0">
      <xdr:nvSpPr>
        <xdr:cNvPr id="4" name="Text 5">
          <a:extLst>
            <a:ext uri="{FF2B5EF4-FFF2-40B4-BE49-F238E27FC236}">
              <a16:creationId xmlns:a16="http://schemas.microsoft.com/office/drawing/2014/main" id="{B8B50C95-BD25-432B-99F8-55498983F59E}"/>
            </a:ext>
          </a:extLst>
        </xdr:cNvPr>
        <xdr:cNvSpPr txBox="1">
          <a:spLocks noChangeArrowheads="1"/>
        </xdr:cNvSpPr>
      </xdr:nvSpPr>
      <xdr:spPr bwMode="auto">
        <a:xfrm>
          <a:off x="1381125" y="1933575"/>
          <a:ext cx="3629025" cy="1371600"/>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Data set is assumed to follow a Rosin-Rammler distribution.  This distribution is commonly seen in mineral grinding circuits as cyclone overflow or SAG mill feed streams.  Plotting the data set on a Rosin-Rammler chart (like the one available at http://www.sagmilling.com) should result in a straight line if the data is suitable for fitting by this method.</a:t>
          </a:r>
        </a:p>
      </xdr:txBody>
    </xdr:sp>
    <xdr:clientData/>
  </xdr:twoCellAnchor>
  <xdr:twoCellAnchor>
    <xdr:from>
      <xdr:col>8</xdr:col>
      <xdr:colOff>478490</xdr:colOff>
      <xdr:row>1</xdr:row>
      <xdr:rowOff>148477</xdr:rowOff>
    </xdr:from>
    <xdr:to>
      <xdr:col>18</xdr:col>
      <xdr:colOff>549646</xdr:colOff>
      <xdr:row>15</xdr:row>
      <xdr:rowOff>100853</xdr:rowOff>
    </xdr:to>
    <xdr:graphicFrame macro="">
      <xdr:nvGraphicFramePr>
        <xdr:cNvPr id="5" name="Chart 4">
          <a:extLst>
            <a:ext uri="{FF2B5EF4-FFF2-40B4-BE49-F238E27FC236}">
              <a16:creationId xmlns:a16="http://schemas.microsoft.com/office/drawing/2014/main" id="{51C75BE8-DE5D-4FD1-AC9C-2FC6AABA9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67234</xdr:colOff>
      <xdr:row>44</xdr:row>
      <xdr:rowOff>112060</xdr:rowOff>
    </xdr:from>
    <xdr:to>
      <xdr:col>6</xdr:col>
      <xdr:colOff>175691</xdr:colOff>
      <xdr:row>46</xdr:row>
      <xdr:rowOff>54870</xdr:rowOff>
    </xdr:to>
    <xdr:pic>
      <xdr:nvPicPr>
        <xdr:cNvPr id="6" name="Picture 5">
          <a:extLst>
            <a:ext uri="{FF2B5EF4-FFF2-40B4-BE49-F238E27FC236}">
              <a16:creationId xmlns:a16="http://schemas.microsoft.com/office/drawing/2014/main" id="{9E47F7CF-E1E4-4C1F-B073-517A4A1A080B}"/>
            </a:ext>
          </a:extLst>
        </xdr:cNvPr>
        <xdr:cNvPicPr>
          <a:picLocks noChangeAspect="1"/>
        </xdr:cNvPicPr>
      </xdr:nvPicPr>
      <xdr:blipFill>
        <a:blip xmlns:r="http://schemas.openxmlformats.org/officeDocument/2006/relationships" r:embed="rId2"/>
        <a:stretch>
          <a:fillRect/>
        </a:stretch>
      </xdr:blipFill>
      <xdr:spPr>
        <a:xfrm>
          <a:off x="2067484" y="8598835"/>
          <a:ext cx="1908682" cy="323810"/>
        </a:xfrm>
        <a:prstGeom prst="rect">
          <a:avLst/>
        </a:prstGeom>
        <a:ln w="25400">
          <a:solidFill>
            <a:schemeClr val="tx1"/>
          </a:solidFill>
        </a:ln>
      </xdr:spPr>
    </xdr:pic>
    <xdr:clientData/>
  </xdr:twoCellAnchor>
  <xdr:twoCellAnchor editAs="oneCell">
    <xdr:from>
      <xdr:col>0</xdr:col>
      <xdr:colOff>268941</xdr:colOff>
      <xdr:row>44</xdr:row>
      <xdr:rowOff>179294</xdr:rowOff>
    </xdr:from>
    <xdr:to>
      <xdr:col>0</xdr:col>
      <xdr:colOff>440370</xdr:colOff>
      <xdr:row>46</xdr:row>
      <xdr:rowOff>36389</xdr:rowOff>
    </xdr:to>
    <xdr:pic>
      <xdr:nvPicPr>
        <xdr:cNvPr id="7" name="Picture 6">
          <a:extLst>
            <a:ext uri="{FF2B5EF4-FFF2-40B4-BE49-F238E27FC236}">
              <a16:creationId xmlns:a16="http://schemas.microsoft.com/office/drawing/2014/main" id="{ABA80D1C-7D77-41C2-B778-C1E0516CB309}"/>
            </a:ext>
          </a:extLst>
        </xdr:cNvPr>
        <xdr:cNvPicPr>
          <a:picLocks noChangeAspect="1"/>
        </xdr:cNvPicPr>
      </xdr:nvPicPr>
      <xdr:blipFill>
        <a:blip xmlns:r="http://schemas.openxmlformats.org/officeDocument/2006/relationships" r:embed="rId3"/>
        <a:stretch>
          <a:fillRect/>
        </a:stretch>
      </xdr:blipFill>
      <xdr:spPr>
        <a:xfrm>
          <a:off x="268941" y="8666069"/>
          <a:ext cx="171429" cy="238095"/>
        </a:xfrm>
        <a:prstGeom prst="rect">
          <a:avLst/>
        </a:prstGeom>
      </xdr:spPr>
    </xdr:pic>
    <xdr:clientData/>
  </xdr:twoCellAnchor>
  <xdr:twoCellAnchor>
    <xdr:from>
      <xdr:col>5</xdr:col>
      <xdr:colOff>324970</xdr:colOff>
      <xdr:row>57</xdr:row>
      <xdr:rowOff>152400</xdr:rowOff>
    </xdr:from>
    <xdr:to>
      <xdr:col>12</xdr:col>
      <xdr:colOff>616323</xdr:colOff>
      <xdr:row>72</xdr:row>
      <xdr:rowOff>38100</xdr:rowOff>
    </xdr:to>
    <xdr:graphicFrame macro="">
      <xdr:nvGraphicFramePr>
        <xdr:cNvPr id="8" name="Chart 7">
          <a:extLst>
            <a:ext uri="{FF2B5EF4-FFF2-40B4-BE49-F238E27FC236}">
              <a16:creationId xmlns:a16="http://schemas.microsoft.com/office/drawing/2014/main" id="{CF8589F3-B6C9-48AF-A6BB-9FE0B6B57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324971</xdr:colOff>
      <xdr:row>27</xdr:row>
      <xdr:rowOff>225237</xdr:rowOff>
    </xdr:from>
    <xdr:to>
      <xdr:col>21</xdr:col>
      <xdr:colOff>156883</xdr:colOff>
      <xdr:row>41</xdr:row>
      <xdr:rowOff>189378</xdr:rowOff>
    </xdr:to>
    <xdr:graphicFrame macro="">
      <xdr:nvGraphicFramePr>
        <xdr:cNvPr id="10" name="Chart 9">
          <a:extLst>
            <a:ext uri="{FF2B5EF4-FFF2-40B4-BE49-F238E27FC236}">
              <a16:creationId xmlns:a16="http://schemas.microsoft.com/office/drawing/2014/main" id="{73D33344-C999-4C76-AC76-85C8D5F6A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257175</xdr:colOff>
      <xdr:row>2</xdr:row>
      <xdr:rowOff>85725</xdr:rowOff>
    </xdr:from>
    <xdr:to>
      <xdr:col>7</xdr:col>
      <xdr:colOff>571500</xdr:colOff>
      <xdr:row>4</xdr:row>
      <xdr:rowOff>133350</xdr:rowOff>
    </xdr:to>
    <xdr:sp macro="" textlink="" fLocksText="0">
      <xdr:nvSpPr>
        <xdr:cNvPr id="2" name="AutoShape 1">
          <a:extLst>
            <a:ext uri="{FF2B5EF4-FFF2-40B4-BE49-F238E27FC236}">
              <a16:creationId xmlns:a16="http://schemas.microsoft.com/office/drawing/2014/main" id="{F478FB23-D061-4C38-85A5-9C816431AD70}"/>
            </a:ext>
          </a:extLst>
        </xdr:cNvPr>
        <xdr:cNvSpPr>
          <a:spLocks noChangeArrowheads="1"/>
        </xdr:cNvSpPr>
      </xdr:nvSpPr>
      <xdr:spPr bwMode="auto">
        <a:xfrm>
          <a:off x="4657725" y="466725"/>
          <a:ext cx="314325" cy="428625"/>
        </a:xfrm>
        <a:prstGeom prst="triangle">
          <a:avLst>
            <a:gd name="adj" fmla="val 50000"/>
          </a:avLst>
        </a:prstGeom>
        <a:noFill/>
        <a:ln w="9360" cap="sq">
          <a:solidFill>
            <a:srgbClr val="313739"/>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b"/>
        <a:lstStyle/>
        <a:p>
          <a:pPr algn="ctr" rtl="0">
            <a:defRPr sz="1000"/>
          </a:pPr>
          <a:r>
            <a:rPr lang="en-US" sz="800" b="0" i="0" u="none" strike="noStrike" baseline="0">
              <a:solidFill>
                <a:srgbClr val="000000"/>
              </a:solidFill>
              <a:latin typeface="Arial"/>
              <a:cs typeface="Arial"/>
            </a:rPr>
            <a:t>1</a:t>
          </a:r>
        </a:p>
      </xdr:txBody>
    </xdr:sp>
    <xdr:clientData/>
  </xdr:twoCellAnchor>
  <xdr:twoCellAnchor>
    <xdr:from>
      <xdr:col>1</xdr:col>
      <xdr:colOff>590550</xdr:colOff>
      <xdr:row>6</xdr:row>
      <xdr:rowOff>0</xdr:rowOff>
    </xdr:from>
    <xdr:to>
      <xdr:col>8</xdr:col>
      <xdr:colOff>19050</xdr:colOff>
      <xdr:row>8</xdr:row>
      <xdr:rowOff>38100</xdr:rowOff>
    </xdr:to>
    <xdr:sp macro="" textlink="" fLocksText="0">
      <xdr:nvSpPr>
        <xdr:cNvPr id="3" name="Text 3">
          <a:extLst>
            <a:ext uri="{FF2B5EF4-FFF2-40B4-BE49-F238E27FC236}">
              <a16:creationId xmlns:a16="http://schemas.microsoft.com/office/drawing/2014/main" id="{70943A29-D79F-4598-AD7F-25E20B60E244}"/>
            </a:ext>
          </a:extLst>
        </xdr:cNvPr>
        <xdr:cNvSpPr txBox="1">
          <a:spLocks noChangeArrowheads="1"/>
        </xdr:cNvSpPr>
      </xdr:nvSpPr>
      <xdr:spPr bwMode="auto">
        <a:xfrm>
          <a:off x="1390650" y="1143000"/>
          <a:ext cx="3629025" cy="419100"/>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Given a data set from a sieve analysis, determine the Rosin Rammler parameters by regression</a:t>
          </a:r>
        </a:p>
      </xdr:txBody>
    </xdr:sp>
    <xdr:clientData/>
  </xdr:twoCellAnchor>
  <xdr:twoCellAnchor>
    <xdr:from>
      <xdr:col>1</xdr:col>
      <xdr:colOff>581025</xdr:colOff>
      <xdr:row>10</xdr:row>
      <xdr:rowOff>28575</xdr:rowOff>
    </xdr:from>
    <xdr:to>
      <xdr:col>8</xdr:col>
      <xdr:colOff>9525</xdr:colOff>
      <xdr:row>17</xdr:row>
      <xdr:rowOff>66675</xdr:rowOff>
    </xdr:to>
    <xdr:sp macro="" textlink="" fLocksText="0">
      <xdr:nvSpPr>
        <xdr:cNvPr id="4" name="Text 5">
          <a:extLst>
            <a:ext uri="{FF2B5EF4-FFF2-40B4-BE49-F238E27FC236}">
              <a16:creationId xmlns:a16="http://schemas.microsoft.com/office/drawing/2014/main" id="{3EB58C7B-1214-408D-86CE-86ABCCB78D16}"/>
            </a:ext>
          </a:extLst>
        </xdr:cNvPr>
        <xdr:cNvSpPr txBox="1">
          <a:spLocks noChangeArrowheads="1"/>
        </xdr:cNvSpPr>
      </xdr:nvSpPr>
      <xdr:spPr bwMode="auto">
        <a:xfrm>
          <a:off x="1381125" y="1933575"/>
          <a:ext cx="3629025" cy="1371600"/>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Data set is assumed to follow a Rosin-Rammler distribution.  This distribution is commonly seen in mineral grinding circuits as cyclone overflow or SAG mill feed streams.  Plotting the data set on a Rosin-Rammler chart (like the one available at http://www.sagmilling.com) should result in a straight line if the data is suitable for fitting by this method.</a:t>
          </a:r>
        </a:p>
      </xdr:txBody>
    </xdr:sp>
    <xdr:clientData/>
  </xdr:twoCellAnchor>
  <xdr:twoCellAnchor>
    <xdr:from>
      <xdr:col>7</xdr:col>
      <xdr:colOff>467284</xdr:colOff>
      <xdr:row>1</xdr:row>
      <xdr:rowOff>70035</xdr:rowOff>
    </xdr:from>
    <xdr:to>
      <xdr:col>17</xdr:col>
      <xdr:colOff>538441</xdr:colOff>
      <xdr:row>15</xdr:row>
      <xdr:rowOff>22411</xdr:rowOff>
    </xdr:to>
    <xdr:graphicFrame macro="">
      <xdr:nvGraphicFramePr>
        <xdr:cNvPr id="5" name="Chart 4">
          <a:extLst>
            <a:ext uri="{FF2B5EF4-FFF2-40B4-BE49-F238E27FC236}">
              <a16:creationId xmlns:a16="http://schemas.microsoft.com/office/drawing/2014/main" id="{AA4BE342-ADFA-439A-8A69-BE54E6F8E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280146</xdr:colOff>
      <xdr:row>47</xdr:row>
      <xdr:rowOff>145677</xdr:rowOff>
    </xdr:from>
    <xdr:to>
      <xdr:col>3</xdr:col>
      <xdr:colOff>198103</xdr:colOff>
      <xdr:row>49</xdr:row>
      <xdr:rowOff>88487</xdr:rowOff>
    </xdr:to>
    <xdr:pic>
      <xdr:nvPicPr>
        <xdr:cNvPr id="6" name="Picture 5">
          <a:extLst>
            <a:ext uri="{FF2B5EF4-FFF2-40B4-BE49-F238E27FC236}">
              <a16:creationId xmlns:a16="http://schemas.microsoft.com/office/drawing/2014/main" id="{0FF78D01-B8F2-4A1F-A0E8-CDCAD0DF66B3}"/>
            </a:ext>
          </a:extLst>
        </xdr:cNvPr>
        <xdr:cNvPicPr>
          <a:picLocks noChangeAspect="1"/>
        </xdr:cNvPicPr>
      </xdr:nvPicPr>
      <xdr:blipFill>
        <a:blip xmlns:r="http://schemas.openxmlformats.org/officeDocument/2006/relationships" r:embed="rId2"/>
        <a:stretch>
          <a:fillRect/>
        </a:stretch>
      </xdr:blipFill>
      <xdr:spPr>
        <a:xfrm>
          <a:off x="280146" y="9009530"/>
          <a:ext cx="1923810" cy="323810"/>
        </a:xfrm>
        <a:prstGeom prst="rect">
          <a:avLst/>
        </a:prstGeom>
        <a:ln w="25400">
          <a:solidFill>
            <a:schemeClr val="tx1"/>
          </a:solidFill>
        </a:ln>
      </xdr:spPr>
    </xdr:pic>
    <xdr:clientData/>
  </xdr:twoCellAnchor>
  <xdr:twoCellAnchor editAs="oneCell">
    <xdr:from>
      <xdr:col>0</xdr:col>
      <xdr:colOff>268941</xdr:colOff>
      <xdr:row>45</xdr:row>
      <xdr:rowOff>179294</xdr:rowOff>
    </xdr:from>
    <xdr:to>
      <xdr:col>0</xdr:col>
      <xdr:colOff>440370</xdr:colOff>
      <xdr:row>47</xdr:row>
      <xdr:rowOff>36389</xdr:rowOff>
    </xdr:to>
    <xdr:pic>
      <xdr:nvPicPr>
        <xdr:cNvPr id="7" name="Picture 6">
          <a:extLst>
            <a:ext uri="{FF2B5EF4-FFF2-40B4-BE49-F238E27FC236}">
              <a16:creationId xmlns:a16="http://schemas.microsoft.com/office/drawing/2014/main" id="{68A1CEBF-7605-4049-A9AA-E5BDECC99CF4}"/>
            </a:ext>
          </a:extLst>
        </xdr:cNvPr>
        <xdr:cNvPicPr>
          <a:picLocks noChangeAspect="1"/>
        </xdr:cNvPicPr>
      </xdr:nvPicPr>
      <xdr:blipFill>
        <a:blip xmlns:r="http://schemas.openxmlformats.org/officeDocument/2006/relationships" r:embed="rId3"/>
        <a:stretch>
          <a:fillRect/>
        </a:stretch>
      </xdr:blipFill>
      <xdr:spPr>
        <a:xfrm>
          <a:off x="268941" y="8666069"/>
          <a:ext cx="171429" cy="238095"/>
        </a:xfrm>
        <a:prstGeom prst="rect">
          <a:avLst/>
        </a:prstGeom>
      </xdr:spPr>
    </xdr:pic>
    <xdr:clientData/>
  </xdr:twoCellAnchor>
  <xdr:twoCellAnchor>
    <xdr:from>
      <xdr:col>11</xdr:col>
      <xdr:colOff>347382</xdr:colOff>
      <xdr:row>50</xdr:row>
      <xdr:rowOff>186018</xdr:rowOff>
    </xdr:from>
    <xdr:to>
      <xdr:col>19</xdr:col>
      <xdr:colOff>257735</xdr:colOff>
      <xdr:row>65</xdr:row>
      <xdr:rowOff>71718</xdr:rowOff>
    </xdr:to>
    <xdr:graphicFrame macro="">
      <xdr:nvGraphicFramePr>
        <xdr:cNvPr id="8" name="Chart 7">
          <a:extLst>
            <a:ext uri="{FF2B5EF4-FFF2-40B4-BE49-F238E27FC236}">
              <a16:creationId xmlns:a16="http://schemas.microsoft.com/office/drawing/2014/main" id="{BB45E1E6-626B-447A-81C1-99D063BAA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100852</xdr:colOff>
      <xdr:row>15</xdr:row>
      <xdr:rowOff>123265</xdr:rowOff>
    </xdr:from>
    <xdr:to>
      <xdr:col>18</xdr:col>
      <xdr:colOff>347382</xdr:colOff>
      <xdr:row>24</xdr:row>
      <xdr:rowOff>78441</xdr:rowOff>
    </xdr:to>
    <xdr:pic>
      <xdr:nvPicPr>
        <xdr:cNvPr id="9" name="Picture 8">
          <a:extLst>
            <a:ext uri="{FF2B5EF4-FFF2-40B4-BE49-F238E27FC236}">
              <a16:creationId xmlns:a16="http://schemas.microsoft.com/office/drawing/2014/main" id="{C34DC2B2-65FB-46B2-801C-014B3FE96738}"/>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9791" t="15084" r="19190" b="14683"/>
        <a:stretch/>
      </xdr:blipFill>
      <xdr:spPr bwMode="auto">
        <a:xfrm>
          <a:off x="6947646" y="2980765"/>
          <a:ext cx="4560795" cy="1669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171450</xdr:colOff>
      <xdr:row>1</xdr:row>
      <xdr:rowOff>152400</xdr:rowOff>
    </xdr:from>
    <xdr:to>
      <xdr:col>7</xdr:col>
      <xdr:colOff>38596</xdr:colOff>
      <xdr:row>33</xdr:row>
      <xdr:rowOff>142111</xdr:rowOff>
    </xdr:to>
    <xdr:pic>
      <xdr:nvPicPr>
        <xdr:cNvPr id="2" name="Picture 1">
          <a:extLst>
            <a:ext uri="{FF2B5EF4-FFF2-40B4-BE49-F238E27FC236}">
              <a16:creationId xmlns:a16="http://schemas.microsoft.com/office/drawing/2014/main" id="{7B4A1ED6-EC55-4CBE-865A-5765AB407B53}"/>
            </a:ext>
          </a:extLst>
        </xdr:cNvPr>
        <xdr:cNvPicPr>
          <a:picLocks noChangeAspect="1"/>
        </xdr:cNvPicPr>
      </xdr:nvPicPr>
      <xdr:blipFill>
        <a:blip xmlns:r="http://schemas.openxmlformats.org/officeDocument/2006/relationships" r:embed="rId1"/>
        <a:stretch>
          <a:fillRect/>
        </a:stretch>
      </xdr:blipFill>
      <xdr:spPr>
        <a:xfrm>
          <a:off x="171450" y="342900"/>
          <a:ext cx="4990476" cy="6114286"/>
        </a:xfrm>
        <a:prstGeom prst="rect">
          <a:avLst/>
        </a:prstGeom>
      </xdr:spPr>
    </xdr:pic>
    <xdr:clientData/>
  </xdr:twoCellAnchor>
  <xdr:twoCellAnchor editAs="oneCell">
    <xdr:from>
      <xdr:col>10</xdr:col>
      <xdr:colOff>0</xdr:colOff>
      <xdr:row>1</xdr:row>
      <xdr:rowOff>0</xdr:rowOff>
    </xdr:from>
    <xdr:to>
      <xdr:col>17</xdr:col>
      <xdr:colOff>247086</xdr:colOff>
      <xdr:row>25</xdr:row>
      <xdr:rowOff>123238</xdr:rowOff>
    </xdr:to>
    <xdr:pic>
      <xdr:nvPicPr>
        <xdr:cNvPr id="3" name="Picture 2">
          <a:extLst>
            <a:ext uri="{FF2B5EF4-FFF2-40B4-BE49-F238E27FC236}">
              <a16:creationId xmlns:a16="http://schemas.microsoft.com/office/drawing/2014/main" id="{9F5A42AA-371B-4B10-99E4-7EC9A855316C}"/>
            </a:ext>
          </a:extLst>
        </xdr:cNvPr>
        <xdr:cNvPicPr>
          <a:picLocks noChangeAspect="1"/>
        </xdr:cNvPicPr>
      </xdr:nvPicPr>
      <xdr:blipFill>
        <a:blip xmlns:r="http://schemas.openxmlformats.org/officeDocument/2006/relationships" r:embed="rId2"/>
        <a:stretch>
          <a:fillRect/>
        </a:stretch>
      </xdr:blipFill>
      <xdr:spPr>
        <a:xfrm>
          <a:off x="5486400" y="190500"/>
          <a:ext cx="4514286" cy="4695238"/>
        </a:xfrm>
        <a:prstGeom prst="rect">
          <a:avLst/>
        </a:prstGeom>
      </xdr:spPr>
    </xdr:pic>
    <xdr:clientData/>
  </xdr:twoCellAnchor>
  <xdr:twoCellAnchor>
    <xdr:from>
      <xdr:col>12</xdr:col>
      <xdr:colOff>349624</xdr:colOff>
      <xdr:row>38</xdr:row>
      <xdr:rowOff>10647</xdr:rowOff>
    </xdr:from>
    <xdr:to>
      <xdr:col>20</xdr:col>
      <xdr:colOff>44824</xdr:colOff>
      <xdr:row>52</xdr:row>
      <xdr:rowOff>86847</xdr:rowOff>
    </xdr:to>
    <xdr:graphicFrame macro="">
      <xdr:nvGraphicFramePr>
        <xdr:cNvPr id="4" name="Chart 3">
          <a:extLst>
            <a:ext uri="{FF2B5EF4-FFF2-40B4-BE49-F238E27FC236}">
              <a16:creationId xmlns:a16="http://schemas.microsoft.com/office/drawing/2014/main" id="{019C97A9-07FE-45C0-901A-77CBAD0F9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7</xdr:row>
      <xdr:rowOff>76200</xdr:rowOff>
    </xdr:from>
    <xdr:to>
      <xdr:col>8</xdr:col>
      <xdr:colOff>304152</xdr:colOff>
      <xdr:row>24</xdr:row>
      <xdr:rowOff>47224</xdr:rowOff>
    </xdr:to>
    <xdr:pic>
      <xdr:nvPicPr>
        <xdr:cNvPr id="2" name="Picture 1">
          <a:extLst>
            <a:ext uri="{FF2B5EF4-FFF2-40B4-BE49-F238E27FC236}">
              <a16:creationId xmlns:a16="http://schemas.microsoft.com/office/drawing/2014/main" id="{31789F89-10D5-4D90-91D6-07301BB5D6E1}"/>
            </a:ext>
          </a:extLst>
        </xdr:cNvPr>
        <xdr:cNvPicPr>
          <a:picLocks noChangeAspect="1"/>
        </xdr:cNvPicPr>
      </xdr:nvPicPr>
      <xdr:blipFill>
        <a:blip xmlns:r="http://schemas.openxmlformats.org/officeDocument/2006/relationships" r:embed="rId1"/>
        <a:stretch>
          <a:fillRect/>
        </a:stretch>
      </xdr:blipFill>
      <xdr:spPr>
        <a:xfrm>
          <a:off x="0" y="1409700"/>
          <a:ext cx="5180952" cy="3209524"/>
        </a:xfrm>
        <a:prstGeom prst="rect">
          <a:avLst/>
        </a:prstGeom>
      </xdr:spPr>
    </xdr:pic>
    <xdr:clientData/>
  </xdr:twoCellAnchor>
  <xdr:twoCellAnchor editAs="oneCell">
    <xdr:from>
      <xdr:col>8</xdr:col>
      <xdr:colOff>361950</xdr:colOff>
      <xdr:row>6</xdr:row>
      <xdr:rowOff>66675</xdr:rowOff>
    </xdr:from>
    <xdr:to>
      <xdr:col>15</xdr:col>
      <xdr:colOff>486495</xdr:colOff>
      <xdr:row>19</xdr:row>
      <xdr:rowOff>37794</xdr:rowOff>
    </xdr:to>
    <xdr:pic>
      <xdr:nvPicPr>
        <xdr:cNvPr id="3" name="Picture 2">
          <a:extLst>
            <a:ext uri="{FF2B5EF4-FFF2-40B4-BE49-F238E27FC236}">
              <a16:creationId xmlns:a16="http://schemas.microsoft.com/office/drawing/2014/main" id="{5A48C1F6-03B1-42D6-B8FC-768873904DD3}"/>
            </a:ext>
          </a:extLst>
        </xdr:cNvPr>
        <xdr:cNvPicPr>
          <a:picLocks noChangeAspect="1"/>
        </xdr:cNvPicPr>
      </xdr:nvPicPr>
      <xdr:blipFill>
        <a:blip xmlns:r="http://schemas.openxmlformats.org/officeDocument/2006/relationships" r:embed="rId2"/>
        <a:stretch>
          <a:fillRect/>
        </a:stretch>
      </xdr:blipFill>
      <xdr:spPr>
        <a:xfrm>
          <a:off x="5238750" y="1209675"/>
          <a:ext cx="5123809" cy="2447619"/>
        </a:xfrm>
        <a:prstGeom prst="rect">
          <a:avLst/>
        </a:prstGeom>
      </xdr:spPr>
    </xdr:pic>
    <xdr:clientData/>
  </xdr:twoCellAnchor>
  <xdr:twoCellAnchor editAs="oneCell">
    <xdr:from>
      <xdr:col>0</xdr:col>
      <xdr:colOff>0</xdr:colOff>
      <xdr:row>0</xdr:row>
      <xdr:rowOff>0</xdr:rowOff>
    </xdr:from>
    <xdr:to>
      <xdr:col>8</xdr:col>
      <xdr:colOff>104152</xdr:colOff>
      <xdr:row>6</xdr:row>
      <xdr:rowOff>18905</xdr:rowOff>
    </xdr:to>
    <xdr:pic>
      <xdr:nvPicPr>
        <xdr:cNvPr id="4" name="Picture 3">
          <a:extLst>
            <a:ext uri="{FF2B5EF4-FFF2-40B4-BE49-F238E27FC236}">
              <a16:creationId xmlns:a16="http://schemas.microsoft.com/office/drawing/2014/main" id="{40AF6FC4-736A-429E-A7A1-9801B2A77AB3}"/>
            </a:ext>
          </a:extLst>
        </xdr:cNvPr>
        <xdr:cNvPicPr>
          <a:picLocks noChangeAspect="1"/>
        </xdr:cNvPicPr>
      </xdr:nvPicPr>
      <xdr:blipFill>
        <a:blip xmlns:r="http://schemas.openxmlformats.org/officeDocument/2006/relationships" r:embed="rId3"/>
        <a:stretch>
          <a:fillRect/>
        </a:stretch>
      </xdr:blipFill>
      <xdr:spPr>
        <a:xfrm>
          <a:off x="0" y="0"/>
          <a:ext cx="4980952" cy="1161905"/>
        </a:xfrm>
        <a:prstGeom prst="rect">
          <a:avLst/>
        </a:prstGeom>
      </xdr:spPr>
    </xdr:pic>
    <xdr:clientData/>
  </xdr:twoCellAnchor>
  <xdr:twoCellAnchor>
    <xdr:from>
      <xdr:col>11</xdr:col>
      <xdr:colOff>349624</xdr:colOff>
      <xdr:row>37</xdr:row>
      <xdr:rowOff>10647</xdr:rowOff>
    </xdr:from>
    <xdr:to>
      <xdr:col>19</xdr:col>
      <xdr:colOff>44824</xdr:colOff>
      <xdr:row>51</xdr:row>
      <xdr:rowOff>86847</xdr:rowOff>
    </xdr:to>
    <xdr:graphicFrame macro="">
      <xdr:nvGraphicFramePr>
        <xdr:cNvPr id="6" name="Chart 5">
          <a:extLst>
            <a:ext uri="{FF2B5EF4-FFF2-40B4-BE49-F238E27FC236}">
              <a16:creationId xmlns:a16="http://schemas.microsoft.com/office/drawing/2014/main" id="{8470516F-C51F-44EA-A041-3BE69BA57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222250</xdr:colOff>
      <xdr:row>57</xdr:row>
      <xdr:rowOff>31750</xdr:rowOff>
    </xdr:from>
    <xdr:to>
      <xdr:col>15</xdr:col>
      <xdr:colOff>558298</xdr:colOff>
      <xdr:row>64</xdr:row>
      <xdr:rowOff>126821</xdr:rowOff>
    </xdr:to>
    <xdr:pic>
      <xdr:nvPicPr>
        <xdr:cNvPr id="7" name="Picture 6">
          <a:extLst>
            <a:ext uri="{FF2B5EF4-FFF2-40B4-BE49-F238E27FC236}">
              <a16:creationId xmlns:a16="http://schemas.microsoft.com/office/drawing/2014/main" id="{049DC6A3-DAAF-4ABB-A02E-4DA796A9972E}"/>
            </a:ext>
          </a:extLst>
        </xdr:cNvPr>
        <xdr:cNvPicPr>
          <a:picLocks noChangeAspect="1"/>
        </xdr:cNvPicPr>
      </xdr:nvPicPr>
      <xdr:blipFill>
        <a:blip xmlns:r="http://schemas.openxmlformats.org/officeDocument/2006/relationships" r:embed="rId5"/>
        <a:stretch>
          <a:fillRect/>
        </a:stretch>
      </xdr:blipFill>
      <xdr:spPr>
        <a:xfrm>
          <a:off x="6477000" y="10964333"/>
          <a:ext cx="4019048" cy="142857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28</xdr:col>
      <xdr:colOff>0</xdr:colOff>
      <xdr:row>0</xdr:row>
      <xdr:rowOff>0</xdr:rowOff>
    </xdr:from>
    <xdr:to>
      <xdr:col>34</xdr:col>
      <xdr:colOff>571500</xdr:colOff>
      <xdr:row>15</xdr:row>
      <xdr:rowOff>76199</xdr:rowOff>
    </xdr:to>
    <xdr:graphicFrame macro="">
      <xdr:nvGraphicFramePr>
        <xdr:cNvPr id="2" name="Chart 1">
          <a:extLst>
            <a:ext uri="{FF2B5EF4-FFF2-40B4-BE49-F238E27FC236}">
              <a16:creationId xmlns:a16="http://schemas.microsoft.com/office/drawing/2014/main" id="{2EF52652-2659-4681-8828-2D763A940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0</xdr:colOff>
      <xdr:row>0</xdr:row>
      <xdr:rowOff>0</xdr:rowOff>
    </xdr:from>
    <xdr:to>
      <xdr:col>28</xdr:col>
      <xdr:colOff>262218</xdr:colOff>
      <xdr:row>15</xdr:row>
      <xdr:rowOff>66675</xdr:rowOff>
    </xdr:to>
    <xdr:graphicFrame macro="">
      <xdr:nvGraphicFramePr>
        <xdr:cNvPr id="3" name="Chart 2">
          <a:extLst>
            <a:ext uri="{FF2B5EF4-FFF2-40B4-BE49-F238E27FC236}">
              <a16:creationId xmlns:a16="http://schemas.microsoft.com/office/drawing/2014/main" id="{8C8F0464-95B1-4E2D-BF46-F9E319259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323850</xdr:colOff>
      <xdr:row>65</xdr:row>
      <xdr:rowOff>121102</xdr:rowOff>
    </xdr:from>
    <xdr:to>
      <xdr:col>20</xdr:col>
      <xdr:colOff>560575</xdr:colOff>
      <xdr:row>87</xdr:row>
      <xdr:rowOff>0</xdr:rowOff>
    </xdr:to>
    <xdr:graphicFrame macro="">
      <xdr:nvGraphicFramePr>
        <xdr:cNvPr id="4" name="Chart 3">
          <a:extLst>
            <a:ext uri="{FF2B5EF4-FFF2-40B4-BE49-F238E27FC236}">
              <a16:creationId xmlns:a16="http://schemas.microsoft.com/office/drawing/2014/main" id="{B12F21BA-1317-4506-9630-8726F1E4D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259415</xdr:colOff>
      <xdr:row>204</xdr:row>
      <xdr:rowOff>104534</xdr:rowOff>
    </xdr:from>
    <xdr:to>
      <xdr:col>13</xdr:col>
      <xdr:colOff>232520</xdr:colOff>
      <xdr:row>208</xdr:row>
      <xdr:rowOff>2625</xdr:rowOff>
    </xdr:to>
    <xdr:pic>
      <xdr:nvPicPr>
        <xdr:cNvPr id="5" name="Picture 4">
          <a:extLst>
            <a:ext uri="{FF2B5EF4-FFF2-40B4-BE49-F238E27FC236}">
              <a16:creationId xmlns:a16="http://schemas.microsoft.com/office/drawing/2014/main" id="{BEE17830-1C7E-48D7-8F96-01DEB8C4C2B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707840" y="29251034"/>
          <a:ext cx="1344705" cy="488641"/>
        </a:xfrm>
        <a:prstGeom prst="rect">
          <a:avLst/>
        </a:prstGeom>
        <a:noFill/>
        <a:ln w="25400">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112899</xdr:colOff>
      <xdr:row>0</xdr:row>
      <xdr:rowOff>0</xdr:rowOff>
    </xdr:from>
    <xdr:to>
      <xdr:col>21</xdr:col>
      <xdr:colOff>0</xdr:colOff>
      <xdr:row>15</xdr:row>
      <xdr:rowOff>62193</xdr:rowOff>
    </xdr:to>
    <xdr:graphicFrame macro="">
      <xdr:nvGraphicFramePr>
        <xdr:cNvPr id="6" name="Chart 5">
          <a:extLst>
            <a:ext uri="{FF2B5EF4-FFF2-40B4-BE49-F238E27FC236}">
              <a16:creationId xmlns:a16="http://schemas.microsoft.com/office/drawing/2014/main" id="{D80F3EF5-97E5-4EF1-BF57-FCE22396B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91</xdr:row>
      <xdr:rowOff>76200</xdr:rowOff>
    </xdr:from>
    <xdr:to>
      <xdr:col>21</xdr:col>
      <xdr:colOff>214033</xdr:colOff>
      <xdr:row>106</xdr:row>
      <xdr:rowOff>0</xdr:rowOff>
    </xdr:to>
    <xdr:graphicFrame macro="">
      <xdr:nvGraphicFramePr>
        <xdr:cNvPr id="7" name="Chart 6">
          <a:extLst>
            <a:ext uri="{FF2B5EF4-FFF2-40B4-BE49-F238E27FC236}">
              <a16:creationId xmlns:a16="http://schemas.microsoft.com/office/drawing/2014/main" id="{D07714D1-ED4F-4461-B41A-E7859420A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9769</xdr:colOff>
      <xdr:row>119</xdr:row>
      <xdr:rowOff>11400</xdr:rowOff>
    </xdr:from>
    <xdr:to>
      <xdr:col>15</xdr:col>
      <xdr:colOff>76200</xdr:colOff>
      <xdr:row>124</xdr:row>
      <xdr:rowOff>85725</xdr:rowOff>
    </xdr:to>
    <xdr:pic>
      <xdr:nvPicPr>
        <xdr:cNvPr id="8" name="Picture 7">
          <a:extLst>
            <a:ext uri="{FF2B5EF4-FFF2-40B4-BE49-F238E27FC236}">
              <a16:creationId xmlns:a16="http://schemas.microsoft.com/office/drawing/2014/main" id="{9D86F3DC-D373-4D9E-B553-0E80F1472E89}"/>
            </a:ext>
          </a:extLst>
        </xdr:cNvPr>
        <xdr:cNvPicPr>
          <a:picLocks noChangeAspect="1"/>
        </xdr:cNvPicPr>
      </xdr:nvPicPr>
      <xdr:blipFill>
        <a:blip xmlns:r="http://schemas.openxmlformats.org/officeDocument/2006/relationships" r:embed="rId7"/>
        <a:stretch>
          <a:fillRect/>
        </a:stretch>
      </xdr:blipFill>
      <xdr:spPr>
        <a:xfrm>
          <a:off x="6915394" y="17013525"/>
          <a:ext cx="1438031" cy="788700"/>
        </a:xfrm>
        <a:prstGeom prst="rect">
          <a:avLst/>
        </a:prstGeom>
      </xdr:spPr>
    </xdr:pic>
    <xdr:clientData/>
  </xdr:twoCellAnchor>
  <xdr:twoCellAnchor editAs="oneCell">
    <xdr:from>
      <xdr:col>12</xdr:col>
      <xdr:colOff>0</xdr:colOff>
      <xdr:row>107</xdr:row>
      <xdr:rowOff>0</xdr:rowOff>
    </xdr:from>
    <xdr:to>
      <xdr:col>18</xdr:col>
      <xdr:colOff>237212</xdr:colOff>
      <xdr:row>117</xdr:row>
      <xdr:rowOff>35166</xdr:rowOff>
    </xdr:to>
    <xdr:pic>
      <xdr:nvPicPr>
        <xdr:cNvPr id="9" name="Picture 8">
          <a:extLst>
            <a:ext uri="{FF2B5EF4-FFF2-40B4-BE49-F238E27FC236}">
              <a16:creationId xmlns:a16="http://schemas.microsoft.com/office/drawing/2014/main" id="{CDB533CF-F498-405E-A9CD-753BB7472189}"/>
            </a:ext>
          </a:extLst>
        </xdr:cNvPr>
        <xdr:cNvPicPr>
          <a:picLocks noChangeAspect="1"/>
        </xdr:cNvPicPr>
      </xdr:nvPicPr>
      <xdr:blipFill>
        <a:blip xmlns:r="http://schemas.openxmlformats.org/officeDocument/2006/relationships" r:embed="rId8"/>
        <a:stretch>
          <a:fillRect/>
        </a:stretch>
      </xdr:blipFill>
      <xdr:spPr>
        <a:xfrm>
          <a:off x="6905625" y="15287625"/>
          <a:ext cx="2980412" cy="1463916"/>
        </a:xfrm>
        <a:prstGeom prst="rect">
          <a:avLst/>
        </a:prstGeom>
        <a:ln w="25400">
          <a:solidFill>
            <a:schemeClr val="tx1"/>
          </a:solidFill>
        </a:ln>
      </xdr:spPr>
    </xdr:pic>
    <xdr:clientData/>
  </xdr:twoCellAnchor>
  <xdr:twoCellAnchor editAs="oneCell">
    <xdr:from>
      <xdr:col>15</xdr:col>
      <xdr:colOff>0</xdr:colOff>
      <xdr:row>191</xdr:row>
      <xdr:rowOff>61886</xdr:rowOff>
    </xdr:from>
    <xdr:to>
      <xdr:col>23</xdr:col>
      <xdr:colOff>213010</xdr:colOff>
      <xdr:row>207</xdr:row>
      <xdr:rowOff>142875</xdr:rowOff>
    </xdr:to>
    <xdr:pic>
      <xdr:nvPicPr>
        <xdr:cNvPr id="10" name="Picture 9">
          <a:extLst>
            <a:ext uri="{FF2B5EF4-FFF2-40B4-BE49-F238E27FC236}">
              <a16:creationId xmlns:a16="http://schemas.microsoft.com/office/drawing/2014/main" id="{C3FFAFD3-A312-4C71-9296-2B0EDD20F851}"/>
            </a:ext>
          </a:extLst>
        </xdr:cNvPr>
        <xdr:cNvPicPr>
          <a:picLocks noChangeAspect="1"/>
        </xdr:cNvPicPr>
      </xdr:nvPicPr>
      <xdr:blipFill>
        <a:blip xmlns:r="http://schemas.openxmlformats.org/officeDocument/2006/relationships" r:embed="rId9"/>
        <a:stretch>
          <a:fillRect/>
        </a:stretch>
      </xdr:blipFill>
      <xdr:spPr>
        <a:xfrm>
          <a:off x="8277225" y="27351011"/>
          <a:ext cx="4413535" cy="2366989"/>
        </a:xfrm>
        <a:prstGeom prst="rect">
          <a:avLst/>
        </a:prstGeom>
        <a:ln w="25400">
          <a:solidFill>
            <a:schemeClr val="tx1"/>
          </a:solidFill>
        </a:ln>
      </xdr:spPr>
    </xdr:pic>
    <xdr:clientData/>
  </xdr:twoCellAnchor>
  <xdr:twoCellAnchor editAs="oneCell">
    <xdr:from>
      <xdr:col>12</xdr:col>
      <xdr:colOff>5604</xdr:colOff>
      <xdr:row>169</xdr:row>
      <xdr:rowOff>6723</xdr:rowOff>
    </xdr:from>
    <xdr:to>
      <xdr:col>15</xdr:col>
      <xdr:colOff>395568</xdr:colOff>
      <xdr:row>177</xdr:row>
      <xdr:rowOff>56130</xdr:rowOff>
    </xdr:to>
    <xdr:pic>
      <xdr:nvPicPr>
        <xdr:cNvPr id="11" name="Picture 10">
          <a:extLst>
            <a:ext uri="{FF2B5EF4-FFF2-40B4-BE49-F238E27FC236}">
              <a16:creationId xmlns:a16="http://schemas.microsoft.com/office/drawing/2014/main" id="{825A0CA1-F6DB-45F9-AEEA-3F962B2D2A35}"/>
            </a:ext>
          </a:extLst>
        </xdr:cNvPr>
        <xdr:cNvPicPr>
          <a:picLocks noChangeAspect="1"/>
        </xdr:cNvPicPr>
      </xdr:nvPicPr>
      <xdr:blipFill>
        <a:blip xmlns:r="http://schemas.openxmlformats.org/officeDocument/2006/relationships" r:embed="rId10"/>
        <a:stretch>
          <a:fillRect/>
        </a:stretch>
      </xdr:blipFill>
      <xdr:spPr>
        <a:xfrm>
          <a:off x="6911229" y="24152598"/>
          <a:ext cx="1761564" cy="1192407"/>
        </a:xfrm>
        <a:prstGeom prst="rect">
          <a:avLst/>
        </a:prstGeom>
      </xdr:spPr>
    </xdr:pic>
    <xdr:clientData/>
  </xdr:twoCellAnchor>
  <xdr:twoCellAnchor>
    <xdr:from>
      <xdr:col>20</xdr:col>
      <xdr:colOff>2800</xdr:colOff>
      <xdr:row>176</xdr:row>
      <xdr:rowOff>2241</xdr:rowOff>
    </xdr:from>
    <xdr:to>
      <xdr:col>27</xdr:col>
      <xdr:colOff>302557</xdr:colOff>
      <xdr:row>190</xdr:row>
      <xdr:rowOff>78441</xdr:rowOff>
    </xdr:to>
    <xdr:graphicFrame macro="">
      <xdr:nvGraphicFramePr>
        <xdr:cNvPr id="12" name="Chart 11">
          <a:extLst>
            <a:ext uri="{FF2B5EF4-FFF2-40B4-BE49-F238E27FC236}">
              <a16:creationId xmlns:a16="http://schemas.microsoft.com/office/drawing/2014/main" id="{1F3CC6D0-363E-4430-9EAC-BE646F732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277</xdr:row>
      <xdr:rowOff>85166</xdr:rowOff>
    </xdr:from>
    <xdr:to>
      <xdr:col>2</xdr:col>
      <xdr:colOff>0</xdr:colOff>
      <xdr:row>294</xdr:row>
      <xdr:rowOff>0</xdr:rowOff>
    </xdr:to>
    <xdr:graphicFrame macro="">
      <xdr:nvGraphicFramePr>
        <xdr:cNvPr id="13" name="Chart 12">
          <a:extLst>
            <a:ext uri="{FF2B5EF4-FFF2-40B4-BE49-F238E27FC236}">
              <a16:creationId xmlns:a16="http://schemas.microsoft.com/office/drawing/2014/main" id="{8855B464-5250-4941-AE10-7B264B11E1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211</xdr:row>
      <xdr:rowOff>19610</xdr:rowOff>
    </xdr:from>
    <xdr:to>
      <xdr:col>21</xdr:col>
      <xdr:colOff>528357</xdr:colOff>
      <xdr:row>231</xdr:row>
      <xdr:rowOff>0</xdr:rowOff>
    </xdr:to>
    <xdr:graphicFrame macro="">
      <xdr:nvGraphicFramePr>
        <xdr:cNvPr id="14" name="Chart 13">
          <a:extLst>
            <a:ext uri="{FF2B5EF4-FFF2-40B4-BE49-F238E27FC236}">
              <a16:creationId xmlns:a16="http://schemas.microsoft.com/office/drawing/2014/main" id="{7E8A3FF9-4876-42B3-BBA5-9F53C2A81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27</xdr:col>
      <xdr:colOff>361390</xdr:colOff>
      <xdr:row>175</xdr:row>
      <xdr:rowOff>147918</xdr:rowOff>
    </xdr:from>
    <xdr:to>
      <xdr:col>35</xdr:col>
      <xdr:colOff>56030</xdr:colOff>
      <xdr:row>190</xdr:row>
      <xdr:rowOff>67236</xdr:rowOff>
    </xdr:to>
    <xdr:graphicFrame macro="">
      <xdr:nvGraphicFramePr>
        <xdr:cNvPr id="15" name="Chart 14">
          <a:extLst>
            <a:ext uri="{FF2B5EF4-FFF2-40B4-BE49-F238E27FC236}">
              <a16:creationId xmlns:a16="http://schemas.microsoft.com/office/drawing/2014/main" id="{E9EF6049-2047-4DA6-B6D6-F45EB1D7E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338139</xdr:colOff>
      <xdr:row>39</xdr:row>
      <xdr:rowOff>0</xdr:rowOff>
    </xdr:from>
    <xdr:to>
      <xdr:col>29</xdr:col>
      <xdr:colOff>0</xdr:colOff>
      <xdr:row>77</xdr:row>
      <xdr:rowOff>131030</xdr:rowOff>
    </xdr:to>
    <xdr:graphicFrame macro="">
      <xdr:nvGraphicFramePr>
        <xdr:cNvPr id="16" name="Chart 15">
          <a:extLst>
            <a:ext uri="{FF2B5EF4-FFF2-40B4-BE49-F238E27FC236}">
              <a16:creationId xmlns:a16="http://schemas.microsoft.com/office/drawing/2014/main" id="{F2FFD7F9-6D82-4ABC-BF3A-0C94C2E00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0</xdr:colOff>
      <xdr:row>287</xdr:row>
      <xdr:rowOff>0</xdr:rowOff>
    </xdr:from>
    <xdr:to>
      <xdr:col>21</xdr:col>
      <xdr:colOff>347382</xdr:colOff>
      <xdr:row>306</xdr:row>
      <xdr:rowOff>67236</xdr:rowOff>
    </xdr:to>
    <xdr:graphicFrame macro="">
      <xdr:nvGraphicFramePr>
        <xdr:cNvPr id="17" name="Chart 16">
          <a:extLst>
            <a:ext uri="{FF2B5EF4-FFF2-40B4-BE49-F238E27FC236}">
              <a16:creationId xmlns:a16="http://schemas.microsoft.com/office/drawing/2014/main" id="{2F0BC829-C724-4ACC-89BD-2FB489069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323850</xdr:colOff>
      <xdr:row>42</xdr:row>
      <xdr:rowOff>68994</xdr:rowOff>
    </xdr:from>
    <xdr:to>
      <xdr:col>20</xdr:col>
      <xdr:colOff>551048</xdr:colOff>
      <xdr:row>65</xdr:row>
      <xdr:rowOff>66675</xdr:rowOff>
    </xdr:to>
    <xdr:graphicFrame macro="">
      <xdr:nvGraphicFramePr>
        <xdr:cNvPr id="18" name="Chart 17">
          <a:extLst>
            <a:ext uri="{FF2B5EF4-FFF2-40B4-BE49-F238E27FC236}">
              <a16:creationId xmlns:a16="http://schemas.microsoft.com/office/drawing/2014/main" id="{6B7748A6-142E-46BD-8206-712C17973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13</xdr:col>
      <xdr:colOff>0</xdr:colOff>
      <xdr:row>250</xdr:row>
      <xdr:rowOff>0</xdr:rowOff>
    </xdr:from>
    <xdr:to>
      <xdr:col>23</xdr:col>
      <xdr:colOff>399361</xdr:colOff>
      <xdr:row>270</xdr:row>
      <xdr:rowOff>47262</xdr:rowOff>
    </xdr:to>
    <xdr:pic>
      <xdr:nvPicPr>
        <xdr:cNvPr id="19" name="Picture 18">
          <a:extLst>
            <a:ext uri="{FF2B5EF4-FFF2-40B4-BE49-F238E27FC236}">
              <a16:creationId xmlns:a16="http://schemas.microsoft.com/office/drawing/2014/main" id="{51903995-B521-4630-9609-8BE476D05599}"/>
            </a:ext>
          </a:extLst>
        </xdr:cNvPr>
        <xdr:cNvPicPr>
          <a:picLocks noChangeAspect="1"/>
        </xdr:cNvPicPr>
      </xdr:nvPicPr>
      <xdr:blipFill>
        <a:blip xmlns:r="http://schemas.openxmlformats.org/officeDocument/2006/relationships" r:embed="rId18"/>
        <a:stretch>
          <a:fillRect/>
        </a:stretch>
      </xdr:blipFill>
      <xdr:spPr>
        <a:xfrm>
          <a:off x="7820025" y="35756850"/>
          <a:ext cx="5514286" cy="2904762"/>
        </a:xfrm>
        <a:prstGeom prst="rect">
          <a:avLst/>
        </a:prstGeom>
      </xdr:spPr>
    </xdr:pic>
    <xdr:clientData/>
  </xdr:twoCellAnchor>
  <xdr:twoCellAnchor>
    <xdr:from>
      <xdr:col>19</xdr:col>
      <xdr:colOff>85725</xdr:colOff>
      <xdr:row>22</xdr:row>
      <xdr:rowOff>9525</xdr:rowOff>
    </xdr:from>
    <xdr:to>
      <xdr:col>26</xdr:col>
      <xdr:colOff>125226</xdr:colOff>
      <xdr:row>37</xdr:row>
      <xdr:rowOff>71718</xdr:rowOff>
    </xdr:to>
    <xdr:graphicFrame macro="">
      <xdr:nvGraphicFramePr>
        <xdr:cNvPr id="20" name="Chart 19">
          <a:extLst>
            <a:ext uri="{FF2B5EF4-FFF2-40B4-BE49-F238E27FC236}">
              <a16:creationId xmlns:a16="http://schemas.microsoft.com/office/drawing/2014/main" id="{3259F6CE-B26E-400F-8894-6237CF8A1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33337</xdr:colOff>
      <xdr:row>230</xdr:row>
      <xdr:rowOff>28575</xdr:rowOff>
    </xdr:from>
    <xdr:to>
      <xdr:col>22</xdr:col>
      <xdr:colOff>100012</xdr:colOff>
      <xdr:row>249</xdr:row>
      <xdr:rowOff>57150</xdr:rowOff>
    </xdr:to>
    <xdr:graphicFrame macro="">
      <xdr:nvGraphicFramePr>
        <xdr:cNvPr id="21" name="Chart 20">
          <a:extLst>
            <a:ext uri="{FF2B5EF4-FFF2-40B4-BE49-F238E27FC236}">
              <a16:creationId xmlns:a16="http://schemas.microsoft.com/office/drawing/2014/main" id="{CBAE4C0B-7CC5-4F5A-B0D5-00C42585D6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123825</xdr:colOff>
      <xdr:row>0</xdr:row>
      <xdr:rowOff>19050</xdr:rowOff>
    </xdr:from>
    <xdr:to>
      <xdr:col>27</xdr:col>
      <xdr:colOff>123824</xdr:colOff>
      <xdr:row>16</xdr:row>
      <xdr:rowOff>12327</xdr:rowOff>
    </xdr:to>
    <xdr:graphicFrame macro="">
      <xdr:nvGraphicFramePr>
        <xdr:cNvPr id="2" name="Chart 1">
          <a:extLst>
            <a:ext uri="{FF2B5EF4-FFF2-40B4-BE49-F238E27FC236}">
              <a16:creationId xmlns:a16="http://schemas.microsoft.com/office/drawing/2014/main" id="{60E81679-8B05-4AA0-BA1E-D6E1979A2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123265</xdr:colOff>
      <xdr:row>17</xdr:row>
      <xdr:rowOff>33618</xdr:rowOff>
    </xdr:from>
    <xdr:to>
      <xdr:col>32</xdr:col>
      <xdr:colOff>392207</xdr:colOff>
      <xdr:row>32</xdr:row>
      <xdr:rowOff>78441</xdr:rowOff>
    </xdr:to>
    <xdr:graphicFrame macro="">
      <xdr:nvGraphicFramePr>
        <xdr:cNvPr id="3" name="Chart 2">
          <a:extLst>
            <a:ext uri="{FF2B5EF4-FFF2-40B4-BE49-F238E27FC236}">
              <a16:creationId xmlns:a16="http://schemas.microsoft.com/office/drawing/2014/main" id="{3FF74033-0390-42E5-91C6-3D4E34FBD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17</xdr:row>
      <xdr:rowOff>0</xdr:rowOff>
    </xdr:from>
    <xdr:to>
      <xdr:col>25</xdr:col>
      <xdr:colOff>68357</xdr:colOff>
      <xdr:row>34</xdr:row>
      <xdr:rowOff>6314</xdr:rowOff>
    </xdr:to>
    <xdr:graphicFrame macro="">
      <xdr:nvGraphicFramePr>
        <xdr:cNvPr id="4" name="Chart 3">
          <a:extLst>
            <a:ext uri="{FF2B5EF4-FFF2-40B4-BE49-F238E27FC236}">
              <a16:creationId xmlns:a16="http://schemas.microsoft.com/office/drawing/2014/main" id="{9FF19B4A-3A84-4E5B-AC6A-E13E416C7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369793</xdr:colOff>
      <xdr:row>58</xdr:row>
      <xdr:rowOff>67235</xdr:rowOff>
    </xdr:from>
    <xdr:to>
      <xdr:col>23</xdr:col>
      <xdr:colOff>514350</xdr:colOff>
      <xdr:row>71</xdr:row>
      <xdr:rowOff>98051</xdr:rowOff>
    </xdr:to>
    <xdr:graphicFrame macro="">
      <xdr:nvGraphicFramePr>
        <xdr:cNvPr id="5" name="Chart 4">
          <a:extLst>
            <a:ext uri="{FF2B5EF4-FFF2-40B4-BE49-F238E27FC236}">
              <a16:creationId xmlns:a16="http://schemas.microsoft.com/office/drawing/2014/main" id="{E72E0027-D9EA-442F-A11B-FD1848653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209573</xdr:colOff>
      <xdr:row>40</xdr:row>
      <xdr:rowOff>127990</xdr:rowOff>
    </xdr:from>
    <xdr:to>
      <xdr:col>25</xdr:col>
      <xdr:colOff>100852</xdr:colOff>
      <xdr:row>50</xdr:row>
      <xdr:rowOff>134471</xdr:rowOff>
    </xdr:to>
    <xdr:graphicFrame macro="">
      <xdr:nvGraphicFramePr>
        <xdr:cNvPr id="6" name="Chart 5">
          <a:extLst>
            <a:ext uri="{FF2B5EF4-FFF2-40B4-BE49-F238E27FC236}">
              <a16:creationId xmlns:a16="http://schemas.microsoft.com/office/drawing/2014/main" id="{44619784-6F7B-4A2D-8133-C30365CB8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17</xdr:row>
      <xdr:rowOff>0</xdr:rowOff>
    </xdr:from>
    <xdr:to>
      <xdr:col>6</xdr:col>
      <xdr:colOff>400050</xdr:colOff>
      <xdr:row>20</xdr:row>
      <xdr:rowOff>104775</xdr:rowOff>
    </xdr:to>
    <xdr:pic>
      <xdr:nvPicPr>
        <xdr:cNvPr id="9" name="Picture 8">
          <a:extLst>
            <a:ext uri="{FF2B5EF4-FFF2-40B4-BE49-F238E27FC236}">
              <a16:creationId xmlns:a16="http://schemas.microsoft.com/office/drawing/2014/main" id="{0CFE60F6-328C-431D-B491-198BAD04D7A5}"/>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09875" y="2447925"/>
          <a:ext cx="2352675" cy="676275"/>
        </a:xfrm>
        <a:prstGeom prst="rect">
          <a:avLst/>
        </a:prstGeom>
        <a:solidFill>
          <a:schemeClr val="bg1"/>
        </a:solidFill>
        <a:ln w="19050">
          <a:solidFill>
            <a:schemeClr val="tx1"/>
          </a:solidFill>
        </a:ln>
      </xdr:spPr>
    </xdr:pic>
    <xdr:clientData/>
  </xdr:twoCellAnchor>
  <xdr:twoCellAnchor>
    <xdr:from>
      <xdr:col>1</xdr:col>
      <xdr:colOff>885264</xdr:colOff>
      <xdr:row>44</xdr:row>
      <xdr:rowOff>78441</xdr:rowOff>
    </xdr:from>
    <xdr:to>
      <xdr:col>6</xdr:col>
      <xdr:colOff>448234</xdr:colOff>
      <xdr:row>47</xdr:row>
      <xdr:rowOff>109818</xdr:rowOff>
    </xdr:to>
    <xdr:pic>
      <xdr:nvPicPr>
        <xdr:cNvPr id="10" name="Picture 9">
          <a:extLst>
            <a:ext uri="{FF2B5EF4-FFF2-40B4-BE49-F238E27FC236}">
              <a16:creationId xmlns:a16="http://schemas.microsoft.com/office/drawing/2014/main" id="{C833B06A-9AC4-4C85-9AA9-27FA7E30FD2F}"/>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34235" y="6667500"/>
          <a:ext cx="2487705" cy="558053"/>
        </a:xfrm>
        <a:prstGeom prst="rect">
          <a:avLst/>
        </a:prstGeom>
        <a:solidFill>
          <a:schemeClr val="bg1"/>
        </a:solidFill>
        <a:ln w="19050">
          <a:solidFill>
            <a:schemeClr val="tx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1cba2dbc69c9d38/Statistics/My%20Stat%20Excercises/excel%20modeling%20RR%20and%20GGS/SC-013%20sor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s data"/>
      <sheetName val="Data SC 013"/>
      <sheetName val="SC13Feed"/>
      <sheetName val="Plot Percentiles"/>
      <sheetName val="ttest"/>
      <sheetName val="Sheet7"/>
    </sheetNames>
    <sheetDataSet>
      <sheetData sheetId="0"/>
      <sheetData sheetId="1"/>
      <sheetData sheetId="2"/>
      <sheetData sheetId="3">
        <row r="1">
          <cell r="K1" t="str">
            <v>𝜙</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doi.org/10.11118/actaun201159030197"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s://www.theanalysisfactor.com/assessing-the-fit-of-regression-models/"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Downloads/AComparatveStudyonPSDModelsforChromteOresCommnutedbyDfferentDevces%20(2).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chem.mtu.edu/chem_eng/faculty/kawatra/CM2200_2009_HW_3_sizedist.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466CA-677E-4A33-960C-B9754CB9AEF2}">
  <sheetPr codeName="Sheet9"/>
  <dimension ref="A1:U51"/>
  <sheetViews>
    <sheetView tabSelected="1" topLeftCell="B37" zoomScale="85" zoomScaleNormal="85" workbookViewId="0">
      <selection activeCell="O21" sqref="O21:U34"/>
    </sheetView>
  </sheetViews>
  <sheetFormatPr defaultRowHeight="15" x14ac:dyDescent="0.25"/>
  <cols>
    <col min="1" max="1" width="17.42578125" customWidth="1"/>
  </cols>
  <sheetData>
    <row r="1" spans="1:14" x14ac:dyDescent="0.25">
      <c r="A1" s="138"/>
      <c r="B1" s="138"/>
      <c r="C1" s="36"/>
      <c r="D1" s="36"/>
      <c r="E1" s="36"/>
      <c r="F1" s="36"/>
      <c r="G1" s="36"/>
      <c r="H1" s="36"/>
      <c r="I1" s="36"/>
      <c r="J1" s="160"/>
      <c r="K1" s="36"/>
      <c r="L1" s="36"/>
      <c r="M1" s="139"/>
    </row>
    <row r="2" spans="1:14" x14ac:dyDescent="0.25">
      <c r="A2" s="327" t="s">
        <v>295</v>
      </c>
      <c r="B2" s="138"/>
      <c r="C2" s="36"/>
      <c r="D2" s="36"/>
      <c r="E2" s="36"/>
      <c r="F2" s="36"/>
      <c r="G2" s="36"/>
      <c r="H2" s="36"/>
      <c r="I2" s="36"/>
      <c r="J2" s="160"/>
      <c r="K2" s="36"/>
      <c r="L2" s="36"/>
      <c r="M2" s="139"/>
    </row>
    <row r="3" spans="1:14" x14ac:dyDescent="0.25">
      <c r="A3" s="138"/>
      <c r="B3" s="36"/>
      <c r="C3" s="36"/>
      <c r="D3" s="36"/>
      <c r="E3" s="36"/>
      <c r="F3" s="36"/>
      <c r="G3" s="36"/>
      <c r="H3" s="36"/>
      <c r="I3" s="36"/>
      <c r="J3" s="160"/>
      <c r="K3" s="36"/>
      <c r="L3" s="36"/>
      <c r="M3" s="139"/>
    </row>
    <row r="4" spans="1:14" x14ac:dyDescent="0.25">
      <c r="A4" s="138" t="s">
        <v>183</v>
      </c>
      <c r="B4" s="138" t="s">
        <v>16</v>
      </c>
      <c r="C4" s="430" t="s">
        <v>372</v>
      </c>
      <c r="D4" s="36" t="s">
        <v>78</v>
      </c>
      <c r="E4" s="36" t="s">
        <v>146</v>
      </c>
      <c r="F4" s="36" t="s">
        <v>147</v>
      </c>
      <c r="G4" s="36" t="s">
        <v>148</v>
      </c>
      <c r="H4" s="36" t="s">
        <v>149</v>
      </c>
      <c r="I4" s="36" t="s">
        <v>150</v>
      </c>
      <c r="J4" s="36" t="s">
        <v>194</v>
      </c>
      <c r="K4" s="36"/>
      <c r="L4" s="36"/>
      <c r="M4" s="139"/>
      <c r="N4" s="36"/>
    </row>
    <row r="5" spans="1:14" x14ac:dyDescent="0.25">
      <c r="A5" s="138"/>
      <c r="B5" s="148" t="str">
        <f>"+"&amp;C5</f>
        <v>+1180</v>
      </c>
      <c r="C5" s="36">
        <v>1180</v>
      </c>
      <c r="D5" s="127">
        <v>9.4600000000000009</v>
      </c>
      <c r="E5" s="131">
        <v>9.9499999999999993</v>
      </c>
      <c r="F5" s="131">
        <v>10.08</v>
      </c>
      <c r="G5" s="131">
        <v>18.170000000000002</v>
      </c>
      <c r="H5" s="131">
        <v>9.9499999999999993</v>
      </c>
      <c r="I5" s="172">
        <v>6.01</v>
      </c>
      <c r="J5" s="166">
        <f>AVERAGE(D5:I5)</f>
        <v>10.603333333333333</v>
      </c>
      <c r="K5" s="36"/>
      <c r="L5" s="36"/>
      <c r="M5" s="139"/>
      <c r="N5" s="36"/>
    </row>
    <row r="6" spans="1:14" x14ac:dyDescent="0.25">
      <c r="A6" s="138"/>
      <c r="B6" s="138" t="str">
        <f>C5&amp;" -"&amp;C6</f>
        <v>1180 -600</v>
      </c>
      <c r="C6" s="36">
        <v>600</v>
      </c>
      <c r="D6" s="137">
        <v>21.57</v>
      </c>
      <c r="E6" s="139">
        <v>22.1</v>
      </c>
      <c r="F6" s="139">
        <v>22.94</v>
      </c>
      <c r="G6" s="139">
        <v>34.54</v>
      </c>
      <c r="H6" s="139">
        <v>22.1</v>
      </c>
      <c r="I6" s="176">
        <v>16.57</v>
      </c>
      <c r="J6" s="166">
        <f t="shared" ref="J6:J16" si="0">AVERAGE(D6:I6)</f>
        <v>23.303333333333331</v>
      </c>
      <c r="K6" s="36"/>
      <c r="L6" s="36"/>
      <c r="M6" s="139"/>
      <c r="N6" s="36"/>
    </row>
    <row r="7" spans="1:14" x14ac:dyDescent="0.25">
      <c r="A7" s="138"/>
      <c r="B7" s="138" t="str">
        <f t="shared" ref="B7:B16" si="1">C6&amp;" -"&amp;C7</f>
        <v>600 -425</v>
      </c>
      <c r="C7" s="36">
        <v>425</v>
      </c>
      <c r="D7" s="137">
        <v>21.78</v>
      </c>
      <c r="E7" s="150">
        <v>17.73</v>
      </c>
      <c r="F7" s="139">
        <v>22.96</v>
      </c>
      <c r="G7" s="139">
        <v>30.65</v>
      </c>
      <c r="H7" s="139">
        <v>17.73</v>
      </c>
      <c r="I7" s="176">
        <v>17.75</v>
      </c>
      <c r="J7" s="166">
        <f t="shared" si="0"/>
        <v>21.433333333333337</v>
      </c>
      <c r="K7" s="36"/>
      <c r="L7" s="36"/>
      <c r="M7" s="139"/>
      <c r="N7" s="36"/>
    </row>
    <row r="8" spans="1:14" x14ac:dyDescent="0.25">
      <c r="A8" s="138"/>
      <c r="B8" s="138" t="str">
        <f t="shared" si="1"/>
        <v>425 -300</v>
      </c>
      <c r="C8" s="161">
        <v>300</v>
      </c>
      <c r="D8" s="137">
        <v>35.700000000000003</v>
      </c>
      <c r="E8" s="139">
        <v>32.880000000000003</v>
      </c>
      <c r="F8" s="139">
        <v>36.92</v>
      </c>
      <c r="G8" s="139">
        <v>44.94</v>
      </c>
      <c r="H8" s="139">
        <v>32.880000000000003</v>
      </c>
      <c r="I8" s="176">
        <v>28.5</v>
      </c>
      <c r="J8" s="166">
        <f t="shared" si="0"/>
        <v>35.303333333333335</v>
      </c>
      <c r="K8" s="36"/>
      <c r="L8" s="36"/>
      <c r="M8" s="139"/>
      <c r="N8" s="36"/>
    </row>
    <row r="9" spans="1:14" x14ac:dyDescent="0.25">
      <c r="A9" s="138"/>
      <c r="B9" s="138" t="str">
        <f t="shared" si="1"/>
        <v>300 -212</v>
      </c>
      <c r="C9" s="161">
        <v>212</v>
      </c>
      <c r="D9" s="137">
        <v>34.68</v>
      </c>
      <c r="E9" s="139">
        <v>36.67</v>
      </c>
      <c r="F9" s="139">
        <v>34.58</v>
      </c>
      <c r="G9" s="139">
        <v>49.25</v>
      </c>
      <c r="H9" s="139">
        <v>36.67</v>
      </c>
      <c r="I9" s="176">
        <v>33.82</v>
      </c>
      <c r="J9" s="166">
        <f t="shared" si="0"/>
        <v>37.611666666666672</v>
      </c>
      <c r="K9" s="36"/>
      <c r="L9" s="36"/>
      <c r="M9" s="139"/>
      <c r="N9" s="36"/>
    </row>
    <row r="10" spans="1:14" x14ac:dyDescent="0.25">
      <c r="A10" s="138"/>
      <c r="B10" s="138" t="str">
        <f t="shared" si="1"/>
        <v>212 -180</v>
      </c>
      <c r="C10" s="161">
        <v>180</v>
      </c>
      <c r="D10" s="137">
        <v>13.17</v>
      </c>
      <c r="E10" s="139">
        <v>13.09</v>
      </c>
      <c r="F10" s="139">
        <v>13.84</v>
      </c>
      <c r="G10" s="139">
        <v>13.22</v>
      </c>
      <c r="H10" s="139">
        <v>13.09</v>
      </c>
      <c r="I10" s="176">
        <v>10.26</v>
      </c>
      <c r="J10" s="166">
        <f t="shared" si="0"/>
        <v>12.778333333333334</v>
      </c>
      <c r="K10" s="36"/>
      <c r="L10" s="36"/>
      <c r="M10" s="139"/>
      <c r="N10" s="36"/>
    </row>
    <row r="11" spans="1:14" x14ac:dyDescent="0.25">
      <c r="A11" s="138"/>
      <c r="B11" s="138" t="str">
        <f t="shared" si="1"/>
        <v>180 -150</v>
      </c>
      <c r="C11" s="161">
        <v>150</v>
      </c>
      <c r="D11" s="137">
        <v>13.97</v>
      </c>
      <c r="E11" s="139">
        <v>13.56</v>
      </c>
      <c r="F11" s="139">
        <v>14.03</v>
      </c>
      <c r="G11" s="139">
        <v>20.61</v>
      </c>
      <c r="H11" s="139">
        <v>13.56</v>
      </c>
      <c r="I11" s="176">
        <v>14.39</v>
      </c>
      <c r="J11" s="166">
        <f t="shared" si="0"/>
        <v>15.020000000000001</v>
      </c>
      <c r="K11" s="36"/>
      <c r="L11" s="36"/>
      <c r="M11" s="139"/>
      <c r="N11" s="36"/>
    </row>
    <row r="12" spans="1:14" x14ac:dyDescent="0.25">
      <c r="A12" s="138"/>
      <c r="B12" s="138" t="str">
        <f t="shared" si="1"/>
        <v>150 -106</v>
      </c>
      <c r="C12" s="161">
        <v>106</v>
      </c>
      <c r="D12" s="137">
        <v>22.92</v>
      </c>
      <c r="E12" s="139">
        <v>23.94</v>
      </c>
      <c r="F12" s="139">
        <v>24.6</v>
      </c>
      <c r="G12" s="139">
        <v>28.38</v>
      </c>
      <c r="H12" s="139">
        <v>23.94</v>
      </c>
      <c r="I12" s="176">
        <v>23.79</v>
      </c>
      <c r="J12" s="166">
        <f t="shared" si="0"/>
        <v>24.594999999999999</v>
      </c>
      <c r="K12" s="36"/>
      <c r="L12" s="36"/>
      <c r="M12" s="139"/>
      <c r="N12" s="36"/>
    </row>
    <row r="13" spans="1:14" x14ac:dyDescent="0.25">
      <c r="A13" s="138"/>
      <c r="B13" s="138" t="str">
        <f t="shared" si="1"/>
        <v>106 -75</v>
      </c>
      <c r="C13" s="36">
        <v>75</v>
      </c>
      <c r="D13" s="137">
        <v>16.489999999999998</v>
      </c>
      <c r="E13" s="139">
        <v>18.12</v>
      </c>
      <c r="F13" s="139">
        <v>18.84</v>
      </c>
      <c r="G13" s="139">
        <v>20.32</v>
      </c>
      <c r="H13" s="139">
        <v>18.12</v>
      </c>
      <c r="I13" s="176">
        <v>19.79</v>
      </c>
      <c r="J13" s="166">
        <f t="shared" si="0"/>
        <v>18.613333333333333</v>
      </c>
      <c r="K13" s="36"/>
      <c r="L13" s="36"/>
      <c r="M13" s="139"/>
      <c r="N13" s="36"/>
    </row>
    <row r="14" spans="1:14" x14ac:dyDescent="0.25">
      <c r="A14" s="138"/>
      <c r="B14" s="138" t="str">
        <f t="shared" si="1"/>
        <v>75 -53</v>
      </c>
      <c r="C14" s="36">
        <v>53</v>
      </c>
      <c r="D14" s="137">
        <v>19.61</v>
      </c>
      <c r="E14" s="139">
        <v>15.99</v>
      </c>
      <c r="F14" s="139">
        <v>20.88</v>
      </c>
      <c r="G14" s="139">
        <v>20.78</v>
      </c>
      <c r="H14" s="139">
        <v>15.99</v>
      </c>
      <c r="I14" s="176">
        <v>23.81</v>
      </c>
      <c r="J14" s="166">
        <f t="shared" si="0"/>
        <v>19.510000000000002</v>
      </c>
      <c r="K14" s="36"/>
      <c r="L14" s="36"/>
      <c r="M14" s="139"/>
      <c r="N14" s="36"/>
    </row>
    <row r="15" spans="1:14" x14ac:dyDescent="0.25">
      <c r="A15" s="138"/>
      <c r="B15" s="138" t="str">
        <f t="shared" si="1"/>
        <v>53 -38</v>
      </c>
      <c r="C15" s="36">
        <v>38</v>
      </c>
      <c r="D15" s="137">
        <v>11.41</v>
      </c>
      <c r="E15" s="139">
        <v>11.2</v>
      </c>
      <c r="F15" s="139">
        <v>12.1</v>
      </c>
      <c r="G15" s="139">
        <v>15.55</v>
      </c>
      <c r="H15" s="139">
        <v>11.2</v>
      </c>
      <c r="I15" s="176">
        <v>12.86</v>
      </c>
      <c r="J15" s="166">
        <f t="shared" si="0"/>
        <v>12.386666666666668</v>
      </c>
      <c r="K15" s="36"/>
      <c r="L15" s="36"/>
      <c r="M15" s="139"/>
      <c r="N15" s="36"/>
    </row>
    <row r="16" spans="1:14" x14ac:dyDescent="0.25">
      <c r="A16" s="138"/>
      <c r="B16" s="138" t="str">
        <f t="shared" si="1"/>
        <v>38 -0</v>
      </c>
      <c r="C16" s="36">
        <v>0</v>
      </c>
      <c r="D16" s="137">
        <v>70.070000000000007</v>
      </c>
      <c r="E16" s="139">
        <v>58.96</v>
      </c>
      <c r="F16" s="139">
        <v>65.72</v>
      </c>
      <c r="G16" s="139">
        <v>81.12</v>
      </c>
      <c r="H16" s="139">
        <v>58.96</v>
      </c>
      <c r="I16" s="176">
        <v>75.39</v>
      </c>
      <c r="J16" s="166">
        <f t="shared" si="0"/>
        <v>68.36999999999999</v>
      </c>
      <c r="K16" s="36"/>
      <c r="L16" s="36"/>
      <c r="M16" s="139"/>
      <c r="N16" s="36"/>
    </row>
    <row r="17" spans="1:21" x14ac:dyDescent="0.25">
      <c r="A17" s="138"/>
      <c r="B17" s="36"/>
      <c r="C17" s="36" t="s">
        <v>77</v>
      </c>
      <c r="D17" s="128">
        <f>SUM(D5:D16)</f>
        <v>290.83000000000004</v>
      </c>
      <c r="E17" s="132">
        <f t="shared" ref="E17:J17" si="2">SUM(E5:E16)</f>
        <v>274.19</v>
      </c>
      <c r="F17" s="132">
        <f t="shared" si="2"/>
        <v>297.49</v>
      </c>
      <c r="G17" s="132">
        <f t="shared" si="2"/>
        <v>377.53000000000003</v>
      </c>
      <c r="H17" s="132">
        <f t="shared" si="2"/>
        <v>274.19</v>
      </c>
      <c r="I17" s="179">
        <f t="shared" si="2"/>
        <v>282.94</v>
      </c>
      <c r="J17" s="134">
        <f t="shared" si="2"/>
        <v>299.52833333333336</v>
      </c>
      <c r="K17" s="36"/>
      <c r="L17" s="36"/>
      <c r="M17" s="139"/>
      <c r="N17" s="36"/>
    </row>
    <row r="18" spans="1:21" x14ac:dyDescent="0.25">
      <c r="A18" s="138"/>
      <c r="B18" s="36"/>
      <c r="C18" s="36"/>
      <c r="D18" s="36"/>
      <c r="E18" s="36"/>
      <c r="F18" s="36"/>
      <c r="G18" s="36"/>
      <c r="H18" s="36"/>
      <c r="I18" s="36"/>
      <c r="J18" s="36"/>
      <c r="K18" s="36"/>
      <c r="L18" s="36"/>
      <c r="M18" s="139"/>
      <c r="N18" s="36"/>
    </row>
    <row r="19" spans="1:21" x14ac:dyDescent="0.25">
      <c r="A19" s="138" t="s">
        <v>111</v>
      </c>
      <c r="B19" s="36"/>
      <c r="C19" s="36"/>
      <c r="D19" s="36"/>
      <c r="E19" s="36"/>
      <c r="F19" s="36"/>
      <c r="G19" s="36"/>
      <c r="H19" s="36"/>
      <c r="I19" s="36"/>
      <c r="J19" s="36"/>
      <c r="K19" s="36"/>
      <c r="L19" s="36"/>
      <c r="M19" s="139"/>
      <c r="N19" s="36"/>
    </row>
    <row r="20" spans="1:21" x14ac:dyDescent="0.25">
      <c r="A20" s="138" t="s">
        <v>151</v>
      </c>
      <c r="B20" s="36"/>
      <c r="C20" s="160" t="s">
        <v>152</v>
      </c>
      <c r="D20" s="160">
        <f>(D55+$C$5)/2</f>
        <v>590</v>
      </c>
      <c r="E20" s="160">
        <f t="shared" ref="E20:I20" si="3">(E55+$C$5)/2</f>
        <v>590</v>
      </c>
      <c r="F20" s="160">
        <f t="shared" si="3"/>
        <v>590</v>
      </c>
      <c r="G20" s="160">
        <f t="shared" si="3"/>
        <v>590</v>
      </c>
      <c r="H20" s="160">
        <f t="shared" si="3"/>
        <v>590</v>
      </c>
      <c r="I20" s="160">
        <f t="shared" si="3"/>
        <v>590</v>
      </c>
      <c r="J20" s="162">
        <f>AVERAGE(D20:I20)</f>
        <v>590</v>
      </c>
      <c r="K20" s="36"/>
      <c r="L20" s="36"/>
      <c r="M20" s="139"/>
      <c r="N20" s="36"/>
    </row>
    <row r="21" spans="1:21" x14ac:dyDescent="0.25">
      <c r="A21" s="138"/>
      <c r="B21" s="138"/>
      <c r="C21" s="160" t="s">
        <v>152</v>
      </c>
      <c r="D21" s="36" t="str">
        <f>D4</f>
        <v>SC13F</v>
      </c>
      <c r="E21" s="36" t="str">
        <f t="shared" ref="E21:I21" si="4">E4</f>
        <v>13Fdeck1</v>
      </c>
      <c r="F21" s="36" t="str">
        <f t="shared" si="4"/>
        <v>13Fdeck2</v>
      </c>
      <c r="G21" s="36" t="str">
        <f t="shared" si="4"/>
        <v>13Fdeck3</v>
      </c>
      <c r="H21" s="36" t="str">
        <f t="shared" si="4"/>
        <v>13Fdeck4</v>
      </c>
      <c r="I21" s="36" t="str">
        <f t="shared" si="4"/>
        <v>13Fdeck5</v>
      </c>
      <c r="J21" s="136" t="str">
        <f>J4</f>
        <v>Mean13F</v>
      </c>
      <c r="K21" s="286" t="s">
        <v>287</v>
      </c>
      <c r="L21" s="285" t="s">
        <v>292</v>
      </c>
      <c r="M21" s="323" t="s">
        <v>293</v>
      </c>
      <c r="N21" s="36"/>
      <c r="P21" t="s">
        <v>78</v>
      </c>
      <c r="Q21" t="s">
        <v>146</v>
      </c>
      <c r="R21" t="s">
        <v>147</v>
      </c>
      <c r="S21" t="s">
        <v>148</v>
      </c>
      <c r="T21" t="s">
        <v>149</v>
      </c>
      <c r="U21" t="s">
        <v>150</v>
      </c>
    </row>
    <row r="22" spans="1:21" x14ac:dyDescent="0.25">
      <c r="A22" s="138"/>
      <c r="B22" s="140"/>
      <c r="C22" s="163" t="e">
        <f>(AVERAGE(D55:I55)+C5)/2</f>
        <v>#DIV/0!</v>
      </c>
      <c r="D22" s="230">
        <f t="shared" ref="D22:I33" si="5">D5/D$17</f>
        <v>3.2527593439466353E-2</v>
      </c>
      <c r="E22" s="231">
        <f t="shared" si="5"/>
        <v>3.6288704912651806E-2</v>
      </c>
      <c r="F22" s="231">
        <f t="shared" si="5"/>
        <v>3.388349188208007E-2</v>
      </c>
      <c r="G22" s="231">
        <f t="shared" si="5"/>
        <v>4.8128625539692209E-2</v>
      </c>
      <c r="H22" s="231">
        <f t="shared" si="5"/>
        <v>3.6288704912651806E-2</v>
      </c>
      <c r="I22" s="328">
        <f t="shared" si="5"/>
        <v>2.1241252562380717E-2</v>
      </c>
      <c r="J22" s="165">
        <f>AVERAGE(D22:I22)</f>
        <v>3.4726395541487161E-2</v>
      </c>
      <c r="K22" s="164">
        <f>_xlfn.STDEV.S(D22:I22)</f>
        <v>8.6243340438213779E-3</v>
      </c>
      <c r="L22" s="164">
        <f>J22-2*(K22)</f>
        <v>1.7477727453844405E-2</v>
      </c>
      <c r="M22" s="322">
        <f>J22+2*(K22)</f>
        <v>5.1975063629129917E-2</v>
      </c>
      <c r="N22" s="162"/>
      <c r="O22" s="36">
        <v>1180</v>
      </c>
      <c r="P22">
        <v>3.2527593439466353E-2</v>
      </c>
      <c r="Q22">
        <v>3.6288704912651806E-2</v>
      </c>
      <c r="R22">
        <v>3.388349188208007E-2</v>
      </c>
      <c r="S22">
        <v>4.8128625539692209E-2</v>
      </c>
      <c r="T22">
        <v>3.6288704912651806E-2</v>
      </c>
      <c r="U22">
        <v>2.1241252562380717E-2</v>
      </c>
    </row>
    <row r="23" spans="1:21" x14ac:dyDescent="0.25">
      <c r="A23" s="138"/>
      <c r="B23" s="140"/>
      <c r="C23" s="36">
        <f t="shared" ref="C23:C33" si="6">(C5+C6)/2</f>
        <v>890</v>
      </c>
      <c r="D23" s="233">
        <f t="shared" si="5"/>
        <v>7.4167039163772638E-2</v>
      </c>
      <c r="E23" s="234">
        <f t="shared" si="5"/>
        <v>8.0601043072322118E-2</v>
      </c>
      <c r="F23" s="234">
        <f t="shared" si="5"/>
        <v>7.7111835691956038E-2</v>
      </c>
      <c r="G23" s="234">
        <f t="shared" si="5"/>
        <v>9.1489418059491956E-2</v>
      </c>
      <c r="H23" s="234">
        <f t="shared" si="5"/>
        <v>8.0601043072322118E-2</v>
      </c>
      <c r="I23" s="329">
        <f t="shared" si="5"/>
        <v>5.8563653071322545E-2</v>
      </c>
      <c r="J23" s="165">
        <f>AVERAGE(D23:I23)</f>
        <v>7.7089005355197901E-2</v>
      </c>
      <c r="K23" s="164">
        <f t="shared" ref="K23:K33" si="7">_xlfn.STDEV.S(D23:I23)</f>
        <v>1.0805256024701965E-2</v>
      </c>
      <c r="L23" s="164">
        <f t="shared" ref="L23:L33" si="8">J23-2*(K23)</f>
        <v>5.547849330579397E-2</v>
      </c>
      <c r="M23" s="322">
        <f t="shared" ref="M23:M33" si="9">J23+2*(K23)</f>
        <v>9.8699517404601839E-2</v>
      </c>
      <c r="N23" s="162"/>
      <c r="O23" s="36">
        <v>600</v>
      </c>
      <c r="P23">
        <v>7.4167039163772638E-2</v>
      </c>
      <c r="Q23">
        <v>8.0601043072322118E-2</v>
      </c>
      <c r="R23">
        <v>7.7111835691956038E-2</v>
      </c>
      <c r="S23">
        <v>9.1489418059491956E-2</v>
      </c>
      <c r="T23">
        <v>8.0601043072322118E-2</v>
      </c>
      <c r="U23">
        <v>5.8563653071322545E-2</v>
      </c>
    </row>
    <row r="24" spans="1:21" x14ac:dyDescent="0.25">
      <c r="A24" s="138"/>
      <c r="B24" s="140"/>
      <c r="C24" s="36">
        <f t="shared" si="6"/>
        <v>512.5</v>
      </c>
      <c r="D24" s="233">
        <f t="shared" si="5"/>
        <v>7.4889110476910908E-2</v>
      </c>
      <c r="E24" s="234">
        <f t="shared" si="5"/>
        <v>6.4663189758926293E-2</v>
      </c>
      <c r="F24" s="234">
        <f t="shared" si="5"/>
        <v>7.7179064842515716E-2</v>
      </c>
      <c r="G24" s="234">
        <f t="shared" si="5"/>
        <v>8.1185601144279917E-2</v>
      </c>
      <c r="H24" s="234">
        <f t="shared" si="5"/>
        <v>6.4663189758926293E-2</v>
      </c>
      <c r="I24" s="329">
        <f t="shared" si="5"/>
        <v>6.2734148582738389E-2</v>
      </c>
      <c r="J24" s="165">
        <f t="shared" ref="J24:J34" si="10">AVERAGE(D24:I24)</f>
        <v>7.0885717427382922E-2</v>
      </c>
      <c r="K24" s="164">
        <f t="shared" si="7"/>
        <v>7.8180401377399376E-3</v>
      </c>
      <c r="L24" s="164">
        <f t="shared" si="8"/>
        <v>5.524963715190305E-2</v>
      </c>
      <c r="M24" s="322">
        <f t="shared" si="9"/>
        <v>8.6521797702862793E-2</v>
      </c>
      <c r="N24" s="162"/>
      <c r="O24" s="36">
        <v>425</v>
      </c>
      <c r="P24">
        <v>7.4889110476910908E-2</v>
      </c>
      <c r="Q24">
        <v>6.4663189758926293E-2</v>
      </c>
      <c r="R24">
        <v>7.7179064842515716E-2</v>
      </c>
      <c r="S24">
        <v>8.1185601144279917E-2</v>
      </c>
      <c r="T24">
        <v>6.4663189758926293E-2</v>
      </c>
      <c r="U24">
        <v>6.2734148582738389E-2</v>
      </c>
    </row>
    <row r="25" spans="1:21" x14ac:dyDescent="0.25">
      <c r="A25" s="138"/>
      <c r="B25" s="140"/>
      <c r="C25" s="36">
        <f t="shared" si="6"/>
        <v>362.5</v>
      </c>
      <c r="D25" s="233">
        <f t="shared" si="5"/>
        <v>0.1227521232335041</v>
      </c>
      <c r="E25" s="234">
        <f t="shared" si="5"/>
        <v>0.11991684598271272</v>
      </c>
      <c r="F25" s="234">
        <f t="shared" si="5"/>
        <v>0.12410501193317422</v>
      </c>
      <c r="G25" s="234">
        <f t="shared" si="5"/>
        <v>0.1190368977299817</v>
      </c>
      <c r="H25" s="234">
        <f t="shared" si="5"/>
        <v>0.11991684598271272</v>
      </c>
      <c r="I25" s="329">
        <f t="shared" si="5"/>
        <v>0.10072806955538277</v>
      </c>
      <c r="J25" s="165">
        <f t="shared" si="10"/>
        <v>0.11774263240291138</v>
      </c>
      <c r="K25" s="164">
        <f t="shared" si="7"/>
        <v>8.5580342682118598E-3</v>
      </c>
      <c r="L25" s="164">
        <f t="shared" si="8"/>
        <v>0.10062656386648766</v>
      </c>
      <c r="M25" s="322">
        <f t="shared" si="9"/>
        <v>0.13485870093933511</v>
      </c>
      <c r="N25" s="162"/>
      <c r="O25" s="161">
        <v>300</v>
      </c>
      <c r="P25">
        <v>0.1227521232335041</v>
      </c>
      <c r="Q25">
        <v>0.11991684598271272</v>
      </c>
      <c r="R25">
        <v>0.12410501193317422</v>
      </c>
      <c r="S25">
        <v>0.1190368977299817</v>
      </c>
      <c r="T25">
        <v>0.11991684598271272</v>
      </c>
      <c r="U25">
        <v>0.10072806955538277</v>
      </c>
    </row>
    <row r="26" spans="1:21" x14ac:dyDescent="0.25">
      <c r="A26" s="138"/>
      <c r="B26" s="140"/>
      <c r="C26" s="36">
        <f t="shared" si="6"/>
        <v>256</v>
      </c>
      <c r="D26" s="233">
        <f t="shared" si="5"/>
        <v>0.11924491971254683</v>
      </c>
      <c r="E26" s="234">
        <f t="shared" si="5"/>
        <v>0.13373937780371276</v>
      </c>
      <c r="F26" s="234">
        <f t="shared" si="5"/>
        <v>0.11623920131769135</v>
      </c>
      <c r="G26" s="234">
        <f t="shared" si="5"/>
        <v>0.13045320901650198</v>
      </c>
      <c r="H26" s="234">
        <f t="shared" si="5"/>
        <v>0.13373937780371276</v>
      </c>
      <c r="I26" s="329">
        <f t="shared" si="5"/>
        <v>0.11953064253905422</v>
      </c>
      <c r="J26" s="165">
        <f t="shared" si="10"/>
        <v>0.12549112136553667</v>
      </c>
      <c r="K26" s="164">
        <f t="shared" si="7"/>
        <v>8.010370152473226E-3</v>
      </c>
      <c r="L26" s="164">
        <f t="shared" si="8"/>
        <v>0.10947038106059022</v>
      </c>
      <c r="M26" s="322">
        <f t="shared" si="9"/>
        <v>0.14151186167048313</v>
      </c>
      <c r="N26" s="162"/>
      <c r="O26" s="161">
        <v>212</v>
      </c>
      <c r="P26">
        <v>0.11924491971254683</v>
      </c>
      <c r="Q26">
        <v>0.13373937780371276</v>
      </c>
      <c r="R26">
        <v>0.11623920131769135</v>
      </c>
      <c r="S26">
        <v>0.13045320901650198</v>
      </c>
      <c r="T26">
        <v>0.13373937780371276</v>
      </c>
      <c r="U26">
        <v>0.11953064253905422</v>
      </c>
    </row>
    <row r="27" spans="1:21" x14ac:dyDescent="0.25">
      <c r="A27" s="138"/>
      <c r="B27" s="140"/>
      <c r="C27" s="36">
        <f t="shared" si="6"/>
        <v>196</v>
      </c>
      <c r="D27" s="233">
        <f t="shared" si="5"/>
        <v>4.5284186638242269E-2</v>
      </c>
      <c r="E27" s="234">
        <f t="shared" si="5"/>
        <v>4.7740617819760023E-2</v>
      </c>
      <c r="F27" s="234">
        <f t="shared" si="5"/>
        <v>4.6522572187300409E-2</v>
      </c>
      <c r="G27" s="234">
        <f t="shared" si="5"/>
        <v>3.5017084734987949E-2</v>
      </c>
      <c r="H27" s="234">
        <f t="shared" si="5"/>
        <v>4.7740617819760023E-2</v>
      </c>
      <c r="I27" s="329">
        <f t="shared" si="5"/>
        <v>3.6262105039937799E-2</v>
      </c>
      <c r="J27" s="165">
        <f t="shared" si="10"/>
        <v>4.3094530706664746E-2</v>
      </c>
      <c r="K27" s="164">
        <f t="shared" si="7"/>
        <v>5.8591037938117855E-3</v>
      </c>
      <c r="L27" s="164">
        <f t="shared" si="8"/>
        <v>3.1376323119041177E-2</v>
      </c>
      <c r="M27" s="322">
        <f t="shared" si="9"/>
        <v>5.4812738294288316E-2</v>
      </c>
      <c r="N27" s="162"/>
      <c r="O27" s="161">
        <v>180</v>
      </c>
      <c r="P27">
        <v>4.5284186638242269E-2</v>
      </c>
      <c r="Q27">
        <v>4.7740617819760023E-2</v>
      </c>
      <c r="R27">
        <v>4.6522572187300409E-2</v>
      </c>
      <c r="S27">
        <v>3.5017084734987949E-2</v>
      </c>
      <c r="T27">
        <v>4.7740617819760023E-2</v>
      </c>
      <c r="U27">
        <v>3.6262105039937799E-2</v>
      </c>
    </row>
    <row r="28" spans="1:21" x14ac:dyDescent="0.25">
      <c r="A28" s="138"/>
      <c r="B28" s="140"/>
      <c r="C28" s="36">
        <f t="shared" si="6"/>
        <v>165</v>
      </c>
      <c r="D28" s="233">
        <f t="shared" si="5"/>
        <v>4.8034934497816588E-2</v>
      </c>
      <c r="E28" s="234">
        <f t="shared" si="5"/>
        <v>4.9454757649804885E-2</v>
      </c>
      <c r="F28" s="234">
        <f t="shared" si="5"/>
        <v>4.7161249117617397E-2</v>
      </c>
      <c r="G28" s="234">
        <f t="shared" si="5"/>
        <v>5.4591688077768645E-2</v>
      </c>
      <c r="H28" s="234">
        <f t="shared" si="5"/>
        <v>4.9454757649804885E-2</v>
      </c>
      <c r="I28" s="329">
        <f t="shared" si="5"/>
        <v>5.0858839329893268E-2</v>
      </c>
      <c r="J28" s="165">
        <f t="shared" si="10"/>
        <v>4.9926037720450948E-2</v>
      </c>
      <c r="K28" s="164">
        <f t="shared" si="7"/>
        <v>2.6192727741229859E-3</v>
      </c>
      <c r="L28" s="164">
        <f t="shared" si="8"/>
        <v>4.4687492172204975E-2</v>
      </c>
      <c r="M28" s="322">
        <f t="shared" si="9"/>
        <v>5.5164583268696922E-2</v>
      </c>
      <c r="N28" s="162"/>
      <c r="O28" s="161">
        <v>150</v>
      </c>
      <c r="P28">
        <v>4.8034934497816588E-2</v>
      </c>
      <c r="Q28">
        <v>4.9454757649804885E-2</v>
      </c>
      <c r="R28">
        <v>4.7161249117617397E-2</v>
      </c>
      <c r="S28">
        <v>5.4591688077768645E-2</v>
      </c>
      <c r="T28">
        <v>4.9454757649804885E-2</v>
      </c>
      <c r="U28">
        <v>5.0858839329893268E-2</v>
      </c>
    </row>
    <row r="29" spans="1:21" x14ac:dyDescent="0.25">
      <c r="A29" s="138"/>
      <c r="B29" s="140"/>
      <c r="C29" s="36">
        <f t="shared" si="6"/>
        <v>128</v>
      </c>
      <c r="D29" s="233">
        <f t="shared" si="5"/>
        <v>7.8808926176804309E-2</v>
      </c>
      <c r="E29" s="234">
        <f t="shared" si="5"/>
        <v>8.7311718151646678E-2</v>
      </c>
      <c r="F29" s="234">
        <f t="shared" si="5"/>
        <v>8.2691855188409699E-2</v>
      </c>
      <c r="G29" s="234">
        <f t="shared" si="5"/>
        <v>7.5172833946971093E-2</v>
      </c>
      <c r="H29" s="234">
        <f t="shared" si="5"/>
        <v>8.7311718151646678E-2</v>
      </c>
      <c r="I29" s="329">
        <f t="shared" si="5"/>
        <v>8.408143069201951E-2</v>
      </c>
      <c r="J29" s="165">
        <f t="shared" si="10"/>
        <v>8.2563080384583001E-2</v>
      </c>
      <c r="K29" s="164">
        <f t="shared" si="7"/>
        <v>4.8193465971265882E-3</v>
      </c>
      <c r="L29" s="164">
        <f t="shared" si="8"/>
        <v>7.2924387190329829E-2</v>
      </c>
      <c r="M29" s="322">
        <f t="shared" si="9"/>
        <v>9.2201773578836174E-2</v>
      </c>
      <c r="N29" s="162"/>
      <c r="O29" s="161">
        <v>106</v>
      </c>
      <c r="P29">
        <v>7.8808926176804309E-2</v>
      </c>
      <c r="Q29">
        <v>8.7311718151646678E-2</v>
      </c>
      <c r="R29">
        <v>8.2691855188409699E-2</v>
      </c>
      <c r="S29">
        <v>7.5172833946971093E-2</v>
      </c>
      <c r="T29">
        <v>8.7311718151646678E-2</v>
      </c>
      <c r="U29">
        <v>8.408143069201951E-2</v>
      </c>
    </row>
    <row r="30" spans="1:21" x14ac:dyDescent="0.25">
      <c r="A30" s="138"/>
      <c r="B30" s="140"/>
      <c r="C30" s="36">
        <f t="shared" si="6"/>
        <v>90.5</v>
      </c>
      <c r="D30" s="233">
        <f t="shared" si="5"/>
        <v>5.6699790255475696E-2</v>
      </c>
      <c r="E30" s="234">
        <f t="shared" si="5"/>
        <v>6.6085561107261395E-2</v>
      </c>
      <c r="F30" s="234">
        <f t="shared" si="5"/>
        <v>6.3329859827221086E-2</v>
      </c>
      <c r="G30" s="234">
        <f t="shared" si="5"/>
        <v>5.382353720234153E-2</v>
      </c>
      <c r="H30" s="234">
        <f t="shared" si="5"/>
        <v>6.6085561107261395E-2</v>
      </c>
      <c r="I30" s="329">
        <f t="shared" si="5"/>
        <v>6.994415777196579E-2</v>
      </c>
      <c r="J30" s="165">
        <f t="shared" si="10"/>
        <v>6.2661411211921147E-2</v>
      </c>
      <c r="K30" s="164">
        <f t="shared" si="7"/>
        <v>6.1738766987718217E-3</v>
      </c>
      <c r="L30" s="164">
        <f t="shared" si="8"/>
        <v>5.0313657814377508E-2</v>
      </c>
      <c r="M30" s="322">
        <f t="shared" si="9"/>
        <v>7.5009164609464787E-2</v>
      </c>
      <c r="N30" s="162"/>
      <c r="O30" s="36">
        <v>75</v>
      </c>
      <c r="P30">
        <v>5.6699790255475696E-2</v>
      </c>
      <c r="Q30">
        <v>6.6085561107261395E-2</v>
      </c>
      <c r="R30">
        <v>6.3329859827221086E-2</v>
      </c>
      <c r="S30">
        <v>5.382353720234153E-2</v>
      </c>
      <c r="T30">
        <v>6.6085561107261395E-2</v>
      </c>
      <c r="U30">
        <v>6.994415777196579E-2</v>
      </c>
    </row>
    <row r="31" spans="1:21" x14ac:dyDescent="0.25">
      <c r="A31" s="138"/>
      <c r="B31" s="140"/>
      <c r="C31" s="36">
        <f t="shared" si="6"/>
        <v>64</v>
      </c>
      <c r="D31" s="233">
        <f t="shared" si="5"/>
        <v>6.7427706907815549E-2</v>
      </c>
      <c r="E31" s="234">
        <f t="shared" si="5"/>
        <v>5.8317225281738938E-2</v>
      </c>
      <c r="F31" s="234">
        <f t="shared" si="5"/>
        <v>7.0187233184308709E-2</v>
      </c>
      <c r="G31" s="234">
        <f t="shared" si="5"/>
        <v>5.5041983418536271E-2</v>
      </c>
      <c r="H31" s="234">
        <f t="shared" si="5"/>
        <v>5.8317225281738938E-2</v>
      </c>
      <c r="I31" s="329">
        <f t="shared" si="5"/>
        <v>8.4152117056619777E-2</v>
      </c>
      <c r="J31" s="165">
        <f t="shared" si="10"/>
        <v>6.5573915188459703E-2</v>
      </c>
      <c r="K31" s="164">
        <f t="shared" si="7"/>
        <v>1.0826906436601424E-2</v>
      </c>
      <c r="L31" s="164">
        <f t="shared" si="8"/>
        <v>4.3920102315256851E-2</v>
      </c>
      <c r="M31" s="322">
        <f t="shared" si="9"/>
        <v>8.7227728061662554E-2</v>
      </c>
      <c r="N31" s="162"/>
      <c r="O31" s="36">
        <v>53</v>
      </c>
      <c r="P31">
        <v>6.7427706907815549E-2</v>
      </c>
      <c r="Q31">
        <v>5.8317225281738938E-2</v>
      </c>
      <c r="R31">
        <v>7.0187233184308709E-2</v>
      </c>
      <c r="S31">
        <v>5.5041983418536271E-2</v>
      </c>
      <c r="T31">
        <v>5.8317225281738938E-2</v>
      </c>
      <c r="U31">
        <v>8.4152117056619777E-2</v>
      </c>
    </row>
    <row r="32" spans="1:21" x14ac:dyDescent="0.25">
      <c r="A32" s="138"/>
      <c r="B32" s="140"/>
      <c r="C32" s="36">
        <f t="shared" si="6"/>
        <v>45.5</v>
      </c>
      <c r="D32" s="233">
        <f t="shared" si="5"/>
        <v>3.9232541347178761E-2</v>
      </c>
      <c r="E32" s="234">
        <f t="shared" si="5"/>
        <v>4.084758743936686E-2</v>
      </c>
      <c r="F32" s="234">
        <f t="shared" si="5"/>
        <v>4.0673636088608016E-2</v>
      </c>
      <c r="G32" s="234">
        <f t="shared" si="5"/>
        <v>4.1188779699626518E-2</v>
      </c>
      <c r="H32" s="234">
        <f t="shared" si="5"/>
        <v>4.084758743936686E-2</v>
      </c>
      <c r="I32" s="329">
        <f t="shared" si="5"/>
        <v>4.5451332437972711E-2</v>
      </c>
      <c r="J32" s="165">
        <f t="shared" si="10"/>
        <v>4.1373577408686614E-2</v>
      </c>
      <c r="K32" s="164">
        <f t="shared" si="7"/>
        <v>2.1113749281462227E-3</v>
      </c>
      <c r="L32" s="164">
        <f t="shared" si="8"/>
        <v>3.7150827552394169E-2</v>
      </c>
      <c r="M32" s="322">
        <f t="shared" si="9"/>
        <v>4.5596327264979059E-2</v>
      </c>
      <c r="N32" s="162"/>
      <c r="O32" s="36">
        <v>38</v>
      </c>
      <c r="P32">
        <v>3.9232541347178761E-2</v>
      </c>
      <c r="Q32">
        <v>4.084758743936686E-2</v>
      </c>
      <c r="R32">
        <v>4.0673636088608016E-2</v>
      </c>
      <c r="S32">
        <v>4.1188779699626518E-2</v>
      </c>
      <c r="T32">
        <v>4.084758743936686E-2</v>
      </c>
      <c r="U32">
        <v>4.5451332437972711E-2</v>
      </c>
    </row>
    <row r="33" spans="1:21" x14ac:dyDescent="0.25">
      <c r="A33" s="138"/>
      <c r="B33" s="140"/>
      <c r="C33" s="36">
        <f t="shared" si="6"/>
        <v>19</v>
      </c>
      <c r="D33" s="236">
        <f t="shared" si="5"/>
        <v>0.24093112815046591</v>
      </c>
      <c r="E33" s="237">
        <f t="shared" si="5"/>
        <v>0.21503337102009557</v>
      </c>
      <c r="F33" s="237">
        <f t="shared" si="5"/>
        <v>0.22091498873911727</v>
      </c>
      <c r="G33" s="237">
        <f t="shared" si="5"/>
        <v>0.21487034142982014</v>
      </c>
      <c r="H33" s="237">
        <f t="shared" si="5"/>
        <v>0.21503337102009557</v>
      </c>
      <c r="I33" s="330">
        <f t="shared" si="5"/>
        <v>0.26645225136071254</v>
      </c>
      <c r="J33" s="165">
        <f t="shared" si="10"/>
        <v>0.22887257528671787</v>
      </c>
      <c r="K33" s="164">
        <f t="shared" si="7"/>
        <v>2.0976528011597034E-2</v>
      </c>
      <c r="L33" s="164">
        <f t="shared" si="8"/>
        <v>0.18691951926352379</v>
      </c>
      <c r="M33" s="322">
        <f t="shared" si="9"/>
        <v>0.27082563130991194</v>
      </c>
      <c r="N33" s="162"/>
      <c r="O33" s="36">
        <v>0</v>
      </c>
      <c r="P33">
        <v>0.24093112815046591</v>
      </c>
      <c r="Q33">
        <v>0.21503337102009557</v>
      </c>
      <c r="R33">
        <v>0.22091498873911727</v>
      </c>
      <c r="S33">
        <v>0.21487034142982014</v>
      </c>
      <c r="T33">
        <v>0.21503337102009557</v>
      </c>
      <c r="U33">
        <v>0.26645225136071254</v>
      </c>
    </row>
    <row r="34" spans="1:21" x14ac:dyDescent="0.25">
      <c r="A34" s="140"/>
      <c r="B34" s="134"/>
      <c r="C34" s="36" t="s">
        <v>77</v>
      </c>
      <c r="D34" s="166">
        <f>SUM(D22:D33)</f>
        <v>1</v>
      </c>
      <c r="E34" s="166">
        <f t="shared" ref="E34:I34" si="11">SUM(E22:E33)</f>
        <v>0.99999999999999989</v>
      </c>
      <c r="F34" s="166">
        <f t="shared" si="11"/>
        <v>1</v>
      </c>
      <c r="G34" s="166">
        <f t="shared" si="11"/>
        <v>1</v>
      </c>
      <c r="H34" s="166">
        <f t="shared" si="11"/>
        <v>0.99999999999999989</v>
      </c>
      <c r="I34" s="166">
        <f t="shared" si="11"/>
        <v>1</v>
      </c>
      <c r="J34" s="165">
        <f t="shared" si="10"/>
        <v>1</v>
      </c>
      <c r="K34" s="164"/>
      <c r="L34" s="164"/>
      <c r="M34" s="139"/>
      <c r="N34" s="36"/>
    </row>
    <row r="35" spans="1:21" x14ac:dyDescent="0.25">
      <c r="A35" s="140"/>
      <c r="B35" s="134"/>
      <c r="C35" s="161"/>
      <c r="D35" s="167"/>
      <c r="E35" s="167"/>
      <c r="F35" s="167"/>
      <c r="G35" s="167"/>
      <c r="H35" s="167"/>
      <c r="I35" s="167"/>
      <c r="J35" s="168"/>
      <c r="K35" s="164"/>
      <c r="L35" s="164"/>
      <c r="M35" s="316"/>
      <c r="N35" s="162"/>
    </row>
    <row r="36" spans="1:21" x14ac:dyDescent="0.25">
      <c r="A36" s="138"/>
      <c r="B36" s="36"/>
      <c r="C36" s="36"/>
      <c r="D36" s="36"/>
      <c r="E36" s="36"/>
      <c r="F36" s="36"/>
      <c r="G36" s="36"/>
      <c r="H36" s="36"/>
      <c r="I36" s="36"/>
      <c r="J36" s="36"/>
      <c r="K36" s="36"/>
      <c r="L36" s="36"/>
      <c r="M36" s="139"/>
      <c r="N36" s="36"/>
    </row>
    <row r="37" spans="1:21" x14ac:dyDescent="0.25">
      <c r="A37" s="138"/>
      <c r="B37" s="36"/>
      <c r="C37" s="36"/>
      <c r="D37" s="36"/>
      <c r="E37" s="36"/>
      <c r="F37" s="36"/>
      <c r="G37" s="36"/>
      <c r="H37" s="36"/>
      <c r="I37" s="36"/>
      <c r="J37" s="36"/>
      <c r="K37" s="36"/>
      <c r="L37" s="36"/>
      <c r="M37" s="139"/>
      <c r="N37" s="36"/>
    </row>
    <row r="38" spans="1:21" x14ac:dyDescent="0.25">
      <c r="A38" s="135" t="s">
        <v>85</v>
      </c>
      <c r="B38" s="135"/>
      <c r="C38" s="36" t="s">
        <v>79</v>
      </c>
      <c r="D38" s="36" t="s">
        <v>69</v>
      </c>
      <c r="E38" s="36" t="s">
        <v>69</v>
      </c>
      <c r="F38" s="36" t="s">
        <v>69</v>
      </c>
      <c r="G38" s="36" t="s">
        <v>69</v>
      </c>
      <c r="H38" s="36" t="s">
        <v>69</v>
      </c>
      <c r="I38" s="36" t="s">
        <v>69</v>
      </c>
      <c r="J38" s="36"/>
      <c r="K38" s="36"/>
      <c r="L38" s="36"/>
      <c r="M38" s="139"/>
      <c r="N38" s="36"/>
    </row>
    <row r="39" spans="1:21" x14ac:dyDescent="0.25">
      <c r="A39" s="138"/>
      <c r="B39" s="36"/>
      <c r="C39" s="138" t="s">
        <v>16</v>
      </c>
      <c r="D39" s="36" t="str">
        <f t="shared" ref="D39:I39" si="12">D4</f>
        <v>SC13F</v>
      </c>
      <c r="E39" s="36" t="str">
        <f t="shared" si="12"/>
        <v>13Fdeck1</v>
      </c>
      <c r="F39" s="36" t="str">
        <f t="shared" si="12"/>
        <v>13Fdeck2</v>
      </c>
      <c r="G39" s="36" t="str">
        <f t="shared" si="12"/>
        <v>13Fdeck3</v>
      </c>
      <c r="H39" s="36" t="str">
        <f t="shared" si="12"/>
        <v>13Fdeck4</v>
      </c>
      <c r="I39" s="36" t="str">
        <f t="shared" si="12"/>
        <v>13Fdeck5</v>
      </c>
      <c r="J39" s="136" t="s">
        <v>110</v>
      </c>
      <c r="K39" s="36"/>
      <c r="L39" s="36"/>
      <c r="M39" s="139"/>
      <c r="N39" s="36"/>
    </row>
    <row r="40" spans="1:21" x14ac:dyDescent="0.25">
      <c r="A40" s="138"/>
      <c r="B40" s="127"/>
      <c r="C40" s="169">
        <v>1180</v>
      </c>
      <c r="D40" s="331">
        <f t="shared" ref="D40:I40" si="13">1-D5/D$17</f>
        <v>0.96747240656053368</v>
      </c>
      <c r="E40" s="170">
        <f t="shared" si="13"/>
        <v>0.96371129508734821</v>
      </c>
      <c r="F40" s="170">
        <f t="shared" si="13"/>
        <v>0.96611650811791994</v>
      </c>
      <c r="G40" s="170">
        <f t="shared" si="13"/>
        <v>0.95187137446030778</v>
      </c>
      <c r="H40" s="170">
        <f t="shared" si="13"/>
        <v>0.96371129508734821</v>
      </c>
      <c r="I40" s="332">
        <f t="shared" si="13"/>
        <v>0.97875874743761926</v>
      </c>
      <c r="J40" s="171">
        <f>AVERAGE(D40:I40)</f>
        <v>0.96527360445851285</v>
      </c>
      <c r="K40" s="131"/>
      <c r="L40" s="139"/>
      <c r="M40" s="139"/>
      <c r="N40" s="36"/>
    </row>
    <row r="41" spans="1:21" x14ac:dyDescent="0.25">
      <c r="A41" s="138"/>
      <c r="B41" s="137"/>
      <c r="C41" s="173">
        <v>600</v>
      </c>
      <c r="D41" s="333">
        <f t="shared" ref="D41:I50" si="14">D40-D6/D$17</f>
        <v>0.89330536739676103</v>
      </c>
      <c r="E41" s="174">
        <f t="shared" si="14"/>
        <v>0.88311025201502613</v>
      </c>
      <c r="F41" s="174">
        <f t="shared" si="14"/>
        <v>0.88900467242596393</v>
      </c>
      <c r="G41" s="174">
        <f t="shared" si="14"/>
        <v>0.86038195640081583</v>
      </c>
      <c r="H41" s="174">
        <f t="shared" si="14"/>
        <v>0.88311025201502613</v>
      </c>
      <c r="I41" s="334">
        <f t="shared" si="14"/>
        <v>0.92019509436629676</v>
      </c>
      <c r="J41" s="175">
        <f t="shared" ref="J41:J50" si="15">AVERAGE(D41:I41)</f>
        <v>0.88818459910331493</v>
      </c>
      <c r="K41" s="139"/>
      <c r="L41" s="139"/>
      <c r="M41" s="139"/>
      <c r="N41" s="36"/>
    </row>
    <row r="42" spans="1:21" x14ac:dyDescent="0.25">
      <c r="A42" s="138"/>
      <c r="B42" s="137"/>
      <c r="C42" s="173">
        <v>425</v>
      </c>
      <c r="D42" s="333">
        <f t="shared" si="14"/>
        <v>0.81841625691985009</v>
      </c>
      <c r="E42" s="174">
        <f t="shared" si="14"/>
        <v>0.81844706225609987</v>
      </c>
      <c r="F42" s="174">
        <f t="shared" si="14"/>
        <v>0.81182560758344824</v>
      </c>
      <c r="G42" s="174">
        <f t="shared" si="14"/>
        <v>0.77919635525653597</v>
      </c>
      <c r="H42" s="174">
        <f t="shared" si="14"/>
        <v>0.81844706225609987</v>
      </c>
      <c r="I42" s="334">
        <f t="shared" si="14"/>
        <v>0.85746094578355836</v>
      </c>
      <c r="J42" s="175">
        <f t="shared" si="15"/>
        <v>0.81729888167593223</v>
      </c>
      <c r="K42" s="139"/>
      <c r="L42" s="139"/>
      <c r="M42" s="139"/>
      <c r="N42" s="36"/>
    </row>
    <row r="43" spans="1:21" x14ac:dyDescent="0.25">
      <c r="A43" s="138"/>
      <c r="B43" s="137"/>
      <c r="C43" s="129">
        <v>300</v>
      </c>
      <c r="D43" s="333">
        <f t="shared" si="14"/>
        <v>0.69566413368634605</v>
      </c>
      <c r="E43" s="174">
        <f t="shared" si="14"/>
        <v>0.69853021627338718</v>
      </c>
      <c r="F43" s="174">
        <f t="shared" si="14"/>
        <v>0.68772059565027399</v>
      </c>
      <c r="G43" s="174">
        <f t="shared" si="14"/>
        <v>0.66015945752655425</v>
      </c>
      <c r="H43" s="174">
        <f t="shared" si="14"/>
        <v>0.69853021627338718</v>
      </c>
      <c r="I43" s="334">
        <f t="shared" si="14"/>
        <v>0.75673287622817553</v>
      </c>
      <c r="J43" s="175">
        <f t="shared" si="15"/>
        <v>0.69955624927302074</v>
      </c>
      <c r="K43" s="139"/>
      <c r="L43" s="139"/>
      <c r="M43" s="139"/>
      <c r="N43" s="36"/>
    </row>
    <row r="44" spans="1:21" x14ac:dyDescent="0.25">
      <c r="A44" s="138"/>
      <c r="B44" s="137"/>
      <c r="C44" s="129">
        <v>212</v>
      </c>
      <c r="D44" s="333">
        <f t="shared" si="14"/>
        <v>0.57641921397379925</v>
      </c>
      <c r="E44" s="174">
        <f t="shared" si="14"/>
        <v>0.56479083846967448</v>
      </c>
      <c r="F44" s="174">
        <f t="shared" si="14"/>
        <v>0.5714813943325826</v>
      </c>
      <c r="G44" s="174">
        <f t="shared" si="14"/>
        <v>0.52970624851005232</v>
      </c>
      <c r="H44" s="174">
        <f t="shared" si="14"/>
        <v>0.56479083846967448</v>
      </c>
      <c r="I44" s="334">
        <f t="shared" si="14"/>
        <v>0.63720223368912132</v>
      </c>
      <c r="J44" s="175">
        <f t="shared" si="15"/>
        <v>0.57406512790748399</v>
      </c>
      <c r="K44" s="139"/>
      <c r="L44" s="139"/>
      <c r="M44" s="139"/>
      <c r="N44" s="36"/>
    </row>
    <row r="45" spans="1:21" x14ac:dyDescent="0.25">
      <c r="A45" s="138"/>
      <c r="B45" s="137"/>
      <c r="C45" s="129">
        <v>180</v>
      </c>
      <c r="D45" s="333">
        <f t="shared" si="14"/>
        <v>0.53113502733555695</v>
      </c>
      <c r="E45" s="174">
        <f t="shared" si="14"/>
        <v>0.51705022064991446</v>
      </c>
      <c r="F45" s="174">
        <f t="shared" si="14"/>
        <v>0.52495882214528222</v>
      </c>
      <c r="G45" s="174">
        <f t="shared" si="14"/>
        <v>0.49468916377506439</v>
      </c>
      <c r="H45" s="174">
        <f t="shared" si="14"/>
        <v>0.51705022064991446</v>
      </c>
      <c r="I45" s="334">
        <f t="shared" si="14"/>
        <v>0.60094012864918356</v>
      </c>
      <c r="J45" s="175">
        <f t="shared" si="15"/>
        <v>0.53097059720081941</v>
      </c>
      <c r="K45" s="139"/>
      <c r="L45" s="139"/>
      <c r="M45" s="139"/>
      <c r="N45" s="36"/>
    </row>
    <row r="46" spans="1:21" x14ac:dyDescent="0.25">
      <c r="A46" s="138"/>
      <c r="B46" s="137"/>
      <c r="C46" s="129">
        <v>150</v>
      </c>
      <c r="D46" s="333">
        <f t="shared" si="14"/>
        <v>0.48310009283774036</v>
      </c>
      <c r="E46" s="174">
        <f t="shared" si="14"/>
        <v>0.46759546300010957</v>
      </c>
      <c r="F46" s="174">
        <f t="shared" si="14"/>
        <v>0.47779757302766485</v>
      </c>
      <c r="G46" s="174">
        <f t="shared" si="14"/>
        <v>0.44009747569729574</v>
      </c>
      <c r="H46" s="174">
        <f t="shared" si="14"/>
        <v>0.46759546300010957</v>
      </c>
      <c r="I46" s="334">
        <f t="shared" si="14"/>
        <v>0.55008128931929035</v>
      </c>
      <c r="J46" s="175">
        <f t="shared" si="15"/>
        <v>0.48104455948036845</v>
      </c>
      <c r="K46" s="139"/>
      <c r="L46" s="139"/>
      <c r="M46" s="139"/>
      <c r="N46" s="36"/>
    </row>
    <row r="47" spans="1:21" x14ac:dyDescent="0.25">
      <c r="A47" s="138"/>
      <c r="B47" s="137"/>
      <c r="C47" s="129">
        <v>106</v>
      </c>
      <c r="D47" s="333">
        <f t="shared" si="14"/>
        <v>0.40429116666093606</v>
      </c>
      <c r="E47" s="174">
        <f t="shared" si="14"/>
        <v>0.38028374484846289</v>
      </c>
      <c r="F47" s="174">
        <f t="shared" si="14"/>
        <v>0.39510571783925513</v>
      </c>
      <c r="G47" s="174">
        <f t="shared" si="14"/>
        <v>0.36492464175032463</v>
      </c>
      <c r="H47" s="174">
        <f t="shared" si="14"/>
        <v>0.38028374484846289</v>
      </c>
      <c r="I47" s="334">
        <f t="shared" si="14"/>
        <v>0.46599985862727084</v>
      </c>
      <c r="J47" s="175">
        <f t="shared" si="15"/>
        <v>0.39848147909578541</v>
      </c>
      <c r="K47" s="139"/>
      <c r="L47" s="139"/>
      <c r="M47" s="139"/>
      <c r="N47" s="36"/>
    </row>
    <row r="48" spans="1:21" x14ac:dyDescent="0.25">
      <c r="A48" s="138"/>
      <c r="B48" s="137"/>
      <c r="C48" s="139">
        <v>75</v>
      </c>
      <c r="D48" s="333">
        <f t="shared" si="14"/>
        <v>0.34759137640546034</v>
      </c>
      <c r="E48" s="174">
        <f t="shared" si="14"/>
        <v>0.31419818374120151</v>
      </c>
      <c r="F48" s="174">
        <f t="shared" si="14"/>
        <v>0.33177585801203402</v>
      </c>
      <c r="G48" s="174">
        <f t="shared" si="14"/>
        <v>0.31110110454798312</v>
      </c>
      <c r="H48" s="174">
        <f t="shared" si="14"/>
        <v>0.31419818374120151</v>
      </c>
      <c r="I48" s="334">
        <f t="shared" si="14"/>
        <v>0.39605570085530506</v>
      </c>
      <c r="J48" s="175">
        <f t="shared" si="15"/>
        <v>0.33582006788386426</v>
      </c>
      <c r="K48" s="139"/>
      <c r="L48" s="139"/>
      <c r="M48" s="139"/>
      <c r="N48" s="36"/>
    </row>
    <row r="49" spans="1:14" x14ac:dyDescent="0.25">
      <c r="A49" s="138"/>
      <c r="B49" s="137"/>
      <c r="C49" s="139">
        <v>53</v>
      </c>
      <c r="D49" s="333">
        <f t="shared" si="14"/>
        <v>0.28016366949764482</v>
      </c>
      <c r="E49" s="174">
        <f t="shared" si="14"/>
        <v>0.25588095845946257</v>
      </c>
      <c r="F49" s="174">
        <f t="shared" si="14"/>
        <v>0.26158862482772532</v>
      </c>
      <c r="G49" s="174">
        <f t="shared" si="14"/>
        <v>0.25605912112944684</v>
      </c>
      <c r="H49" s="174">
        <f t="shared" si="14"/>
        <v>0.25588095845946257</v>
      </c>
      <c r="I49" s="334">
        <f t="shared" si="14"/>
        <v>0.31190358379868527</v>
      </c>
      <c r="J49" s="175">
        <f t="shared" si="15"/>
        <v>0.27024615269540453</v>
      </c>
      <c r="K49" s="139"/>
      <c r="L49" s="139"/>
      <c r="M49" s="139"/>
      <c r="N49" s="36"/>
    </row>
    <row r="50" spans="1:14" x14ac:dyDescent="0.25">
      <c r="A50" s="138"/>
      <c r="B50" s="128"/>
      <c r="C50" s="132">
        <v>38</v>
      </c>
      <c r="D50" s="335">
        <f t="shared" si="14"/>
        <v>0.24093112815046605</v>
      </c>
      <c r="E50" s="177">
        <f t="shared" si="14"/>
        <v>0.2150333710200957</v>
      </c>
      <c r="F50" s="177">
        <f t="shared" si="14"/>
        <v>0.2209149887391173</v>
      </c>
      <c r="G50" s="177">
        <f t="shared" si="14"/>
        <v>0.21487034142982031</v>
      </c>
      <c r="H50" s="177">
        <f t="shared" si="14"/>
        <v>0.2150333710200957</v>
      </c>
      <c r="I50" s="336">
        <f t="shared" si="14"/>
        <v>0.26645225136071254</v>
      </c>
      <c r="J50" s="178">
        <f t="shared" si="15"/>
        <v>0.22887257528671798</v>
      </c>
      <c r="K50" s="132"/>
      <c r="L50" s="139"/>
      <c r="M50" s="139"/>
      <c r="N50" s="36"/>
    </row>
    <row r="51" spans="1:14" x14ac:dyDescent="0.25">
      <c r="A51" s="138"/>
      <c r="B51" s="36"/>
      <c r="C51" s="36"/>
      <c r="D51" s="161"/>
      <c r="E51" s="134"/>
      <c r="F51" s="36"/>
      <c r="G51" s="36"/>
      <c r="H51" s="36"/>
      <c r="I51" s="36"/>
      <c r="J51" s="134"/>
      <c r="K51" s="36"/>
      <c r="L51" s="36"/>
      <c r="M51" s="139"/>
      <c r="N51" s="36"/>
    </row>
  </sheetData>
  <phoneticPr fontId="19" type="noConversion"/>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FEF31-FE6A-4A3D-AA1B-0F16A414D7A2}">
  <sheetPr codeName="Sheet3"/>
  <dimension ref="A1:O69"/>
  <sheetViews>
    <sheetView topLeftCell="A22" zoomScale="90" zoomScaleNormal="90" workbookViewId="0">
      <selection activeCell="J41" sqref="J41"/>
    </sheetView>
  </sheetViews>
  <sheetFormatPr defaultRowHeight="15" x14ac:dyDescent="0.25"/>
  <cols>
    <col min="9" max="9" width="20.140625" bestFit="1" customWidth="1"/>
  </cols>
  <sheetData>
    <row r="1" spans="10:10" x14ac:dyDescent="0.25">
      <c r="J1" t="s">
        <v>72</v>
      </c>
    </row>
    <row r="29" spans="5:15" x14ac:dyDescent="0.25">
      <c r="J29" t="s">
        <v>63</v>
      </c>
    </row>
    <row r="31" spans="5:15" x14ac:dyDescent="0.25">
      <c r="E31" s="122" t="s">
        <v>387</v>
      </c>
      <c r="I31" t="s">
        <v>390</v>
      </c>
      <c r="J31" t="s">
        <v>392</v>
      </c>
      <c r="K31" t="s">
        <v>391</v>
      </c>
    </row>
    <row r="32" spans="5:15" x14ac:dyDescent="0.25">
      <c r="E32" s="122" t="s">
        <v>388</v>
      </c>
      <c r="I32" t="s">
        <v>82</v>
      </c>
      <c r="J32" t="s">
        <v>75</v>
      </c>
      <c r="K32" t="s">
        <v>393</v>
      </c>
      <c r="M32" s="63">
        <f>(LOG(D42)-LOG(D46))/(LOG(B42)-LOG(B46))</f>
        <v>0.52168510852996841</v>
      </c>
      <c r="O32" t="s">
        <v>394</v>
      </c>
    </row>
    <row r="33" spans="1:15" x14ac:dyDescent="0.25">
      <c r="I33" t="s">
        <v>81</v>
      </c>
      <c r="J33" t="s">
        <v>65</v>
      </c>
      <c r="M33">
        <v>600</v>
      </c>
      <c r="N33" t="s">
        <v>42</v>
      </c>
      <c r="O33" t="s">
        <v>383</v>
      </c>
    </row>
    <row r="34" spans="1:15" x14ac:dyDescent="0.25">
      <c r="J34" t="s">
        <v>65</v>
      </c>
      <c r="M34">
        <v>607.76309249748692</v>
      </c>
      <c r="N34" t="s">
        <v>42</v>
      </c>
      <c r="O34" t="s">
        <v>71</v>
      </c>
    </row>
    <row r="36" spans="1:15" x14ac:dyDescent="0.25">
      <c r="E36" t="s">
        <v>399</v>
      </c>
      <c r="I36" t="s">
        <v>400</v>
      </c>
    </row>
    <row r="37" spans="1:15" x14ac:dyDescent="0.25">
      <c r="A37" t="s">
        <v>60</v>
      </c>
      <c r="B37" t="s">
        <v>79</v>
      </c>
      <c r="D37" t="s">
        <v>69</v>
      </c>
      <c r="E37" s="67" t="s">
        <v>389</v>
      </c>
    </row>
    <row r="38" spans="1:15" x14ac:dyDescent="0.25">
      <c r="B38" s="67" t="s">
        <v>16</v>
      </c>
      <c r="C38" s="67" t="s">
        <v>15</v>
      </c>
      <c r="D38" s="68" t="s">
        <v>67</v>
      </c>
      <c r="F38" s="67" t="s">
        <v>68</v>
      </c>
      <c r="G38" s="69"/>
      <c r="H38" s="67"/>
      <c r="I38" s="67" t="s">
        <v>69</v>
      </c>
      <c r="J38" s="453" t="s">
        <v>386</v>
      </c>
    </row>
    <row r="39" spans="1:15" x14ac:dyDescent="0.25">
      <c r="B39">
        <v>1180</v>
      </c>
      <c r="C39">
        <v>3.2527593439466353E-2</v>
      </c>
      <c r="D39" s="65">
        <v>0.96747240656053368</v>
      </c>
      <c r="E39" s="63">
        <f t="shared" ref="E39:E49" si="0">(B39/$M$34)^$M$32</f>
        <v>1.4135863922885645</v>
      </c>
      <c r="F39" s="64">
        <f t="shared" ref="F39:F49" si="1">(E39-D39)^2</f>
        <v>0.19901768826214972</v>
      </c>
      <c r="G39" s="62" t="s">
        <v>70</v>
      </c>
      <c r="I39" s="389">
        <v>1</v>
      </c>
      <c r="J39" s="454" t="s">
        <v>42</v>
      </c>
    </row>
    <row r="40" spans="1:15" x14ac:dyDescent="0.25">
      <c r="B40">
        <v>600</v>
      </c>
      <c r="C40">
        <v>7.4167039163772638E-2</v>
      </c>
      <c r="D40" s="65">
        <v>0.89330536739676092</v>
      </c>
      <c r="E40" s="63">
        <f t="shared" si="0"/>
        <v>0.99331591545724618</v>
      </c>
      <c r="F40" s="64">
        <f t="shared" si="1"/>
        <v>1.0002109723358632E-2</v>
      </c>
      <c r="G40" s="62" t="s">
        <v>70</v>
      </c>
      <c r="I40" s="37">
        <v>0.95</v>
      </c>
      <c r="J40" s="455">
        <f>$M$34*I40^(1/$M$32)</f>
        <v>550.8501584707418</v>
      </c>
    </row>
    <row r="41" spans="1:15" x14ac:dyDescent="0.25">
      <c r="B41" s="78">
        <v>425</v>
      </c>
      <c r="C41" s="79">
        <v>7.4889110476910908E-2</v>
      </c>
      <c r="D41" s="80">
        <v>0.81841625691985009</v>
      </c>
      <c r="E41" s="81">
        <f t="shared" si="0"/>
        <v>0.8297717055368331</v>
      </c>
      <c r="F41" s="82">
        <f t="shared" si="1"/>
        <v>1.2894621329294137E-4</v>
      </c>
      <c r="G41" s="83">
        <f t="shared" ref="G41:G49" si="2">(E41-D41)^2</f>
        <v>1.2894621329294137E-4</v>
      </c>
      <c r="I41" s="37">
        <v>0.84</v>
      </c>
      <c r="J41" s="455">
        <f t="shared" ref="J41:J48" si="3">$M$34*I41^(1/$M$32)</f>
        <v>435.09884066943846</v>
      </c>
    </row>
    <row r="42" spans="1:15" x14ac:dyDescent="0.25">
      <c r="B42" s="84">
        <v>300</v>
      </c>
      <c r="C42" s="85">
        <v>0.1227521232335041</v>
      </c>
      <c r="D42" s="86">
        <v>0.69566413368634583</v>
      </c>
      <c r="E42" s="73">
        <f t="shared" si="0"/>
        <v>0.69190190776507587</v>
      </c>
      <c r="F42" s="87">
        <f t="shared" si="1"/>
        <v>1.4154343882675577E-5</v>
      </c>
      <c r="G42" s="88">
        <f t="shared" si="2"/>
        <v>1.4154343882675577E-5</v>
      </c>
      <c r="I42" s="37">
        <v>0.8</v>
      </c>
      <c r="J42" s="455">
        <f t="shared" si="3"/>
        <v>396.25148000207599</v>
      </c>
    </row>
    <row r="43" spans="1:15" x14ac:dyDescent="0.25">
      <c r="B43" s="35">
        <v>212</v>
      </c>
      <c r="C43" s="89">
        <v>0.11924491971254683</v>
      </c>
      <c r="D43" s="90">
        <v>0.57641921397379903</v>
      </c>
      <c r="E43" s="73">
        <f t="shared" si="0"/>
        <v>0.57727404774349056</v>
      </c>
      <c r="F43" s="87">
        <f t="shared" si="1"/>
        <v>7.3074077380503519E-7</v>
      </c>
      <c r="G43" s="88">
        <f t="shared" si="2"/>
        <v>7.3074077380503519E-7</v>
      </c>
      <c r="I43" s="37">
        <v>0.75</v>
      </c>
      <c r="J43" s="455">
        <f t="shared" si="3"/>
        <v>350.14152107153399</v>
      </c>
    </row>
    <row r="44" spans="1:15" x14ac:dyDescent="0.25">
      <c r="B44" s="35">
        <v>180</v>
      </c>
      <c r="C44" s="89">
        <v>4.5284186638242269E-2</v>
      </c>
      <c r="D44" s="90">
        <v>0.53113502733555673</v>
      </c>
      <c r="E44" s="73">
        <f t="shared" si="0"/>
        <v>0.53004084669435247</v>
      </c>
      <c r="F44" s="87">
        <f t="shared" si="1"/>
        <v>1.197231275586158E-6</v>
      </c>
      <c r="G44" s="88">
        <f t="shared" si="2"/>
        <v>1.197231275586158E-6</v>
      </c>
      <c r="I44" s="37">
        <v>0.5</v>
      </c>
      <c r="J44" s="455">
        <f t="shared" si="3"/>
        <v>160.95349725989249</v>
      </c>
    </row>
    <row r="45" spans="1:15" x14ac:dyDescent="0.25">
      <c r="B45" s="35">
        <v>150</v>
      </c>
      <c r="C45" s="89">
        <v>4.8034934497816588E-2</v>
      </c>
      <c r="D45" s="90">
        <v>0.48310009283774019</v>
      </c>
      <c r="E45" s="73">
        <f t="shared" si="0"/>
        <v>0.48194964212224661</v>
      </c>
      <c r="F45" s="87">
        <f t="shared" si="1"/>
        <v>1.3235368487796864E-6</v>
      </c>
      <c r="G45" s="88">
        <f t="shared" si="2"/>
        <v>1.3235368487796864E-6</v>
      </c>
      <c r="I45" s="37">
        <v>0.4</v>
      </c>
      <c r="J45" s="455">
        <f t="shared" si="3"/>
        <v>104.93901700851669</v>
      </c>
    </row>
    <row r="46" spans="1:15" x14ac:dyDescent="0.25">
      <c r="B46" s="84">
        <v>106</v>
      </c>
      <c r="C46" s="85">
        <v>7.8808926176804309E-2</v>
      </c>
      <c r="D46" s="86">
        <v>0.4042911666609359</v>
      </c>
      <c r="E46" s="73">
        <f t="shared" si="0"/>
        <v>0.40210471685951776</v>
      </c>
      <c r="F46" s="87">
        <f t="shared" si="1"/>
        <v>4.7805627341213944E-6</v>
      </c>
      <c r="G46" s="88">
        <f t="shared" si="2"/>
        <v>4.7805627341213944E-6</v>
      </c>
      <c r="I46" s="37">
        <v>0.25</v>
      </c>
      <c r="J46" s="455">
        <f t="shared" si="3"/>
        <v>42.625208078585892</v>
      </c>
    </row>
    <row r="47" spans="1:15" x14ac:dyDescent="0.25">
      <c r="B47" s="35">
        <v>75</v>
      </c>
      <c r="C47" s="89">
        <v>5.6699790255475696E-2</v>
      </c>
      <c r="D47" s="90">
        <v>0.34759137640546017</v>
      </c>
      <c r="E47" s="73">
        <f t="shared" si="0"/>
        <v>0.33570576252931361</v>
      </c>
      <c r="F47" s="87">
        <f t="shared" si="1"/>
        <v>1.4126781721284767E-4</v>
      </c>
      <c r="G47" s="88">
        <f t="shared" si="2"/>
        <v>1.4126781721284767E-4</v>
      </c>
      <c r="I47" s="37">
        <v>0.16</v>
      </c>
      <c r="J47" s="455">
        <f t="shared" si="3"/>
        <v>18.119226762291895</v>
      </c>
    </row>
    <row r="48" spans="1:15" x14ac:dyDescent="0.25">
      <c r="B48" s="35">
        <v>53</v>
      </c>
      <c r="C48" s="89">
        <v>6.7427706907815549E-2</v>
      </c>
      <c r="D48" s="90">
        <v>0.28016366949764465</v>
      </c>
      <c r="E48" s="73">
        <f t="shared" si="0"/>
        <v>0.28008916034368214</v>
      </c>
      <c r="F48" s="87">
        <f t="shared" si="1"/>
        <v>5.5516140242089883E-9</v>
      </c>
      <c r="G48" s="88">
        <f t="shared" si="2"/>
        <v>5.5516140242089883E-9</v>
      </c>
      <c r="I48" s="37">
        <v>0.05</v>
      </c>
      <c r="J48" s="455">
        <f t="shared" si="3"/>
        <v>1.9491051767471705</v>
      </c>
    </row>
    <row r="49" spans="2:10" x14ac:dyDescent="0.25">
      <c r="B49" s="91">
        <v>38</v>
      </c>
      <c r="C49" s="92">
        <v>3.9232541347178761E-2</v>
      </c>
      <c r="D49" s="93">
        <v>0.24093112815046591</v>
      </c>
      <c r="E49" s="94">
        <f t="shared" si="0"/>
        <v>0.23545983455101194</v>
      </c>
      <c r="F49" s="95">
        <f t="shared" si="1"/>
        <v>2.9935053651426028E-5</v>
      </c>
      <c r="G49" s="96">
        <f t="shared" si="2"/>
        <v>2.9935053651426028E-5</v>
      </c>
      <c r="J49" s="454"/>
    </row>
    <row r="50" spans="2:10" x14ac:dyDescent="0.25">
      <c r="B50">
        <v>0</v>
      </c>
      <c r="C50">
        <v>0.24093112815046591</v>
      </c>
      <c r="D50" s="59"/>
    </row>
    <row r="51" spans="2:10" x14ac:dyDescent="0.25">
      <c r="F51" s="62">
        <f>SUM(F39:F49)</f>
        <v>0.20934213903679458</v>
      </c>
      <c r="G51" s="62">
        <f>SUM(G41:G49)</f>
        <v>3.2234105128620718E-4</v>
      </c>
    </row>
    <row r="56" spans="2:10" ht="21" x14ac:dyDescent="0.35">
      <c r="B56" t="s">
        <v>79</v>
      </c>
      <c r="C56" t="s">
        <v>69</v>
      </c>
      <c r="I56" s="458" t="s">
        <v>401</v>
      </c>
    </row>
    <row r="57" spans="2:10" x14ac:dyDescent="0.25">
      <c r="B57" s="67" t="s">
        <v>16</v>
      </c>
      <c r="C57" s="68" t="s">
        <v>67</v>
      </c>
      <c r="E57" t="s">
        <v>384</v>
      </c>
      <c r="F57" t="s">
        <v>385</v>
      </c>
      <c r="I57" t="s">
        <v>402</v>
      </c>
      <c r="J57" s="459" t="s">
        <v>403</v>
      </c>
    </row>
    <row r="58" spans="2:10" x14ac:dyDescent="0.25">
      <c r="B58">
        <v>1180</v>
      </c>
      <c r="C58" s="65">
        <v>0.96747240656053368</v>
      </c>
      <c r="E58">
        <f t="shared" ref="E58:E69" si="4">LOG(B58)</f>
        <v>3.0718820073061255</v>
      </c>
    </row>
    <row r="59" spans="2:10" x14ac:dyDescent="0.25">
      <c r="B59">
        <v>600</v>
      </c>
      <c r="C59" s="65">
        <v>0.89330536739676092</v>
      </c>
      <c r="E59">
        <f t="shared" si="4"/>
        <v>2.7781512503836434</v>
      </c>
    </row>
    <row r="60" spans="2:10" x14ac:dyDescent="0.25">
      <c r="B60" s="78">
        <v>425</v>
      </c>
      <c r="C60" s="80">
        <v>0.81841625691985009</v>
      </c>
      <c r="E60">
        <f t="shared" si="4"/>
        <v>2.6283889300503116</v>
      </c>
    </row>
    <row r="61" spans="2:10" x14ac:dyDescent="0.25">
      <c r="B61" s="84">
        <v>300</v>
      </c>
      <c r="C61" s="86">
        <v>0.69566413368634583</v>
      </c>
      <c r="E61">
        <f t="shared" si="4"/>
        <v>2.4771212547196626</v>
      </c>
    </row>
    <row r="62" spans="2:10" x14ac:dyDescent="0.25">
      <c r="B62" s="35">
        <v>212</v>
      </c>
      <c r="C62" s="90">
        <v>0.57641921397379903</v>
      </c>
      <c r="E62">
        <f t="shared" si="4"/>
        <v>2.3263358609287512</v>
      </c>
    </row>
    <row r="63" spans="2:10" x14ac:dyDescent="0.25">
      <c r="B63" s="35">
        <v>180</v>
      </c>
      <c r="C63" s="90">
        <v>0.53113502733555673</v>
      </c>
      <c r="E63">
        <f t="shared" si="4"/>
        <v>2.255272505103306</v>
      </c>
    </row>
    <row r="64" spans="2:10" x14ac:dyDescent="0.25">
      <c r="B64" s="35">
        <v>150</v>
      </c>
      <c r="C64" s="90">
        <v>0.48310009283774019</v>
      </c>
      <c r="E64">
        <f t="shared" si="4"/>
        <v>2.1760912590556813</v>
      </c>
    </row>
    <row r="65" spans="2:5" x14ac:dyDescent="0.25">
      <c r="B65" s="84">
        <v>106</v>
      </c>
      <c r="C65" s="86">
        <v>0.4042911666609359</v>
      </c>
      <c r="E65">
        <f t="shared" si="4"/>
        <v>2.0253058652647704</v>
      </c>
    </row>
    <row r="66" spans="2:5" x14ac:dyDescent="0.25">
      <c r="B66" s="35">
        <v>75</v>
      </c>
      <c r="C66" s="90">
        <v>0.34759137640546017</v>
      </c>
      <c r="E66">
        <f t="shared" si="4"/>
        <v>1.8750612633917001</v>
      </c>
    </row>
    <row r="67" spans="2:5" x14ac:dyDescent="0.25">
      <c r="B67" s="35">
        <v>53</v>
      </c>
      <c r="C67" s="90">
        <v>0.28016366949764465</v>
      </c>
      <c r="E67">
        <f t="shared" si="4"/>
        <v>1.7242758696007889</v>
      </c>
    </row>
    <row r="68" spans="2:5" x14ac:dyDescent="0.25">
      <c r="B68" s="91">
        <v>38</v>
      </c>
      <c r="C68" s="93">
        <v>0.24093112815046591</v>
      </c>
      <c r="E68">
        <f t="shared" si="4"/>
        <v>1.5797835966168101</v>
      </c>
    </row>
    <row r="69" spans="2:5" x14ac:dyDescent="0.25">
      <c r="B69">
        <v>0</v>
      </c>
      <c r="E69" t="e">
        <f t="shared" si="4"/>
        <v>#NUM!</v>
      </c>
    </row>
  </sheetData>
  <hyperlinks>
    <hyperlink ref="J57" r:id="rId1" display="https://doi.org/10.11118/actaun201159030197" xr:uid="{5DE93D48-89D7-47C3-A13B-7BF8BE8CE538}"/>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3E2E-3583-4ABE-B577-804DB90751F2}">
  <sheetPr codeName="Sheet4"/>
  <dimension ref="A2:AG480"/>
  <sheetViews>
    <sheetView zoomScaleNormal="100" workbookViewId="0">
      <selection activeCell="M139" sqref="M138:M139"/>
    </sheetView>
  </sheetViews>
  <sheetFormatPr defaultRowHeight="11.25" x14ac:dyDescent="0.2"/>
  <cols>
    <col min="1" max="1" width="23.5703125" style="138" customWidth="1"/>
    <col min="2" max="2" width="14.42578125" style="36" customWidth="1"/>
    <col min="3" max="3" width="6.85546875" style="36" customWidth="1"/>
    <col min="4" max="4" width="8.7109375" style="36" customWidth="1"/>
    <col min="5" max="9" width="6.85546875" style="36" customWidth="1"/>
    <col min="10" max="10" width="8.85546875" style="36" customWidth="1"/>
    <col min="11" max="12" width="6.85546875" style="36" customWidth="1"/>
    <col min="13" max="13" width="6.85546875" style="139" customWidth="1"/>
    <col min="14" max="19" width="6.85546875" style="36" customWidth="1"/>
    <col min="20" max="20" width="8.140625" style="36" customWidth="1"/>
    <col min="21" max="16384" width="9.140625" style="36"/>
  </cols>
  <sheetData>
    <row r="2" spans="1:18" x14ac:dyDescent="0.2">
      <c r="B2" s="151"/>
      <c r="C2" s="152"/>
      <c r="D2" s="152"/>
      <c r="E2" s="152"/>
      <c r="F2" s="152"/>
      <c r="G2" s="152"/>
      <c r="H2" s="152"/>
      <c r="I2" s="152"/>
      <c r="J2" s="153"/>
      <c r="M2" s="155"/>
      <c r="N2" s="152"/>
      <c r="O2" s="152"/>
      <c r="P2" s="152"/>
      <c r="Q2" s="152"/>
      <c r="R2" s="153"/>
    </row>
    <row r="3" spans="1:18" x14ac:dyDescent="0.2">
      <c r="A3" s="138" t="s">
        <v>114</v>
      </c>
      <c r="B3" s="154" t="s">
        <v>118</v>
      </c>
      <c r="C3" s="155" t="s">
        <v>115</v>
      </c>
      <c r="D3" s="155"/>
      <c r="E3" s="155"/>
      <c r="F3" s="155"/>
      <c r="G3" s="155"/>
      <c r="H3" s="155"/>
      <c r="I3" s="155"/>
      <c r="J3" s="156"/>
      <c r="M3" s="155"/>
      <c r="N3" s="155"/>
      <c r="O3" s="155"/>
      <c r="P3" s="155"/>
      <c r="Q3" s="155"/>
      <c r="R3" s="156"/>
    </row>
    <row r="4" spans="1:18" x14ac:dyDescent="0.2">
      <c r="B4" s="154"/>
      <c r="C4" s="155" t="s">
        <v>116</v>
      </c>
      <c r="D4" s="155"/>
      <c r="E4" s="155"/>
      <c r="F4" s="155"/>
      <c r="G4" s="155"/>
      <c r="H4" s="155"/>
      <c r="I4" s="155"/>
      <c r="J4" s="156"/>
      <c r="M4" s="155"/>
      <c r="N4" s="155"/>
      <c r="O4" s="155"/>
      <c r="P4" s="155"/>
      <c r="Q4" s="155"/>
      <c r="R4" s="156"/>
    </row>
    <row r="5" spans="1:18" x14ac:dyDescent="0.2">
      <c r="B5" s="154"/>
      <c r="C5" s="155" t="s">
        <v>124</v>
      </c>
      <c r="D5" s="155"/>
      <c r="E5" s="155"/>
      <c r="F5" s="155"/>
      <c r="G5" s="155"/>
      <c r="H5" s="155"/>
      <c r="I5" s="155"/>
      <c r="J5" s="156"/>
      <c r="M5" s="155"/>
      <c r="N5" s="155"/>
      <c r="O5" s="155"/>
      <c r="P5" s="155"/>
      <c r="Q5" s="155"/>
      <c r="R5" s="156"/>
    </row>
    <row r="6" spans="1:18" x14ac:dyDescent="0.2">
      <c r="B6" s="154" t="s">
        <v>119</v>
      </c>
      <c r="C6" s="155" t="s">
        <v>117</v>
      </c>
      <c r="D6" s="155"/>
      <c r="E6" s="155"/>
      <c r="F6" s="155"/>
      <c r="G6" s="155"/>
      <c r="H6" s="155"/>
      <c r="I6" s="155"/>
      <c r="J6" s="156"/>
      <c r="M6" s="155"/>
      <c r="N6" s="155"/>
      <c r="O6" s="155"/>
      <c r="P6" s="155"/>
      <c r="Q6" s="155"/>
      <c r="R6" s="156"/>
    </row>
    <row r="7" spans="1:18" x14ac:dyDescent="0.2">
      <c r="B7" s="154"/>
      <c r="C7" s="155"/>
      <c r="D7" s="155"/>
      <c r="E7" s="155"/>
      <c r="F7" s="155"/>
      <c r="G7" s="155"/>
      <c r="H7" s="155"/>
      <c r="I7" s="155"/>
      <c r="J7" s="156"/>
      <c r="M7" s="155"/>
      <c r="N7" s="155"/>
      <c r="O7" s="155"/>
      <c r="P7" s="155"/>
      <c r="Q7" s="155"/>
      <c r="R7" s="156"/>
    </row>
    <row r="8" spans="1:18" x14ac:dyDescent="0.2">
      <c r="B8" s="154" t="s">
        <v>120</v>
      </c>
      <c r="C8" s="155" t="s">
        <v>121</v>
      </c>
      <c r="D8" s="155"/>
      <c r="E8" s="155"/>
      <c r="F8" s="155"/>
      <c r="G8" s="155"/>
      <c r="H8" s="155"/>
      <c r="I8" s="155"/>
      <c r="J8" s="156"/>
      <c r="M8" s="155"/>
      <c r="N8" s="155"/>
      <c r="O8" s="155"/>
      <c r="P8" s="155"/>
      <c r="Q8" s="155"/>
      <c r="R8" s="156"/>
    </row>
    <row r="9" spans="1:18" x14ac:dyDescent="0.2">
      <c r="B9" s="154" t="s">
        <v>122</v>
      </c>
      <c r="C9" s="155" t="s">
        <v>123</v>
      </c>
      <c r="D9" s="155"/>
      <c r="E9" s="155"/>
      <c r="F9" s="155"/>
      <c r="G9" s="155"/>
      <c r="H9" s="155"/>
      <c r="I9" s="155"/>
      <c r="J9" s="156"/>
      <c r="M9" s="155"/>
      <c r="N9" s="155"/>
      <c r="O9" s="155"/>
      <c r="P9" s="155"/>
      <c r="Q9" s="155"/>
      <c r="R9" s="156"/>
    </row>
    <row r="10" spans="1:18" x14ac:dyDescent="0.2">
      <c r="B10" s="154"/>
      <c r="C10" s="155"/>
      <c r="D10" s="155"/>
      <c r="E10" s="155"/>
      <c r="F10" s="155"/>
      <c r="G10" s="155"/>
      <c r="H10" s="155"/>
      <c r="I10" s="155"/>
      <c r="J10" s="156"/>
      <c r="M10" s="155"/>
      <c r="N10" s="155"/>
      <c r="O10" s="155"/>
      <c r="P10" s="155"/>
      <c r="Q10" s="155"/>
      <c r="R10" s="156"/>
    </row>
    <row r="11" spans="1:18" x14ac:dyDescent="0.2">
      <c r="B11" s="293" t="s">
        <v>268</v>
      </c>
      <c r="C11" s="294" t="s">
        <v>270</v>
      </c>
      <c r="D11" s="155"/>
      <c r="E11" s="155"/>
      <c r="F11" s="155"/>
      <c r="G11" s="155"/>
      <c r="H11" s="155"/>
      <c r="I11" s="155"/>
      <c r="J11" s="156"/>
      <c r="M11" s="155"/>
      <c r="N11" s="155"/>
      <c r="O11" s="155"/>
      <c r="P11" s="155"/>
      <c r="Q11" s="155"/>
      <c r="R11" s="156"/>
    </row>
    <row r="12" spans="1:18" x14ac:dyDescent="0.2">
      <c r="B12" s="293" t="s">
        <v>269</v>
      </c>
      <c r="C12" s="294" t="s">
        <v>271</v>
      </c>
      <c r="D12" s="155"/>
      <c r="E12" s="155"/>
      <c r="F12" s="155"/>
      <c r="G12" s="155"/>
      <c r="H12" s="155"/>
      <c r="I12" s="155"/>
      <c r="J12" s="156"/>
      <c r="M12" s="155"/>
      <c r="N12" s="155"/>
      <c r="O12" s="155"/>
      <c r="P12" s="155"/>
      <c r="Q12" s="155"/>
      <c r="R12" s="156"/>
    </row>
    <row r="13" spans="1:18" x14ac:dyDescent="0.2">
      <c r="B13" s="157"/>
      <c r="C13" s="158"/>
      <c r="D13" s="158"/>
      <c r="E13" s="158"/>
      <c r="F13" s="158"/>
      <c r="G13" s="158"/>
      <c r="H13" s="158"/>
      <c r="I13" s="158"/>
      <c r="J13" s="159"/>
      <c r="M13" s="155"/>
      <c r="N13" s="158"/>
      <c r="O13" s="158"/>
      <c r="P13" s="158"/>
      <c r="Q13" s="158"/>
      <c r="R13" s="159"/>
    </row>
    <row r="15" spans="1:18" x14ac:dyDescent="0.2">
      <c r="A15" s="138" t="s">
        <v>183</v>
      </c>
      <c r="B15" s="138" t="s">
        <v>16</v>
      </c>
      <c r="D15" s="36" t="s">
        <v>78</v>
      </c>
      <c r="E15" s="36" t="s">
        <v>146</v>
      </c>
      <c r="F15" s="36" t="s">
        <v>147</v>
      </c>
      <c r="G15" s="36" t="s">
        <v>148</v>
      </c>
      <c r="H15" s="36" t="s">
        <v>149</v>
      </c>
      <c r="I15" s="36" t="s">
        <v>150</v>
      </c>
      <c r="J15" s="36" t="s">
        <v>194</v>
      </c>
    </row>
    <row r="16" spans="1:18" x14ac:dyDescent="0.2">
      <c r="B16" s="148" t="str">
        <f>"+"&amp;C16</f>
        <v>+1180</v>
      </c>
      <c r="C16" s="36">
        <v>1180</v>
      </c>
      <c r="D16" s="36">
        <v>9.4600000000000009</v>
      </c>
      <c r="E16" s="36">
        <v>9.9499999999999993</v>
      </c>
      <c r="F16" s="36">
        <v>10.08</v>
      </c>
      <c r="G16" s="36">
        <v>18.170000000000002</v>
      </c>
      <c r="H16" s="36">
        <v>9.9499999999999993</v>
      </c>
      <c r="I16" s="36">
        <v>6.01</v>
      </c>
      <c r="J16" s="160">
        <f>AVERAGE(D16:I16)</f>
        <v>10.603333333333333</v>
      </c>
    </row>
    <row r="17" spans="1:13" x14ac:dyDescent="0.2">
      <c r="B17" s="138" t="str">
        <f>C16&amp;" -"&amp;C17</f>
        <v>1180 -600</v>
      </c>
      <c r="C17" s="36">
        <v>600</v>
      </c>
      <c r="D17" s="36">
        <v>21.57</v>
      </c>
      <c r="E17" s="36">
        <v>22.1</v>
      </c>
      <c r="F17" s="36">
        <v>22.94</v>
      </c>
      <c r="G17" s="36">
        <v>34.54</v>
      </c>
      <c r="H17" s="36">
        <v>22.1</v>
      </c>
      <c r="I17" s="36">
        <v>16.57</v>
      </c>
      <c r="J17" s="160">
        <f t="shared" ref="J17:J27" si="0">AVERAGE(D17:I17)</f>
        <v>23.303333333333331</v>
      </c>
    </row>
    <row r="18" spans="1:13" x14ac:dyDescent="0.2">
      <c r="B18" s="138" t="str">
        <f t="shared" ref="B18:B27" si="1">C17&amp;" -"&amp;C18</f>
        <v>600 -425</v>
      </c>
      <c r="C18" s="36">
        <v>425</v>
      </c>
      <c r="D18" s="36">
        <v>21.78</v>
      </c>
      <c r="E18" s="150">
        <v>17.73</v>
      </c>
      <c r="F18" s="36">
        <v>22.96</v>
      </c>
      <c r="G18" s="36">
        <v>30.65</v>
      </c>
      <c r="H18" s="36">
        <v>17.73</v>
      </c>
      <c r="I18" s="36">
        <v>17.75</v>
      </c>
      <c r="J18" s="160">
        <f t="shared" si="0"/>
        <v>21.433333333333337</v>
      </c>
    </row>
    <row r="19" spans="1:13" x14ac:dyDescent="0.2">
      <c r="B19" s="138" t="str">
        <f t="shared" si="1"/>
        <v>425 -300</v>
      </c>
      <c r="C19" s="161">
        <v>300</v>
      </c>
      <c r="D19" s="36">
        <v>35.700000000000003</v>
      </c>
      <c r="E19" s="36">
        <v>32.880000000000003</v>
      </c>
      <c r="F19" s="36">
        <v>36.92</v>
      </c>
      <c r="G19" s="36">
        <v>44.94</v>
      </c>
      <c r="H19" s="36">
        <v>32.880000000000003</v>
      </c>
      <c r="I19" s="36">
        <v>28.5</v>
      </c>
      <c r="J19" s="160">
        <f t="shared" si="0"/>
        <v>35.303333333333335</v>
      </c>
    </row>
    <row r="20" spans="1:13" x14ac:dyDescent="0.2">
      <c r="B20" s="138" t="str">
        <f t="shared" si="1"/>
        <v>300 -212</v>
      </c>
      <c r="C20" s="161">
        <v>212</v>
      </c>
      <c r="D20" s="36">
        <v>34.68</v>
      </c>
      <c r="E20" s="36">
        <v>36.67</v>
      </c>
      <c r="F20" s="36">
        <v>34.58</v>
      </c>
      <c r="G20" s="36">
        <v>49.25</v>
      </c>
      <c r="H20" s="36">
        <v>36.67</v>
      </c>
      <c r="I20" s="36">
        <v>33.82</v>
      </c>
      <c r="J20" s="160">
        <f t="shared" si="0"/>
        <v>37.611666666666672</v>
      </c>
    </row>
    <row r="21" spans="1:13" x14ac:dyDescent="0.2">
      <c r="B21" s="138" t="str">
        <f t="shared" si="1"/>
        <v>212 -180</v>
      </c>
      <c r="C21" s="161">
        <v>180</v>
      </c>
      <c r="D21" s="36">
        <v>13.17</v>
      </c>
      <c r="E21" s="36">
        <v>13.09</v>
      </c>
      <c r="F21" s="36">
        <v>13.84</v>
      </c>
      <c r="G21" s="36">
        <v>13.22</v>
      </c>
      <c r="H21" s="36">
        <v>13.09</v>
      </c>
      <c r="I21" s="36">
        <v>10.26</v>
      </c>
      <c r="J21" s="160">
        <f t="shared" si="0"/>
        <v>12.778333333333334</v>
      </c>
    </row>
    <row r="22" spans="1:13" x14ac:dyDescent="0.2">
      <c r="B22" s="138" t="str">
        <f t="shared" si="1"/>
        <v>180 -150</v>
      </c>
      <c r="C22" s="161">
        <v>150</v>
      </c>
      <c r="D22" s="36">
        <v>13.97</v>
      </c>
      <c r="E22" s="36">
        <v>13.56</v>
      </c>
      <c r="F22" s="36">
        <v>14.03</v>
      </c>
      <c r="G22" s="36">
        <v>20.61</v>
      </c>
      <c r="H22" s="36">
        <v>13.56</v>
      </c>
      <c r="I22" s="36">
        <v>14.39</v>
      </c>
      <c r="J22" s="160">
        <f t="shared" si="0"/>
        <v>15.020000000000001</v>
      </c>
    </row>
    <row r="23" spans="1:13" x14ac:dyDescent="0.2">
      <c r="B23" s="138" t="str">
        <f t="shared" si="1"/>
        <v>150 -106</v>
      </c>
      <c r="C23" s="161">
        <v>106</v>
      </c>
      <c r="D23" s="36">
        <v>22.92</v>
      </c>
      <c r="E23" s="36">
        <v>23.94</v>
      </c>
      <c r="F23" s="36">
        <v>24.6</v>
      </c>
      <c r="G23" s="36">
        <v>28.38</v>
      </c>
      <c r="H23" s="36">
        <v>23.94</v>
      </c>
      <c r="I23" s="36">
        <v>23.79</v>
      </c>
      <c r="J23" s="160">
        <f t="shared" si="0"/>
        <v>24.594999999999999</v>
      </c>
    </row>
    <row r="24" spans="1:13" x14ac:dyDescent="0.2">
      <c r="B24" s="138" t="str">
        <f t="shared" si="1"/>
        <v>106 -75</v>
      </c>
      <c r="C24" s="36">
        <v>75</v>
      </c>
      <c r="D24" s="36">
        <v>16.489999999999998</v>
      </c>
      <c r="E24" s="36">
        <v>18.12</v>
      </c>
      <c r="F24" s="36">
        <v>18.84</v>
      </c>
      <c r="G24" s="36">
        <v>20.32</v>
      </c>
      <c r="H24" s="36">
        <v>18.12</v>
      </c>
      <c r="I24" s="36">
        <v>19.79</v>
      </c>
      <c r="J24" s="160">
        <f t="shared" si="0"/>
        <v>18.613333333333333</v>
      </c>
    </row>
    <row r="25" spans="1:13" x14ac:dyDescent="0.2">
      <c r="B25" s="138" t="str">
        <f t="shared" si="1"/>
        <v>75 -53</v>
      </c>
      <c r="C25" s="36">
        <v>53</v>
      </c>
      <c r="D25" s="36">
        <v>19.61</v>
      </c>
      <c r="E25" s="36">
        <v>15.99</v>
      </c>
      <c r="F25" s="36">
        <v>20.88</v>
      </c>
      <c r="G25" s="36">
        <v>20.78</v>
      </c>
      <c r="H25" s="36">
        <v>15.99</v>
      </c>
      <c r="I25" s="36">
        <v>23.81</v>
      </c>
      <c r="J25" s="160">
        <f t="shared" si="0"/>
        <v>19.510000000000002</v>
      </c>
    </row>
    <row r="26" spans="1:13" x14ac:dyDescent="0.2">
      <c r="B26" s="138" t="str">
        <f t="shared" si="1"/>
        <v>53 -38</v>
      </c>
      <c r="C26" s="36">
        <v>38</v>
      </c>
      <c r="D26" s="36">
        <v>11.41</v>
      </c>
      <c r="E26" s="36">
        <v>11.2</v>
      </c>
      <c r="F26" s="36">
        <v>12.1</v>
      </c>
      <c r="G26" s="36">
        <v>15.55</v>
      </c>
      <c r="H26" s="36">
        <v>11.2</v>
      </c>
      <c r="I26" s="36">
        <v>12.86</v>
      </c>
      <c r="J26" s="160">
        <f t="shared" si="0"/>
        <v>12.386666666666668</v>
      </c>
    </row>
    <row r="27" spans="1:13" x14ac:dyDescent="0.2">
      <c r="B27" s="138" t="str">
        <f t="shared" si="1"/>
        <v>38 -0</v>
      </c>
      <c r="C27" s="36">
        <v>0</v>
      </c>
      <c r="D27" s="36">
        <v>70.070000000000007</v>
      </c>
      <c r="E27" s="36">
        <v>58.96</v>
      </c>
      <c r="F27" s="36">
        <v>65.72</v>
      </c>
      <c r="G27" s="36">
        <v>81.12</v>
      </c>
      <c r="H27" s="36">
        <v>58.96</v>
      </c>
      <c r="I27" s="36">
        <v>75.39</v>
      </c>
      <c r="J27" s="160">
        <f t="shared" si="0"/>
        <v>68.36999999999999</v>
      </c>
    </row>
    <row r="28" spans="1:13" x14ac:dyDescent="0.2">
      <c r="C28" s="36" t="s">
        <v>77</v>
      </c>
      <c r="D28" s="36">
        <f>SUM(D16:D27)</f>
        <v>290.83000000000004</v>
      </c>
      <c r="E28" s="36">
        <f t="shared" ref="E28:J28" si="2">SUM(E16:E27)</f>
        <v>274.19</v>
      </c>
      <c r="F28" s="36">
        <f t="shared" si="2"/>
        <v>297.49</v>
      </c>
      <c r="G28" s="36">
        <f t="shared" si="2"/>
        <v>377.53000000000003</v>
      </c>
      <c r="H28" s="36">
        <f t="shared" si="2"/>
        <v>274.19</v>
      </c>
      <c r="I28" s="36">
        <f t="shared" si="2"/>
        <v>282.94</v>
      </c>
      <c r="J28" s="160">
        <f t="shared" si="2"/>
        <v>299.52833333333336</v>
      </c>
    </row>
    <row r="30" spans="1:13" x14ac:dyDescent="0.2">
      <c r="A30" s="138" t="s">
        <v>111</v>
      </c>
    </row>
    <row r="31" spans="1:13" x14ac:dyDescent="0.2">
      <c r="A31" s="138" t="s">
        <v>151</v>
      </c>
      <c r="C31" s="160" t="s">
        <v>152</v>
      </c>
      <c r="D31" s="160">
        <f>(D66+$C$16)/2</f>
        <v>1324.4627074835887</v>
      </c>
      <c r="E31" s="160">
        <f t="shared" ref="E31:I31" si="3">(E66+$C$16)/2</f>
        <v>1358.9605549599355</v>
      </c>
      <c r="F31" s="160">
        <f t="shared" si="3"/>
        <v>1326.2575482094603</v>
      </c>
      <c r="G31" s="160">
        <f t="shared" si="3"/>
        <v>1365.7905495837003</v>
      </c>
      <c r="H31" s="160">
        <f t="shared" si="3"/>
        <v>1302.855677236679</v>
      </c>
      <c r="I31" s="160">
        <f t="shared" si="3"/>
        <v>1320.8650159791316</v>
      </c>
      <c r="J31" s="162">
        <f>AVERAGE(D31:I31)</f>
        <v>1333.1986755754158</v>
      </c>
    </row>
    <row r="32" spans="1:13" x14ac:dyDescent="0.2">
      <c r="B32" s="138"/>
      <c r="C32" s="160" t="s">
        <v>152</v>
      </c>
      <c r="D32" s="36" t="str">
        <f>D15</f>
        <v>SC13F</v>
      </c>
      <c r="E32" s="36" t="str">
        <f t="shared" ref="E32:I32" si="4">E15</f>
        <v>13Fdeck1</v>
      </c>
      <c r="F32" s="36" t="str">
        <f t="shared" si="4"/>
        <v>13Fdeck2</v>
      </c>
      <c r="G32" s="36" t="str">
        <f t="shared" si="4"/>
        <v>13Fdeck3</v>
      </c>
      <c r="H32" s="36" t="str">
        <f t="shared" si="4"/>
        <v>13Fdeck4</v>
      </c>
      <c r="I32" s="36" t="str">
        <f t="shared" si="4"/>
        <v>13Fdeck5</v>
      </c>
      <c r="J32" s="136" t="str">
        <f>J15</f>
        <v>Mean13F</v>
      </c>
      <c r="K32" s="286" t="s">
        <v>287</v>
      </c>
      <c r="L32" s="285" t="s">
        <v>292</v>
      </c>
      <c r="M32" s="323" t="s">
        <v>293</v>
      </c>
    </row>
    <row r="33" spans="1:18" x14ac:dyDescent="0.2">
      <c r="B33" s="140"/>
      <c r="C33" s="163">
        <f>(AVERAGE(D66:I66)+C16)/2</f>
        <v>1333.198675575416</v>
      </c>
      <c r="D33" s="164">
        <f t="shared" ref="D33:I44" si="5">D16/D$28</f>
        <v>3.2527593439466353E-2</v>
      </c>
      <c r="E33" s="164">
        <f t="shared" si="5"/>
        <v>3.6288704912651806E-2</v>
      </c>
      <c r="F33" s="164">
        <f t="shared" si="5"/>
        <v>3.388349188208007E-2</v>
      </c>
      <c r="G33" s="164">
        <f t="shared" si="5"/>
        <v>4.8128625539692209E-2</v>
      </c>
      <c r="H33" s="164">
        <f t="shared" si="5"/>
        <v>3.6288704912651806E-2</v>
      </c>
      <c r="I33" s="164">
        <f t="shared" si="5"/>
        <v>2.1241252562380717E-2</v>
      </c>
      <c r="J33" s="165">
        <f>AVERAGE(D33:I33)</f>
        <v>3.4726395541487161E-2</v>
      </c>
      <c r="K33" s="164">
        <f>_xlfn.STDEV.S(D33:I33)</f>
        <v>8.6243340438213779E-3</v>
      </c>
      <c r="L33" s="164">
        <f>J33-2*(K33)</f>
        <v>1.7477727453844405E-2</v>
      </c>
      <c r="M33" s="322">
        <f>J33+2*(K33)</f>
        <v>5.1975063629129917E-2</v>
      </c>
      <c r="N33" s="162"/>
      <c r="O33" s="162"/>
      <c r="P33" s="162"/>
      <c r="Q33" s="162"/>
      <c r="R33" s="162"/>
    </row>
    <row r="34" spans="1:18" x14ac:dyDescent="0.2">
      <c r="B34" s="140"/>
      <c r="C34" s="36">
        <f t="shared" ref="C34:C44" si="6">(C16+C17)/2</f>
        <v>890</v>
      </c>
      <c r="D34" s="164">
        <f t="shared" si="5"/>
        <v>7.4167039163772638E-2</v>
      </c>
      <c r="E34" s="164">
        <f t="shared" si="5"/>
        <v>8.0601043072322118E-2</v>
      </c>
      <c r="F34" s="164">
        <f t="shared" si="5"/>
        <v>7.7111835691956038E-2</v>
      </c>
      <c r="G34" s="164">
        <f t="shared" si="5"/>
        <v>9.1489418059491956E-2</v>
      </c>
      <c r="H34" s="164">
        <f t="shared" si="5"/>
        <v>8.0601043072322118E-2</v>
      </c>
      <c r="I34" s="164">
        <f t="shared" si="5"/>
        <v>5.8563653071322545E-2</v>
      </c>
      <c r="J34" s="165">
        <f>AVERAGE(D34:I34)</f>
        <v>7.7089005355197901E-2</v>
      </c>
      <c r="K34" s="164">
        <f t="shared" ref="K34:K44" si="7">_xlfn.STDEV.S(D34:I34)</f>
        <v>1.0805256024701965E-2</v>
      </c>
      <c r="L34" s="164">
        <f t="shared" ref="L34:L44" si="8">J34-2*(K34)</f>
        <v>5.547849330579397E-2</v>
      </c>
      <c r="M34" s="322">
        <f t="shared" ref="M34:M44" si="9">J34+2*(K34)</f>
        <v>9.8699517404601839E-2</v>
      </c>
      <c r="N34" s="162"/>
      <c r="O34" s="162"/>
      <c r="P34" s="162"/>
      <c r="Q34" s="162"/>
      <c r="R34" s="162"/>
    </row>
    <row r="35" spans="1:18" x14ac:dyDescent="0.2">
      <c r="B35" s="140"/>
      <c r="C35" s="36">
        <f t="shared" si="6"/>
        <v>512.5</v>
      </c>
      <c r="D35" s="164">
        <f t="shared" si="5"/>
        <v>7.4889110476910908E-2</v>
      </c>
      <c r="E35" s="164">
        <f t="shared" si="5"/>
        <v>6.4663189758926293E-2</v>
      </c>
      <c r="F35" s="164">
        <f t="shared" si="5"/>
        <v>7.7179064842515716E-2</v>
      </c>
      <c r="G35" s="164">
        <f t="shared" si="5"/>
        <v>8.1185601144279917E-2</v>
      </c>
      <c r="H35" s="164">
        <f t="shared" si="5"/>
        <v>6.4663189758926293E-2</v>
      </c>
      <c r="I35" s="164">
        <f t="shared" si="5"/>
        <v>6.2734148582738389E-2</v>
      </c>
      <c r="J35" s="165">
        <f t="shared" ref="J35:J45" si="10">AVERAGE(D35:I35)</f>
        <v>7.0885717427382922E-2</v>
      </c>
      <c r="K35" s="164">
        <f t="shared" si="7"/>
        <v>7.8180401377399376E-3</v>
      </c>
      <c r="L35" s="164">
        <f t="shared" si="8"/>
        <v>5.524963715190305E-2</v>
      </c>
      <c r="M35" s="322">
        <f t="shared" si="9"/>
        <v>8.6521797702862793E-2</v>
      </c>
      <c r="N35" s="162"/>
      <c r="O35" s="162"/>
      <c r="P35" s="162"/>
      <c r="Q35" s="162"/>
      <c r="R35" s="162"/>
    </row>
    <row r="36" spans="1:18" x14ac:dyDescent="0.2">
      <c r="B36" s="140"/>
      <c r="C36" s="36">
        <f t="shared" si="6"/>
        <v>362.5</v>
      </c>
      <c r="D36" s="164">
        <f t="shared" si="5"/>
        <v>0.1227521232335041</v>
      </c>
      <c r="E36" s="164">
        <f t="shared" si="5"/>
        <v>0.11991684598271272</v>
      </c>
      <c r="F36" s="164">
        <f t="shared" si="5"/>
        <v>0.12410501193317422</v>
      </c>
      <c r="G36" s="164">
        <f t="shared" si="5"/>
        <v>0.1190368977299817</v>
      </c>
      <c r="H36" s="164">
        <f t="shared" si="5"/>
        <v>0.11991684598271272</v>
      </c>
      <c r="I36" s="164">
        <f t="shared" si="5"/>
        <v>0.10072806955538277</v>
      </c>
      <c r="J36" s="165">
        <f t="shared" si="10"/>
        <v>0.11774263240291138</v>
      </c>
      <c r="K36" s="164">
        <f t="shared" si="7"/>
        <v>8.5580342682118598E-3</v>
      </c>
      <c r="L36" s="164">
        <f t="shared" si="8"/>
        <v>0.10062656386648766</v>
      </c>
      <c r="M36" s="322">
        <f t="shared" si="9"/>
        <v>0.13485870093933511</v>
      </c>
      <c r="N36" s="162"/>
      <c r="O36" s="162"/>
      <c r="P36" s="162"/>
      <c r="Q36" s="162"/>
      <c r="R36" s="162"/>
    </row>
    <row r="37" spans="1:18" x14ac:dyDescent="0.2">
      <c r="B37" s="140"/>
      <c r="C37" s="36">
        <f t="shared" si="6"/>
        <v>256</v>
      </c>
      <c r="D37" s="164">
        <f t="shared" si="5"/>
        <v>0.11924491971254683</v>
      </c>
      <c r="E37" s="164">
        <f t="shared" si="5"/>
        <v>0.13373937780371276</v>
      </c>
      <c r="F37" s="164">
        <f t="shared" si="5"/>
        <v>0.11623920131769135</v>
      </c>
      <c r="G37" s="164">
        <f t="shared" si="5"/>
        <v>0.13045320901650198</v>
      </c>
      <c r="H37" s="164">
        <f t="shared" si="5"/>
        <v>0.13373937780371276</v>
      </c>
      <c r="I37" s="164">
        <f t="shared" si="5"/>
        <v>0.11953064253905422</v>
      </c>
      <c r="J37" s="165">
        <f t="shared" si="10"/>
        <v>0.12549112136553667</v>
      </c>
      <c r="K37" s="164">
        <f t="shared" si="7"/>
        <v>8.010370152473226E-3</v>
      </c>
      <c r="L37" s="164">
        <f t="shared" si="8"/>
        <v>0.10947038106059022</v>
      </c>
      <c r="M37" s="322">
        <f t="shared" si="9"/>
        <v>0.14151186167048313</v>
      </c>
      <c r="N37" s="162"/>
      <c r="O37" s="162"/>
      <c r="P37" s="162"/>
      <c r="Q37" s="162"/>
      <c r="R37" s="162"/>
    </row>
    <row r="38" spans="1:18" x14ac:dyDescent="0.2">
      <c r="B38" s="140"/>
      <c r="C38" s="36">
        <f t="shared" si="6"/>
        <v>196</v>
      </c>
      <c r="D38" s="164">
        <f t="shared" si="5"/>
        <v>4.5284186638242269E-2</v>
      </c>
      <c r="E38" s="164">
        <f t="shared" si="5"/>
        <v>4.7740617819760023E-2</v>
      </c>
      <c r="F38" s="164">
        <f t="shared" si="5"/>
        <v>4.6522572187300409E-2</v>
      </c>
      <c r="G38" s="164">
        <f t="shared" si="5"/>
        <v>3.5017084734987949E-2</v>
      </c>
      <c r="H38" s="164">
        <f t="shared" si="5"/>
        <v>4.7740617819760023E-2</v>
      </c>
      <c r="I38" s="164">
        <f t="shared" si="5"/>
        <v>3.6262105039937799E-2</v>
      </c>
      <c r="J38" s="165">
        <f t="shared" si="10"/>
        <v>4.3094530706664746E-2</v>
      </c>
      <c r="K38" s="164">
        <f t="shared" si="7"/>
        <v>5.8591037938117855E-3</v>
      </c>
      <c r="L38" s="164">
        <f t="shared" si="8"/>
        <v>3.1376323119041177E-2</v>
      </c>
      <c r="M38" s="322">
        <f t="shared" si="9"/>
        <v>5.4812738294288316E-2</v>
      </c>
      <c r="N38" s="162"/>
      <c r="O38" s="162"/>
      <c r="P38" s="162"/>
      <c r="Q38" s="162"/>
      <c r="R38" s="162"/>
    </row>
    <row r="39" spans="1:18" x14ac:dyDescent="0.2">
      <c r="B39" s="140"/>
      <c r="C39" s="36">
        <f t="shared" si="6"/>
        <v>165</v>
      </c>
      <c r="D39" s="164">
        <f t="shared" si="5"/>
        <v>4.8034934497816588E-2</v>
      </c>
      <c r="E39" s="164">
        <f t="shared" si="5"/>
        <v>4.9454757649804885E-2</v>
      </c>
      <c r="F39" s="164">
        <f t="shared" si="5"/>
        <v>4.7161249117617397E-2</v>
      </c>
      <c r="G39" s="164">
        <f t="shared" si="5"/>
        <v>5.4591688077768645E-2</v>
      </c>
      <c r="H39" s="164">
        <f t="shared" si="5"/>
        <v>4.9454757649804885E-2</v>
      </c>
      <c r="I39" s="164">
        <f t="shared" si="5"/>
        <v>5.0858839329893268E-2</v>
      </c>
      <c r="J39" s="165">
        <f t="shared" si="10"/>
        <v>4.9926037720450948E-2</v>
      </c>
      <c r="K39" s="164">
        <f t="shared" si="7"/>
        <v>2.6192727741229859E-3</v>
      </c>
      <c r="L39" s="164">
        <f t="shared" si="8"/>
        <v>4.4687492172204975E-2</v>
      </c>
      <c r="M39" s="322">
        <f t="shared" si="9"/>
        <v>5.5164583268696922E-2</v>
      </c>
      <c r="N39" s="162"/>
      <c r="O39" s="162"/>
      <c r="P39" s="162"/>
      <c r="Q39" s="162"/>
      <c r="R39" s="162"/>
    </row>
    <row r="40" spans="1:18" x14ac:dyDescent="0.2">
      <c r="B40" s="140"/>
      <c r="C40" s="36">
        <f t="shared" si="6"/>
        <v>128</v>
      </c>
      <c r="D40" s="164">
        <f t="shared" si="5"/>
        <v>7.8808926176804309E-2</v>
      </c>
      <c r="E40" s="164">
        <f t="shared" si="5"/>
        <v>8.7311718151646678E-2</v>
      </c>
      <c r="F40" s="164">
        <f t="shared" si="5"/>
        <v>8.2691855188409699E-2</v>
      </c>
      <c r="G40" s="164">
        <f t="shared" si="5"/>
        <v>7.5172833946971093E-2</v>
      </c>
      <c r="H40" s="164">
        <f t="shared" si="5"/>
        <v>8.7311718151646678E-2</v>
      </c>
      <c r="I40" s="164">
        <f t="shared" si="5"/>
        <v>8.408143069201951E-2</v>
      </c>
      <c r="J40" s="165">
        <f t="shared" si="10"/>
        <v>8.2563080384583001E-2</v>
      </c>
      <c r="K40" s="164">
        <f t="shared" si="7"/>
        <v>4.8193465971265882E-3</v>
      </c>
      <c r="L40" s="164">
        <f t="shared" si="8"/>
        <v>7.2924387190329829E-2</v>
      </c>
      <c r="M40" s="322">
        <f t="shared" si="9"/>
        <v>9.2201773578836174E-2</v>
      </c>
      <c r="N40" s="162"/>
      <c r="O40" s="162"/>
      <c r="P40" s="162"/>
      <c r="Q40" s="162"/>
      <c r="R40" s="162"/>
    </row>
    <row r="41" spans="1:18" x14ac:dyDescent="0.2">
      <c r="B41" s="140"/>
      <c r="C41" s="36">
        <f t="shared" si="6"/>
        <v>90.5</v>
      </c>
      <c r="D41" s="164">
        <f t="shared" si="5"/>
        <v>5.6699790255475696E-2</v>
      </c>
      <c r="E41" s="164">
        <f t="shared" si="5"/>
        <v>6.6085561107261395E-2</v>
      </c>
      <c r="F41" s="164">
        <f t="shared" si="5"/>
        <v>6.3329859827221086E-2</v>
      </c>
      <c r="G41" s="164">
        <f t="shared" si="5"/>
        <v>5.382353720234153E-2</v>
      </c>
      <c r="H41" s="164">
        <f t="shared" si="5"/>
        <v>6.6085561107261395E-2</v>
      </c>
      <c r="I41" s="164">
        <f t="shared" si="5"/>
        <v>6.994415777196579E-2</v>
      </c>
      <c r="J41" s="165">
        <f t="shared" si="10"/>
        <v>6.2661411211921147E-2</v>
      </c>
      <c r="K41" s="164">
        <f t="shared" si="7"/>
        <v>6.1738766987718217E-3</v>
      </c>
      <c r="L41" s="164">
        <f t="shared" si="8"/>
        <v>5.0313657814377508E-2</v>
      </c>
      <c r="M41" s="322">
        <f t="shared" si="9"/>
        <v>7.5009164609464787E-2</v>
      </c>
      <c r="N41" s="162"/>
      <c r="O41" s="162"/>
      <c r="P41" s="162"/>
      <c r="Q41" s="162"/>
      <c r="R41" s="162"/>
    </row>
    <row r="42" spans="1:18" x14ac:dyDescent="0.2">
      <c r="B42" s="140"/>
      <c r="C42" s="36">
        <f t="shared" si="6"/>
        <v>64</v>
      </c>
      <c r="D42" s="164">
        <f t="shared" si="5"/>
        <v>6.7427706907815549E-2</v>
      </c>
      <c r="E42" s="164">
        <f t="shared" si="5"/>
        <v>5.8317225281738938E-2</v>
      </c>
      <c r="F42" s="164">
        <f t="shared" si="5"/>
        <v>7.0187233184308709E-2</v>
      </c>
      <c r="G42" s="164">
        <f t="shared" si="5"/>
        <v>5.5041983418536271E-2</v>
      </c>
      <c r="H42" s="164">
        <f t="shared" si="5"/>
        <v>5.8317225281738938E-2</v>
      </c>
      <c r="I42" s="164">
        <f t="shared" si="5"/>
        <v>8.4152117056619777E-2</v>
      </c>
      <c r="J42" s="165">
        <f t="shared" si="10"/>
        <v>6.5573915188459703E-2</v>
      </c>
      <c r="K42" s="164">
        <f t="shared" si="7"/>
        <v>1.0826906436601424E-2</v>
      </c>
      <c r="L42" s="164">
        <f t="shared" si="8"/>
        <v>4.3920102315256851E-2</v>
      </c>
      <c r="M42" s="322">
        <f t="shared" si="9"/>
        <v>8.7227728061662554E-2</v>
      </c>
      <c r="N42" s="162"/>
      <c r="O42" s="162"/>
      <c r="P42" s="162"/>
      <c r="Q42" s="162"/>
      <c r="R42" s="162"/>
    </row>
    <row r="43" spans="1:18" x14ac:dyDescent="0.2">
      <c r="B43" s="140"/>
      <c r="C43" s="36">
        <f t="shared" si="6"/>
        <v>45.5</v>
      </c>
      <c r="D43" s="164">
        <f t="shared" si="5"/>
        <v>3.9232541347178761E-2</v>
      </c>
      <c r="E43" s="164">
        <f t="shared" si="5"/>
        <v>4.084758743936686E-2</v>
      </c>
      <c r="F43" s="164">
        <f t="shared" si="5"/>
        <v>4.0673636088608016E-2</v>
      </c>
      <c r="G43" s="164">
        <f t="shared" si="5"/>
        <v>4.1188779699626518E-2</v>
      </c>
      <c r="H43" s="164">
        <f t="shared" si="5"/>
        <v>4.084758743936686E-2</v>
      </c>
      <c r="I43" s="164">
        <f t="shared" si="5"/>
        <v>4.5451332437972711E-2</v>
      </c>
      <c r="J43" s="165">
        <f t="shared" si="10"/>
        <v>4.1373577408686614E-2</v>
      </c>
      <c r="K43" s="164">
        <f t="shared" si="7"/>
        <v>2.1113749281462227E-3</v>
      </c>
      <c r="L43" s="164">
        <f t="shared" si="8"/>
        <v>3.7150827552394169E-2</v>
      </c>
      <c r="M43" s="322">
        <f t="shared" si="9"/>
        <v>4.5596327264979059E-2</v>
      </c>
      <c r="N43" s="162"/>
      <c r="O43" s="162"/>
      <c r="P43" s="162"/>
      <c r="Q43" s="162"/>
      <c r="R43" s="162"/>
    </row>
    <row r="44" spans="1:18" x14ac:dyDescent="0.2">
      <c r="B44" s="140"/>
      <c r="C44" s="36">
        <f t="shared" si="6"/>
        <v>19</v>
      </c>
      <c r="D44" s="164">
        <f t="shared" si="5"/>
        <v>0.24093112815046591</v>
      </c>
      <c r="E44" s="164">
        <f t="shared" si="5"/>
        <v>0.21503337102009557</v>
      </c>
      <c r="F44" s="164">
        <f t="shared" si="5"/>
        <v>0.22091498873911727</v>
      </c>
      <c r="G44" s="164">
        <f t="shared" si="5"/>
        <v>0.21487034142982014</v>
      </c>
      <c r="H44" s="164">
        <f t="shared" si="5"/>
        <v>0.21503337102009557</v>
      </c>
      <c r="I44" s="164">
        <f t="shared" si="5"/>
        <v>0.26645225136071254</v>
      </c>
      <c r="J44" s="165">
        <f t="shared" si="10"/>
        <v>0.22887257528671787</v>
      </c>
      <c r="K44" s="164">
        <f t="shared" si="7"/>
        <v>2.0976528011597034E-2</v>
      </c>
      <c r="L44" s="164">
        <f t="shared" si="8"/>
        <v>0.18691951926352379</v>
      </c>
      <c r="M44" s="322">
        <f t="shared" si="9"/>
        <v>0.27082563130991194</v>
      </c>
      <c r="N44" s="162"/>
      <c r="O44" s="162"/>
      <c r="P44" s="162"/>
      <c r="Q44" s="162"/>
      <c r="R44" s="162"/>
    </row>
    <row r="45" spans="1:18" x14ac:dyDescent="0.2">
      <c r="A45" s="140"/>
      <c r="B45" s="134"/>
      <c r="C45" s="36" t="s">
        <v>77</v>
      </c>
      <c r="D45" s="166">
        <f>SUM(D33:D44)</f>
        <v>1</v>
      </c>
      <c r="E45" s="166">
        <f t="shared" ref="E45:I45" si="11">SUM(E33:E44)</f>
        <v>0.99999999999999989</v>
      </c>
      <c r="F45" s="166">
        <f t="shared" si="11"/>
        <v>1</v>
      </c>
      <c r="G45" s="166">
        <f t="shared" si="11"/>
        <v>1</v>
      </c>
      <c r="H45" s="166">
        <f t="shared" si="11"/>
        <v>0.99999999999999989</v>
      </c>
      <c r="I45" s="166">
        <f t="shared" si="11"/>
        <v>1</v>
      </c>
      <c r="J45" s="165">
        <f t="shared" si="10"/>
        <v>1</v>
      </c>
      <c r="K45" s="164"/>
      <c r="L45" s="164"/>
    </row>
    <row r="46" spans="1:18" x14ac:dyDescent="0.2">
      <c r="A46" s="140"/>
      <c r="B46" s="134"/>
      <c r="C46" s="161"/>
      <c r="D46" s="167"/>
      <c r="E46" s="167"/>
      <c r="F46" s="167"/>
      <c r="G46" s="167"/>
      <c r="H46" s="167"/>
      <c r="I46" s="167"/>
      <c r="J46" s="168"/>
      <c r="K46" s="164"/>
      <c r="L46" s="164"/>
      <c r="M46" s="316"/>
      <c r="N46" s="162"/>
      <c r="O46" s="162"/>
      <c r="P46" s="162"/>
      <c r="Q46" s="162"/>
      <c r="R46" s="162"/>
    </row>
    <row r="49" spans="1:12" x14ac:dyDescent="0.2">
      <c r="A49" s="135" t="s">
        <v>85</v>
      </c>
      <c r="B49" s="135"/>
      <c r="C49" s="36" t="s">
        <v>79</v>
      </c>
      <c r="D49" s="36" t="s">
        <v>69</v>
      </c>
      <c r="E49" s="36" t="s">
        <v>69</v>
      </c>
      <c r="F49" s="36" t="s">
        <v>69</v>
      </c>
      <c r="G49" s="36" t="s">
        <v>69</v>
      </c>
      <c r="H49" s="36" t="s">
        <v>69</v>
      </c>
      <c r="I49" s="36" t="s">
        <v>69</v>
      </c>
    </row>
    <row r="50" spans="1:12" x14ac:dyDescent="0.2">
      <c r="C50" s="138" t="s">
        <v>16</v>
      </c>
      <c r="D50" s="36" t="str">
        <f t="shared" ref="D50:I50" si="12">D15</f>
        <v>SC13F</v>
      </c>
      <c r="E50" s="36" t="str">
        <f t="shared" si="12"/>
        <v>13Fdeck1</v>
      </c>
      <c r="F50" s="36" t="str">
        <f t="shared" si="12"/>
        <v>13Fdeck2</v>
      </c>
      <c r="G50" s="36" t="str">
        <f t="shared" si="12"/>
        <v>13Fdeck3</v>
      </c>
      <c r="H50" s="36" t="str">
        <f t="shared" si="12"/>
        <v>13Fdeck4</v>
      </c>
      <c r="I50" s="36" t="str">
        <f t="shared" si="12"/>
        <v>13Fdeck5</v>
      </c>
      <c r="J50" s="460" t="s">
        <v>110</v>
      </c>
    </row>
    <row r="51" spans="1:12" x14ac:dyDescent="0.2">
      <c r="B51" s="127" t="s">
        <v>199</v>
      </c>
      <c r="C51" s="169">
        <v>1180</v>
      </c>
      <c r="D51" s="170">
        <f t="shared" ref="D51:I51" si="13">1-D16/D$28</f>
        <v>0.96747240656053368</v>
      </c>
      <c r="E51" s="170">
        <f t="shared" si="13"/>
        <v>0.96371129508734821</v>
      </c>
      <c r="F51" s="170">
        <f t="shared" si="13"/>
        <v>0.96611650811791994</v>
      </c>
      <c r="G51" s="170">
        <f t="shared" si="13"/>
        <v>0.95187137446030778</v>
      </c>
      <c r="H51" s="170">
        <f t="shared" si="13"/>
        <v>0.96371129508734821</v>
      </c>
      <c r="I51" s="170">
        <f t="shared" si="13"/>
        <v>0.97875874743761926</v>
      </c>
      <c r="J51" s="461">
        <f>AVERAGE(D51:I51)</f>
        <v>0.96527360445851285</v>
      </c>
      <c r="K51" s="131"/>
      <c r="L51" s="139"/>
    </row>
    <row r="52" spans="1:12" x14ac:dyDescent="0.2">
      <c r="B52" s="137" t="s">
        <v>200</v>
      </c>
      <c r="C52" s="173">
        <v>600</v>
      </c>
      <c r="D52" s="174">
        <f t="shared" ref="D52:I61" si="14">D51-D17/D$28</f>
        <v>0.89330536739676103</v>
      </c>
      <c r="E52" s="174">
        <f t="shared" si="14"/>
        <v>0.88311025201502613</v>
      </c>
      <c r="F52" s="174">
        <f t="shared" si="14"/>
        <v>0.88900467242596393</v>
      </c>
      <c r="G52" s="174">
        <f t="shared" si="14"/>
        <v>0.86038195640081583</v>
      </c>
      <c r="H52" s="174">
        <f t="shared" si="14"/>
        <v>0.88311025201502613</v>
      </c>
      <c r="I52" s="174">
        <f t="shared" si="14"/>
        <v>0.92019509436629676</v>
      </c>
      <c r="J52" s="460">
        <f t="shared" ref="J52:J61" si="15">AVERAGE(D52:I52)</f>
        <v>0.88818459910331493</v>
      </c>
      <c r="K52" s="139"/>
      <c r="L52" s="139"/>
    </row>
    <row r="53" spans="1:12" x14ac:dyDescent="0.2">
      <c r="B53" s="137"/>
      <c r="C53" s="173">
        <v>425</v>
      </c>
      <c r="D53" s="174">
        <f t="shared" si="14"/>
        <v>0.81841625691985009</v>
      </c>
      <c r="E53" s="174">
        <f t="shared" si="14"/>
        <v>0.81844706225609987</v>
      </c>
      <c r="F53" s="174">
        <f t="shared" si="14"/>
        <v>0.81182560758344824</v>
      </c>
      <c r="G53" s="174">
        <f t="shared" si="14"/>
        <v>0.77919635525653597</v>
      </c>
      <c r="H53" s="174">
        <f t="shared" si="14"/>
        <v>0.81844706225609987</v>
      </c>
      <c r="I53" s="174">
        <f t="shared" si="14"/>
        <v>0.85746094578355836</v>
      </c>
      <c r="J53" s="461">
        <f t="shared" si="15"/>
        <v>0.81729888167593223</v>
      </c>
      <c r="K53" s="139"/>
      <c r="L53" s="139"/>
    </row>
    <row r="54" spans="1:12" x14ac:dyDescent="0.2">
      <c r="B54" s="137" t="s">
        <v>205</v>
      </c>
      <c r="C54" s="129">
        <v>300</v>
      </c>
      <c r="D54" s="174">
        <f t="shared" si="14"/>
        <v>0.69566413368634605</v>
      </c>
      <c r="E54" s="174">
        <f t="shared" si="14"/>
        <v>0.69853021627338718</v>
      </c>
      <c r="F54" s="174">
        <f t="shared" si="14"/>
        <v>0.68772059565027399</v>
      </c>
      <c r="G54" s="174">
        <f t="shared" si="14"/>
        <v>0.66015945752655425</v>
      </c>
      <c r="H54" s="174">
        <f t="shared" si="14"/>
        <v>0.69853021627338718</v>
      </c>
      <c r="I54" s="174">
        <f t="shared" si="14"/>
        <v>0.75673287622817553</v>
      </c>
      <c r="J54" s="460">
        <f t="shared" si="15"/>
        <v>0.69955624927302074</v>
      </c>
      <c r="K54" s="139"/>
      <c r="L54" s="139"/>
    </row>
    <row r="55" spans="1:12" x14ac:dyDescent="0.2">
      <c r="B55" s="137"/>
      <c r="C55" s="129">
        <v>212</v>
      </c>
      <c r="D55" s="174">
        <f t="shared" si="14"/>
        <v>0.57641921397379925</v>
      </c>
      <c r="E55" s="174">
        <f t="shared" si="14"/>
        <v>0.56479083846967448</v>
      </c>
      <c r="F55" s="174">
        <f t="shared" si="14"/>
        <v>0.5714813943325826</v>
      </c>
      <c r="G55" s="174">
        <f t="shared" si="14"/>
        <v>0.52970624851005232</v>
      </c>
      <c r="H55" s="174">
        <f t="shared" si="14"/>
        <v>0.56479083846967448</v>
      </c>
      <c r="I55" s="174">
        <f t="shared" si="14"/>
        <v>0.63720223368912132</v>
      </c>
      <c r="J55" s="461">
        <f t="shared" si="15"/>
        <v>0.57406512790748399</v>
      </c>
      <c r="K55" s="139"/>
      <c r="L55" s="139"/>
    </row>
    <row r="56" spans="1:12" x14ac:dyDescent="0.2">
      <c r="B56" s="137"/>
      <c r="C56" s="129">
        <v>180</v>
      </c>
      <c r="D56" s="174">
        <f t="shared" si="14"/>
        <v>0.53113502733555695</v>
      </c>
      <c r="E56" s="174">
        <f t="shared" si="14"/>
        <v>0.51705022064991446</v>
      </c>
      <c r="F56" s="174">
        <f t="shared" si="14"/>
        <v>0.52495882214528222</v>
      </c>
      <c r="G56" s="174">
        <f t="shared" si="14"/>
        <v>0.49468916377506439</v>
      </c>
      <c r="H56" s="174">
        <f t="shared" si="14"/>
        <v>0.51705022064991446</v>
      </c>
      <c r="I56" s="174">
        <f t="shared" si="14"/>
        <v>0.60094012864918356</v>
      </c>
      <c r="J56" s="460">
        <f t="shared" si="15"/>
        <v>0.53097059720081941</v>
      </c>
      <c r="K56" s="139"/>
      <c r="L56" s="139"/>
    </row>
    <row r="57" spans="1:12" x14ac:dyDescent="0.2">
      <c r="B57" s="137"/>
      <c r="C57" s="129">
        <v>150</v>
      </c>
      <c r="D57" s="174">
        <f t="shared" si="14"/>
        <v>0.48310009283774036</v>
      </c>
      <c r="E57" s="174">
        <f t="shared" si="14"/>
        <v>0.46759546300010957</v>
      </c>
      <c r="F57" s="174">
        <f t="shared" si="14"/>
        <v>0.47779757302766485</v>
      </c>
      <c r="G57" s="174">
        <f t="shared" si="14"/>
        <v>0.44009747569729574</v>
      </c>
      <c r="H57" s="174">
        <f t="shared" si="14"/>
        <v>0.46759546300010957</v>
      </c>
      <c r="I57" s="174">
        <f t="shared" si="14"/>
        <v>0.55008128931929035</v>
      </c>
      <c r="J57" s="461">
        <f t="shared" si="15"/>
        <v>0.48104455948036845</v>
      </c>
      <c r="K57" s="139"/>
      <c r="L57" s="139"/>
    </row>
    <row r="58" spans="1:12" x14ac:dyDescent="0.2">
      <c r="B58" s="137"/>
      <c r="C58" s="129">
        <v>106</v>
      </c>
      <c r="D58" s="174">
        <f t="shared" si="14"/>
        <v>0.40429116666093606</v>
      </c>
      <c r="E58" s="174">
        <f t="shared" si="14"/>
        <v>0.38028374484846289</v>
      </c>
      <c r="F58" s="174">
        <f t="shared" si="14"/>
        <v>0.39510571783925513</v>
      </c>
      <c r="G58" s="174">
        <f t="shared" si="14"/>
        <v>0.36492464175032463</v>
      </c>
      <c r="H58" s="174">
        <f t="shared" si="14"/>
        <v>0.38028374484846289</v>
      </c>
      <c r="I58" s="174">
        <f t="shared" si="14"/>
        <v>0.46599985862727084</v>
      </c>
      <c r="J58" s="460">
        <f t="shared" si="15"/>
        <v>0.39848147909578541</v>
      </c>
      <c r="K58" s="139"/>
      <c r="L58" s="139"/>
    </row>
    <row r="59" spans="1:12" x14ac:dyDescent="0.2">
      <c r="B59" s="137"/>
      <c r="C59" s="139">
        <v>75</v>
      </c>
      <c r="D59" s="174">
        <f t="shared" si="14"/>
        <v>0.34759137640546034</v>
      </c>
      <c r="E59" s="174">
        <f t="shared" si="14"/>
        <v>0.31419818374120151</v>
      </c>
      <c r="F59" s="174">
        <f t="shared" si="14"/>
        <v>0.33177585801203402</v>
      </c>
      <c r="G59" s="174">
        <f t="shared" si="14"/>
        <v>0.31110110454798312</v>
      </c>
      <c r="H59" s="174">
        <f t="shared" si="14"/>
        <v>0.31419818374120151</v>
      </c>
      <c r="I59" s="174">
        <f t="shared" si="14"/>
        <v>0.39605570085530506</v>
      </c>
      <c r="J59" s="461">
        <f t="shared" si="15"/>
        <v>0.33582006788386426</v>
      </c>
      <c r="K59" s="139"/>
      <c r="L59" s="139"/>
    </row>
    <row r="60" spans="1:12" x14ac:dyDescent="0.2">
      <c r="B60" s="137"/>
      <c r="C60" s="139">
        <v>53</v>
      </c>
      <c r="D60" s="174">
        <f t="shared" si="14"/>
        <v>0.28016366949764482</v>
      </c>
      <c r="E60" s="174">
        <f t="shared" si="14"/>
        <v>0.25588095845946257</v>
      </c>
      <c r="F60" s="174">
        <f t="shared" si="14"/>
        <v>0.26158862482772532</v>
      </c>
      <c r="G60" s="174">
        <f t="shared" si="14"/>
        <v>0.25605912112944684</v>
      </c>
      <c r="H60" s="174">
        <f t="shared" si="14"/>
        <v>0.25588095845946257</v>
      </c>
      <c r="I60" s="174">
        <f t="shared" si="14"/>
        <v>0.31190358379868527</v>
      </c>
      <c r="J60" s="460">
        <f t="shared" si="15"/>
        <v>0.27024615269540453</v>
      </c>
      <c r="K60" s="139"/>
      <c r="L60" s="139"/>
    </row>
    <row r="61" spans="1:12" x14ac:dyDescent="0.2">
      <c r="B61" s="128"/>
      <c r="C61" s="132">
        <v>38</v>
      </c>
      <c r="D61" s="177">
        <f t="shared" si="14"/>
        <v>0.24093112815046605</v>
      </c>
      <c r="E61" s="177">
        <f t="shared" si="14"/>
        <v>0.2150333710200957</v>
      </c>
      <c r="F61" s="177">
        <f t="shared" si="14"/>
        <v>0.2209149887391173</v>
      </c>
      <c r="G61" s="177">
        <f t="shared" si="14"/>
        <v>0.21487034142982031</v>
      </c>
      <c r="H61" s="177">
        <f t="shared" si="14"/>
        <v>0.2150333710200957</v>
      </c>
      <c r="I61" s="177">
        <f t="shared" si="14"/>
        <v>0.26645225136071254</v>
      </c>
      <c r="J61" s="461">
        <f t="shared" si="15"/>
        <v>0.22887257528671798</v>
      </c>
      <c r="K61" s="132"/>
      <c r="L61" s="139"/>
    </row>
    <row r="62" spans="1:12" x14ac:dyDescent="0.2">
      <c r="D62" s="161"/>
      <c r="E62" s="134"/>
      <c r="J62" s="134"/>
    </row>
    <row r="63" spans="1:12" x14ac:dyDescent="0.2">
      <c r="E63" s="161"/>
      <c r="J63" s="134"/>
    </row>
    <row r="64" spans="1:12" x14ac:dyDescent="0.2">
      <c r="A64" s="138" t="s">
        <v>90</v>
      </c>
      <c r="C64" s="127"/>
      <c r="D64" s="283" t="str">
        <f>D50</f>
        <v>SC13F</v>
      </c>
      <c r="E64" s="283" t="str">
        <f t="shared" ref="E64:J64" si="16">E50</f>
        <v>13Fdeck1</v>
      </c>
      <c r="F64" s="283" t="str">
        <f t="shared" si="16"/>
        <v>13Fdeck2</v>
      </c>
      <c r="G64" s="283" t="str">
        <f t="shared" si="16"/>
        <v>13Fdeck3</v>
      </c>
      <c r="H64" s="283" t="str">
        <f t="shared" si="16"/>
        <v>13Fdeck4</v>
      </c>
      <c r="I64" s="283" t="str">
        <f t="shared" si="16"/>
        <v>13Fdeck5</v>
      </c>
      <c r="J64" s="460" t="str">
        <f t="shared" si="16"/>
        <v>Mean</v>
      </c>
    </row>
    <row r="65" spans="1:20" x14ac:dyDescent="0.2">
      <c r="A65" s="138" t="s">
        <v>112</v>
      </c>
      <c r="C65" s="127" t="s">
        <v>89</v>
      </c>
      <c r="D65" s="181">
        <f>(LOG(D$51)-LOG(D$52))/(LOG($C$51)-LOG($C$52))</f>
        <v>0.11792651271888564</v>
      </c>
      <c r="E65" s="181">
        <f t="shared" ref="E65:I65" si="17">(LOG(E$51)-LOG(E$52))/(LOG($C$51)-LOG($C$52))</f>
        <v>0.12913874939362421</v>
      </c>
      <c r="F65" s="181">
        <f t="shared" si="17"/>
        <v>0.12298834429432592</v>
      </c>
      <c r="G65" s="181">
        <f t="shared" si="17"/>
        <v>0.14941224754364768</v>
      </c>
      <c r="H65" s="181">
        <f t="shared" si="17"/>
        <v>0.12913874939362421</v>
      </c>
      <c r="I65" s="181">
        <f t="shared" si="17"/>
        <v>9.1225526048705222E-2</v>
      </c>
      <c r="J65" s="460">
        <f>AVERAGE(D65:I65)</f>
        <v>0.12330502156546884</v>
      </c>
    </row>
    <row r="66" spans="1:20" x14ac:dyDescent="0.2">
      <c r="A66" s="138" t="s">
        <v>113</v>
      </c>
      <c r="B66" s="36" t="s">
        <v>192</v>
      </c>
      <c r="C66" s="128" t="s">
        <v>88</v>
      </c>
      <c r="D66" s="182">
        <v>1468.9254149671774</v>
      </c>
      <c r="E66" s="182">
        <v>1537.9211099198712</v>
      </c>
      <c r="F66" s="182">
        <v>1472.5150964189204</v>
      </c>
      <c r="G66" s="182">
        <v>1551.5810991674007</v>
      </c>
      <c r="H66" s="182">
        <v>1425.7113544733579</v>
      </c>
      <c r="I66" s="182">
        <v>1461.7300319582632</v>
      </c>
      <c r="J66" s="461">
        <f t="shared" ref="J66:J70" si="18">AVERAGE(D66:I66)</f>
        <v>1486.3973511508318</v>
      </c>
    </row>
    <row r="67" spans="1:20" x14ac:dyDescent="0.2">
      <c r="A67" s="138" t="s">
        <v>112</v>
      </c>
      <c r="C67" s="127" t="s">
        <v>86</v>
      </c>
      <c r="D67" s="181">
        <f>(LOG(D$52)-LOG(D$53))/(LOG($C$52)-LOG($C$53))</f>
        <v>0.25390696267645746</v>
      </c>
      <c r="E67" s="181">
        <f t="shared" ref="E67:I67" si="19">(LOG(E$52)-LOG(E$53))/(LOG($C$52)-LOG($C$53))</f>
        <v>0.22051162310384698</v>
      </c>
      <c r="F67" s="181">
        <f t="shared" si="19"/>
        <v>0.26335928298128969</v>
      </c>
      <c r="G67" s="181">
        <f t="shared" si="19"/>
        <v>0.28741796618018789</v>
      </c>
      <c r="H67" s="181">
        <f t="shared" si="19"/>
        <v>0.22051162310384698</v>
      </c>
      <c r="I67" s="181">
        <f t="shared" si="19"/>
        <v>0.20476155131219498</v>
      </c>
      <c r="J67" s="460">
        <f t="shared" si="18"/>
        <v>0.24174483489297063</v>
      </c>
    </row>
    <row r="68" spans="1:20" x14ac:dyDescent="0.2">
      <c r="A68" s="138" t="s">
        <v>113</v>
      </c>
      <c r="B68" s="36" t="str">
        <f>B66</f>
        <v>x0</v>
      </c>
      <c r="C68" s="128" t="s">
        <v>87</v>
      </c>
      <c r="D68" s="182">
        <v>935.69766716144557</v>
      </c>
      <c r="E68" s="182">
        <v>1054.3106917372309</v>
      </c>
      <c r="F68" s="182">
        <v>937.92348171946639</v>
      </c>
      <c r="G68" s="182">
        <v>1012.4575006796747</v>
      </c>
      <c r="H68" s="182">
        <v>1054.3106909491407</v>
      </c>
      <c r="I68" s="182">
        <v>900.64154450253375</v>
      </c>
      <c r="J68" s="461">
        <f t="shared" si="18"/>
        <v>982.55692945824876</v>
      </c>
    </row>
    <row r="69" spans="1:20" x14ac:dyDescent="0.2">
      <c r="C69" s="127" t="s">
        <v>203</v>
      </c>
      <c r="D69" s="181">
        <f t="shared" ref="D69:I69" si="20">(LOG(D54)-LOG(D58))/(LOG($C$54)-LOG($C$58))</f>
        <v>0.5216851085299683</v>
      </c>
      <c r="E69" s="181">
        <f t="shared" si="20"/>
        <v>0.58448083285254526</v>
      </c>
      <c r="F69" s="181">
        <f t="shared" si="20"/>
        <v>0.53273686904544004</v>
      </c>
      <c r="G69" s="181">
        <f t="shared" si="20"/>
        <v>0.56980276698042265</v>
      </c>
      <c r="H69" s="181">
        <f t="shared" si="20"/>
        <v>0.58448083285254526</v>
      </c>
      <c r="I69" s="181">
        <f t="shared" si="20"/>
        <v>0.46602400507245056</v>
      </c>
      <c r="J69" s="460">
        <f t="shared" si="18"/>
        <v>0.54320173588889531</v>
      </c>
    </row>
    <row r="70" spans="1:20" x14ac:dyDescent="0.2">
      <c r="C70" s="128" t="s">
        <v>204</v>
      </c>
      <c r="D70" s="182">
        <v>602.82274727318486</v>
      </c>
      <c r="E70" s="182">
        <v>567.35155866529408</v>
      </c>
      <c r="F70" s="182">
        <v>613.30614451976089</v>
      </c>
      <c r="G70" s="182">
        <v>632.35469031631681</v>
      </c>
      <c r="H70" s="182">
        <v>567.35155866529408</v>
      </c>
      <c r="I70" s="182">
        <v>563.39665325693875</v>
      </c>
      <c r="J70" s="461">
        <f t="shared" si="18"/>
        <v>591.09722544946487</v>
      </c>
    </row>
    <row r="71" spans="1:20" x14ac:dyDescent="0.2">
      <c r="B71" s="36" t="str">
        <f>B68</f>
        <v>x0</v>
      </c>
      <c r="N71" s="160"/>
      <c r="O71" s="160"/>
      <c r="P71" s="160"/>
      <c r="Q71" s="160"/>
      <c r="R71" s="160"/>
      <c r="S71" s="160"/>
      <c r="T71" s="184"/>
    </row>
    <row r="72" spans="1:20" x14ac:dyDescent="0.2">
      <c r="N72" s="160"/>
      <c r="O72" s="160"/>
      <c r="P72" s="160"/>
      <c r="Q72" s="160"/>
      <c r="R72" s="160"/>
      <c r="S72" s="160"/>
      <c r="T72" s="184"/>
    </row>
    <row r="73" spans="1:20" x14ac:dyDescent="0.2">
      <c r="D73" s="160"/>
      <c r="E73" s="160"/>
      <c r="F73" s="160"/>
      <c r="G73" s="160"/>
      <c r="H73" s="160"/>
      <c r="I73" s="160"/>
      <c r="J73" s="185"/>
      <c r="N73" s="160"/>
      <c r="O73" s="160"/>
      <c r="P73" s="160"/>
      <c r="Q73" s="160"/>
      <c r="R73" s="160"/>
      <c r="S73" s="160"/>
      <c r="T73" s="184"/>
    </row>
    <row r="74" spans="1:20" x14ac:dyDescent="0.2">
      <c r="C74" s="286" t="s">
        <v>265</v>
      </c>
      <c r="H74" s="160"/>
      <c r="I74" s="160"/>
      <c r="J74" s="185"/>
      <c r="N74" s="160"/>
      <c r="O74" s="160"/>
      <c r="P74" s="160"/>
      <c r="Q74" s="160"/>
      <c r="R74" s="160"/>
      <c r="S74" s="160"/>
      <c r="T74" s="184"/>
    </row>
    <row r="75" spans="1:20" x14ac:dyDescent="0.2">
      <c r="D75" s="285" t="s">
        <v>263</v>
      </c>
      <c r="E75" s="285" t="s">
        <v>262</v>
      </c>
      <c r="F75" s="285" t="s">
        <v>264</v>
      </c>
      <c r="H75" s="160"/>
      <c r="I75" s="160"/>
      <c r="J75" s="185"/>
      <c r="N75" s="160"/>
      <c r="O75" s="160"/>
      <c r="P75" s="160"/>
      <c r="Q75" s="160"/>
      <c r="R75" s="160"/>
      <c r="S75" s="160"/>
      <c r="T75" s="184"/>
    </row>
    <row r="76" spans="1:20" x14ac:dyDescent="0.2">
      <c r="C76" s="36">
        <v>1180</v>
      </c>
      <c r="D76" s="186">
        <f>($C76/J$66)^J$65</f>
        <v>0.97193744044635633</v>
      </c>
      <c r="E76" s="186">
        <f>($C76/J$68)^J$67</f>
        <v>1.0452606110382479</v>
      </c>
      <c r="F76" s="186">
        <f>($C76/J$70)^J$69</f>
        <v>1.4557329148602209</v>
      </c>
      <c r="H76" s="160"/>
      <c r="I76" s="160"/>
      <c r="J76" s="185"/>
      <c r="N76" s="160"/>
      <c r="O76" s="160"/>
      <c r="P76" s="160"/>
      <c r="Q76" s="160"/>
      <c r="R76" s="160"/>
      <c r="S76" s="160"/>
      <c r="T76" s="184"/>
    </row>
    <row r="77" spans="1:20" x14ac:dyDescent="0.2">
      <c r="C77" s="36">
        <v>600</v>
      </c>
      <c r="D77" s="186">
        <f t="shared" ref="D77:D86" si="21">($C77/J$66)^J$65</f>
        <v>0.89416946443910306</v>
      </c>
      <c r="E77" s="186">
        <f t="shared" ref="E77:E86" si="22">($C77/J$68)^J$67</f>
        <v>0.88759876989650865</v>
      </c>
      <c r="F77" s="186">
        <f t="shared" ref="F77:F86" si="23">($C77/J$70)^J$69</f>
        <v>1.00815345935965</v>
      </c>
      <c r="H77" s="160"/>
      <c r="I77" s="160"/>
      <c r="J77" s="185"/>
      <c r="N77" s="160"/>
      <c r="O77" s="160"/>
      <c r="P77" s="160"/>
      <c r="Q77" s="160"/>
      <c r="R77" s="160"/>
      <c r="S77" s="160"/>
      <c r="T77" s="184"/>
    </row>
    <row r="78" spans="1:20" x14ac:dyDescent="0.2">
      <c r="C78" s="36">
        <v>425</v>
      </c>
      <c r="D78" s="186">
        <f t="shared" si="21"/>
        <v>0.85694586720617372</v>
      </c>
      <c r="E78" s="186">
        <f t="shared" si="22"/>
        <v>0.81660573244845258</v>
      </c>
      <c r="F78" s="186">
        <f t="shared" si="23"/>
        <v>0.835940741930007</v>
      </c>
      <c r="H78" s="160"/>
      <c r="I78" s="160"/>
      <c r="J78" s="185"/>
      <c r="N78" s="160"/>
      <c r="O78" s="160"/>
      <c r="P78" s="160"/>
      <c r="Q78" s="160"/>
      <c r="R78" s="160"/>
      <c r="S78" s="160"/>
      <c r="T78" s="184"/>
    </row>
    <row r="79" spans="1:20" x14ac:dyDescent="0.2">
      <c r="C79" s="36">
        <v>300</v>
      </c>
      <c r="D79" s="186">
        <f t="shared" si="21"/>
        <v>0.82092092282953222</v>
      </c>
      <c r="E79" s="186">
        <f t="shared" si="22"/>
        <v>0.75066167765429204</v>
      </c>
      <c r="F79" s="186">
        <f t="shared" si="23"/>
        <v>0.69184153018195549</v>
      </c>
      <c r="H79" s="160"/>
      <c r="I79" s="160"/>
      <c r="J79" s="185"/>
      <c r="N79" s="160"/>
      <c r="O79" s="160"/>
      <c r="P79" s="160"/>
      <c r="Q79" s="160"/>
      <c r="R79" s="160"/>
      <c r="S79" s="160"/>
      <c r="T79" s="184"/>
    </row>
    <row r="80" spans="1:20" x14ac:dyDescent="0.2">
      <c r="C80" s="36">
        <v>212</v>
      </c>
      <c r="D80" s="186">
        <f t="shared" si="21"/>
        <v>0.78651811273419847</v>
      </c>
      <c r="E80" s="186">
        <f t="shared" si="22"/>
        <v>0.69022813019601481</v>
      </c>
      <c r="F80" s="186">
        <f t="shared" si="23"/>
        <v>0.5729275954388362</v>
      </c>
      <c r="H80" s="160"/>
      <c r="I80" s="160"/>
      <c r="J80" s="185"/>
      <c r="N80" s="160"/>
      <c r="O80" s="160"/>
      <c r="P80" s="160"/>
      <c r="Q80" s="160"/>
      <c r="R80" s="160"/>
      <c r="S80" s="160"/>
      <c r="T80" s="184"/>
    </row>
    <row r="81" spans="1:20" x14ac:dyDescent="0.2">
      <c r="C81" s="36">
        <v>180</v>
      </c>
      <c r="D81" s="186">
        <f t="shared" si="21"/>
        <v>0.77080808234751108</v>
      </c>
      <c r="E81" s="186">
        <f t="shared" si="22"/>
        <v>0.66345803137735926</v>
      </c>
      <c r="F81" s="186">
        <f t="shared" si="23"/>
        <v>0.52420119009775457</v>
      </c>
      <c r="H81" s="160"/>
      <c r="I81" s="160"/>
      <c r="J81" s="185"/>
      <c r="N81" s="160"/>
      <c r="O81" s="160"/>
      <c r="P81" s="160"/>
      <c r="Q81" s="160"/>
      <c r="R81" s="160"/>
      <c r="S81" s="160"/>
      <c r="T81" s="184"/>
    </row>
    <row r="82" spans="1:20" x14ac:dyDescent="0.2">
      <c r="C82" s="36">
        <v>150</v>
      </c>
      <c r="D82" s="186">
        <f t="shared" si="21"/>
        <v>0.75367275258278199</v>
      </c>
      <c r="E82" s="186">
        <f t="shared" si="22"/>
        <v>0.63485098606486101</v>
      </c>
      <c r="F82" s="186">
        <f t="shared" si="23"/>
        <v>0.47477365518195108</v>
      </c>
      <c r="H82" s="160"/>
      <c r="I82" s="160"/>
      <c r="J82" s="185"/>
      <c r="N82" s="160"/>
      <c r="O82" s="160"/>
      <c r="P82" s="160"/>
      <c r="Q82" s="160"/>
      <c r="R82" s="160"/>
      <c r="S82" s="160"/>
      <c r="T82" s="184"/>
    </row>
    <row r="83" spans="1:20" x14ac:dyDescent="0.2">
      <c r="C83" s="36">
        <v>106</v>
      </c>
      <c r="D83" s="186">
        <f t="shared" si="21"/>
        <v>0.72208815063139886</v>
      </c>
      <c r="E83" s="186">
        <f t="shared" si="22"/>
        <v>0.58374101423950564</v>
      </c>
      <c r="F83" s="186">
        <f t="shared" si="23"/>
        <v>0.39316941347762546</v>
      </c>
      <c r="H83" s="160"/>
      <c r="I83" s="160"/>
      <c r="J83" s="185"/>
      <c r="N83" s="160"/>
      <c r="O83" s="160"/>
      <c r="P83" s="160"/>
      <c r="Q83" s="160"/>
      <c r="R83" s="160"/>
      <c r="S83" s="160"/>
      <c r="T83" s="184"/>
    </row>
    <row r="84" spans="1:20" x14ac:dyDescent="0.2">
      <c r="C84" s="36">
        <v>75</v>
      </c>
      <c r="D84" s="186">
        <f t="shared" si="21"/>
        <v>0.6919334154961716</v>
      </c>
      <c r="E84" s="186">
        <f t="shared" si="22"/>
        <v>0.5369073532126406</v>
      </c>
      <c r="F84" s="186">
        <f t="shared" si="23"/>
        <v>0.32581164012450503</v>
      </c>
      <c r="H84" s="160"/>
      <c r="I84" s="160"/>
      <c r="J84" s="185"/>
      <c r="N84" s="160"/>
      <c r="O84" s="160"/>
      <c r="P84" s="160"/>
      <c r="Q84" s="160"/>
      <c r="R84" s="160"/>
      <c r="S84" s="160"/>
      <c r="T84" s="184"/>
    </row>
    <row r="85" spans="1:20" x14ac:dyDescent="0.2">
      <c r="C85" s="36">
        <v>53</v>
      </c>
      <c r="D85" s="186">
        <f t="shared" si="21"/>
        <v>0.66293615981668208</v>
      </c>
      <c r="E85" s="186">
        <f t="shared" si="22"/>
        <v>0.49368253306134835</v>
      </c>
      <c r="F85" s="186">
        <f t="shared" si="23"/>
        <v>0.26981103532975609</v>
      </c>
      <c r="N85" s="160"/>
      <c r="O85" s="160"/>
      <c r="P85" s="160"/>
      <c r="Q85" s="160"/>
      <c r="R85" s="160"/>
      <c r="S85" s="160"/>
      <c r="T85" s="184"/>
    </row>
    <row r="86" spans="1:20" x14ac:dyDescent="0.2">
      <c r="C86" s="36">
        <v>38</v>
      </c>
      <c r="D86" s="186">
        <f t="shared" si="21"/>
        <v>0.63628998172069207</v>
      </c>
      <c r="E86" s="186">
        <f t="shared" si="22"/>
        <v>0.45553054264118337</v>
      </c>
      <c r="F86" s="186">
        <f t="shared" si="23"/>
        <v>0.22520148757312522</v>
      </c>
      <c r="N86" s="160"/>
      <c r="O86" s="160"/>
      <c r="P86" s="160"/>
      <c r="Q86" s="160"/>
      <c r="R86" s="160"/>
      <c r="S86" s="160"/>
      <c r="T86" s="184"/>
    </row>
    <row r="87" spans="1:20" x14ac:dyDescent="0.2">
      <c r="N87" s="160"/>
      <c r="O87" s="160"/>
      <c r="P87" s="160"/>
      <c r="Q87" s="160"/>
      <c r="R87" s="160"/>
      <c r="S87" s="160"/>
      <c r="T87" s="184"/>
    </row>
    <row r="88" spans="1:20" x14ac:dyDescent="0.2">
      <c r="N88" s="160"/>
      <c r="O88" s="160"/>
      <c r="P88" s="160"/>
      <c r="Q88" s="160"/>
      <c r="R88" s="160"/>
      <c r="S88" s="160"/>
      <c r="T88" s="184"/>
    </row>
    <row r="89" spans="1:20" x14ac:dyDescent="0.2">
      <c r="A89" s="141" t="s">
        <v>91</v>
      </c>
      <c r="B89" s="187" t="s">
        <v>212</v>
      </c>
      <c r="C89" s="188"/>
      <c r="D89" s="189">
        <f>(D66+$C$16)/2</f>
        <v>1324.4627074835887</v>
      </c>
      <c r="E89" s="189">
        <f t="shared" ref="E89:I89" si="24">(E66+$C$16)/2</f>
        <v>1358.9605549599355</v>
      </c>
      <c r="F89" s="189">
        <f t="shared" si="24"/>
        <v>1326.2575482094603</v>
      </c>
      <c r="G89" s="189">
        <f t="shared" si="24"/>
        <v>1365.7905495837003</v>
      </c>
      <c r="H89" s="189">
        <f t="shared" si="24"/>
        <v>1302.855677236679</v>
      </c>
      <c r="I89" s="189">
        <f t="shared" si="24"/>
        <v>1320.8650159791316</v>
      </c>
      <c r="J89" s="184"/>
    </row>
    <row r="90" spans="1:20" x14ac:dyDescent="0.2">
      <c r="A90" s="141"/>
      <c r="B90" s="190" t="s">
        <v>207</v>
      </c>
      <c r="C90" s="191">
        <v>600</v>
      </c>
      <c r="E90" s="161"/>
      <c r="F90" s="161"/>
      <c r="G90" s="161"/>
      <c r="H90" s="161"/>
      <c r="I90" s="161"/>
      <c r="J90" s="184"/>
      <c r="M90" s="208"/>
    </row>
    <row r="91" spans="1:20" x14ac:dyDescent="0.2">
      <c r="A91" s="141"/>
      <c r="B91" s="190" t="s">
        <v>208</v>
      </c>
      <c r="C91" s="192">
        <f>$C$96</f>
        <v>425</v>
      </c>
      <c r="E91" s="269"/>
      <c r="F91" s="269"/>
      <c r="G91" s="269"/>
      <c r="H91" s="269"/>
      <c r="I91" s="269"/>
      <c r="J91" s="184"/>
      <c r="M91" s="208"/>
    </row>
    <row r="92" spans="1:20" x14ac:dyDescent="0.2">
      <c r="A92" s="141"/>
      <c r="B92" s="193"/>
      <c r="C92" s="193"/>
      <c r="D92" s="139"/>
      <c r="E92" s="139"/>
      <c r="F92" s="139"/>
      <c r="G92" s="139"/>
      <c r="H92" s="139"/>
      <c r="I92" s="139"/>
      <c r="J92" s="184"/>
      <c r="K92" s="139"/>
      <c r="L92" s="139"/>
    </row>
    <row r="93" spans="1:20" x14ac:dyDescent="0.2">
      <c r="A93" s="141" t="s">
        <v>168</v>
      </c>
      <c r="B93" s="127"/>
      <c r="C93" s="131" t="s">
        <v>79</v>
      </c>
      <c r="D93" s="194" t="s">
        <v>161</v>
      </c>
      <c r="E93" s="194" t="s">
        <v>162</v>
      </c>
      <c r="F93" s="194" t="s">
        <v>163</v>
      </c>
      <c r="G93" s="194" t="s">
        <v>164</v>
      </c>
      <c r="H93" s="194" t="s">
        <v>165</v>
      </c>
      <c r="I93" s="194" t="s">
        <v>166</v>
      </c>
      <c r="J93" s="183"/>
      <c r="K93" s="139"/>
      <c r="L93" s="139"/>
    </row>
    <row r="94" spans="1:20" x14ac:dyDescent="0.2">
      <c r="B94" s="143" t="s">
        <v>133</v>
      </c>
      <c r="C94" s="139">
        <f t="shared" ref="C94:C104" si="25">C51</f>
        <v>1180</v>
      </c>
      <c r="D94" s="322">
        <f t="shared" ref="D94:I104" si="26">IF($C94&gt;=$C$90,(($C94/D$66)^D$65),IF(AND($C94&gt;=$C$91,$C94&lt;$C$90),($C94/D$68)^D$67,($C94/D$70)^D$69))</f>
        <v>0.97450281257919147</v>
      </c>
      <c r="E94" s="322">
        <f t="shared" si="26"/>
        <v>0.96636751403518506</v>
      </c>
      <c r="F94" s="322">
        <f t="shared" si="26"/>
        <v>0.97313088864624386</v>
      </c>
      <c r="G94" s="322">
        <f t="shared" si="26"/>
        <v>0.95992213964659079</v>
      </c>
      <c r="H94" s="322">
        <f t="shared" si="26"/>
        <v>0.97586850807286607</v>
      </c>
      <c r="I94" s="322">
        <f t="shared" si="26"/>
        <v>0.980657557572026</v>
      </c>
      <c r="J94" s="195">
        <f>AVERAGE(D94:I94)</f>
        <v>0.97174157009201723</v>
      </c>
      <c r="K94" s="139"/>
      <c r="L94" s="139"/>
    </row>
    <row r="95" spans="1:20" x14ac:dyDescent="0.2">
      <c r="B95" s="143" t="s">
        <v>133</v>
      </c>
      <c r="C95" s="196">
        <f t="shared" si="25"/>
        <v>600</v>
      </c>
      <c r="D95" s="322">
        <f t="shared" si="26"/>
        <v>0.89979681809743028</v>
      </c>
      <c r="E95" s="322">
        <f t="shared" si="26"/>
        <v>0.88554431520012011</v>
      </c>
      <c r="F95" s="322">
        <f t="shared" si="26"/>
        <v>0.89545919112164551</v>
      </c>
      <c r="G95" s="322">
        <f t="shared" si="26"/>
        <v>0.86765891974623122</v>
      </c>
      <c r="H95" s="322">
        <f t="shared" si="26"/>
        <v>0.89425068326053525</v>
      </c>
      <c r="I95" s="322">
        <f t="shared" si="26"/>
        <v>0.92198028992688663</v>
      </c>
      <c r="J95" s="195">
        <f t="shared" ref="J95:J104" si="27">AVERAGE(D95:I95)</f>
        <v>0.89411503622547484</v>
      </c>
      <c r="K95" s="139"/>
      <c r="L95" s="139"/>
    </row>
    <row r="96" spans="1:20" x14ac:dyDescent="0.2">
      <c r="A96" s="138" t="s">
        <v>190</v>
      </c>
      <c r="B96" s="143" t="s">
        <v>134</v>
      </c>
      <c r="C96" s="197">
        <f t="shared" si="25"/>
        <v>425</v>
      </c>
      <c r="D96" s="322">
        <f t="shared" si="26"/>
        <v>0.81841625698217835</v>
      </c>
      <c r="E96" s="322">
        <f t="shared" si="26"/>
        <v>0.81844706224999053</v>
      </c>
      <c r="F96" s="322">
        <f t="shared" si="26"/>
        <v>0.81182560769456191</v>
      </c>
      <c r="G96" s="322">
        <f t="shared" si="26"/>
        <v>0.77919635542285415</v>
      </c>
      <c r="H96" s="322">
        <f t="shared" si="26"/>
        <v>0.81844706238489595</v>
      </c>
      <c r="I96" s="322">
        <f t="shared" si="26"/>
        <v>0.8574609459347059</v>
      </c>
      <c r="J96" s="195">
        <f t="shared" si="27"/>
        <v>0.81729888177819776</v>
      </c>
      <c r="K96" s="139"/>
      <c r="L96" s="139"/>
    </row>
    <row r="97" spans="1:12" x14ac:dyDescent="0.2">
      <c r="B97" s="143" t="s">
        <v>134</v>
      </c>
      <c r="C97" s="139">
        <f t="shared" si="25"/>
        <v>300</v>
      </c>
      <c r="D97" s="322">
        <f t="shared" si="26"/>
        <v>0.69485428615152545</v>
      </c>
      <c r="E97" s="322">
        <f t="shared" si="26"/>
        <v>0.68905840740957314</v>
      </c>
      <c r="F97" s="322">
        <f t="shared" si="26"/>
        <v>0.68321176502885772</v>
      </c>
      <c r="G97" s="322">
        <f t="shared" si="26"/>
        <v>0.6538458368535538</v>
      </c>
      <c r="H97" s="322">
        <f t="shared" si="26"/>
        <v>0.68905840740957314</v>
      </c>
      <c r="I97" s="322">
        <f t="shared" si="26"/>
        <v>0.7455083089939325</v>
      </c>
      <c r="J97" s="195">
        <f t="shared" si="27"/>
        <v>0.69258950197450264</v>
      </c>
      <c r="K97" s="139"/>
      <c r="L97" s="139"/>
    </row>
    <row r="98" spans="1:12" x14ac:dyDescent="0.2">
      <c r="B98" s="143" t="s">
        <v>206</v>
      </c>
      <c r="C98" s="139">
        <f t="shared" si="25"/>
        <v>212</v>
      </c>
      <c r="D98" s="322">
        <f t="shared" si="26"/>
        <v>0.5797373035930391</v>
      </c>
      <c r="E98" s="322">
        <f t="shared" si="26"/>
        <v>0.56250302653309103</v>
      </c>
      <c r="F98" s="322">
        <f t="shared" si="26"/>
        <v>0.5678405436385483</v>
      </c>
      <c r="G98" s="322">
        <f t="shared" si="26"/>
        <v>0.53648480798242071</v>
      </c>
      <c r="H98" s="322">
        <f t="shared" si="26"/>
        <v>0.56250302653309103</v>
      </c>
      <c r="I98" s="322">
        <f t="shared" si="26"/>
        <v>0.6341366807693638</v>
      </c>
      <c r="J98" s="195">
        <f t="shared" si="27"/>
        <v>0.57386756484159229</v>
      </c>
      <c r="K98" s="139"/>
      <c r="L98" s="139"/>
    </row>
    <row r="99" spans="1:12" x14ac:dyDescent="0.2">
      <c r="B99" s="143" t="s">
        <v>134</v>
      </c>
      <c r="C99" s="139">
        <f t="shared" si="25"/>
        <v>180</v>
      </c>
      <c r="D99" s="322">
        <f t="shared" si="26"/>
        <v>0.5323025562259398</v>
      </c>
      <c r="E99" s="322">
        <f t="shared" si="26"/>
        <v>0.51119864512389901</v>
      </c>
      <c r="F99" s="322">
        <f t="shared" si="26"/>
        <v>0.5204371957378936</v>
      </c>
      <c r="G99" s="322">
        <f t="shared" si="26"/>
        <v>0.4887258734706254</v>
      </c>
      <c r="H99" s="322">
        <f t="shared" si="26"/>
        <v>0.51119864512389901</v>
      </c>
      <c r="I99" s="322">
        <f t="shared" si="26"/>
        <v>0.58757816066162061</v>
      </c>
      <c r="J99" s="195">
        <f t="shared" si="27"/>
        <v>0.52524017939064616</v>
      </c>
      <c r="K99" s="139"/>
      <c r="L99" s="139"/>
    </row>
    <row r="100" spans="1:12" x14ac:dyDescent="0.2">
      <c r="B100" s="143" t="s">
        <v>134</v>
      </c>
      <c r="C100" s="139">
        <f t="shared" si="25"/>
        <v>150</v>
      </c>
      <c r="D100" s="322">
        <f t="shared" si="26"/>
        <v>0.48400614419398535</v>
      </c>
      <c r="E100" s="322">
        <f t="shared" si="26"/>
        <v>0.45952566632757408</v>
      </c>
      <c r="F100" s="322">
        <f t="shared" si="26"/>
        <v>0.47226478055160298</v>
      </c>
      <c r="G100" s="322">
        <f t="shared" si="26"/>
        <v>0.44050175029523936</v>
      </c>
      <c r="H100" s="322">
        <f t="shared" si="26"/>
        <v>0.45952566632757408</v>
      </c>
      <c r="I100" s="322">
        <f t="shared" si="26"/>
        <v>0.5397159887741132</v>
      </c>
      <c r="J100" s="195">
        <f t="shared" si="27"/>
        <v>0.4759233327450148</v>
      </c>
      <c r="K100" s="139"/>
      <c r="L100" s="139"/>
    </row>
    <row r="101" spans="1:12" x14ac:dyDescent="0.2">
      <c r="B101" s="143" t="s">
        <v>134</v>
      </c>
      <c r="C101" s="139">
        <f t="shared" si="25"/>
        <v>106</v>
      </c>
      <c r="D101" s="322">
        <f t="shared" si="26"/>
        <v>0.40382051683321651</v>
      </c>
      <c r="E101" s="322">
        <f t="shared" si="26"/>
        <v>0.37512723928677599</v>
      </c>
      <c r="F101" s="322">
        <f t="shared" si="26"/>
        <v>0.39251532754040735</v>
      </c>
      <c r="G101" s="322">
        <f t="shared" si="26"/>
        <v>0.36143458228669956</v>
      </c>
      <c r="H101" s="322">
        <f t="shared" si="26"/>
        <v>0.37512723928677599</v>
      </c>
      <c r="I101" s="322">
        <f t="shared" si="26"/>
        <v>0.45908771444981561</v>
      </c>
      <c r="J101" s="195">
        <f t="shared" si="27"/>
        <v>0.39451876994728186</v>
      </c>
      <c r="K101" s="139"/>
      <c r="L101" s="139"/>
    </row>
    <row r="102" spans="1:12" x14ac:dyDescent="0.2">
      <c r="B102" s="143" t="s">
        <v>134</v>
      </c>
      <c r="C102" s="139">
        <f t="shared" si="25"/>
        <v>75</v>
      </c>
      <c r="D102" s="322">
        <f t="shared" si="26"/>
        <v>0.33713823500319307</v>
      </c>
      <c r="E102" s="322">
        <f t="shared" si="26"/>
        <v>0.30645274151380619</v>
      </c>
      <c r="F102" s="322">
        <f t="shared" si="26"/>
        <v>0.32644933001122006</v>
      </c>
      <c r="G102" s="322">
        <f t="shared" si="26"/>
        <v>0.29676994342724589</v>
      </c>
      <c r="H102" s="322">
        <f t="shared" si="26"/>
        <v>0.30645274151380619</v>
      </c>
      <c r="I102" s="322">
        <f t="shared" si="26"/>
        <v>0.39073118974558529</v>
      </c>
      <c r="J102" s="195">
        <f t="shared" si="27"/>
        <v>0.32733236353580941</v>
      </c>
      <c r="K102" s="139"/>
      <c r="L102" s="139"/>
    </row>
    <row r="103" spans="1:12" x14ac:dyDescent="0.2">
      <c r="B103" s="143" t="s">
        <v>134</v>
      </c>
      <c r="C103" s="139">
        <f t="shared" si="25"/>
        <v>53</v>
      </c>
      <c r="D103" s="322">
        <f t="shared" si="26"/>
        <v>0.281284314127762</v>
      </c>
      <c r="E103" s="322">
        <f t="shared" si="26"/>
        <v>0.25016833513275283</v>
      </c>
      <c r="F103" s="322">
        <f t="shared" si="26"/>
        <v>0.27132314534452034</v>
      </c>
      <c r="G103" s="322">
        <f t="shared" si="26"/>
        <v>0.24350168975715264</v>
      </c>
      <c r="H103" s="322">
        <f t="shared" si="26"/>
        <v>0.25016833513275283</v>
      </c>
      <c r="I103" s="322">
        <f t="shared" si="26"/>
        <v>0.33235978291470197</v>
      </c>
      <c r="J103" s="195">
        <f t="shared" si="27"/>
        <v>0.27146760040160711</v>
      </c>
      <c r="K103" s="139"/>
      <c r="L103" s="139"/>
    </row>
    <row r="104" spans="1:12" x14ac:dyDescent="0.2">
      <c r="B104" s="144" t="s">
        <v>134</v>
      </c>
      <c r="C104" s="132">
        <f t="shared" si="25"/>
        <v>38</v>
      </c>
      <c r="D104" s="326">
        <f t="shared" si="26"/>
        <v>0.23646455287683776</v>
      </c>
      <c r="E104" s="326">
        <f t="shared" si="26"/>
        <v>0.20595833595957372</v>
      </c>
      <c r="F104" s="326">
        <f t="shared" si="26"/>
        <v>0.22725344833926495</v>
      </c>
      <c r="G104" s="326">
        <f t="shared" si="26"/>
        <v>0.20145121095895782</v>
      </c>
      <c r="H104" s="326">
        <f t="shared" si="26"/>
        <v>0.20595833595957372</v>
      </c>
      <c r="I104" s="326">
        <f t="shared" si="26"/>
        <v>0.28462405315126127</v>
      </c>
      <c r="J104" s="195">
        <f t="shared" si="27"/>
        <v>0.22695165620757818</v>
      </c>
      <c r="K104" s="139"/>
      <c r="L104" s="139"/>
    </row>
    <row r="105" spans="1:12" x14ac:dyDescent="0.2">
      <c r="B105" s="199"/>
      <c r="C105" s="200"/>
      <c r="D105" s="139"/>
      <c r="E105" s="139"/>
      <c r="F105" s="139"/>
      <c r="G105" s="139"/>
      <c r="H105" s="139"/>
      <c r="I105" s="139"/>
      <c r="J105" s="175"/>
      <c r="K105" s="139"/>
      <c r="L105" s="139"/>
    </row>
    <row r="107" spans="1:12" x14ac:dyDescent="0.2">
      <c r="A107" s="142" t="s">
        <v>179</v>
      </c>
      <c r="B107" s="131" t="s">
        <v>184</v>
      </c>
      <c r="C107" s="131"/>
      <c r="D107" s="201">
        <f t="shared" ref="D107:J107" si="28">SUMPRODUCT(D131:D142,D33:D44)</f>
        <v>265.19374621873516</v>
      </c>
      <c r="E107" s="201">
        <f t="shared" si="28"/>
        <v>276.24721004358787</v>
      </c>
      <c r="F107" s="201">
        <f t="shared" si="28"/>
        <v>271.62330191250589</v>
      </c>
      <c r="G107" s="201">
        <f t="shared" si="28"/>
        <v>305.15716442649807</v>
      </c>
      <c r="H107" s="201">
        <f t="shared" si="28"/>
        <v>274.21123669172823</v>
      </c>
      <c r="I107" s="201">
        <f t="shared" si="28"/>
        <v>224.55131386878696</v>
      </c>
      <c r="J107" s="202">
        <f t="shared" si="28"/>
        <v>269.39382432760175</v>
      </c>
    </row>
    <row r="108" spans="1:12" x14ac:dyDescent="0.2">
      <c r="A108" s="143" t="s">
        <v>175</v>
      </c>
      <c r="B108" s="139" t="s">
        <v>185</v>
      </c>
      <c r="C108" s="139"/>
      <c r="D108" s="193">
        <f t="shared" ref="D108:J108" si="29">SUMPRODUCT(D131:D142,D146:D157)</f>
        <v>259.89851036062288</v>
      </c>
      <c r="E108" s="193">
        <f t="shared" si="29"/>
        <v>276.45348209687722</v>
      </c>
      <c r="F108" s="193">
        <f t="shared" si="29"/>
        <v>267.06040469905423</v>
      </c>
      <c r="G108" s="193">
        <f t="shared" si="29"/>
        <v>300.11379605620203</v>
      </c>
      <c r="H108" s="193">
        <f t="shared" si="29"/>
        <v>267.35734229340113</v>
      </c>
      <c r="I108" s="193">
        <f t="shared" si="29"/>
        <v>224.77667089647431</v>
      </c>
      <c r="J108" s="203">
        <f t="shared" si="29"/>
        <v>265.81126454010399</v>
      </c>
    </row>
    <row r="109" spans="1:12" x14ac:dyDescent="0.2">
      <c r="A109" s="143" t="s">
        <v>188</v>
      </c>
      <c r="B109" s="139" t="s">
        <v>189</v>
      </c>
      <c r="C109" s="139"/>
      <c r="D109" s="204">
        <f t="shared" ref="D109:J109" si="30">SQRT((COUNT(D131:D142)*(D33*D131^2+D34*D132^2+D35*D133^2+D36*D134^2+D37*D135^2+D38*D136^2+D39*D137^2+D40*D138^2+D41*D139^2+D42*D140^2+D43*D141^2+D44*D142^2-D107^2)/(COUNT(D131:D142)*(COUNT(D131:D142)-1))))</f>
        <v>92.609947130452241</v>
      </c>
      <c r="E109" s="204">
        <f t="shared" si="30"/>
        <v>96.110066180426642</v>
      </c>
      <c r="F109" s="204">
        <f t="shared" si="30"/>
        <v>93.660150507954938</v>
      </c>
      <c r="G109" s="204">
        <f t="shared" si="30"/>
        <v>104.24356891472416</v>
      </c>
      <c r="H109" s="204">
        <f t="shared" si="30"/>
        <v>94.055073250547892</v>
      </c>
      <c r="I109" s="204">
        <f t="shared" si="30"/>
        <v>83.03051590801644</v>
      </c>
      <c r="J109" s="205">
        <f t="shared" si="30"/>
        <v>94.313280523856236</v>
      </c>
    </row>
    <row r="110" spans="1:12" x14ac:dyDescent="0.2">
      <c r="A110" s="144" t="s">
        <v>187</v>
      </c>
      <c r="B110" s="132" t="s">
        <v>186</v>
      </c>
      <c r="C110" s="132"/>
      <c r="D110" s="206">
        <f t="shared" ref="D110:J110" si="31">SQRT((COUNT(D131:D142)*(D146*D131^2+D147*D132^2+D148*D133^2+D149*D134^2+D150*D135^2+D151*D136^2+D152*D137^2+D153*D138^2+D154*D139^2+D155*D140^2+D156*D141^2+D157*D142^2-D108^2)/(COUNT(D131:D142)*(COUNT(D131:D142)-1))))</f>
        <v>88.889502017625873</v>
      </c>
      <c r="E110" s="206">
        <f t="shared" si="31"/>
        <v>94.553695448195867</v>
      </c>
      <c r="F110" s="206">
        <f t="shared" si="31"/>
        <v>90.086825595153229</v>
      </c>
      <c r="G110" s="206">
        <f t="shared" si="31"/>
        <v>100.23748546465011</v>
      </c>
      <c r="H110" s="206">
        <f t="shared" si="31"/>
        <v>87.934476729227924</v>
      </c>
      <c r="I110" s="206">
        <f t="shared" si="31"/>
        <v>82.058670441780706</v>
      </c>
      <c r="J110" s="207">
        <f t="shared" si="31"/>
        <v>90.905267550655282</v>
      </c>
    </row>
    <row r="111" spans="1:12" x14ac:dyDescent="0.2">
      <c r="A111" s="208"/>
      <c r="B111" s="139"/>
      <c r="C111" s="139"/>
      <c r="D111" s="204"/>
      <c r="E111" s="204"/>
      <c r="F111" s="204"/>
      <c r="G111" s="204"/>
      <c r="H111" s="204"/>
      <c r="I111" s="204"/>
    </row>
    <row r="112" spans="1:12" x14ac:dyDescent="0.2">
      <c r="B112" s="36" t="s">
        <v>196</v>
      </c>
      <c r="E112" s="209"/>
      <c r="J112" s="136" t="s">
        <v>110</v>
      </c>
      <c r="K112" s="138"/>
      <c r="L112" s="138"/>
    </row>
    <row r="113" spans="1:33" x14ac:dyDescent="0.2">
      <c r="A113" s="138" t="s">
        <v>125</v>
      </c>
      <c r="C113" s="129">
        <f t="shared" ref="C113:C123" si="32">C16</f>
        <v>1180</v>
      </c>
      <c r="D113" s="210">
        <f t="shared" ref="D113:J123" si="33">(D94-D51)^2</f>
        <v>4.9426608787179628E-5</v>
      </c>
      <c r="E113" s="211">
        <f t="shared" si="33"/>
        <v>7.0554990988475161E-6</v>
      </c>
      <c r="F113" s="211">
        <f t="shared" si="33"/>
        <v>4.9201534196129855E-5</v>
      </c>
      <c r="G113" s="211">
        <f t="shared" si="33"/>
        <v>6.4814820084666414E-5</v>
      </c>
      <c r="H113" s="211">
        <f t="shared" si="33"/>
        <v>1.4779782757524414E-4</v>
      </c>
      <c r="I113" s="211">
        <f t="shared" si="33"/>
        <v>3.6054799265257286E-6</v>
      </c>
      <c r="J113" s="212">
        <f t="shared" si="33"/>
        <v>4.1834579436193714E-5</v>
      </c>
    </row>
    <row r="114" spans="1:33" x14ac:dyDescent="0.2">
      <c r="C114" s="129">
        <f t="shared" si="32"/>
        <v>600</v>
      </c>
      <c r="D114" s="213">
        <f t="shared" si="33"/>
        <v>4.2138932199219356E-5</v>
      </c>
      <c r="E114" s="214">
        <f t="shared" si="33"/>
        <v>5.9246635890298606E-6</v>
      </c>
      <c r="F114" s="214">
        <f t="shared" si="33"/>
        <v>4.166081159290315E-5</v>
      </c>
      <c r="G114" s="214">
        <f t="shared" si="33"/>
        <v>5.2954195530519119E-5</v>
      </c>
      <c r="H114" s="214">
        <f t="shared" si="33"/>
        <v>1.2410920833591586E-4</v>
      </c>
      <c r="I114" s="214">
        <f t="shared" si="33"/>
        <v>3.1869231895497783E-6</v>
      </c>
      <c r="J114" s="215">
        <f t="shared" si="33"/>
        <v>3.5170084459892243E-5</v>
      </c>
    </row>
    <row r="115" spans="1:33" x14ac:dyDescent="0.2">
      <c r="C115" s="129">
        <f t="shared" si="32"/>
        <v>425</v>
      </c>
      <c r="D115" s="216">
        <f t="shared" si="33"/>
        <v>3.8848112054725465E-21</v>
      </c>
      <c r="E115" s="217">
        <f t="shared" si="33"/>
        <v>3.7323977317946736E-23</v>
      </c>
      <c r="F115" s="217">
        <f t="shared" si="33"/>
        <v>1.2346248509208963E-20</v>
      </c>
      <c r="G115" s="217">
        <f t="shared" si="33"/>
        <v>2.7661737480601834E-20</v>
      </c>
      <c r="H115" s="217">
        <f t="shared" si="33"/>
        <v>1.658843148771754E-20</v>
      </c>
      <c r="I115" s="217">
        <f t="shared" si="33"/>
        <v>2.2845578524386741E-20</v>
      </c>
      <c r="J115" s="215">
        <f t="shared" si="33"/>
        <v>1.0458238498980415E-20</v>
      </c>
    </row>
    <row r="116" spans="1:33" x14ac:dyDescent="0.2">
      <c r="C116" s="129">
        <f t="shared" si="32"/>
        <v>300</v>
      </c>
      <c r="D116" s="213">
        <f t="shared" si="33"/>
        <v>6.5585302965501409E-7</v>
      </c>
      <c r="E116" s="214">
        <f t="shared" si="33"/>
        <v>8.9715163152626328E-5</v>
      </c>
      <c r="F116" s="214">
        <f t="shared" si="33"/>
        <v>2.0329553572621036E-5</v>
      </c>
      <c r="G116" s="214">
        <f t="shared" si="33"/>
        <v>3.9861806002538695E-5</v>
      </c>
      <c r="H116" s="214">
        <f t="shared" si="33"/>
        <v>8.9715163152626328E-5</v>
      </c>
      <c r="I116" s="214">
        <f t="shared" si="33"/>
        <v>1.2599090959604229E-4</v>
      </c>
      <c r="J116" s="215">
        <f t="shared" si="33"/>
        <v>4.8535567921409169E-5</v>
      </c>
    </row>
    <row r="117" spans="1:33" x14ac:dyDescent="0.2">
      <c r="C117" s="129">
        <f t="shared" si="32"/>
        <v>212</v>
      </c>
      <c r="D117" s="213">
        <f t="shared" si="33"/>
        <v>1.1009718721307254E-5</v>
      </c>
      <c r="E117" s="214">
        <f t="shared" si="33"/>
        <v>5.234083457173718E-6</v>
      </c>
      <c r="F117" s="214">
        <f t="shared" si="33"/>
        <v>1.3255793776250068E-5</v>
      </c>
      <c r="G117" s="214">
        <f t="shared" si="33"/>
        <v>4.5948868520435144E-5</v>
      </c>
      <c r="H117" s="214">
        <f t="shared" si="33"/>
        <v>5.234083457173718E-6</v>
      </c>
      <c r="I117" s="214">
        <f t="shared" si="33"/>
        <v>9.3976147038338515E-6</v>
      </c>
      <c r="J117" s="215">
        <f t="shared" si="33"/>
        <v>3.903116500452531E-8</v>
      </c>
    </row>
    <row r="118" spans="1:33" x14ac:dyDescent="0.2">
      <c r="C118" s="129">
        <f t="shared" si="32"/>
        <v>180</v>
      </c>
      <c r="D118" s="213">
        <f t="shared" si="33"/>
        <v>1.3631237098786131E-6</v>
      </c>
      <c r="E118" s="214">
        <f t="shared" si="33"/>
        <v>3.4240936136663004E-5</v>
      </c>
      <c r="F118" s="214">
        <f t="shared" si="33"/>
        <v>2.0445105367994151E-5</v>
      </c>
      <c r="G118" s="214">
        <f t="shared" si="33"/>
        <v>3.5560831255015991E-5</v>
      </c>
      <c r="H118" s="214">
        <f t="shared" si="33"/>
        <v>3.4240936136663004E-5</v>
      </c>
      <c r="I118" s="214">
        <f t="shared" si="33"/>
        <v>1.7854218850065707E-4</v>
      </c>
      <c r="J118" s="215">
        <f t="shared" si="33"/>
        <v>3.283768827915078E-5</v>
      </c>
    </row>
    <row r="119" spans="1:33" x14ac:dyDescent="0.2">
      <c r="C119" s="129">
        <f t="shared" si="32"/>
        <v>150</v>
      </c>
      <c r="D119" s="213">
        <f t="shared" si="33"/>
        <v>8.209290601533981E-7</v>
      </c>
      <c r="E119" s="214">
        <f t="shared" si="33"/>
        <v>6.5121618336064861E-5</v>
      </c>
      <c r="F119" s="214">
        <f t="shared" si="33"/>
        <v>3.0611792583166784E-5</v>
      </c>
      <c r="G119" s="214">
        <f t="shared" si="33"/>
        <v>1.6343795054247665E-7</v>
      </c>
      <c r="H119" s="214">
        <f t="shared" si="33"/>
        <v>6.5121618336064861E-5</v>
      </c>
      <c r="I119" s="214">
        <f t="shared" si="33"/>
        <v>1.0743945539184966E-4</v>
      </c>
      <c r="J119" s="215">
        <f t="shared" si="33"/>
        <v>2.6226963274900959E-5</v>
      </c>
    </row>
    <row r="120" spans="1:33" x14ac:dyDescent="0.2">
      <c r="C120" s="129">
        <f t="shared" si="32"/>
        <v>106</v>
      </c>
      <c r="D120" s="213">
        <f t="shared" si="33"/>
        <v>2.2151126033244137E-7</v>
      </c>
      <c r="E120" s="214">
        <f t="shared" si="33"/>
        <v>2.6589549607707902E-5</v>
      </c>
      <c r="F120" s="214">
        <f t="shared" si="33"/>
        <v>6.7101219003646796E-6</v>
      </c>
      <c r="G120" s="214">
        <f t="shared" si="33"/>
        <v>1.218051505963893E-5</v>
      </c>
      <c r="H120" s="214">
        <f t="shared" si="33"/>
        <v>2.6589549607707902E-5</v>
      </c>
      <c r="I120" s="214">
        <f t="shared" si="33"/>
        <v>4.7777737129928182E-5</v>
      </c>
      <c r="J120" s="215">
        <f t="shared" si="33"/>
        <v>1.5703063795633742E-5</v>
      </c>
    </row>
    <row r="121" spans="1:33" x14ac:dyDescent="0.2">
      <c r="C121" s="129">
        <f t="shared" si="32"/>
        <v>75</v>
      </c>
      <c r="D121" s="213">
        <f t="shared" si="33"/>
        <v>1.0926816517579424E-4</v>
      </c>
      <c r="E121" s="214">
        <f t="shared" si="33"/>
        <v>5.9991875297918512E-5</v>
      </c>
      <c r="F121" s="214">
        <f t="shared" si="33"/>
        <v>2.8371900543455131E-5</v>
      </c>
      <c r="G121" s="214">
        <f t="shared" si="33"/>
        <v>2.053821790685305E-4</v>
      </c>
      <c r="H121" s="214">
        <f t="shared" si="33"/>
        <v>5.9991875297918512E-5</v>
      </c>
      <c r="I121" s="214">
        <f t="shared" si="33"/>
        <v>2.8350418557529203E-5</v>
      </c>
      <c r="J121" s="215">
        <f t="shared" si="33"/>
        <v>7.2041125099989162E-5</v>
      </c>
    </row>
    <row r="122" spans="1:33" x14ac:dyDescent="0.2">
      <c r="C122" s="129">
        <f t="shared" si="32"/>
        <v>53</v>
      </c>
      <c r="D122" s="213">
        <f t="shared" si="33"/>
        <v>1.2558443870104815E-6</v>
      </c>
      <c r="E122" s="214">
        <f t="shared" si="33"/>
        <v>3.2634065272868287E-5</v>
      </c>
      <c r="F122" s="214">
        <f t="shared" si="33"/>
        <v>9.4760889691903179E-5</v>
      </c>
      <c r="G122" s="214">
        <f t="shared" si="33"/>
        <v>1.5768908266987867E-4</v>
      </c>
      <c r="H122" s="214">
        <f t="shared" si="33"/>
        <v>3.2634065272868287E-5</v>
      </c>
      <c r="I122" s="214">
        <f t="shared" si="33"/>
        <v>4.1845608227412262E-4</v>
      </c>
      <c r="J122" s="215">
        <f t="shared" si="33"/>
        <v>1.4919344989875515E-6</v>
      </c>
    </row>
    <row r="123" spans="1:33" x14ac:dyDescent="0.2">
      <c r="C123" s="129">
        <f t="shared" si="32"/>
        <v>38</v>
      </c>
      <c r="D123" s="218">
        <f t="shared" si="33"/>
        <v>1.9950294674987608E-5</v>
      </c>
      <c r="E123" s="219">
        <f t="shared" si="33"/>
        <v>8.2356261349703281E-5</v>
      </c>
      <c r="F123" s="219">
        <f t="shared" si="33"/>
        <v>4.0176070102703837E-5</v>
      </c>
      <c r="G123" s="219">
        <f t="shared" si="33"/>
        <v>1.8007306259403013E-4</v>
      </c>
      <c r="H123" s="219">
        <f t="shared" si="33"/>
        <v>8.2356261349703281E-5</v>
      </c>
      <c r="I123" s="219">
        <f t="shared" si="33"/>
        <v>3.3021438031498985E-4</v>
      </c>
      <c r="J123" s="220">
        <f t="shared" si="33"/>
        <v>3.6899301086032933E-6</v>
      </c>
    </row>
    <row r="124" spans="1:33" x14ac:dyDescent="0.2">
      <c r="C124" s="129"/>
      <c r="D124" s="214"/>
      <c r="E124" s="214"/>
      <c r="F124" s="214"/>
      <c r="G124" s="214"/>
      <c r="H124" s="214"/>
      <c r="I124" s="214"/>
      <c r="J124" s="221"/>
    </row>
    <row r="125" spans="1:33" x14ac:dyDescent="0.2">
      <c r="A125" s="138" t="s">
        <v>177</v>
      </c>
      <c r="B125" s="136" t="s">
        <v>182</v>
      </c>
      <c r="D125" s="222">
        <f t="shared" ref="D125:J125" si="34">SUM(D113:D123)</f>
        <v>2.3611098100551804E-4</v>
      </c>
      <c r="E125" s="223">
        <f t="shared" si="34"/>
        <v>4.0886371529860331E-4</v>
      </c>
      <c r="F125" s="223">
        <f t="shared" si="34"/>
        <v>3.4552357332749196E-4</v>
      </c>
      <c r="G125" s="223">
        <f t="shared" si="34"/>
        <v>7.9462879873579606E-4</v>
      </c>
      <c r="H125" s="223">
        <f t="shared" si="34"/>
        <v>6.6779058852188588E-4</v>
      </c>
      <c r="I125" s="223">
        <f t="shared" si="34"/>
        <v>1.2529611895850284E-3</v>
      </c>
      <c r="J125" s="224">
        <f t="shared" si="34"/>
        <v>2.7756996803976513E-4</v>
      </c>
    </row>
    <row r="126" spans="1:33" x14ac:dyDescent="0.2">
      <c r="D126" s="225"/>
      <c r="E126" s="225"/>
      <c r="F126" s="225"/>
      <c r="G126" s="225"/>
      <c r="H126" s="225"/>
      <c r="I126" s="225"/>
    </row>
    <row r="127" spans="1:33" x14ac:dyDescent="0.2">
      <c r="A127" s="138" t="s">
        <v>108</v>
      </c>
      <c r="D127" s="180">
        <f t="shared" ref="D127:J127" si="35">D125/COUNT(D113:D123)</f>
        <v>2.1464634636865276E-5</v>
      </c>
      <c r="E127" s="180">
        <f t="shared" si="35"/>
        <v>3.7169428663509395E-5</v>
      </c>
      <c r="F127" s="180">
        <f t="shared" si="35"/>
        <v>3.1411233938862905E-5</v>
      </c>
      <c r="G127" s="180">
        <f t="shared" si="35"/>
        <v>7.2238981703254192E-5</v>
      </c>
      <c r="H127" s="180">
        <f t="shared" si="35"/>
        <v>6.0708235320171446E-5</v>
      </c>
      <c r="I127" s="180">
        <f t="shared" si="35"/>
        <v>1.1390556268954803E-4</v>
      </c>
      <c r="J127" s="180">
        <f t="shared" si="35"/>
        <v>2.5233633458160465E-5</v>
      </c>
      <c r="U127" s="139"/>
      <c r="V127" s="139"/>
      <c r="AA127" s="226"/>
      <c r="AB127" s="199"/>
      <c r="AC127" s="199"/>
      <c r="AD127" s="199"/>
      <c r="AE127" s="199"/>
      <c r="AF127" s="199"/>
      <c r="AG127" s="199"/>
    </row>
    <row r="128" spans="1:33" x14ac:dyDescent="0.2">
      <c r="A128" s="138" t="s">
        <v>109</v>
      </c>
      <c r="B128" s="136" t="s">
        <v>46</v>
      </c>
      <c r="D128" s="225">
        <f>SQRT(D127)</f>
        <v>4.6329941330488728E-3</v>
      </c>
      <c r="E128" s="225">
        <f t="shared" ref="E128:J128" si="36">SQRT(E127)</f>
        <v>6.0966735736391036E-3</v>
      </c>
      <c r="F128" s="225">
        <f t="shared" si="36"/>
        <v>5.6045725919879833E-3</v>
      </c>
      <c r="G128" s="225">
        <f t="shared" si="36"/>
        <v>8.4993518401848857E-3</v>
      </c>
      <c r="H128" s="225">
        <f t="shared" si="36"/>
        <v>7.7915489679633949E-3</v>
      </c>
      <c r="I128" s="225">
        <f t="shared" si="36"/>
        <v>1.0672654903516184E-2</v>
      </c>
      <c r="J128" s="225">
        <f t="shared" si="36"/>
        <v>5.0233090147989564E-3</v>
      </c>
      <c r="AA128" s="226"/>
      <c r="AB128" s="199"/>
      <c r="AC128" s="199"/>
      <c r="AD128" s="199"/>
      <c r="AE128" s="199"/>
      <c r="AF128" s="199"/>
      <c r="AG128" s="199"/>
    </row>
    <row r="129" spans="2:12" x14ac:dyDescent="0.2">
      <c r="D129" s="225"/>
      <c r="E129" s="225"/>
      <c r="F129" s="225"/>
      <c r="G129" s="225"/>
      <c r="H129" s="225"/>
      <c r="I129" s="225"/>
    </row>
    <row r="130" spans="2:12" x14ac:dyDescent="0.2">
      <c r="D130" s="36" t="s">
        <v>169</v>
      </c>
      <c r="E130" s="36" t="s">
        <v>170</v>
      </c>
      <c r="F130" s="36" t="s">
        <v>171</v>
      </c>
      <c r="G130" s="36" t="s">
        <v>172</v>
      </c>
      <c r="H130" s="36" t="s">
        <v>173</v>
      </c>
      <c r="I130" s="36" t="s">
        <v>174</v>
      </c>
      <c r="J130" s="36" t="s">
        <v>191</v>
      </c>
      <c r="L130" s="324"/>
    </row>
    <row r="131" spans="2:12" x14ac:dyDescent="0.2">
      <c r="B131" s="36" t="s">
        <v>213</v>
      </c>
      <c r="D131" s="187">
        <f t="shared" ref="D131:I131" si="37">D89</f>
        <v>1324.4627074835887</v>
      </c>
      <c r="E131" s="187">
        <f t="shared" si="37"/>
        <v>1358.9605549599355</v>
      </c>
      <c r="F131" s="187">
        <f t="shared" si="37"/>
        <v>1326.2575482094603</v>
      </c>
      <c r="G131" s="187">
        <f t="shared" si="37"/>
        <v>1365.7905495837003</v>
      </c>
      <c r="H131" s="187">
        <f t="shared" si="37"/>
        <v>1302.855677236679</v>
      </c>
      <c r="I131" s="187">
        <f t="shared" si="37"/>
        <v>1320.8650159791316</v>
      </c>
      <c r="J131" s="227">
        <f>AVERAGE(D131:I131)</f>
        <v>1333.1986755754158</v>
      </c>
      <c r="L131" s="325"/>
    </row>
    <row r="132" spans="2:12" x14ac:dyDescent="0.2">
      <c r="D132" s="160">
        <f t="shared" ref="D132:I142" si="38">$C34</f>
        <v>890</v>
      </c>
      <c r="E132" s="160">
        <f t="shared" si="38"/>
        <v>890</v>
      </c>
      <c r="F132" s="160">
        <f t="shared" si="38"/>
        <v>890</v>
      </c>
      <c r="G132" s="160">
        <f t="shared" si="38"/>
        <v>890</v>
      </c>
      <c r="H132" s="160">
        <f t="shared" si="38"/>
        <v>890</v>
      </c>
      <c r="I132" s="160">
        <f t="shared" si="38"/>
        <v>890</v>
      </c>
      <c r="J132" s="228">
        <f t="shared" ref="J132:J142" si="39">AVERAGE(D132:I132)</f>
        <v>890</v>
      </c>
      <c r="L132" s="325"/>
    </row>
    <row r="133" spans="2:12" x14ac:dyDescent="0.2">
      <c r="D133" s="160">
        <f t="shared" si="38"/>
        <v>512.5</v>
      </c>
      <c r="E133" s="160">
        <f t="shared" si="38"/>
        <v>512.5</v>
      </c>
      <c r="F133" s="160">
        <f t="shared" si="38"/>
        <v>512.5</v>
      </c>
      <c r="G133" s="160">
        <f t="shared" si="38"/>
        <v>512.5</v>
      </c>
      <c r="H133" s="160">
        <f t="shared" si="38"/>
        <v>512.5</v>
      </c>
      <c r="I133" s="160">
        <f t="shared" si="38"/>
        <v>512.5</v>
      </c>
      <c r="J133" s="228">
        <f t="shared" si="39"/>
        <v>512.5</v>
      </c>
      <c r="L133" s="325"/>
    </row>
    <row r="134" spans="2:12" x14ac:dyDescent="0.2">
      <c r="D134" s="160">
        <f t="shared" si="38"/>
        <v>362.5</v>
      </c>
      <c r="E134" s="160">
        <f t="shared" si="38"/>
        <v>362.5</v>
      </c>
      <c r="F134" s="160">
        <f t="shared" si="38"/>
        <v>362.5</v>
      </c>
      <c r="G134" s="160">
        <f t="shared" si="38"/>
        <v>362.5</v>
      </c>
      <c r="H134" s="160">
        <f t="shared" si="38"/>
        <v>362.5</v>
      </c>
      <c r="I134" s="160">
        <f t="shared" si="38"/>
        <v>362.5</v>
      </c>
      <c r="J134" s="228">
        <f t="shared" si="39"/>
        <v>362.5</v>
      </c>
      <c r="L134" s="325"/>
    </row>
    <row r="135" spans="2:12" x14ac:dyDescent="0.2">
      <c r="D135" s="160">
        <f t="shared" si="38"/>
        <v>256</v>
      </c>
      <c r="E135" s="160">
        <f t="shared" si="38"/>
        <v>256</v>
      </c>
      <c r="F135" s="160">
        <f t="shared" si="38"/>
        <v>256</v>
      </c>
      <c r="G135" s="160">
        <f t="shared" si="38"/>
        <v>256</v>
      </c>
      <c r="H135" s="160">
        <f t="shared" si="38"/>
        <v>256</v>
      </c>
      <c r="I135" s="160">
        <f t="shared" si="38"/>
        <v>256</v>
      </c>
      <c r="J135" s="228">
        <f t="shared" si="39"/>
        <v>256</v>
      </c>
      <c r="L135" s="325"/>
    </row>
    <row r="136" spans="2:12" x14ac:dyDescent="0.2">
      <c r="D136" s="160">
        <f t="shared" si="38"/>
        <v>196</v>
      </c>
      <c r="E136" s="160">
        <f t="shared" si="38"/>
        <v>196</v>
      </c>
      <c r="F136" s="160">
        <f t="shared" si="38"/>
        <v>196</v>
      </c>
      <c r="G136" s="160">
        <f t="shared" si="38"/>
        <v>196</v>
      </c>
      <c r="H136" s="160">
        <f t="shared" si="38"/>
        <v>196</v>
      </c>
      <c r="I136" s="160">
        <f t="shared" si="38"/>
        <v>196</v>
      </c>
      <c r="J136" s="228">
        <f t="shared" si="39"/>
        <v>196</v>
      </c>
      <c r="L136" s="325"/>
    </row>
    <row r="137" spans="2:12" x14ac:dyDescent="0.2">
      <c r="D137" s="160">
        <f t="shared" si="38"/>
        <v>165</v>
      </c>
      <c r="E137" s="160">
        <f t="shared" si="38"/>
        <v>165</v>
      </c>
      <c r="F137" s="160">
        <f t="shared" si="38"/>
        <v>165</v>
      </c>
      <c r="G137" s="160">
        <f t="shared" si="38"/>
        <v>165</v>
      </c>
      <c r="H137" s="160">
        <f t="shared" si="38"/>
        <v>165</v>
      </c>
      <c r="I137" s="160">
        <f t="shared" si="38"/>
        <v>165</v>
      </c>
      <c r="J137" s="228">
        <f t="shared" si="39"/>
        <v>165</v>
      </c>
      <c r="L137" s="325"/>
    </row>
    <row r="138" spans="2:12" x14ac:dyDescent="0.2">
      <c r="D138" s="160">
        <f t="shared" si="38"/>
        <v>128</v>
      </c>
      <c r="E138" s="160">
        <f t="shared" si="38"/>
        <v>128</v>
      </c>
      <c r="F138" s="160">
        <f t="shared" si="38"/>
        <v>128</v>
      </c>
      <c r="G138" s="160">
        <f t="shared" si="38"/>
        <v>128</v>
      </c>
      <c r="H138" s="160">
        <f t="shared" si="38"/>
        <v>128</v>
      </c>
      <c r="I138" s="160">
        <f t="shared" si="38"/>
        <v>128</v>
      </c>
      <c r="J138" s="228">
        <f t="shared" si="39"/>
        <v>128</v>
      </c>
      <c r="L138" s="325"/>
    </row>
    <row r="139" spans="2:12" x14ac:dyDescent="0.2">
      <c r="D139" s="160">
        <f t="shared" si="38"/>
        <v>90.5</v>
      </c>
      <c r="E139" s="160">
        <f t="shared" si="38"/>
        <v>90.5</v>
      </c>
      <c r="F139" s="160">
        <f t="shared" si="38"/>
        <v>90.5</v>
      </c>
      <c r="G139" s="160">
        <f t="shared" si="38"/>
        <v>90.5</v>
      </c>
      <c r="H139" s="160">
        <f t="shared" si="38"/>
        <v>90.5</v>
      </c>
      <c r="I139" s="160">
        <f t="shared" si="38"/>
        <v>90.5</v>
      </c>
      <c r="J139" s="228">
        <f t="shared" si="39"/>
        <v>90.5</v>
      </c>
      <c r="L139" s="325"/>
    </row>
    <row r="140" spans="2:12" x14ac:dyDescent="0.2">
      <c r="D140" s="160">
        <f t="shared" si="38"/>
        <v>64</v>
      </c>
      <c r="E140" s="160">
        <f t="shared" si="38"/>
        <v>64</v>
      </c>
      <c r="F140" s="160">
        <f t="shared" si="38"/>
        <v>64</v>
      </c>
      <c r="G140" s="160">
        <f t="shared" si="38"/>
        <v>64</v>
      </c>
      <c r="H140" s="160">
        <f t="shared" si="38"/>
        <v>64</v>
      </c>
      <c r="I140" s="160">
        <f t="shared" si="38"/>
        <v>64</v>
      </c>
      <c r="J140" s="228">
        <f t="shared" si="39"/>
        <v>64</v>
      </c>
      <c r="L140" s="325"/>
    </row>
    <row r="141" spans="2:12" x14ac:dyDescent="0.2">
      <c r="D141" s="160">
        <f t="shared" si="38"/>
        <v>45.5</v>
      </c>
      <c r="E141" s="160">
        <f t="shared" si="38"/>
        <v>45.5</v>
      </c>
      <c r="F141" s="160">
        <f t="shared" si="38"/>
        <v>45.5</v>
      </c>
      <c r="G141" s="160">
        <f t="shared" si="38"/>
        <v>45.5</v>
      </c>
      <c r="H141" s="160">
        <f t="shared" si="38"/>
        <v>45.5</v>
      </c>
      <c r="I141" s="160">
        <f t="shared" si="38"/>
        <v>45.5</v>
      </c>
      <c r="J141" s="228">
        <f t="shared" si="39"/>
        <v>45.5</v>
      </c>
      <c r="L141" s="325"/>
    </row>
    <row r="142" spans="2:12" x14ac:dyDescent="0.2">
      <c r="D142" s="160">
        <f t="shared" si="38"/>
        <v>19</v>
      </c>
      <c r="E142" s="160">
        <f t="shared" si="38"/>
        <v>19</v>
      </c>
      <c r="F142" s="160">
        <f t="shared" si="38"/>
        <v>19</v>
      </c>
      <c r="G142" s="160">
        <f t="shared" si="38"/>
        <v>19</v>
      </c>
      <c r="H142" s="160">
        <f t="shared" si="38"/>
        <v>19</v>
      </c>
      <c r="I142" s="160">
        <f t="shared" si="38"/>
        <v>19</v>
      </c>
      <c r="J142" s="229">
        <f t="shared" si="39"/>
        <v>19</v>
      </c>
      <c r="L142" s="325"/>
    </row>
    <row r="143" spans="2:12" x14ac:dyDescent="0.2">
      <c r="D143" s="225"/>
      <c r="E143" s="225"/>
      <c r="F143" s="225"/>
      <c r="G143" s="225"/>
      <c r="H143" s="225"/>
      <c r="I143" s="225"/>
    </row>
    <row r="144" spans="2:12" x14ac:dyDescent="0.2">
      <c r="B144" s="209" t="s">
        <v>178</v>
      </c>
    </row>
    <row r="145" spans="2:12" x14ac:dyDescent="0.2">
      <c r="D145" s="36" t="str">
        <f t="shared" ref="D145:I145" si="40">D93</f>
        <v>y1</v>
      </c>
      <c r="E145" s="36" t="str">
        <f t="shared" si="40"/>
        <v>y2</v>
      </c>
      <c r="F145" s="36" t="str">
        <f t="shared" si="40"/>
        <v>y3</v>
      </c>
      <c r="G145" s="36" t="str">
        <f t="shared" si="40"/>
        <v>y4</v>
      </c>
      <c r="H145" s="36" t="str">
        <f t="shared" si="40"/>
        <v>y5</v>
      </c>
      <c r="I145" s="36" t="str">
        <f t="shared" si="40"/>
        <v>y6</v>
      </c>
      <c r="J145" s="36" t="str">
        <f>J130</f>
        <v>mean</v>
      </c>
    </row>
    <row r="146" spans="2:12" x14ac:dyDescent="0.2">
      <c r="C146" s="139"/>
      <c r="D146" s="230">
        <f t="shared" ref="D146:J146" si="41">1-D94</f>
        <v>2.5497187420808531E-2</v>
      </c>
      <c r="E146" s="231">
        <f t="shared" si="41"/>
        <v>3.363248596481494E-2</v>
      </c>
      <c r="F146" s="231">
        <f t="shared" si="41"/>
        <v>2.6869111353756137E-2</v>
      </c>
      <c r="G146" s="231">
        <f t="shared" si="41"/>
        <v>4.0077860353409211E-2</v>
      </c>
      <c r="H146" s="231">
        <f t="shared" si="41"/>
        <v>2.413149192713393E-2</v>
      </c>
      <c r="I146" s="231">
        <f t="shared" si="41"/>
        <v>1.9342442427974005E-2</v>
      </c>
      <c r="J146" s="232">
        <f t="shared" si="41"/>
        <v>2.8258429907982774E-2</v>
      </c>
    </row>
    <row r="147" spans="2:12" x14ac:dyDescent="0.2">
      <c r="C147" s="139"/>
      <c r="D147" s="233">
        <f t="shared" ref="D147:J156" si="42">D94-D95</f>
        <v>7.4705994481761184E-2</v>
      </c>
      <c r="E147" s="234">
        <f t="shared" si="42"/>
        <v>8.0823198835064947E-2</v>
      </c>
      <c r="F147" s="234">
        <f t="shared" si="42"/>
        <v>7.7671697524598349E-2</v>
      </c>
      <c r="G147" s="234">
        <f t="shared" si="42"/>
        <v>9.2263219900359572E-2</v>
      </c>
      <c r="H147" s="234">
        <f t="shared" si="42"/>
        <v>8.1617824812330819E-2</v>
      </c>
      <c r="I147" s="234">
        <f t="shared" si="42"/>
        <v>5.8677267645139364E-2</v>
      </c>
      <c r="J147" s="235">
        <f t="shared" si="42"/>
        <v>7.7626533866542391E-2</v>
      </c>
      <c r="L147" s="286" t="s">
        <v>92</v>
      </c>
    </row>
    <row r="148" spans="2:12" x14ac:dyDescent="0.2">
      <c r="C148" s="139"/>
      <c r="D148" s="233">
        <f t="shared" si="42"/>
        <v>8.1380561115251937E-2</v>
      </c>
      <c r="E148" s="234">
        <f t="shared" si="42"/>
        <v>6.7097252950129582E-2</v>
      </c>
      <c r="F148" s="234">
        <f t="shared" si="42"/>
        <v>8.3633583427083602E-2</v>
      </c>
      <c r="G148" s="234">
        <f t="shared" si="42"/>
        <v>8.8462564323377069E-2</v>
      </c>
      <c r="H148" s="234">
        <f t="shared" si="42"/>
        <v>7.5803620875639299E-2</v>
      </c>
      <c r="I148" s="234">
        <f t="shared" si="42"/>
        <v>6.4519343992180733E-2</v>
      </c>
      <c r="J148" s="235">
        <f t="shared" si="42"/>
        <v>7.6816154447277074E-2</v>
      </c>
    </row>
    <row r="149" spans="2:12" x14ac:dyDescent="0.2">
      <c r="C149" s="139"/>
      <c r="D149" s="233">
        <f t="shared" si="42"/>
        <v>0.1235619708306529</v>
      </c>
      <c r="E149" s="234">
        <f t="shared" si="42"/>
        <v>0.12938865484041739</v>
      </c>
      <c r="F149" s="234">
        <f t="shared" si="42"/>
        <v>0.12861384266570419</v>
      </c>
      <c r="G149" s="234">
        <f t="shared" si="42"/>
        <v>0.12535051856930035</v>
      </c>
      <c r="H149" s="234">
        <f t="shared" si="42"/>
        <v>0.12938865497532281</v>
      </c>
      <c r="I149" s="234">
        <f t="shared" si="42"/>
        <v>0.1119526369407734</v>
      </c>
      <c r="J149" s="235">
        <f t="shared" si="42"/>
        <v>0.12470937980369512</v>
      </c>
    </row>
    <row r="150" spans="2:12" x14ac:dyDescent="0.2">
      <c r="C150" s="139"/>
      <c r="D150" s="233">
        <f t="shared" si="42"/>
        <v>0.11511698255848635</v>
      </c>
      <c r="E150" s="234">
        <f t="shared" si="42"/>
        <v>0.1265553808764821</v>
      </c>
      <c r="F150" s="234">
        <f t="shared" si="42"/>
        <v>0.11537122139030942</v>
      </c>
      <c r="G150" s="234">
        <f t="shared" si="42"/>
        <v>0.11736102887113309</v>
      </c>
      <c r="H150" s="234">
        <f t="shared" si="42"/>
        <v>0.1265553808764821</v>
      </c>
      <c r="I150" s="234">
        <f t="shared" si="42"/>
        <v>0.1113716282245687</v>
      </c>
      <c r="J150" s="235">
        <f t="shared" si="42"/>
        <v>0.11872193713291035</v>
      </c>
    </row>
    <row r="151" spans="2:12" x14ac:dyDescent="0.2">
      <c r="C151" s="139"/>
      <c r="D151" s="233">
        <f t="shared" si="42"/>
        <v>4.7434747367099295E-2</v>
      </c>
      <c r="E151" s="234">
        <f t="shared" si="42"/>
        <v>5.1304381409192024E-2</v>
      </c>
      <c r="F151" s="234">
        <f t="shared" si="42"/>
        <v>4.7403347900654702E-2</v>
      </c>
      <c r="G151" s="234">
        <f t="shared" si="42"/>
        <v>4.7758934511795303E-2</v>
      </c>
      <c r="H151" s="234">
        <f t="shared" si="42"/>
        <v>5.1304381409192024E-2</v>
      </c>
      <c r="I151" s="234">
        <f t="shared" si="42"/>
        <v>4.6558520107743195E-2</v>
      </c>
      <c r="J151" s="235">
        <f t="shared" si="42"/>
        <v>4.8627385450946137E-2</v>
      </c>
    </row>
    <row r="152" spans="2:12" x14ac:dyDescent="0.2">
      <c r="C152" s="139"/>
      <c r="D152" s="233">
        <f t="shared" si="42"/>
        <v>4.829641203195445E-2</v>
      </c>
      <c r="E152" s="234">
        <f t="shared" si="42"/>
        <v>5.1672978796324931E-2</v>
      </c>
      <c r="F152" s="234">
        <f t="shared" si="42"/>
        <v>4.8172415186290618E-2</v>
      </c>
      <c r="G152" s="234">
        <f t="shared" si="42"/>
        <v>4.8224123175386047E-2</v>
      </c>
      <c r="H152" s="234">
        <f t="shared" si="42"/>
        <v>5.1672978796324931E-2</v>
      </c>
      <c r="I152" s="234">
        <f t="shared" si="42"/>
        <v>4.786217188750741E-2</v>
      </c>
      <c r="J152" s="235">
        <f t="shared" si="42"/>
        <v>4.9316846645631351E-2</v>
      </c>
    </row>
    <row r="153" spans="2:12" x14ac:dyDescent="0.2">
      <c r="C153" s="139"/>
      <c r="D153" s="233">
        <f t="shared" si="42"/>
        <v>8.0185627360768841E-2</v>
      </c>
      <c r="E153" s="234">
        <f t="shared" si="42"/>
        <v>8.4398427040798085E-2</v>
      </c>
      <c r="F153" s="234">
        <f t="shared" si="42"/>
        <v>7.9749453011195626E-2</v>
      </c>
      <c r="G153" s="234">
        <f t="shared" si="42"/>
        <v>7.9067168008539801E-2</v>
      </c>
      <c r="H153" s="234">
        <f t="shared" si="42"/>
        <v>8.4398427040798085E-2</v>
      </c>
      <c r="I153" s="234">
        <f t="shared" si="42"/>
        <v>8.0628274324297589E-2</v>
      </c>
      <c r="J153" s="235">
        <f t="shared" si="42"/>
        <v>8.1404562797732949E-2</v>
      </c>
    </row>
    <row r="154" spans="2:12" x14ac:dyDescent="0.2">
      <c r="C154" s="139"/>
      <c r="D154" s="233">
        <f t="shared" si="42"/>
        <v>6.6682281830023449E-2</v>
      </c>
      <c r="E154" s="234">
        <f t="shared" si="42"/>
        <v>6.86744977729698E-2</v>
      </c>
      <c r="F154" s="234">
        <f t="shared" si="42"/>
        <v>6.6065997529187293E-2</v>
      </c>
      <c r="G154" s="234">
        <f t="shared" si="42"/>
        <v>6.4664638859453671E-2</v>
      </c>
      <c r="H154" s="234">
        <f t="shared" si="42"/>
        <v>6.86744977729698E-2</v>
      </c>
      <c r="I154" s="234">
        <f t="shared" si="42"/>
        <v>6.8356524704230315E-2</v>
      </c>
      <c r="J154" s="235">
        <f t="shared" si="42"/>
        <v>6.7186406411472444E-2</v>
      </c>
    </row>
    <row r="155" spans="2:12" x14ac:dyDescent="0.2">
      <c r="C155" s="139"/>
      <c r="D155" s="233">
        <f t="shared" si="42"/>
        <v>5.5853920875431062E-2</v>
      </c>
      <c r="E155" s="234">
        <f t="shared" si="42"/>
        <v>5.6284406381053365E-2</v>
      </c>
      <c r="F155" s="234">
        <f t="shared" si="42"/>
        <v>5.5126184666699718E-2</v>
      </c>
      <c r="G155" s="234">
        <f t="shared" si="42"/>
        <v>5.3268253670093246E-2</v>
      </c>
      <c r="H155" s="234">
        <f t="shared" si="42"/>
        <v>5.6284406381053365E-2</v>
      </c>
      <c r="I155" s="234">
        <f t="shared" si="42"/>
        <v>5.8371406830883321E-2</v>
      </c>
      <c r="J155" s="235">
        <f t="shared" si="42"/>
        <v>5.58647631342023E-2</v>
      </c>
    </row>
    <row r="156" spans="2:12" x14ac:dyDescent="0.2">
      <c r="C156" s="139"/>
      <c r="D156" s="233">
        <f t="shared" si="42"/>
        <v>4.4819761250924239E-2</v>
      </c>
      <c r="E156" s="234">
        <f t="shared" si="42"/>
        <v>4.420999917317911E-2</v>
      </c>
      <c r="F156" s="234">
        <f t="shared" si="42"/>
        <v>4.4069697005255398E-2</v>
      </c>
      <c r="G156" s="234">
        <f t="shared" si="42"/>
        <v>4.2050478798194818E-2</v>
      </c>
      <c r="H156" s="234">
        <f t="shared" si="42"/>
        <v>4.420999917317911E-2</v>
      </c>
      <c r="I156" s="234">
        <f t="shared" si="42"/>
        <v>4.7735729763440704E-2</v>
      </c>
      <c r="J156" s="235">
        <f t="shared" si="42"/>
        <v>4.4515944194028934E-2</v>
      </c>
    </row>
    <row r="157" spans="2:12" x14ac:dyDescent="0.2">
      <c r="C157" s="139"/>
      <c r="D157" s="236">
        <f t="shared" ref="D157:I157" si="43">D104</f>
        <v>0.23646455287683776</v>
      </c>
      <c r="E157" s="237">
        <f t="shared" si="43"/>
        <v>0.20595833595957372</v>
      </c>
      <c r="F157" s="237">
        <f t="shared" si="43"/>
        <v>0.22725344833926495</v>
      </c>
      <c r="G157" s="237">
        <f t="shared" si="43"/>
        <v>0.20145121095895782</v>
      </c>
      <c r="H157" s="237">
        <f t="shared" si="43"/>
        <v>0.20595833595957372</v>
      </c>
      <c r="I157" s="237">
        <f t="shared" si="43"/>
        <v>0.28462405315126127</v>
      </c>
      <c r="J157" s="238">
        <f>J104-J105</f>
        <v>0.22695165620757818</v>
      </c>
    </row>
    <row r="159" spans="2:12" x14ac:dyDescent="0.2">
      <c r="B159" s="36" t="s">
        <v>195</v>
      </c>
      <c r="E159" s="209"/>
      <c r="J159" s="136" t="s">
        <v>110</v>
      </c>
    </row>
    <row r="160" spans="2:12" x14ac:dyDescent="0.2">
      <c r="C160" s="129"/>
      <c r="D160" s="239">
        <f t="shared" ref="D160:J171" si="44">(D146-D33)^2</f>
        <v>4.9426608787180116E-5</v>
      </c>
      <c r="E160" s="240">
        <f t="shared" si="44"/>
        <v>7.0554990988475898E-6</v>
      </c>
      <c r="F160" s="240">
        <f t="shared" si="44"/>
        <v>4.920153419612995E-5</v>
      </c>
      <c r="G160" s="240">
        <f t="shared" si="44"/>
        <v>6.4814820084666306E-5</v>
      </c>
      <c r="H160" s="240">
        <f t="shared" si="44"/>
        <v>1.4779782757524447E-4</v>
      </c>
      <c r="I160" s="240">
        <f t="shared" si="44"/>
        <v>3.6054799265256367E-6</v>
      </c>
      <c r="J160" s="241">
        <f t="shared" si="44"/>
        <v>4.1834579436193809E-5</v>
      </c>
    </row>
    <row r="161" spans="2:24" x14ac:dyDescent="0.2">
      <c r="C161" s="129"/>
      <c r="D161" s="242">
        <f t="shared" si="44"/>
        <v>2.9047283478813461E-7</v>
      </c>
      <c r="E161" s="243">
        <f t="shared" si="44"/>
        <v>4.9353182919848079E-8</v>
      </c>
      <c r="F161" s="243">
        <f t="shared" si="44"/>
        <v>3.1344527164960708E-7</v>
      </c>
      <c r="G161" s="243">
        <f t="shared" si="44"/>
        <v>5.987692889301116E-7</v>
      </c>
      <c r="H161" s="243">
        <f t="shared" si="44"/>
        <v>1.0338451068151226E-6</v>
      </c>
      <c r="I161" s="243">
        <f t="shared" si="44"/>
        <v>1.2908271383577286E-8</v>
      </c>
      <c r="J161" s="244">
        <f t="shared" si="44"/>
        <v>2.889369005082235E-7</v>
      </c>
    </row>
    <row r="162" spans="2:24" x14ac:dyDescent="0.2">
      <c r="C162" s="129"/>
      <c r="D162" s="242">
        <f t="shared" si="44"/>
        <v>4.2138931390018146E-5</v>
      </c>
      <c r="E162" s="243">
        <f t="shared" si="44"/>
        <v>5.9246636187707417E-6</v>
      </c>
      <c r="F162" s="243">
        <f t="shared" si="44"/>
        <v>4.1660810158532231E-5</v>
      </c>
      <c r="G162" s="243">
        <f t="shared" si="44"/>
        <v>5.2954193109935718E-5</v>
      </c>
      <c r="H162" s="243">
        <f t="shared" si="44"/>
        <v>1.2410920546622741E-4</v>
      </c>
      <c r="I162" s="243">
        <f t="shared" si="44"/>
        <v>3.1869226498940198E-6</v>
      </c>
      <c r="J162" s="244">
        <f t="shared" si="44"/>
        <v>3.5170083246931033E-5</v>
      </c>
    </row>
    <row r="163" spans="2:24" x14ac:dyDescent="0.2">
      <c r="C163" s="129"/>
      <c r="D163" s="242">
        <f t="shared" si="44"/>
        <v>6.5585313060769326E-7</v>
      </c>
      <c r="E163" s="243">
        <f t="shared" si="44"/>
        <v>8.9715163036892639E-5</v>
      </c>
      <c r="F163" s="243">
        <f t="shared" si="44"/>
        <v>2.0329554574606769E-5</v>
      </c>
      <c r="G163" s="243">
        <f t="shared" si="44"/>
        <v>3.986180810267871E-5</v>
      </c>
      <c r="H163" s="243">
        <f t="shared" si="44"/>
        <v>8.9715165592489364E-5</v>
      </c>
      <c r="I163" s="243">
        <f t="shared" si="44"/>
        <v>1.2599091298917496E-4</v>
      </c>
      <c r="J163" s="244">
        <f t="shared" si="44"/>
        <v>4.8535569346326929E-5</v>
      </c>
    </row>
    <row r="164" spans="2:24" x14ac:dyDescent="0.2">
      <c r="C164" s="129"/>
      <c r="D164" s="242">
        <f t="shared" si="44"/>
        <v>1.7039865147872976E-5</v>
      </c>
      <c r="E164" s="243">
        <f t="shared" si="44"/>
        <v>5.1609811850459445E-5</v>
      </c>
      <c r="F164" s="243">
        <f t="shared" si="44"/>
        <v>7.5338915433793364E-7</v>
      </c>
      <c r="G164" s="243">
        <f t="shared" si="44"/>
        <v>1.7140518095879143E-4</v>
      </c>
      <c r="H164" s="243">
        <f t="shared" si="44"/>
        <v>5.1609811850459445E-5</v>
      </c>
      <c r="I164" s="243">
        <f t="shared" si="44"/>
        <v>6.6569514583979735E-5</v>
      </c>
      <c r="J164" s="244">
        <f t="shared" si="44"/>
        <v>4.5821855175236764E-5</v>
      </c>
    </row>
    <row r="165" spans="2:24" x14ac:dyDescent="0.2">
      <c r="C165" s="129"/>
      <c r="D165" s="242">
        <f t="shared" si="44"/>
        <v>4.6249114485020631E-6</v>
      </c>
      <c r="E165" s="243">
        <f t="shared" si="44"/>
        <v>1.2700410921361258E-5</v>
      </c>
      <c r="F165" s="243">
        <f t="shared" si="44"/>
        <v>7.7576585723476299E-7</v>
      </c>
      <c r="G165" s="243">
        <f t="shared" si="44"/>
        <v>1.6235473573472561E-4</v>
      </c>
      <c r="H165" s="243">
        <f t="shared" si="44"/>
        <v>1.2700410921361258E-5</v>
      </c>
      <c r="I165" s="243">
        <f t="shared" si="44"/>
        <v>1.0601616324853001E-4</v>
      </c>
      <c r="J165" s="244">
        <f t="shared" si="44"/>
        <v>3.0612481621317085E-5</v>
      </c>
    </row>
    <row r="166" spans="2:24" x14ac:dyDescent="0.2">
      <c r="C166" s="129"/>
      <c r="D166" s="242">
        <f t="shared" si="44"/>
        <v>6.837050085881676E-8</v>
      </c>
      <c r="E166" s="243">
        <f t="shared" si="44"/>
        <v>4.9205050548687048E-6</v>
      </c>
      <c r="F166" s="243">
        <f t="shared" si="44"/>
        <v>1.0224568184360566E-6</v>
      </c>
      <c r="G166" s="243">
        <f t="shared" si="44"/>
        <v>4.0545882786054712E-5</v>
      </c>
      <c r="H166" s="243">
        <f t="shared" si="44"/>
        <v>4.9205050548687048E-6</v>
      </c>
      <c r="I166" s="243">
        <f t="shared" si="44"/>
        <v>8.9800157602554024E-6</v>
      </c>
      <c r="J166" s="244">
        <f t="shared" si="44"/>
        <v>3.7111376563985577E-7</v>
      </c>
    </row>
    <row r="167" spans="2:24" x14ac:dyDescent="0.2">
      <c r="C167" s="129"/>
      <c r="D167" s="242">
        <f t="shared" si="44"/>
        <v>1.8953061499293445E-6</v>
      </c>
      <c r="E167" s="243">
        <f t="shared" si="44"/>
        <v>8.4872650965494267E-6</v>
      </c>
      <c r="F167" s="243">
        <f t="shared" si="44"/>
        <v>8.6577305724741196E-6</v>
      </c>
      <c r="G167" s="243">
        <f t="shared" si="44"/>
        <v>1.5165837783094227E-5</v>
      </c>
      <c r="H167" s="243">
        <f t="shared" si="44"/>
        <v>8.4872650965494267E-6</v>
      </c>
      <c r="I167" s="243">
        <f t="shared" si="44"/>
        <v>1.1924288899938453E-5</v>
      </c>
      <c r="J167" s="244">
        <f t="shared" si="44"/>
        <v>1.3421629990408689E-6</v>
      </c>
    </row>
    <row r="168" spans="2:24" x14ac:dyDescent="0.2">
      <c r="C168" s="129"/>
      <c r="D168" s="242">
        <f t="shared" si="44"/>
        <v>9.9650138035916867E-5</v>
      </c>
      <c r="E168" s="243">
        <f t="shared" si="44"/>
        <v>6.7025930590493544E-6</v>
      </c>
      <c r="F168" s="243">
        <f t="shared" si="44"/>
        <v>7.4864495241209162E-6</v>
      </c>
      <c r="G168" s="243">
        <f t="shared" si="44"/>
        <v>1.1752948513983962E-4</v>
      </c>
      <c r="H168" s="243">
        <f t="shared" si="44"/>
        <v>6.7025930590493544E-6</v>
      </c>
      <c r="I168" s="243">
        <f t="shared" si="44"/>
        <v>2.5205787577671552E-6</v>
      </c>
      <c r="J168" s="244">
        <f t="shared" si="44"/>
        <v>2.0475581555962275E-5</v>
      </c>
    </row>
    <row r="169" spans="2:24" x14ac:dyDescent="0.2">
      <c r="C169" s="129"/>
      <c r="D169" s="242">
        <f t="shared" si="44"/>
        <v>1.3395252312341823E-4</v>
      </c>
      <c r="E169" s="243">
        <f t="shared" si="44"/>
        <v>4.1323526829845035E-6</v>
      </c>
      <c r="F169" s="243">
        <f t="shared" si="44"/>
        <v>2.2683518244977197E-4</v>
      </c>
      <c r="G169" s="243">
        <f t="shared" si="44"/>
        <v>3.1461172205117549E-6</v>
      </c>
      <c r="H169" s="243">
        <f t="shared" si="44"/>
        <v>4.1323526829845035E-6</v>
      </c>
      <c r="I169" s="243">
        <f t="shared" si="44"/>
        <v>6.646450197433922E-4</v>
      </c>
      <c r="J169" s="244">
        <f t="shared" si="44"/>
        <v>9.4267633612690741E-5</v>
      </c>
    </row>
    <row r="170" spans="2:24" x14ac:dyDescent="0.2">
      <c r="C170" s="129"/>
      <c r="D170" s="242">
        <f t="shared" si="44"/>
        <v>3.1217026252809635E-5</v>
      </c>
      <c r="E170" s="243">
        <f t="shared" si="44"/>
        <v>1.1305812667678299E-5</v>
      </c>
      <c r="F170" s="243">
        <f t="shared" si="44"/>
        <v>1.1533229749579859E-5</v>
      </c>
      <c r="G170" s="243">
        <f t="shared" si="44"/>
        <v>7.4252533647342057E-7</v>
      </c>
      <c r="H170" s="243">
        <f t="shared" si="44"/>
        <v>1.1305812667678299E-5</v>
      </c>
      <c r="I170" s="243">
        <f t="shared" si="44"/>
        <v>5.2184711406053211E-6</v>
      </c>
      <c r="J170" s="244">
        <f t="shared" si="44"/>
        <v>9.8744690136226228E-6</v>
      </c>
    </row>
    <row r="171" spans="2:24" x14ac:dyDescent="0.2">
      <c r="C171" s="129"/>
      <c r="D171" s="242">
        <f t="shared" si="44"/>
        <v>1.9950294674986368E-5</v>
      </c>
      <c r="E171" s="243">
        <f t="shared" si="44"/>
        <v>8.235626134970076E-5</v>
      </c>
      <c r="F171" s="243">
        <f t="shared" si="44"/>
        <v>4.0176070102704189E-5</v>
      </c>
      <c r="G171" s="243">
        <f t="shared" si="44"/>
        <v>1.8007306259402566E-4</v>
      </c>
      <c r="H171" s="243">
        <f t="shared" si="44"/>
        <v>8.235626134970076E-5</v>
      </c>
      <c r="I171" s="243">
        <f t="shared" si="44"/>
        <v>3.3021438031498985E-4</v>
      </c>
      <c r="J171" s="244">
        <f t="shared" si="44"/>
        <v>3.6899301086028668E-6</v>
      </c>
    </row>
    <row r="172" spans="2:24" x14ac:dyDescent="0.2">
      <c r="B172" s="136" t="s">
        <v>182</v>
      </c>
      <c r="D172" s="245">
        <f t="shared" ref="D172:J172" si="45">SUM(D160:D171)</f>
        <v>4.0091030147688841E-4</v>
      </c>
      <c r="E172" s="246">
        <f t="shared" si="45"/>
        <v>2.8495969162008254E-4</v>
      </c>
      <c r="F172" s="246">
        <f t="shared" si="45"/>
        <v>4.0874561842957834E-4</v>
      </c>
      <c r="G172" s="246">
        <f t="shared" si="45"/>
        <v>8.4919241813972719E-4</v>
      </c>
      <c r="H172" s="246">
        <f t="shared" si="45"/>
        <v>5.4487105642342804E-4</v>
      </c>
      <c r="I172" s="246">
        <f t="shared" si="45"/>
        <v>1.3288846562864362E-3</v>
      </c>
      <c r="J172" s="247">
        <f t="shared" si="45"/>
        <v>3.3228439678207309E-4</v>
      </c>
    </row>
    <row r="173" spans="2:24" x14ac:dyDescent="0.2">
      <c r="D173" s="225"/>
      <c r="E173" s="225"/>
      <c r="F173" s="225"/>
      <c r="G173" s="225"/>
      <c r="H173" s="225"/>
      <c r="I173" s="225"/>
      <c r="J173" s="248"/>
    </row>
    <row r="174" spans="2:24" x14ac:dyDescent="0.2">
      <c r="B174" s="36" t="s">
        <v>214</v>
      </c>
      <c r="D174" s="180">
        <f t="shared" ref="D174:J174" si="46">D172/COUNT(D160:D170)</f>
        <v>3.644639104335349E-5</v>
      </c>
      <c r="E174" s="180">
        <f t="shared" si="46"/>
        <v>2.5905426510916595E-5</v>
      </c>
      <c r="F174" s="180">
        <f t="shared" si="46"/>
        <v>3.7158692584507125E-5</v>
      </c>
      <c r="G174" s="180">
        <f t="shared" si="46"/>
        <v>7.7199310739975205E-5</v>
      </c>
      <c r="H174" s="180">
        <f t="shared" si="46"/>
        <v>4.9533732402129824E-5</v>
      </c>
      <c r="I174" s="180">
        <f t="shared" si="46"/>
        <v>1.2080769602603966E-4</v>
      </c>
      <c r="J174" s="287">
        <f t="shared" si="46"/>
        <v>3.0207672434733916E-5</v>
      </c>
    </row>
    <row r="175" spans="2:24" x14ac:dyDescent="0.2">
      <c r="B175" s="136" t="s">
        <v>46</v>
      </c>
      <c r="D175" s="225">
        <f t="shared" ref="D175:J175" si="47">SQRT(D174)</f>
        <v>6.037084647688277E-3</v>
      </c>
      <c r="E175" s="225">
        <f t="shared" si="47"/>
        <v>5.0897373715071579E-3</v>
      </c>
      <c r="F175" s="225">
        <f t="shared" si="47"/>
        <v>6.0957930234307603E-3</v>
      </c>
      <c r="G175" s="225">
        <f t="shared" si="47"/>
        <v>8.7863138311794452E-3</v>
      </c>
      <c r="H175" s="225">
        <f t="shared" si="47"/>
        <v>7.038020488896706E-3</v>
      </c>
      <c r="I175" s="225">
        <f t="shared" si="47"/>
        <v>1.0991255434482435E-2</v>
      </c>
      <c r="J175" s="288">
        <f t="shared" si="47"/>
        <v>5.4961506925059753E-3</v>
      </c>
      <c r="X175" s="36" t="s">
        <v>197</v>
      </c>
    </row>
    <row r="176" spans="2:24" x14ac:dyDescent="0.2">
      <c r="D176" s="214"/>
      <c r="J176" s="136"/>
      <c r="X176" s="36" t="s">
        <v>198</v>
      </c>
    </row>
    <row r="177" spans="1:10" x14ac:dyDescent="0.2">
      <c r="A177" s="138" t="s">
        <v>181</v>
      </c>
      <c r="C177" s="139">
        <f t="shared" ref="C177:C188" si="48">C16</f>
        <v>1180</v>
      </c>
      <c r="D177" s="249">
        <f t="shared" ref="D177:J188" si="49">(D146*D131-D$107)^2</f>
        <v>53556.916116626147</v>
      </c>
      <c r="E177" s="201">
        <f t="shared" si="49"/>
        <v>53149.608347259404</v>
      </c>
      <c r="F177" s="201">
        <f t="shared" si="49"/>
        <v>55690.30790374738</v>
      </c>
      <c r="G177" s="201">
        <f t="shared" si="49"/>
        <v>62709.776484042792</v>
      </c>
      <c r="H177" s="201">
        <f t="shared" si="49"/>
        <v>58937.945585675232</v>
      </c>
      <c r="I177" s="250">
        <f t="shared" si="49"/>
        <v>39602.018226695203</v>
      </c>
      <c r="J177" s="289">
        <f t="shared" si="49"/>
        <v>53694.030027399895</v>
      </c>
    </row>
    <row r="178" spans="1:10" x14ac:dyDescent="0.2">
      <c r="A178" s="36" t="s">
        <v>180</v>
      </c>
      <c r="C178" s="139">
        <f t="shared" si="48"/>
        <v>600</v>
      </c>
      <c r="D178" s="251">
        <f t="shared" si="49"/>
        <v>39483.840412329489</v>
      </c>
      <c r="E178" s="193">
        <f t="shared" si="49"/>
        <v>41744.440686726615</v>
      </c>
      <c r="F178" s="193">
        <f t="shared" si="49"/>
        <v>41004.423922153452</v>
      </c>
      <c r="G178" s="193">
        <f t="shared" si="49"/>
        <v>49748.13466726918</v>
      </c>
      <c r="H178" s="193">
        <f t="shared" si="49"/>
        <v>40631.018255377057</v>
      </c>
      <c r="I178" s="252">
        <f t="shared" si="49"/>
        <v>29697.127650880586</v>
      </c>
      <c r="J178" s="290">
        <f t="shared" si="49"/>
        <v>40122.577438617431</v>
      </c>
    </row>
    <row r="179" spans="1:10" x14ac:dyDescent="0.2">
      <c r="C179" s="139">
        <f t="shared" si="48"/>
        <v>425</v>
      </c>
      <c r="D179" s="251">
        <f t="shared" si="49"/>
        <v>49946.085455485758</v>
      </c>
      <c r="E179" s="193">
        <f t="shared" si="49"/>
        <v>58496.195703820471</v>
      </c>
      <c r="F179" s="193">
        <f t="shared" si="49"/>
        <v>52331.63648379955</v>
      </c>
      <c r="G179" s="193">
        <f t="shared" si="49"/>
        <v>67506.484473533186</v>
      </c>
      <c r="H179" s="193">
        <f t="shared" si="49"/>
        <v>55395.215024545731</v>
      </c>
      <c r="I179" s="252">
        <f t="shared" si="49"/>
        <v>36666.562698400572</v>
      </c>
      <c r="J179" s="290">
        <f t="shared" si="49"/>
        <v>52911.751432307115</v>
      </c>
    </row>
    <row r="180" spans="1:10" x14ac:dyDescent="0.2">
      <c r="C180" s="139">
        <f t="shared" si="48"/>
        <v>300</v>
      </c>
      <c r="D180" s="251">
        <f t="shared" si="49"/>
        <v>48577.276020598401</v>
      </c>
      <c r="E180" s="193">
        <f t="shared" si="49"/>
        <v>52598.588994107187</v>
      </c>
      <c r="F180" s="193">
        <f t="shared" si="49"/>
        <v>50625.352776399217</v>
      </c>
      <c r="G180" s="193">
        <f t="shared" si="49"/>
        <v>67453.232500409693</v>
      </c>
      <c r="H180" s="193">
        <f t="shared" si="49"/>
        <v>51668.858336649704</v>
      </c>
      <c r="I180" s="252">
        <f t="shared" si="49"/>
        <v>33844.402729137117</v>
      </c>
      <c r="J180" s="290">
        <f t="shared" si="49"/>
        <v>50259.664865883315</v>
      </c>
    </row>
    <row r="181" spans="1:10" x14ac:dyDescent="0.2">
      <c r="C181" s="139">
        <f t="shared" si="48"/>
        <v>212</v>
      </c>
      <c r="D181" s="251">
        <f t="shared" si="49"/>
        <v>55565.70926590306</v>
      </c>
      <c r="E181" s="193">
        <f t="shared" si="49"/>
        <v>59462.35067030794</v>
      </c>
      <c r="F181" s="193">
        <f t="shared" si="49"/>
        <v>58606.730101966081</v>
      </c>
      <c r="G181" s="193">
        <f t="shared" si="49"/>
        <v>75687.020280059485</v>
      </c>
      <c r="H181" s="193">
        <f t="shared" si="49"/>
        <v>58473.555593544261</v>
      </c>
      <c r="I181" s="252">
        <f t="shared" si="49"/>
        <v>38431.751015167378</v>
      </c>
      <c r="J181" s="290">
        <f t="shared" si="49"/>
        <v>57121.482026530575</v>
      </c>
    </row>
    <row r="182" spans="1:10" x14ac:dyDescent="0.2">
      <c r="C182" s="139">
        <f t="shared" si="48"/>
        <v>180</v>
      </c>
      <c r="D182" s="251">
        <f t="shared" si="49"/>
        <v>65483.037001063429</v>
      </c>
      <c r="E182" s="193">
        <f t="shared" si="49"/>
        <v>70857.94197678518</v>
      </c>
      <c r="F182" s="193">
        <f t="shared" si="49"/>
        <v>68818.207146585351</v>
      </c>
      <c r="G182" s="193">
        <f t="shared" si="49"/>
        <v>87495.518098774046</v>
      </c>
      <c r="H182" s="193">
        <f t="shared" si="49"/>
        <v>69778.169354452068</v>
      </c>
      <c r="I182" s="252">
        <f t="shared" si="49"/>
        <v>46408.29423194853</v>
      </c>
      <c r="J182" s="290">
        <f t="shared" si="49"/>
        <v>67528.704333455491</v>
      </c>
    </row>
    <row r="183" spans="1:10" x14ac:dyDescent="0.2">
      <c r="A183" s="253"/>
      <c r="C183" s="139">
        <f t="shared" si="48"/>
        <v>150</v>
      </c>
      <c r="D183" s="251">
        <f t="shared" si="49"/>
        <v>66164.61740423103</v>
      </c>
      <c r="E183" s="193">
        <f t="shared" si="49"/>
        <v>71674.624085598</v>
      </c>
      <c r="F183" s="193">
        <f t="shared" si="49"/>
        <v>69524.428319080573</v>
      </c>
      <c r="G183" s="193">
        <f t="shared" si="49"/>
        <v>88327.949430595181</v>
      </c>
      <c r="H183" s="193">
        <f t="shared" si="49"/>
        <v>70588.62294332622</v>
      </c>
      <c r="I183" s="252">
        <f t="shared" si="49"/>
        <v>46938.979767781129</v>
      </c>
      <c r="J183" s="290">
        <f t="shared" si="49"/>
        <v>68254.982112567624</v>
      </c>
    </row>
    <row r="184" spans="1:10" x14ac:dyDescent="0.2">
      <c r="A184" s="253"/>
      <c r="C184" s="139">
        <f t="shared" si="48"/>
        <v>106</v>
      </c>
      <c r="D184" s="251">
        <f t="shared" si="49"/>
        <v>64989.297719415823</v>
      </c>
      <c r="E184" s="193">
        <f t="shared" si="49"/>
        <v>70460.629356406062</v>
      </c>
      <c r="F184" s="193">
        <f t="shared" si="49"/>
        <v>68337.996679769829</v>
      </c>
      <c r="G184" s="193">
        <f t="shared" si="49"/>
        <v>87046.575820768674</v>
      </c>
      <c r="H184" s="193">
        <f t="shared" si="49"/>
        <v>69383.899862335747</v>
      </c>
      <c r="I184" s="252">
        <f t="shared" si="49"/>
        <v>45894.876267646512</v>
      </c>
      <c r="J184" s="290">
        <f t="shared" si="49"/>
        <v>67067.553543863396</v>
      </c>
    </row>
    <row r="185" spans="1:10" x14ac:dyDescent="0.2">
      <c r="A185" s="253"/>
      <c r="C185" s="139">
        <f t="shared" si="48"/>
        <v>75</v>
      </c>
      <c r="D185" s="251">
        <f t="shared" si="49"/>
        <v>67163.387132303906</v>
      </c>
      <c r="E185" s="193">
        <f t="shared" si="49"/>
        <v>72917.371752152321</v>
      </c>
      <c r="F185" s="193">
        <f t="shared" si="49"/>
        <v>70566.909602176296</v>
      </c>
      <c r="G185" s="193">
        <f t="shared" si="49"/>
        <v>89583.491770523193</v>
      </c>
      <c r="H185" s="193">
        <f t="shared" si="49"/>
        <v>71821.960343275859</v>
      </c>
      <c r="I185" s="252">
        <f t="shared" si="49"/>
        <v>47683.294355333572</v>
      </c>
      <c r="J185" s="290">
        <f t="shared" si="49"/>
        <v>69333.975345666462</v>
      </c>
    </row>
    <row r="186" spans="1:10" x14ac:dyDescent="0.2">
      <c r="C186" s="139">
        <f t="shared" si="48"/>
        <v>53</v>
      </c>
      <c r="D186" s="251">
        <f t="shared" si="49"/>
        <v>68444.55101654242</v>
      </c>
      <c r="E186" s="193">
        <f t="shared" si="49"/>
        <v>74335.300406514536</v>
      </c>
      <c r="F186" s="193">
        <f t="shared" si="49"/>
        <v>71875.05025430565</v>
      </c>
      <c r="G186" s="193">
        <f t="shared" si="49"/>
        <v>91051.853205653155</v>
      </c>
      <c r="H186" s="193">
        <f t="shared" si="49"/>
        <v>73229.249652249564</v>
      </c>
      <c r="I186" s="252">
        <f t="shared" si="49"/>
        <v>48759.504397649864</v>
      </c>
      <c r="J186" s="290">
        <f t="shared" si="49"/>
        <v>70659.464036787438</v>
      </c>
    </row>
    <row r="187" spans="1:10" x14ac:dyDescent="0.2">
      <c r="C187" s="139">
        <f t="shared" si="48"/>
        <v>38</v>
      </c>
      <c r="D187" s="251">
        <f t="shared" si="49"/>
        <v>69250.263018937403</v>
      </c>
      <c r="E187" s="193">
        <f t="shared" si="49"/>
        <v>75205.1945178194</v>
      </c>
      <c r="F187" s="193">
        <f t="shared" si="49"/>
        <v>72693.936401497282</v>
      </c>
      <c r="G187" s="193">
        <f t="shared" si="49"/>
        <v>91956.843261981616</v>
      </c>
      <c r="H187" s="193">
        <f t="shared" si="49"/>
        <v>74092.666733558668</v>
      </c>
      <c r="I187" s="252">
        <f t="shared" si="49"/>
        <v>49452.570042503467</v>
      </c>
      <c r="J187" s="290">
        <f t="shared" si="49"/>
        <v>71485.833975744667</v>
      </c>
    </row>
    <row r="188" spans="1:10" x14ac:dyDescent="0.2">
      <c r="C188" s="139">
        <f t="shared" si="48"/>
        <v>0</v>
      </c>
      <c r="D188" s="254">
        <f t="shared" si="49"/>
        <v>67964.969539764686</v>
      </c>
      <c r="E188" s="255">
        <f t="shared" si="49"/>
        <v>74165.808460342771</v>
      </c>
      <c r="F188" s="255">
        <f t="shared" si="49"/>
        <v>71452.223056364921</v>
      </c>
      <c r="G188" s="255">
        <f t="shared" si="49"/>
        <v>90799.522664306278</v>
      </c>
      <c r="H188" s="255">
        <f t="shared" si="49"/>
        <v>73061.024107460689</v>
      </c>
      <c r="I188" s="256">
        <f t="shared" si="49"/>
        <v>48023.854684074264</v>
      </c>
      <c r="J188" s="291">
        <f t="shared" si="49"/>
        <v>70268.330397513724</v>
      </c>
    </row>
    <row r="189" spans="1:10" x14ac:dyDescent="0.2">
      <c r="B189" s="136" t="s">
        <v>267</v>
      </c>
      <c r="D189" s="193">
        <f>SUM(D177:D188)</f>
        <v>716589.95010320155</v>
      </c>
      <c r="E189" s="193">
        <f t="shared" ref="E189:J189" si="50">SUM(E177:E188)</f>
        <v>775068.05495784001</v>
      </c>
      <c r="F189" s="193">
        <f t="shared" si="50"/>
        <v>751527.20264784561</v>
      </c>
      <c r="G189" s="193">
        <f t="shared" si="50"/>
        <v>949366.40265791654</v>
      </c>
      <c r="H189" s="193">
        <f t="shared" si="50"/>
        <v>767062.18579245079</v>
      </c>
      <c r="I189" s="193">
        <f t="shared" si="50"/>
        <v>511403.23606721812</v>
      </c>
      <c r="J189" s="292">
        <f t="shared" si="50"/>
        <v>738708.34953633719</v>
      </c>
    </row>
    <row r="190" spans="1:10" x14ac:dyDescent="0.2">
      <c r="D190" s="193"/>
      <c r="E190" s="193"/>
      <c r="F190" s="193"/>
      <c r="G190" s="193"/>
      <c r="H190" s="193"/>
      <c r="I190" s="193"/>
    </row>
    <row r="191" spans="1:10" x14ac:dyDescent="0.2">
      <c r="D191" s="193"/>
      <c r="E191" s="193"/>
      <c r="F191" s="193"/>
      <c r="G191" s="193"/>
      <c r="H191" s="193"/>
      <c r="I191" s="193"/>
    </row>
    <row r="192" spans="1:10" x14ac:dyDescent="0.2">
      <c r="D192" s="193"/>
      <c r="E192" s="193"/>
      <c r="F192" s="193"/>
      <c r="G192" s="193"/>
      <c r="H192" s="193"/>
      <c r="I192" s="193"/>
    </row>
    <row r="193" spans="1:17" x14ac:dyDescent="0.2">
      <c r="A193" s="36" t="s">
        <v>160</v>
      </c>
      <c r="C193" s="36">
        <f>C177</f>
        <v>1180</v>
      </c>
      <c r="D193" s="249">
        <f t="shared" ref="D193:J204" si="51">(D33*D131-D$107)^2</f>
        <v>49333.81239458132</v>
      </c>
      <c r="E193" s="201">
        <f t="shared" si="51"/>
        <v>51498.264914871936</v>
      </c>
      <c r="F193" s="201">
        <f t="shared" si="51"/>
        <v>51386.118714094642</v>
      </c>
      <c r="G193" s="201">
        <f t="shared" si="51"/>
        <v>57323.632703217569</v>
      </c>
      <c r="H193" s="201">
        <f t="shared" si="51"/>
        <v>51498.264914871943</v>
      </c>
      <c r="I193" s="250">
        <f t="shared" si="51"/>
        <v>38610.083210578639</v>
      </c>
      <c r="J193" s="289">
        <f t="shared" si="51"/>
        <v>49772.110682993516</v>
      </c>
    </row>
    <row r="194" spans="1:17" x14ac:dyDescent="0.2">
      <c r="C194" s="36">
        <f t="shared" ref="C194:C204" si="52">C178</f>
        <v>600</v>
      </c>
      <c r="D194" s="251">
        <f t="shared" si="51"/>
        <v>39674.696637575973</v>
      </c>
      <c r="E194" s="193">
        <f t="shared" si="51"/>
        <v>41825.273369911847</v>
      </c>
      <c r="F194" s="193">
        <f t="shared" si="51"/>
        <v>41206.469906381993</v>
      </c>
      <c r="G194" s="193">
        <f t="shared" si="51"/>
        <v>50055.820942423423</v>
      </c>
      <c r="H194" s="193">
        <f t="shared" si="51"/>
        <v>40996.655446025354</v>
      </c>
      <c r="I194" s="252">
        <f t="shared" si="51"/>
        <v>29731.98855652679</v>
      </c>
      <c r="J194" s="290">
        <f t="shared" si="51"/>
        <v>40314.459436754216</v>
      </c>
    </row>
    <row r="195" spans="1:17" x14ac:dyDescent="0.2">
      <c r="C195" s="36">
        <f t="shared" si="52"/>
        <v>425</v>
      </c>
      <c r="D195" s="251">
        <f t="shared" si="51"/>
        <v>51444.171943261317</v>
      </c>
      <c r="E195" s="193">
        <f t="shared" si="51"/>
        <v>59101.171610697471</v>
      </c>
      <c r="F195" s="193">
        <f t="shared" si="51"/>
        <v>53856.035233156414</v>
      </c>
      <c r="G195" s="193">
        <f t="shared" si="51"/>
        <v>69458.362058300889</v>
      </c>
      <c r="H195" s="193">
        <f t="shared" si="51"/>
        <v>58115.396726313622</v>
      </c>
      <c r="I195" s="252">
        <f t="shared" si="51"/>
        <v>37017.784134711321</v>
      </c>
      <c r="J195" s="290">
        <f t="shared" si="51"/>
        <v>54319.244883317886</v>
      </c>
    </row>
    <row r="196" spans="1:17" x14ac:dyDescent="0.2">
      <c r="C196" s="36">
        <f t="shared" si="52"/>
        <v>300</v>
      </c>
      <c r="D196" s="251">
        <f t="shared" si="51"/>
        <v>48706.769237862725</v>
      </c>
      <c r="E196" s="193">
        <f t="shared" si="51"/>
        <v>54185.296244201883</v>
      </c>
      <c r="F196" s="193">
        <f t="shared" si="51"/>
        <v>51363.529782817481</v>
      </c>
      <c r="G196" s="193">
        <f t="shared" si="51"/>
        <v>68647.295475226478</v>
      </c>
      <c r="H196" s="193">
        <f t="shared" si="51"/>
        <v>53241.584454916134</v>
      </c>
      <c r="I196" s="252">
        <f t="shared" si="51"/>
        <v>35358.05953217674</v>
      </c>
      <c r="J196" s="290">
        <f t="shared" si="51"/>
        <v>51398.385391869502</v>
      </c>
    </row>
    <row r="197" spans="1:17" x14ac:dyDescent="0.2">
      <c r="C197" s="36">
        <f t="shared" si="52"/>
        <v>212</v>
      </c>
      <c r="D197" s="251">
        <f t="shared" si="51"/>
        <v>55068.622840843716</v>
      </c>
      <c r="E197" s="193">
        <f t="shared" si="51"/>
        <v>58568.805892296812</v>
      </c>
      <c r="F197" s="193">
        <f t="shared" si="51"/>
        <v>58499.194063801478</v>
      </c>
      <c r="G197" s="193">
        <f t="shared" si="51"/>
        <v>73854.118800246302</v>
      </c>
      <c r="H197" s="193">
        <f t="shared" si="51"/>
        <v>57587.499545800609</v>
      </c>
      <c r="I197" s="252">
        <f t="shared" si="51"/>
        <v>37617.172474191357</v>
      </c>
      <c r="J197" s="290">
        <f t="shared" si="51"/>
        <v>56296.14997644331</v>
      </c>
    </row>
    <row r="198" spans="1:17" x14ac:dyDescent="0.2">
      <c r="C198" s="36">
        <f t="shared" si="52"/>
        <v>180</v>
      </c>
      <c r="D198" s="251">
        <f t="shared" si="51"/>
        <v>65698.940519499127</v>
      </c>
      <c r="E198" s="193">
        <f t="shared" si="51"/>
        <v>71230.298229021748</v>
      </c>
      <c r="F198" s="193">
        <f t="shared" si="51"/>
        <v>68908.810849784975</v>
      </c>
      <c r="G198" s="193">
        <f t="shared" si="51"/>
        <v>88979.200555525647</v>
      </c>
      <c r="H198" s="193">
        <f t="shared" si="51"/>
        <v>70147.681361430077</v>
      </c>
      <c r="I198" s="252">
        <f t="shared" si="51"/>
        <v>47281.867599797217</v>
      </c>
      <c r="J198" s="290">
        <f t="shared" si="51"/>
        <v>68093.491451026872</v>
      </c>
    </row>
    <row r="199" spans="1:17" x14ac:dyDescent="0.2">
      <c r="C199" s="36">
        <f t="shared" si="52"/>
        <v>150</v>
      </c>
      <c r="D199" s="251">
        <f t="shared" si="51"/>
        <v>66186.814576036617</v>
      </c>
      <c r="E199" s="193">
        <f t="shared" si="51"/>
        <v>71870.733416300456</v>
      </c>
      <c r="F199" s="193">
        <f t="shared" si="51"/>
        <v>69612.440446893452</v>
      </c>
      <c r="G199" s="193">
        <f t="shared" si="51"/>
        <v>87704.547610033929</v>
      </c>
      <c r="H199" s="193">
        <f t="shared" si="51"/>
        <v>70783.241915111532</v>
      </c>
      <c r="I199" s="252">
        <f t="shared" si="51"/>
        <v>46724.974997758291</v>
      </c>
      <c r="J199" s="290">
        <f t="shared" si="51"/>
        <v>68202.47101491483</v>
      </c>
    </row>
    <row r="200" spans="1:17" x14ac:dyDescent="0.2">
      <c r="C200" s="36">
        <f t="shared" si="52"/>
        <v>106</v>
      </c>
      <c r="D200" s="251">
        <f t="shared" si="51"/>
        <v>65079.175149952258</v>
      </c>
      <c r="E200" s="193">
        <f t="shared" si="51"/>
        <v>70262.799448827092</v>
      </c>
      <c r="F200" s="193">
        <f t="shared" si="51"/>
        <v>68141.226103191584</v>
      </c>
      <c r="G200" s="193">
        <f t="shared" si="51"/>
        <v>87340.960861559302</v>
      </c>
      <c r="H200" s="193">
        <f t="shared" si="51"/>
        <v>69187.588388822172</v>
      </c>
      <c r="I200" s="252">
        <f t="shared" si="51"/>
        <v>45705.689803928799</v>
      </c>
      <c r="J200" s="290">
        <f t="shared" si="51"/>
        <v>66990.768882927441</v>
      </c>
    </row>
    <row r="201" spans="1:17" x14ac:dyDescent="0.2">
      <c r="C201" s="36">
        <f t="shared" si="52"/>
        <v>75</v>
      </c>
      <c r="D201" s="251">
        <f t="shared" si="51"/>
        <v>67632.459799976874</v>
      </c>
      <c r="E201" s="193">
        <f t="shared" si="51"/>
        <v>73043.963056761582</v>
      </c>
      <c r="F201" s="193">
        <f t="shared" si="51"/>
        <v>70698.528861101091</v>
      </c>
      <c r="G201" s="193">
        <f t="shared" si="51"/>
        <v>90171.762458654892</v>
      </c>
      <c r="H201" s="193">
        <f t="shared" si="51"/>
        <v>71947.597595788058</v>
      </c>
      <c r="I201" s="252">
        <f t="shared" si="51"/>
        <v>47620.565273034976</v>
      </c>
      <c r="J201" s="290">
        <f t="shared" si="51"/>
        <v>69549.803119120843</v>
      </c>
    </row>
    <row r="202" spans="1:17" x14ac:dyDescent="0.2">
      <c r="C202" s="36">
        <f t="shared" si="52"/>
        <v>53</v>
      </c>
      <c r="D202" s="251">
        <f t="shared" si="51"/>
        <v>68057.525486936269</v>
      </c>
      <c r="E202" s="193">
        <f t="shared" si="51"/>
        <v>74264.374878165647</v>
      </c>
      <c r="F202" s="193">
        <f t="shared" si="51"/>
        <v>71359.141584647994</v>
      </c>
      <c r="G202" s="193">
        <f t="shared" si="51"/>
        <v>90983.358009284901</v>
      </c>
      <c r="H202" s="193">
        <f t="shared" si="51"/>
        <v>73158.853885834877</v>
      </c>
      <c r="I202" s="252">
        <f t="shared" si="51"/>
        <v>48033.550745396504</v>
      </c>
      <c r="J202" s="290">
        <f t="shared" si="51"/>
        <v>70329.498536384839</v>
      </c>
    </row>
    <row r="203" spans="1:17" x14ac:dyDescent="0.2">
      <c r="C203" s="36">
        <f>C187</f>
        <v>38</v>
      </c>
      <c r="D203" s="251">
        <f t="shared" si="51"/>
        <v>69384.125106555017</v>
      </c>
      <c r="E203" s="193">
        <f t="shared" si="51"/>
        <v>75289.128403465264</v>
      </c>
      <c r="F203" s="193">
        <f t="shared" si="51"/>
        <v>72777.283481409948</v>
      </c>
      <c r="G203" s="193">
        <f t="shared" si="51"/>
        <v>91980.623551227458</v>
      </c>
      <c r="H203" s="193">
        <f t="shared" si="51"/>
        <v>74175.977653161914</v>
      </c>
      <c r="I203" s="252">
        <f t="shared" si="51"/>
        <v>49498.809097689504</v>
      </c>
      <c r="J203" s="290">
        <f t="shared" si="51"/>
        <v>71562.309835486842</v>
      </c>
    </row>
    <row r="204" spans="1:17" x14ac:dyDescent="0.2">
      <c r="C204" s="36">
        <f t="shared" si="52"/>
        <v>0</v>
      </c>
      <c r="D204" s="254">
        <f t="shared" si="51"/>
        <v>67920.728011112398</v>
      </c>
      <c r="E204" s="255">
        <f t="shared" si="51"/>
        <v>74071.923447649984</v>
      </c>
      <c r="F204" s="255">
        <f t="shared" si="51"/>
        <v>71516.62115092967</v>
      </c>
      <c r="G204" s="255">
        <f t="shared" si="51"/>
        <v>90645.931588806881</v>
      </c>
      <c r="H204" s="255">
        <f t="shared" si="51"/>
        <v>72967.841202890821</v>
      </c>
      <c r="I204" s="256">
        <f t="shared" si="51"/>
        <v>48175.298687011513</v>
      </c>
      <c r="J204" s="291">
        <f t="shared" si="51"/>
        <v>70248.982107637654</v>
      </c>
    </row>
    <row r="205" spans="1:17" x14ac:dyDescent="0.2">
      <c r="B205" s="136" t="s">
        <v>266</v>
      </c>
      <c r="D205" s="193">
        <f t="shared" ref="D205:J205" si="53">SUM(D193:D204)</f>
        <v>714187.84170419362</v>
      </c>
      <c r="E205" s="193">
        <f t="shared" si="53"/>
        <v>775212.03291217168</v>
      </c>
      <c r="F205" s="193">
        <f t="shared" si="53"/>
        <v>749325.40017821081</v>
      </c>
      <c r="G205" s="193">
        <f t="shared" si="53"/>
        <v>947145.61461450777</v>
      </c>
      <c r="H205" s="193">
        <f t="shared" si="53"/>
        <v>763808.18309096724</v>
      </c>
      <c r="I205" s="193">
        <f t="shared" si="53"/>
        <v>511375.84411280166</v>
      </c>
      <c r="J205" s="292">
        <f t="shared" si="53"/>
        <v>737077.67531887768</v>
      </c>
    </row>
    <row r="206" spans="1:17" x14ac:dyDescent="0.2">
      <c r="D206" s="193"/>
      <c r="E206" s="193"/>
      <c r="F206" s="193"/>
      <c r="G206" s="193"/>
      <c r="H206" s="193"/>
      <c r="I206" s="193"/>
    </row>
    <row r="207" spans="1:17" x14ac:dyDescent="0.2">
      <c r="D207" s="214"/>
    </row>
    <row r="208" spans="1:17" ht="12.75" x14ac:dyDescent="0.2">
      <c r="A208" s="138" t="s">
        <v>167</v>
      </c>
      <c r="B208" s="136" t="s">
        <v>210</v>
      </c>
      <c r="D208" s="149">
        <f>1-D125/D205</f>
        <v>0.99999999966939934</v>
      </c>
      <c r="E208" s="149">
        <f t="shared" ref="E208:I208" si="54">1-E125/E205</f>
        <v>0.99999999947257823</v>
      </c>
      <c r="F208" s="149">
        <f t="shared" si="54"/>
        <v>0.99999999953888719</v>
      </c>
      <c r="G208" s="149">
        <f t="shared" si="54"/>
        <v>0.99999999916102789</v>
      </c>
      <c r="H208" s="149">
        <f t="shared" si="54"/>
        <v>0.99999999912570903</v>
      </c>
      <c r="I208" s="149">
        <f t="shared" si="54"/>
        <v>0.99999999754982327</v>
      </c>
      <c r="N208" s="139"/>
      <c r="O208" s="139"/>
      <c r="P208" s="139"/>
      <c r="Q208" s="139"/>
    </row>
    <row r="209" spans="1:26" x14ac:dyDescent="0.2">
      <c r="N209" s="139"/>
      <c r="O209" s="139"/>
      <c r="P209" s="139"/>
      <c r="Q209" s="139"/>
    </row>
    <row r="210" spans="1:26" ht="12.75" x14ac:dyDescent="0.2">
      <c r="A210" s="257" t="s">
        <v>211</v>
      </c>
      <c r="B210" s="36" t="s">
        <v>159</v>
      </c>
      <c r="C210" s="258"/>
      <c r="D210" s="146">
        <f t="shared" ref="D210:I210" si="55">RSQ(D94:D104,D51:D61)</f>
        <v>0.99980352794700689</v>
      </c>
      <c r="E210" s="146">
        <f t="shared" si="55"/>
        <v>0.999884786534045</v>
      </c>
      <c r="F210" s="146">
        <f t="shared" si="55"/>
        <v>0.99947407835091029</v>
      </c>
      <c r="G210" s="146">
        <f t="shared" si="55"/>
        <v>0.99962138609415496</v>
      </c>
      <c r="H210" s="146">
        <f t="shared" si="55"/>
        <v>0.99968792128531558</v>
      </c>
      <c r="I210" s="146">
        <f t="shared" si="55"/>
        <v>0.99811657641510909</v>
      </c>
      <c r="J210" s="258"/>
      <c r="K210" s="259" t="s">
        <v>139</v>
      </c>
      <c r="L210" s="259"/>
      <c r="M210" s="317"/>
      <c r="N210" s="139"/>
      <c r="O210" s="139"/>
      <c r="P210" s="139"/>
      <c r="Q210" s="139"/>
      <c r="S210" s="139"/>
      <c r="T210" s="139"/>
      <c r="U210" s="139"/>
      <c r="V210" s="139"/>
    </row>
    <row r="211" spans="1:26" x14ac:dyDescent="0.2">
      <c r="D211" s="147"/>
      <c r="E211" s="147"/>
      <c r="F211" s="147"/>
      <c r="G211" s="147"/>
      <c r="H211" s="147"/>
      <c r="I211" s="147"/>
      <c r="N211" s="139"/>
      <c r="O211" s="139"/>
      <c r="P211" s="129"/>
      <c r="Q211" s="129"/>
      <c r="R211" s="161"/>
      <c r="S211" s="129"/>
      <c r="T211" s="129"/>
      <c r="U211" s="129"/>
      <c r="V211" s="129"/>
      <c r="W211" s="161"/>
      <c r="X211" s="161"/>
      <c r="Y211" s="161"/>
      <c r="Z211" s="161"/>
    </row>
    <row r="212" spans="1:26" x14ac:dyDescent="0.2">
      <c r="P212" s="161"/>
      <c r="Q212" s="273"/>
      <c r="R212" s="161"/>
      <c r="S212" s="161"/>
      <c r="T212" s="161"/>
      <c r="U212" s="161"/>
      <c r="V212" s="161"/>
      <c r="W212" s="161"/>
      <c r="X212" s="161"/>
      <c r="Y212" s="161"/>
      <c r="Z212" s="161"/>
    </row>
    <row r="213" spans="1:26" x14ac:dyDescent="0.2">
      <c r="P213" s="161"/>
      <c r="Q213" s="161"/>
      <c r="R213" s="161"/>
      <c r="S213" s="161"/>
      <c r="T213" s="161"/>
      <c r="U213" s="161"/>
      <c r="V213" s="161"/>
      <c r="W213" s="161"/>
      <c r="X213" s="161"/>
      <c r="Y213" s="161"/>
      <c r="Z213" s="161"/>
    </row>
    <row r="214" spans="1:26" x14ac:dyDescent="0.2">
      <c r="P214" s="161"/>
      <c r="Q214" s="161"/>
      <c r="R214" s="161"/>
      <c r="S214" s="161"/>
      <c r="T214" s="161"/>
      <c r="U214" s="161"/>
      <c r="V214" s="161"/>
      <c r="W214" s="161"/>
      <c r="X214" s="161"/>
      <c r="Y214" s="161"/>
      <c r="Z214" s="161"/>
    </row>
    <row r="215" spans="1:26" x14ac:dyDescent="0.2">
      <c r="D215" s="225"/>
      <c r="K215" s="260"/>
      <c r="L215" s="260"/>
      <c r="P215" s="161"/>
      <c r="Q215" s="161"/>
      <c r="R215" s="161"/>
      <c r="S215" s="161"/>
      <c r="T215" s="161"/>
      <c r="U215" s="161"/>
      <c r="V215" s="161"/>
      <c r="W215" s="161"/>
      <c r="X215" s="161"/>
      <c r="Y215" s="161"/>
      <c r="Z215" s="161"/>
    </row>
    <row r="216" spans="1:26" x14ac:dyDescent="0.2">
      <c r="P216" s="161"/>
      <c r="Q216" s="161"/>
      <c r="R216" s="161"/>
      <c r="S216" s="161"/>
      <c r="T216" s="161"/>
      <c r="U216" s="161"/>
      <c r="V216" s="161"/>
      <c r="W216" s="161"/>
      <c r="X216" s="161"/>
      <c r="Y216" s="161"/>
      <c r="Z216" s="161"/>
    </row>
    <row r="217" spans="1:26" x14ac:dyDescent="0.2">
      <c r="A217" s="138" t="s">
        <v>209</v>
      </c>
      <c r="B217" s="136" t="s">
        <v>84</v>
      </c>
      <c r="D217" s="36" t="str">
        <f t="shared" ref="D217:J217" si="56">D15</f>
        <v>SC13F</v>
      </c>
      <c r="E217" s="36" t="str">
        <f t="shared" si="56"/>
        <v>13Fdeck1</v>
      </c>
      <c r="F217" s="36" t="str">
        <f t="shared" si="56"/>
        <v>13Fdeck2</v>
      </c>
      <c r="G217" s="36" t="str">
        <f t="shared" si="56"/>
        <v>13Fdeck3</v>
      </c>
      <c r="H217" s="36" t="str">
        <f t="shared" si="56"/>
        <v>13Fdeck4</v>
      </c>
      <c r="I217" s="36" t="str">
        <f t="shared" si="56"/>
        <v>13Fdeck5</v>
      </c>
      <c r="J217" s="36" t="str">
        <f t="shared" si="56"/>
        <v>Mean13F</v>
      </c>
      <c r="P217" s="274"/>
      <c r="Q217" s="161"/>
      <c r="R217" s="161"/>
      <c r="S217" s="161"/>
      <c r="T217" s="161"/>
      <c r="U217" s="161"/>
      <c r="V217" s="161"/>
      <c r="W217" s="161"/>
      <c r="X217" s="161"/>
      <c r="Y217" s="161"/>
      <c r="Z217" s="161"/>
    </row>
    <row r="218" spans="1:26" x14ac:dyDescent="0.2">
      <c r="C218" s="37">
        <v>1</v>
      </c>
      <c r="D218" s="249">
        <f t="shared" ref="D218:J230" si="57">IF($C218&gt;=D$95,D$66*$C218^(1/D$65),IF(AND($C218&gt;=D$96,$C218&lt;D$95),D$68*$C218^(1/D$67),D$70*$C218^(1/D$69)))</f>
        <v>1468.9254149671774</v>
      </c>
      <c r="E218" s="201">
        <f t="shared" si="57"/>
        <v>1537.9211099198712</v>
      </c>
      <c r="F218" s="201">
        <f t="shared" si="57"/>
        <v>1472.5150964189204</v>
      </c>
      <c r="G218" s="201">
        <f t="shared" si="57"/>
        <v>1551.5810991674007</v>
      </c>
      <c r="H218" s="201">
        <f t="shared" si="57"/>
        <v>1425.7113544733579</v>
      </c>
      <c r="I218" s="250">
        <f t="shared" si="57"/>
        <v>1461.7300319582632</v>
      </c>
      <c r="J218" s="250">
        <f t="shared" si="57"/>
        <v>1486.3973511508318</v>
      </c>
      <c r="O218" s="37"/>
      <c r="P218" s="193"/>
      <c r="Q218" s="193"/>
      <c r="R218" s="193"/>
      <c r="S218" s="193"/>
      <c r="T218" s="193"/>
      <c r="U218" s="193"/>
      <c r="V218" s="161"/>
      <c r="W218" s="161"/>
      <c r="X218" s="161"/>
      <c r="Y218" s="161"/>
      <c r="Z218" s="161"/>
    </row>
    <row r="219" spans="1:26" x14ac:dyDescent="0.2">
      <c r="A219" s="138" t="s">
        <v>80</v>
      </c>
      <c r="C219" s="37">
        <v>0.95</v>
      </c>
      <c r="D219" s="251">
        <f t="shared" si="57"/>
        <v>950.82172581606869</v>
      </c>
      <c r="E219" s="193">
        <f t="shared" si="57"/>
        <v>1033.794850510646</v>
      </c>
      <c r="F219" s="193">
        <f t="shared" si="57"/>
        <v>970.36180127136788</v>
      </c>
      <c r="G219" s="193">
        <f t="shared" si="57"/>
        <v>1100.7304532112473</v>
      </c>
      <c r="H219" s="193">
        <f t="shared" si="57"/>
        <v>958.36714059143674</v>
      </c>
      <c r="I219" s="252">
        <f t="shared" si="57"/>
        <v>833.06099855547143</v>
      </c>
      <c r="J219" s="271">
        <f t="shared" si="57"/>
        <v>980.55968719535679</v>
      </c>
      <c r="O219" s="37"/>
      <c r="P219" s="193"/>
      <c r="Q219" s="193"/>
      <c r="R219" s="193"/>
      <c r="S219" s="193"/>
      <c r="T219" s="193"/>
      <c r="U219" s="193"/>
      <c r="V219" s="161"/>
      <c r="W219" s="161"/>
      <c r="X219" s="161"/>
      <c r="Y219" s="161"/>
      <c r="Z219" s="161"/>
    </row>
    <row r="220" spans="1:26" x14ac:dyDescent="0.2">
      <c r="C220" s="37">
        <v>0.9</v>
      </c>
      <c r="D220" s="251">
        <f t="shared" si="57"/>
        <v>601.14986579003516</v>
      </c>
      <c r="E220" s="193">
        <f t="shared" si="57"/>
        <v>680.15193216977923</v>
      </c>
      <c r="F220" s="193">
        <f t="shared" si="57"/>
        <v>625.19051658706735</v>
      </c>
      <c r="G220" s="193">
        <f t="shared" si="57"/>
        <v>766.52186770981621</v>
      </c>
      <c r="H220" s="193">
        <f t="shared" si="57"/>
        <v>630.52670660848844</v>
      </c>
      <c r="I220" s="252">
        <f t="shared" si="57"/>
        <v>538.37486513814076</v>
      </c>
      <c r="J220" s="271">
        <f t="shared" si="57"/>
        <v>632.47455265154963</v>
      </c>
      <c r="O220" s="37"/>
      <c r="P220" s="193"/>
      <c r="Q220" s="193"/>
      <c r="R220" s="193"/>
      <c r="S220" s="193"/>
      <c r="T220" s="193"/>
      <c r="U220" s="193"/>
      <c r="V220" s="161"/>
      <c r="W220" s="161"/>
      <c r="X220" s="161"/>
      <c r="Y220" s="161"/>
      <c r="Z220" s="161"/>
    </row>
    <row r="221" spans="1:26" x14ac:dyDescent="0.2">
      <c r="C221" s="37">
        <v>0.84</v>
      </c>
      <c r="D221" s="251">
        <f t="shared" si="57"/>
        <v>470.88327389334034</v>
      </c>
      <c r="E221" s="193">
        <f t="shared" si="57"/>
        <v>478.16976631638545</v>
      </c>
      <c r="F221" s="193">
        <f t="shared" si="57"/>
        <v>483.7809098004663</v>
      </c>
      <c r="G221" s="193">
        <f t="shared" si="57"/>
        <v>551.98240438018638</v>
      </c>
      <c r="H221" s="193">
        <f t="shared" si="57"/>
        <v>478.16976595895682</v>
      </c>
      <c r="I221" s="252">
        <f t="shared" si="57"/>
        <v>387.55364900770712</v>
      </c>
      <c r="J221" s="271">
        <f t="shared" si="57"/>
        <v>477.67437611286618</v>
      </c>
      <c r="O221" s="37"/>
      <c r="P221" s="193"/>
      <c r="Q221" s="193"/>
      <c r="R221" s="193"/>
      <c r="S221" s="193"/>
      <c r="T221" s="193"/>
      <c r="U221" s="193"/>
      <c r="V221" s="161"/>
      <c r="W221" s="161"/>
      <c r="X221" s="161"/>
      <c r="Y221" s="161"/>
      <c r="Z221" s="161"/>
    </row>
    <row r="222" spans="1:26" x14ac:dyDescent="0.2">
      <c r="C222" s="37">
        <v>0.8</v>
      </c>
      <c r="D222" s="251">
        <f t="shared" si="57"/>
        <v>393.03045666088161</v>
      </c>
      <c r="E222" s="193">
        <f t="shared" si="57"/>
        <v>387.29952469120451</v>
      </c>
      <c r="F222" s="193">
        <f t="shared" si="57"/>
        <v>403.42945070144805</v>
      </c>
      <c r="G222" s="193">
        <f t="shared" si="57"/>
        <v>465.80300757213371</v>
      </c>
      <c r="H222" s="193">
        <f t="shared" si="57"/>
        <v>387.29952469120451</v>
      </c>
      <c r="I222" s="252">
        <f t="shared" si="57"/>
        <v>349.03065613900361</v>
      </c>
      <c r="J222" s="271">
        <f t="shared" si="57"/>
        <v>391.97080717319301</v>
      </c>
      <c r="O222" s="37"/>
      <c r="P222" s="193"/>
      <c r="Q222" s="193"/>
      <c r="R222" s="193"/>
      <c r="S222" s="193"/>
      <c r="T222" s="193"/>
      <c r="U222" s="193"/>
      <c r="V222" s="161"/>
      <c r="W222" s="161"/>
      <c r="X222" s="161"/>
      <c r="Y222" s="161"/>
      <c r="Z222" s="161"/>
    </row>
    <row r="223" spans="1:26" x14ac:dyDescent="0.2">
      <c r="A223" s="138" t="s">
        <v>156</v>
      </c>
      <c r="B223" s="286"/>
      <c r="C223" s="37">
        <v>0.75</v>
      </c>
      <c r="D223" s="251">
        <f t="shared" si="57"/>
        <v>347.29531337513163</v>
      </c>
      <c r="E223" s="193">
        <f t="shared" si="57"/>
        <v>346.81035625790696</v>
      </c>
      <c r="F223" s="193">
        <f t="shared" si="57"/>
        <v>357.40029090991385</v>
      </c>
      <c r="G223" s="193">
        <f t="shared" si="57"/>
        <v>381.67534508195058</v>
      </c>
      <c r="H223" s="193">
        <f t="shared" si="57"/>
        <v>346.81035625790696</v>
      </c>
      <c r="I223" s="252">
        <f t="shared" si="57"/>
        <v>303.89195031904075</v>
      </c>
      <c r="J223" s="271">
        <f t="shared" si="57"/>
        <v>348.06040236018589</v>
      </c>
      <c r="O223" s="37"/>
      <c r="P223" s="193"/>
      <c r="Q223" s="193"/>
      <c r="R223" s="193"/>
      <c r="S223" s="193"/>
      <c r="T223" s="193"/>
      <c r="U223" s="193"/>
      <c r="V223" s="161"/>
      <c r="W223" s="161"/>
      <c r="X223" s="161"/>
      <c r="Y223" s="161"/>
      <c r="Z223" s="161"/>
    </row>
    <row r="224" spans="1:26" x14ac:dyDescent="0.2">
      <c r="A224" s="138" t="s">
        <v>47</v>
      </c>
      <c r="B224" s="286"/>
      <c r="C224" s="37">
        <v>0.5</v>
      </c>
      <c r="D224" s="251">
        <f t="shared" si="57"/>
        <v>159.64514890616954</v>
      </c>
      <c r="E224" s="193">
        <f t="shared" si="57"/>
        <v>173.30615403152586</v>
      </c>
      <c r="F224" s="193">
        <f t="shared" si="57"/>
        <v>166.9606488636843</v>
      </c>
      <c r="G224" s="193">
        <f t="shared" si="57"/>
        <v>187.35062185681525</v>
      </c>
      <c r="H224" s="193">
        <f t="shared" si="57"/>
        <v>173.30615403152586</v>
      </c>
      <c r="I224" s="252">
        <f t="shared" si="57"/>
        <v>127.30938573974449</v>
      </c>
      <c r="J224" s="271">
        <f t="shared" si="57"/>
        <v>164.99917021935045</v>
      </c>
      <c r="O224" s="37"/>
      <c r="P224" s="193"/>
      <c r="Q224" s="193"/>
      <c r="R224" s="193"/>
      <c r="S224" s="193"/>
      <c r="T224" s="193"/>
      <c r="U224" s="193"/>
      <c r="V224" s="161"/>
      <c r="W224" s="161"/>
      <c r="X224" s="161"/>
      <c r="Y224" s="161"/>
      <c r="Z224" s="161"/>
    </row>
    <row r="225" spans="1:26" x14ac:dyDescent="0.2">
      <c r="C225" s="37">
        <v>0.4</v>
      </c>
      <c r="D225" s="251">
        <f t="shared" si="57"/>
        <v>104.08599553037691</v>
      </c>
      <c r="E225" s="193">
        <f t="shared" si="57"/>
        <v>118.30652451255278</v>
      </c>
      <c r="F225" s="193">
        <f t="shared" si="57"/>
        <v>109.82580797812834</v>
      </c>
      <c r="G225" s="193">
        <f t="shared" si="57"/>
        <v>126.64228035342695</v>
      </c>
      <c r="H225" s="193">
        <f t="shared" si="57"/>
        <v>118.30652451255278</v>
      </c>
      <c r="I225" s="252">
        <f t="shared" si="57"/>
        <v>78.869617312284362</v>
      </c>
      <c r="J225" s="271">
        <f t="shared" si="57"/>
        <v>109.41492388939518</v>
      </c>
      <c r="O225" s="37"/>
      <c r="P225" s="193"/>
      <c r="Q225" s="193"/>
      <c r="R225" s="193"/>
      <c r="S225" s="193"/>
      <c r="T225" s="193"/>
      <c r="U225" s="193"/>
      <c r="V225" s="161"/>
      <c r="W225" s="161"/>
      <c r="X225" s="161"/>
      <c r="Y225" s="161"/>
      <c r="Z225" s="161"/>
    </row>
    <row r="226" spans="1:26" x14ac:dyDescent="0.2">
      <c r="A226" s="138" t="s">
        <v>155</v>
      </c>
      <c r="B226" s="286"/>
      <c r="C226" s="37">
        <v>0.25</v>
      </c>
      <c r="D226" s="251">
        <f t="shared" si="57"/>
        <v>42.278719050598689</v>
      </c>
      <c r="E226" s="193">
        <f t="shared" si="57"/>
        <v>52.938997992456322</v>
      </c>
      <c r="F226" s="193">
        <f t="shared" si="57"/>
        <v>45.451783775638184</v>
      </c>
      <c r="G226" s="193">
        <f t="shared" si="57"/>
        <v>55.507227269204741</v>
      </c>
      <c r="H226" s="193">
        <f t="shared" si="57"/>
        <v>52.938997992456322</v>
      </c>
      <c r="I226" s="252">
        <f t="shared" si="57"/>
        <v>28.767795484293543</v>
      </c>
      <c r="J226" s="271">
        <f t="shared" si="57"/>
        <v>46.057949523232416</v>
      </c>
      <c r="P226" s="193"/>
      <c r="Q226" s="193"/>
      <c r="R226" s="193"/>
      <c r="S226" s="193"/>
      <c r="T226" s="193"/>
      <c r="U226" s="193"/>
      <c r="V226" s="161"/>
      <c r="W226" s="161"/>
      <c r="X226" s="161"/>
      <c r="Y226" s="161"/>
      <c r="Z226" s="161"/>
    </row>
    <row r="227" spans="1:26" x14ac:dyDescent="0.2">
      <c r="C227" s="37">
        <v>0.16</v>
      </c>
      <c r="D227" s="251">
        <f t="shared" si="57"/>
        <v>17.971940366477202</v>
      </c>
      <c r="E227" s="193">
        <f t="shared" si="57"/>
        <v>24.669772257550751</v>
      </c>
      <c r="F227" s="193">
        <f t="shared" si="57"/>
        <v>19.666700237437588</v>
      </c>
      <c r="G227" s="193">
        <f t="shared" si="57"/>
        <v>25.362770955479611</v>
      </c>
      <c r="H227" s="193">
        <f t="shared" si="57"/>
        <v>24.669772257550751</v>
      </c>
      <c r="I227" s="252">
        <f t="shared" si="57"/>
        <v>11.040918505686157</v>
      </c>
      <c r="J227" s="271">
        <f t="shared" si="57"/>
        <v>20.253225788057158</v>
      </c>
      <c r="O227" s="37"/>
      <c r="P227" s="193"/>
      <c r="Q227" s="193"/>
      <c r="R227" s="193"/>
      <c r="S227" s="193"/>
      <c r="T227" s="193"/>
      <c r="U227" s="193"/>
      <c r="V227" s="161"/>
      <c r="W227" s="161"/>
      <c r="X227" s="161"/>
      <c r="Y227" s="161"/>
      <c r="Z227" s="161"/>
    </row>
    <row r="228" spans="1:26" x14ac:dyDescent="0.2">
      <c r="C228" s="37">
        <v>0.1</v>
      </c>
      <c r="D228" s="251">
        <f t="shared" si="57"/>
        <v>7.3000273829023623</v>
      </c>
      <c r="E228" s="193">
        <f t="shared" si="57"/>
        <v>11.039061703467283</v>
      </c>
      <c r="F228" s="193">
        <f t="shared" si="57"/>
        <v>8.1391307127949606</v>
      </c>
      <c r="G228" s="193">
        <f t="shared" si="57"/>
        <v>11.11648564502887</v>
      </c>
      <c r="H228" s="193">
        <f t="shared" si="57"/>
        <v>11.039061703467283</v>
      </c>
      <c r="I228" s="252">
        <f t="shared" si="57"/>
        <v>4.0271893836216197</v>
      </c>
      <c r="J228" s="271">
        <f t="shared" si="57"/>
        <v>8.5255467706757528</v>
      </c>
      <c r="O228" s="37"/>
      <c r="P228" s="193"/>
      <c r="Q228" s="193"/>
      <c r="R228" s="193"/>
      <c r="S228" s="193"/>
      <c r="T228" s="193"/>
      <c r="U228" s="193"/>
      <c r="V228" s="161"/>
      <c r="W228" s="161"/>
      <c r="X228" s="161"/>
      <c r="Y228" s="161"/>
      <c r="Z228" s="161"/>
    </row>
    <row r="229" spans="1:26" x14ac:dyDescent="0.2">
      <c r="C229" s="37">
        <v>0.05</v>
      </c>
      <c r="D229" s="254">
        <f t="shared" si="57"/>
        <v>1.9332614169491928</v>
      </c>
      <c r="E229" s="255">
        <f t="shared" si="57"/>
        <v>3.3720491267271977</v>
      </c>
      <c r="F229" s="255">
        <f t="shared" si="57"/>
        <v>2.2157197626947998</v>
      </c>
      <c r="G229" s="255">
        <f t="shared" si="57"/>
        <v>3.2935321431975444</v>
      </c>
      <c r="H229" s="255">
        <f t="shared" si="57"/>
        <v>3.3720491267271977</v>
      </c>
      <c r="I229" s="256">
        <f t="shared" si="57"/>
        <v>0.91001429227991948</v>
      </c>
      <c r="J229" s="272">
        <f t="shared" si="57"/>
        <v>2.3798253185135714</v>
      </c>
      <c r="P229" s="193"/>
      <c r="Q229" s="193"/>
      <c r="R229" s="193"/>
      <c r="S229" s="193"/>
      <c r="T229" s="193"/>
      <c r="U229" s="193"/>
      <c r="V229" s="161"/>
      <c r="W229" s="161"/>
      <c r="X229" s="161"/>
      <c r="Y229" s="161"/>
      <c r="Z229" s="161"/>
    </row>
    <row r="230" spans="1:26" x14ac:dyDescent="0.2">
      <c r="C230" s="130">
        <v>0.01</v>
      </c>
      <c r="D230" s="199">
        <f t="shared" si="57"/>
        <v>8.8401441438928252E-2</v>
      </c>
      <c r="E230" s="199">
        <f t="shared" si="57"/>
        <v>0.21478901649558901</v>
      </c>
      <c r="F230" s="199">
        <f t="shared" si="57"/>
        <v>0.10801367204927419</v>
      </c>
      <c r="G230" s="199">
        <f t="shared" si="57"/>
        <v>0.1954223713187255</v>
      </c>
      <c r="H230" s="199">
        <f t="shared" si="57"/>
        <v>0.21478901649558901</v>
      </c>
      <c r="I230" s="199">
        <f t="shared" si="57"/>
        <v>2.8786564914432135E-2</v>
      </c>
      <c r="J230" s="36">
        <f t="shared" si="57"/>
        <v>0.12296614602396551</v>
      </c>
      <c r="O230" s="130"/>
      <c r="P230" s="193"/>
      <c r="Q230" s="193"/>
      <c r="R230" s="193"/>
      <c r="S230" s="193"/>
      <c r="T230" s="193"/>
      <c r="U230" s="193"/>
      <c r="V230" s="161"/>
      <c r="W230" s="161"/>
      <c r="X230" s="161"/>
      <c r="Y230" s="161"/>
      <c r="Z230" s="161"/>
    </row>
    <row r="231" spans="1:26" x14ac:dyDescent="0.2">
      <c r="A231" s="138" t="s">
        <v>158</v>
      </c>
      <c r="C231" s="36" t="s">
        <v>157</v>
      </c>
      <c r="D231" s="199">
        <f>D223-D226</f>
        <v>305.01659432453295</v>
      </c>
      <c r="E231" s="199">
        <f t="shared" ref="E231:I231" si="58">E223-E226</f>
        <v>293.87135826545062</v>
      </c>
      <c r="F231" s="199">
        <f t="shared" si="58"/>
        <v>311.94850713427564</v>
      </c>
      <c r="G231" s="199">
        <f t="shared" si="58"/>
        <v>326.16811781274583</v>
      </c>
      <c r="H231" s="199">
        <f t="shared" si="58"/>
        <v>293.87135826545062</v>
      </c>
      <c r="I231" s="199">
        <f t="shared" si="58"/>
        <v>275.12415483474717</v>
      </c>
      <c r="O231" s="130"/>
      <c r="P231" s="199"/>
      <c r="Q231" s="199"/>
      <c r="R231" s="199"/>
      <c r="S231" s="199"/>
      <c r="T231" s="199"/>
      <c r="U231" s="199"/>
    </row>
    <row r="233" spans="1:26" x14ac:dyDescent="0.2">
      <c r="B233" s="286" t="s">
        <v>291</v>
      </c>
      <c r="C233" s="286" t="s">
        <v>290</v>
      </c>
      <c r="D233" s="270">
        <f>D235-D234</f>
        <v>34.978691667696324</v>
      </c>
      <c r="E233" s="270">
        <f t="shared" ref="E233:J233" si="59">E235-E234</f>
        <v>41.899936288989039</v>
      </c>
      <c r="F233" s="270">
        <f t="shared" si="59"/>
        <v>37.312653062843225</v>
      </c>
      <c r="G233" s="270">
        <f t="shared" si="59"/>
        <v>44.390741624175874</v>
      </c>
      <c r="H233" s="270">
        <f t="shared" si="59"/>
        <v>41.899936288989039</v>
      </c>
      <c r="I233" s="270">
        <f t="shared" si="59"/>
        <v>24.740606100671926</v>
      </c>
      <c r="J233" s="270">
        <f t="shared" si="59"/>
        <v>37.532402752556663</v>
      </c>
    </row>
    <row r="234" spans="1:26" x14ac:dyDescent="0.2">
      <c r="B234" s="226">
        <v>0.1</v>
      </c>
      <c r="C234" s="286" t="s">
        <v>288</v>
      </c>
      <c r="D234" s="319">
        <f>IF($B234&gt;=D$95,D$66*$B234^(1/D$65),IF(AND($B234&gt;=D$96,$B234&lt;D$95),D$68*$B234^(1/D$67),D$70*$B234^(1/D$69)))</f>
        <v>7.3000273829023623</v>
      </c>
      <c r="E234" s="181">
        <f t="shared" ref="E234:J234" si="60">IF($B234&gt;=E$95,E$66*$B234^(1/E$65),IF(AND($B234&gt;=E$96,$B234&lt;E$95),E$68*$B234^(1/E$67),E$70*$B234^(1/E$69)))</f>
        <v>11.039061703467283</v>
      </c>
      <c r="F234" s="181">
        <f t="shared" si="60"/>
        <v>8.1391307127949606</v>
      </c>
      <c r="G234" s="181">
        <f t="shared" si="60"/>
        <v>11.11648564502887</v>
      </c>
      <c r="H234" s="181">
        <f t="shared" si="60"/>
        <v>11.039061703467283</v>
      </c>
      <c r="I234" s="181">
        <f t="shared" si="60"/>
        <v>4.0271893836216197</v>
      </c>
      <c r="J234" s="284">
        <f t="shared" si="60"/>
        <v>8.5255467706757528</v>
      </c>
    </row>
    <row r="235" spans="1:26" x14ac:dyDescent="0.2">
      <c r="B235" s="226">
        <v>0.25</v>
      </c>
      <c r="C235" s="286" t="s">
        <v>155</v>
      </c>
      <c r="D235" s="320">
        <f t="shared" ref="D235:J238" si="61">IF($B235&gt;=D$95,D$66*$B235^(1/D$65),IF(AND($B235&gt;=D$96,$B235&lt;D$95),D$68*$B235^(1/D$67),D$70*$B235^(1/D$69)))</f>
        <v>42.278719050598689</v>
      </c>
      <c r="E235" s="199">
        <f t="shared" si="61"/>
        <v>52.938997992456322</v>
      </c>
      <c r="F235" s="199">
        <f t="shared" si="61"/>
        <v>45.451783775638184</v>
      </c>
      <c r="G235" s="199">
        <f t="shared" si="61"/>
        <v>55.507227269204741</v>
      </c>
      <c r="H235" s="199">
        <f t="shared" si="61"/>
        <v>52.938997992456322</v>
      </c>
      <c r="I235" s="199">
        <f t="shared" si="61"/>
        <v>28.767795484293543</v>
      </c>
      <c r="J235" s="271">
        <f t="shared" si="61"/>
        <v>46.057949523232416</v>
      </c>
    </row>
    <row r="236" spans="1:26" x14ac:dyDescent="0.2">
      <c r="B236" s="226">
        <v>0.5</v>
      </c>
      <c r="C236" s="286" t="s">
        <v>47</v>
      </c>
      <c r="D236" s="320">
        <f t="shared" si="61"/>
        <v>159.64514890616954</v>
      </c>
      <c r="E236" s="199">
        <f t="shared" si="61"/>
        <v>173.30615403152586</v>
      </c>
      <c r="F236" s="199">
        <f t="shared" si="61"/>
        <v>166.9606488636843</v>
      </c>
      <c r="G236" s="199">
        <f t="shared" si="61"/>
        <v>187.35062185681525</v>
      </c>
      <c r="H236" s="199">
        <f t="shared" si="61"/>
        <v>173.30615403152586</v>
      </c>
      <c r="I236" s="199">
        <f t="shared" si="61"/>
        <v>127.30938573974449</v>
      </c>
      <c r="J236" s="271">
        <f t="shared" si="61"/>
        <v>164.99917021935045</v>
      </c>
    </row>
    <row r="237" spans="1:26" x14ac:dyDescent="0.2">
      <c r="B237" s="226">
        <v>0.75</v>
      </c>
      <c r="C237" s="286" t="s">
        <v>156</v>
      </c>
      <c r="D237" s="320">
        <f t="shared" si="61"/>
        <v>347.29531337513163</v>
      </c>
      <c r="E237" s="199">
        <f t="shared" si="61"/>
        <v>346.81035625790696</v>
      </c>
      <c r="F237" s="199">
        <f t="shared" si="61"/>
        <v>357.40029090991385</v>
      </c>
      <c r="G237" s="199">
        <f t="shared" si="61"/>
        <v>381.67534508195058</v>
      </c>
      <c r="H237" s="199">
        <f t="shared" si="61"/>
        <v>346.81035625790696</v>
      </c>
      <c r="I237" s="199">
        <f t="shared" si="61"/>
        <v>303.89195031904075</v>
      </c>
      <c r="J237" s="271">
        <f t="shared" si="61"/>
        <v>348.06040236018589</v>
      </c>
    </row>
    <row r="238" spans="1:26" x14ac:dyDescent="0.2">
      <c r="B238" s="226">
        <v>0.9</v>
      </c>
      <c r="C238" s="286" t="s">
        <v>289</v>
      </c>
      <c r="D238" s="321">
        <f t="shared" si="61"/>
        <v>601.14986579003516</v>
      </c>
      <c r="E238" s="182">
        <f t="shared" si="61"/>
        <v>680.15193216977923</v>
      </c>
      <c r="F238" s="182">
        <f t="shared" si="61"/>
        <v>625.19051658706735</v>
      </c>
      <c r="G238" s="182">
        <f t="shared" si="61"/>
        <v>766.52186770981621</v>
      </c>
      <c r="H238" s="182">
        <f t="shared" si="61"/>
        <v>630.52670660848844</v>
      </c>
      <c r="I238" s="182">
        <f t="shared" si="61"/>
        <v>538.37486513814076</v>
      </c>
      <c r="J238" s="272">
        <f t="shared" si="61"/>
        <v>632.47455265154963</v>
      </c>
    </row>
    <row r="239" spans="1:26" x14ac:dyDescent="0.2">
      <c r="C239" s="286" t="s">
        <v>290</v>
      </c>
      <c r="D239" s="160">
        <f>D238-D237</f>
        <v>253.85455241490354</v>
      </c>
      <c r="E239" s="160">
        <f t="shared" ref="E239:J239" si="62">E238-E237</f>
        <v>333.34157591187227</v>
      </c>
      <c r="F239" s="160">
        <f t="shared" si="62"/>
        <v>267.7902256771535</v>
      </c>
      <c r="G239" s="160">
        <f t="shared" si="62"/>
        <v>384.84652262786562</v>
      </c>
      <c r="H239" s="160">
        <f t="shared" si="62"/>
        <v>283.71635035058148</v>
      </c>
      <c r="I239" s="160">
        <f t="shared" si="62"/>
        <v>234.48291481910002</v>
      </c>
      <c r="J239" s="160">
        <f t="shared" si="62"/>
        <v>284.41415029136374</v>
      </c>
    </row>
    <row r="242" spans="1:12" x14ac:dyDescent="0.2">
      <c r="A242" s="138" t="s">
        <v>176</v>
      </c>
      <c r="D242" s="160"/>
    </row>
    <row r="243" spans="1:12" x14ac:dyDescent="0.2">
      <c r="A243" s="142" t="s">
        <v>131</v>
      </c>
      <c r="B243" s="131"/>
      <c r="C243" s="131"/>
      <c r="D243" s="181">
        <f>SQRT(D227*D221)</f>
        <v>91.992859059726285</v>
      </c>
      <c r="E243" s="181">
        <f t="shared" ref="E243:I243" si="63">SQRT(E227*E221)</f>
        <v>108.61095357039957</v>
      </c>
      <c r="F243" s="181">
        <f t="shared" si="63"/>
        <v>97.541653326364141</v>
      </c>
      <c r="G243" s="181">
        <f t="shared" si="63"/>
        <v>118.32076442345019</v>
      </c>
      <c r="H243" s="181">
        <f t="shared" si="63"/>
        <v>108.61095352980659</v>
      </c>
      <c r="I243" s="181">
        <f t="shared" si="63"/>
        <v>65.413670247704275</v>
      </c>
      <c r="J243" s="181"/>
      <c r="K243" s="261" t="s">
        <v>136</v>
      </c>
      <c r="L243" s="318"/>
    </row>
    <row r="244" spans="1:12" x14ac:dyDescent="0.2">
      <c r="A244" s="144" t="s">
        <v>142</v>
      </c>
      <c r="B244" s="132"/>
      <c r="C244" s="132"/>
      <c r="D244" s="262">
        <f>SQRT(D221/D227)</f>
        <v>5.118693762823697</v>
      </c>
      <c r="E244" s="262">
        <f t="shared" ref="E244:I244" si="64">SQRT(E221/E227)</f>
        <v>4.4025924697037562</v>
      </c>
      <c r="F244" s="262">
        <f t="shared" si="64"/>
        <v>4.959736618178761</v>
      </c>
      <c r="G244" s="262">
        <f t="shared" si="64"/>
        <v>4.6651355497056617</v>
      </c>
      <c r="H244" s="262">
        <f t="shared" si="64"/>
        <v>4.4025924680583026</v>
      </c>
      <c r="I244" s="262">
        <f t="shared" si="64"/>
        <v>5.9246583709512688</v>
      </c>
      <c r="J244" s="262"/>
      <c r="K244" s="263" t="s">
        <v>140</v>
      </c>
      <c r="L244" s="318"/>
    </row>
    <row r="245" spans="1:12" x14ac:dyDescent="0.2">
      <c r="A245" s="142" t="s">
        <v>132</v>
      </c>
      <c r="B245" s="131"/>
      <c r="C245" s="131"/>
      <c r="D245" s="264">
        <f>LOG(D227*D221)/2</f>
        <v>1.9637541165703232</v>
      </c>
      <c r="E245" s="264">
        <f t="shared" ref="E245:I245" si="65">LOG(E227*E221)/2</f>
        <v>2.0358736266827977</v>
      </c>
      <c r="F245" s="264">
        <f t="shared" si="65"/>
        <v>1.989190112588656</v>
      </c>
      <c r="G245" s="264">
        <f t="shared" si="65"/>
        <v>2.0730609668020024</v>
      </c>
      <c r="H245" s="264">
        <f t="shared" si="65"/>
        <v>2.0358736265204813</v>
      </c>
      <c r="I245" s="264">
        <f t="shared" si="65"/>
        <v>1.8156685173265372</v>
      </c>
      <c r="J245" s="131"/>
      <c r="K245" s="265" t="s">
        <v>137</v>
      </c>
      <c r="L245" s="200"/>
    </row>
    <row r="246" spans="1:12" x14ac:dyDescent="0.2">
      <c r="A246" s="144" t="s">
        <v>141</v>
      </c>
      <c r="B246" s="132"/>
      <c r="C246" s="132"/>
      <c r="D246" s="198">
        <f>LOG(D221/D227)/2</f>
        <v>0.70915914769946087</v>
      </c>
      <c r="E246" s="198">
        <f t="shared" ref="E246:I246" si="66">LOG(E221/E227)/2</f>
        <v>0.64370848642474132</v>
      </c>
      <c r="F246" s="198">
        <f t="shared" si="66"/>
        <v>0.69545861433118505</v>
      </c>
      <c r="G246" s="198">
        <f t="shared" si="66"/>
        <v>0.66886426708229285</v>
      </c>
      <c r="H246" s="198">
        <f t="shared" si="66"/>
        <v>0.64370848626242527</v>
      </c>
      <c r="I246" s="198">
        <f t="shared" si="66"/>
        <v>0.77266331301323965</v>
      </c>
      <c r="J246" s="132"/>
      <c r="K246" s="266" t="s">
        <v>143</v>
      </c>
      <c r="L246" s="200"/>
    </row>
    <row r="247" spans="1:12" x14ac:dyDescent="0.2">
      <c r="A247" s="142" t="s">
        <v>135</v>
      </c>
      <c r="B247" s="131"/>
      <c r="C247" s="131"/>
      <c r="D247" s="267">
        <f>(D226+D223)/2</f>
        <v>194.78701621286515</v>
      </c>
      <c r="E247" s="267">
        <f t="shared" ref="E247:I247" si="67">(E226+E223)/2</f>
        <v>199.87467712518165</v>
      </c>
      <c r="F247" s="267">
        <f t="shared" si="67"/>
        <v>201.42603734277603</v>
      </c>
      <c r="G247" s="267">
        <f t="shared" si="67"/>
        <v>218.59128617557766</v>
      </c>
      <c r="H247" s="267">
        <f t="shared" si="67"/>
        <v>199.87467712518165</v>
      </c>
      <c r="I247" s="267">
        <f t="shared" si="67"/>
        <v>166.32987290166716</v>
      </c>
      <c r="J247" s="131"/>
      <c r="K247" s="265" t="s">
        <v>138</v>
      </c>
      <c r="L247" s="200"/>
    </row>
    <row r="248" spans="1:12" x14ac:dyDescent="0.2">
      <c r="A248" s="145" t="s">
        <v>144</v>
      </c>
      <c r="B248" s="133"/>
      <c r="C248" s="132"/>
      <c r="D248" s="198">
        <f>SQRT(D226/D223)</f>
        <v>0.3489084190765947</v>
      </c>
      <c r="E248" s="198">
        <f t="shared" ref="E248:I248" si="68">SQRT(E226/E223)</f>
        <v>0.39069857715844269</v>
      </c>
      <c r="F248" s="198">
        <f t="shared" si="68"/>
        <v>0.35661369321463754</v>
      </c>
      <c r="G248" s="198">
        <f t="shared" si="68"/>
        <v>0.38135347960909188</v>
      </c>
      <c r="H248" s="198">
        <f t="shared" si="68"/>
        <v>0.39069857715844269</v>
      </c>
      <c r="I248" s="198">
        <f t="shared" si="68"/>
        <v>0.3076760512238062</v>
      </c>
      <c r="J248" s="132"/>
      <c r="K248" s="266" t="s">
        <v>145</v>
      </c>
      <c r="L248" s="200"/>
    </row>
    <row r="250" spans="1:12" x14ac:dyDescent="0.2">
      <c r="A250" s="142" t="s">
        <v>128</v>
      </c>
      <c r="B250" s="131"/>
      <c r="C250" s="131" t="s">
        <v>153</v>
      </c>
      <c r="D250" s="264">
        <f t="shared" ref="D250:I250" si="69">EXP((LN($D131)*D94+LN($D132)*D95+LN($D133)*D96+LN($D134)*D97+LN($D135)*D98+LN($D136)*D99+LN($D137)*D100+LN($D138)*D101+LN($D139)*D102+LN($D140)*D103+LN($D141)*D104)/100)</f>
        <v>1.4385532665209317</v>
      </c>
      <c r="E250" s="264">
        <f t="shared" si="69"/>
        <v>1.4236053373808755</v>
      </c>
      <c r="F250" s="264">
        <f t="shared" si="69"/>
        <v>1.4311322601297984</v>
      </c>
      <c r="G250" s="264">
        <f t="shared" si="69"/>
        <v>1.407535637905482</v>
      </c>
      <c r="H250" s="264">
        <f t="shared" si="69"/>
        <v>1.4254205549626437</v>
      </c>
      <c r="I250" s="264">
        <f t="shared" si="69"/>
        <v>1.4752766599403275</v>
      </c>
      <c r="J250" s="131"/>
      <c r="K250" s="131"/>
      <c r="L250" s="139"/>
    </row>
    <row r="251" spans="1:12" x14ac:dyDescent="0.2">
      <c r="A251" s="144"/>
      <c r="B251" s="132"/>
      <c r="C251" s="132" t="s">
        <v>154</v>
      </c>
      <c r="D251" s="132">
        <f>EXP(-D250)</f>
        <v>0.23727077807171587</v>
      </c>
      <c r="E251" s="132"/>
      <c r="F251" s="132"/>
      <c r="G251" s="132"/>
      <c r="H251" s="132"/>
      <c r="I251" s="132"/>
      <c r="J251" s="132"/>
      <c r="K251" s="132"/>
      <c r="L251" s="139"/>
    </row>
    <row r="253" spans="1:12" x14ac:dyDescent="0.2">
      <c r="A253" s="142" t="s">
        <v>127</v>
      </c>
      <c r="B253" s="131"/>
      <c r="C253" s="131"/>
      <c r="D253" s="131"/>
      <c r="E253" s="131"/>
      <c r="F253" s="131"/>
      <c r="G253" s="131"/>
      <c r="H253" s="131"/>
      <c r="I253" s="131"/>
      <c r="J253" s="131"/>
      <c r="K253" s="131"/>
      <c r="L253" s="139"/>
    </row>
    <row r="254" spans="1:12" x14ac:dyDescent="0.2">
      <c r="A254" s="143" t="s">
        <v>126</v>
      </c>
      <c r="B254" s="139"/>
      <c r="C254" s="139"/>
      <c r="D254" s="139">
        <f t="shared" ref="D254:I254" si="70">EXP((LN(D227)+LN(D224)+LN(D221))/3)</f>
        <v>110.54895793203097</v>
      </c>
      <c r="E254" s="139">
        <f t="shared" si="70"/>
        <v>126.91717965072708</v>
      </c>
      <c r="F254" s="139">
        <f t="shared" si="70"/>
        <v>116.68045563086586</v>
      </c>
      <c r="G254" s="139">
        <f t="shared" si="70"/>
        <v>137.90892003344305</v>
      </c>
      <c r="H254" s="139">
        <f t="shared" si="70"/>
        <v>126.91717961910386</v>
      </c>
      <c r="I254" s="139">
        <f t="shared" si="70"/>
        <v>81.67061371596283</v>
      </c>
      <c r="J254" s="139"/>
      <c r="K254" s="139"/>
      <c r="L254" s="139"/>
    </row>
    <row r="255" spans="1:12" x14ac:dyDescent="0.2">
      <c r="A255" s="144" t="s">
        <v>48</v>
      </c>
      <c r="B255" s="132"/>
      <c r="C255" s="132"/>
      <c r="D255" s="132">
        <f>EXP(((LN(D227)-LN(D221))/4)+((LN(D229)-LN(D219))/6.6))</f>
        <v>0.17281070878092356</v>
      </c>
      <c r="E255" s="132">
        <f t="shared" ref="E255:I255" si="71">EXP((LN(E227)-LN(E221))/4+(LN(E229)-LN(E219))/6.6)</f>
        <v>0.20016917559381542</v>
      </c>
      <c r="F255" s="132">
        <f t="shared" si="71"/>
        <v>0.17867167710720402</v>
      </c>
      <c r="G255" s="132">
        <f t="shared" si="71"/>
        <v>0.1919290588897794</v>
      </c>
      <c r="H255" s="132">
        <f t="shared" si="71"/>
        <v>0.20248013432940123</v>
      </c>
      <c r="I255" s="132">
        <f t="shared" si="71"/>
        <v>0.14619642037858765</v>
      </c>
      <c r="J255" s="132"/>
      <c r="K255" s="132"/>
      <c r="L255" s="139"/>
    </row>
    <row r="261" spans="3:20" x14ac:dyDescent="0.2">
      <c r="N261" s="129"/>
      <c r="O261" s="129"/>
      <c r="P261" s="129"/>
      <c r="Q261" s="129"/>
      <c r="R261" s="129"/>
      <c r="S261" s="129"/>
    </row>
    <row r="262" spans="3:20" x14ac:dyDescent="0.2">
      <c r="N262" s="193"/>
      <c r="O262" s="129"/>
      <c r="P262" s="129"/>
      <c r="Q262" s="129"/>
      <c r="R262" s="129"/>
      <c r="S262" s="129"/>
    </row>
    <row r="263" spans="3:20" x14ac:dyDescent="0.2">
      <c r="N263" s="129"/>
      <c r="O263" s="129"/>
      <c r="P263" s="129"/>
      <c r="Q263" s="129"/>
      <c r="R263" s="129"/>
      <c r="S263" s="129"/>
    </row>
    <row r="264" spans="3:20" x14ac:dyDescent="0.2">
      <c r="D264" s="36" t="str">
        <f t="shared" ref="D264:J264" si="72">D217</f>
        <v>SC13F</v>
      </c>
      <c r="E264" s="36" t="str">
        <f t="shared" si="72"/>
        <v>13Fdeck1</v>
      </c>
      <c r="F264" s="36" t="str">
        <f t="shared" si="72"/>
        <v>13Fdeck2</v>
      </c>
      <c r="G264" s="36" t="str">
        <f t="shared" si="72"/>
        <v>13Fdeck3</v>
      </c>
      <c r="H264" s="36" t="str">
        <f t="shared" si="72"/>
        <v>13Fdeck4</v>
      </c>
      <c r="I264" s="36" t="str">
        <f t="shared" si="72"/>
        <v>13Fdeck5</v>
      </c>
      <c r="J264" s="36" t="str">
        <f t="shared" si="72"/>
        <v>Mean13F</v>
      </c>
      <c r="T264" s="129"/>
    </row>
    <row r="265" spans="3:20" x14ac:dyDescent="0.2">
      <c r="C265" s="226">
        <v>1</v>
      </c>
      <c r="D265" s="199">
        <f t="shared" ref="D265:J280" si="73">IF($C265&gt;=D$95,D$66*$C265^(1/D$65),IF(AND($C265&gt;=D$96,$C265&lt;D$95),D$68*$C265^(1/D$67),D$70*$C265^(1/D$69)))</f>
        <v>1468.9254149671774</v>
      </c>
      <c r="E265" s="199">
        <f t="shared" si="73"/>
        <v>1537.9211099198712</v>
      </c>
      <c r="F265" s="199">
        <f t="shared" si="73"/>
        <v>1472.5150964189204</v>
      </c>
      <c r="G265" s="199">
        <f t="shared" si="73"/>
        <v>1551.5810991674007</v>
      </c>
      <c r="H265" s="199">
        <f t="shared" si="73"/>
        <v>1425.7113544733579</v>
      </c>
      <c r="I265" s="199">
        <f t="shared" si="73"/>
        <v>1461.7300319582632</v>
      </c>
      <c r="J265" s="199">
        <f t="shared" si="73"/>
        <v>1486.3973511508318</v>
      </c>
      <c r="K265" s="160"/>
      <c r="L265" s="160"/>
      <c r="N265" s="129"/>
      <c r="O265" s="129"/>
      <c r="P265" s="129"/>
      <c r="Q265" s="129"/>
      <c r="R265" s="129"/>
      <c r="S265" s="129"/>
    </row>
    <row r="266" spans="3:20" x14ac:dyDescent="0.2">
      <c r="C266" s="226">
        <v>0.99</v>
      </c>
      <c r="D266" s="199">
        <f t="shared" si="73"/>
        <v>1348.9219385204585</v>
      </c>
      <c r="E266" s="199">
        <f t="shared" si="73"/>
        <v>1422.770039235676</v>
      </c>
      <c r="F266" s="199">
        <f t="shared" si="73"/>
        <v>1356.9697617061099</v>
      </c>
      <c r="G266" s="199">
        <f t="shared" si="73"/>
        <v>1450.6455510940773</v>
      </c>
      <c r="H266" s="199">
        <f t="shared" si="73"/>
        <v>1318.9619328708577</v>
      </c>
      <c r="I266" s="199">
        <f t="shared" si="73"/>
        <v>1309.2447866417308</v>
      </c>
      <c r="J266" s="199">
        <f t="shared" si="73"/>
        <v>1370.0502073314512</v>
      </c>
      <c r="K266" s="160"/>
      <c r="L266" s="160"/>
      <c r="N266" s="129"/>
      <c r="O266" s="129"/>
      <c r="P266" s="129"/>
      <c r="Q266" s="129"/>
      <c r="R266" s="129"/>
      <c r="S266" s="129"/>
    </row>
    <row r="267" spans="3:20" x14ac:dyDescent="0.2">
      <c r="C267" s="226">
        <v>0.98</v>
      </c>
      <c r="D267" s="199">
        <f t="shared" si="73"/>
        <v>1237.6507770456226</v>
      </c>
      <c r="E267" s="199">
        <f t="shared" si="73"/>
        <v>1315.2012645547422</v>
      </c>
      <c r="F267" s="199">
        <f t="shared" si="73"/>
        <v>1249.4540172139789</v>
      </c>
      <c r="G267" s="199">
        <f t="shared" si="73"/>
        <v>1355.3502956843026</v>
      </c>
      <c r="H267" s="199">
        <f t="shared" si="73"/>
        <v>1219.2415880103961</v>
      </c>
      <c r="I267" s="199">
        <f t="shared" si="73"/>
        <v>1171.3556559765545</v>
      </c>
      <c r="J267" s="199">
        <f t="shared" si="73"/>
        <v>1261.7655382127978</v>
      </c>
      <c r="K267" s="160"/>
      <c r="L267" s="160"/>
      <c r="N267" s="129"/>
      <c r="O267" s="129"/>
      <c r="P267" s="129"/>
      <c r="Q267" s="129"/>
      <c r="R267" s="129"/>
      <c r="S267" s="129"/>
    </row>
    <row r="268" spans="3:20" x14ac:dyDescent="0.2">
      <c r="C268" s="226">
        <v>0.97</v>
      </c>
      <c r="D268" s="199">
        <f t="shared" si="73"/>
        <v>1134.5560059752654</v>
      </c>
      <c r="E268" s="199">
        <f t="shared" si="73"/>
        <v>1214.7853303990678</v>
      </c>
      <c r="F268" s="199">
        <f t="shared" si="73"/>
        <v>1149.4833572549251</v>
      </c>
      <c r="G268" s="199">
        <f t="shared" si="73"/>
        <v>1265.4329243197822</v>
      </c>
      <c r="H268" s="199">
        <f t="shared" si="73"/>
        <v>1126.1521983321093</v>
      </c>
      <c r="I268" s="199">
        <f t="shared" si="73"/>
        <v>1046.7934159014421</v>
      </c>
      <c r="J268" s="199">
        <f t="shared" si="73"/>
        <v>1161.0584598398868</v>
      </c>
      <c r="K268" s="160"/>
      <c r="L268" s="160"/>
      <c r="N268" s="129"/>
      <c r="O268" s="129"/>
      <c r="P268" s="129"/>
      <c r="Q268" s="129"/>
      <c r="R268" s="129"/>
      <c r="S268" s="129"/>
    </row>
    <row r="269" spans="3:20" x14ac:dyDescent="0.2">
      <c r="C269" s="226">
        <v>0.96</v>
      </c>
      <c r="D269" s="199">
        <f t="shared" si="73"/>
        <v>1039.1119300247631</v>
      </c>
      <c r="E269" s="199">
        <f t="shared" si="73"/>
        <v>1121.1130718914933</v>
      </c>
      <c r="F269" s="199">
        <f t="shared" si="73"/>
        <v>1056.5979877593513</v>
      </c>
      <c r="G269" s="199">
        <f t="shared" si="73"/>
        <v>1180.6407320395542</v>
      </c>
      <c r="H269" s="199">
        <f t="shared" si="73"/>
        <v>1039.314452434746</v>
      </c>
      <c r="I269" s="199">
        <f t="shared" si="73"/>
        <v>934.3878643457482</v>
      </c>
      <c r="J269" s="199">
        <f t="shared" si="73"/>
        <v>1067.4687211309076</v>
      </c>
      <c r="K269" s="160"/>
      <c r="L269" s="160"/>
      <c r="N269" s="129"/>
      <c r="O269" s="129"/>
      <c r="P269" s="129"/>
      <c r="Q269" s="129"/>
      <c r="R269" s="129"/>
      <c r="S269" s="129"/>
    </row>
    <row r="270" spans="3:20" x14ac:dyDescent="0.2">
      <c r="C270" s="226">
        <v>0.95</v>
      </c>
      <c r="D270" s="199">
        <f t="shared" si="73"/>
        <v>950.82172581606869</v>
      </c>
      <c r="E270" s="199">
        <f t="shared" si="73"/>
        <v>1033.794850510646</v>
      </c>
      <c r="F270" s="199">
        <f t="shared" si="73"/>
        <v>970.36180127136788</v>
      </c>
      <c r="G270" s="199">
        <f t="shared" si="73"/>
        <v>1100.7304532112473</v>
      </c>
      <c r="H270" s="199">
        <f t="shared" si="73"/>
        <v>958.36714059143674</v>
      </c>
      <c r="I270" s="199">
        <f t="shared" si="73"/>
        <v>833.06099855547143</v>
      </c>
      <c r="J270" s="199">
        <f t="shared" si="73"/>
        <v>980.55968719535679</v>
      </c>
      <c r="K270" s="160"/>
      <c r="L270" s="160"/>
      <c r="N270" s="129"/>
      <c r="O270" s="129"/>
      <c r="P270" s="129"/>
      <c r="Q270" s="129"/>
      <c r="R270" s="129"/>
      <c r="S270" s="129"/>
    </row>
    <row r="271" spans="3:20" x14ac:dyDescent="0.2">
      <c r="C271" s="226">
        <v>0.94</v>
      </c>
      <c r="D271" s="199">
        <f t="shared" si="73"/>
        <v>869.21613232926381</v>
      </c>
      <c r="E271" s="199">
        <f t="shared" si="73"/>
        <v>952.45981115799202</v>
      </c>
      <c r="F271" s="199">
        <f t="shared" si="73"/>
        <v>890.36138449741395</v>
      </c>
      <c r="G271" s="199">
        <f t="shared" si="73"/>
        <v>1025.4680017754115</v>
      </c>
      <c r="H271" s="199">
        <f t="shared" si="73"/>
        <v>882.9664660225975</v>
      </c>
      <c r="I271" s="199">
        <f t="shared" si="73"/>
        <v>741.82059904672917</v>
      </c>
      <c r="J271" s="199">
        <f t="shared" si="73"/>
        <v>899.91735472888604</v>
      </c>
      <c r="K271" s="160"/>
      <c r="L271" s="160"/>
      <c r="N271" s="129"/>
      <c r="O271" s="129"/>
      <c r="P271" s="129"/>
      <c r="Q271" s="129"/>
      <c r="R271" s="129"/>
      <c r="S271" s="129"/>
    </row>
    <row r="272" spans="3:20" x14ac:dyDescent="0.2">
      <c r="C272" s="226">
        <v>0.93</v>
      </c>
      <c r="D272" s="199">
        <f t="shared" si="73"/>
        <v>793.85218796854042</v>
      </c>
      <c r="E272" s="199">
        <f t="shared" si="73"/>
        <v>876.75516015539279</v>
      </c>
      <c r="F272" s="199">
        <f t="shared" si="73"/>
        <v>816.20505769690328</v>
      </c>
      <c r="G272" s="199">
        <f t="shared" si="73"/>
        <v>954.62821603020677</v>
      </c>
      <c r="H272" s="199">
        <f t="shared" si="73"/>
        <v>812.78537557220886</v>
      </c>
      <c r="I272" s="199">
        <f t="shared" si="73"/>
        <v>659.75419981117875</v>
      </c>
      <c r="J272" s="199">
        <f t="shared" si="73"/>
        <v>825.149398791159</v>
      </c>
      <c r="K272" s="160"/>
      <c r="L272" s="160"/>
      <c r="N272" s="129"/>
      <c r="O272" s="129"/>
      <c r="P272" s="129"/>
      <c r="Q272" s="129"/>
      <c r="R272" s="129"/>
      <c r="S272" s="129"/>
    </row>
    <row r="273" spans="3:19" x14ac:dyDescent="0.2">
      <c r="C273" s="226">
        <v>0.92</v>
      </c>
      <c r="D273" s="199">
        <f t="shared" si="73"/>
        <v>724.31201304782473</v>
      </c>
      <c r="E273" s="199">
        <f t="shared" si="73"/>
        <v>806.34546379449148</v>
      </c>
      <c r="F273" s="199">
        <f t="shared" si="73"/>
        <v>747.52194521231388</v>
      </c>
      <c r="G273" s="199">
        <f t="shared" si="73"/>
        <v>887.99460792361572</v>
      </c>
      <c r="H273" s="199">
        <f t="shared" si="73"/>
        <v>747.51290943642073</v>
      </c>
      <c r="I273" s="199">
        <f t="shared" si="73"/>
        <v>599.37900341155387</v>
      </c>
      <c r="J273" s="199">
        <f t="shared" si="73"/>
        <v>755.88425028097276</v>
      </c>
      <c r="K273" s="160"/>
      <c r="L273" s="160"/>
      <c r="N273" s="129"/>
      <c r="O273" s="129"/>
      <c r="P273" s="129"/>
      <c r="Q273" s="129"/>
      <c r="R273" s="129"/>
      <c r="S273" s="129"/>
    </row>
    <row r="274" spans="3:19" x14ac:dyDescent="0.2">
      <c r="C274" s="226">
        <v>0.91</v>
      </c>
      <c r="D274" s="199">
        <f t="shared" si="73"/>
        <v>660.20163651975167</v>
      </c>
      <c r="E274" s="199">
        <f t="shared" si="73"/>
        <v>740.91196706223786</v>
      </c>
      <c r="F274" s="199">
        <f t="shared" si="73"/>
        <v>683.96107644447306</v>
      </c>
      <c r="G274" s="199">
        <f t="shared" si="73"/>
        <v>825.35911682026779</v>
      </c>
      <c r="H274" s="199">
        <f t="shared" si="73"/>
        <v>686.85356959620628</v>
      </c>
      <c r="I274" s="199">
        <f t="shared" si="73"/>
        <v>568.22615647698331</v>
      </c>
      <c r="J274" s="199">
        <f t="shared" si="73"/>
        <v>691.77020343089009</v>
      </c>
      <c r="K274" s="160"/>
      <c r="L274" s="160"/>
      <c r="N274" s="129"/>
      <c r="O274" s="129"/>
      <c r="P274" s="129"/>
      <c r="Q274" s="129"/>
      <c r="R274" s="129"/>
      <c r="S274" s="129"/>
    </row>
    <row r="275" spans="3:19" x14ac:dyDescent="0.2">
      <c r="C275" s="226">
        <v>0.9</v>
      </c>
      <c r="D275" s="199">
        <f t="shared" si="73"/>
        <v>601.14986579003516</v>
      </c>
      <c r="E275" s="199">
        <f t="shared" si="73"/>
        <v>680.15193216977923</v>
      </c>
      <c r="F275" s="199">
        <f t="shared" si="73"/>
        <v>625.19051658706735</v>
      </c>
      <c r="G275" s="199">
        <f t="shared" si="73"/>
        <v>766.52186770981621</v>
      </c>
      <c r="H275" s="199">
        <f t="shared" si="73"/>
        <v>630.52670660848844</v>
      </c>
      <c r="I275" s="199">
        <f t="shared" si="73"/>
        <v>538.37486513814076</v>
      </c>
      <c r="J275" s="199">
        <f t="shared" si="73"/>
        <v>632.47455265154963</v>
      </c>
      <c r="K275" s="160"/>
      <c r="L275" s="160"/>
      <c r="N275" s="129"/>
      <c r="O275" s="129"/>
      <c r="P275" s="129"/>
      <c r="Q275" s="129"/>
      <c r="R275" s="129"/>
      <c r="S275" s="129"/>
    </row>
    <row r="276" spans="3:19" x14ac:dyDescent="0.2">
      <c r="C276" s="226">
        <v>0.89</v>
      </c>
      <c r="D276" s="199">
        <f t="shared" si="73"/>
        <v>591.30369639850915</v>
      </c>
      <c r="E276" s="199">
        <f t="shared" si="73"/>
        <v>623.77799651495093</v>
      </c>
      <c r="F276" s="199">
        <f t="shared" si="73"/>
        <v>602.5547270386179</v>
      </c>
      <c r="G276" s="199">
        <f t="shared" si="73"/>
        <v>711.29093382373753</v>
      </c>
      <c r="H276" s="199">
        <f t="shared" si="73"/>
        <v>621.52260559764647</v>
      </c>
      <c r="I276" s="199">
        <f t="shared" si="73"/>
        <v>509.7843110199484</v>
      </c>
      <c r="J276" s="199">
        <f t="shared" si="73"/>
        <v>606.74300323515138</v>
      </c>
      <c r="K276" s="160"/>
      <c r="L276" s="160"/>
      <c r="N276" s="129"/>
      <c r="O276" s="129"/>
      <c r="P276" s="129"/>
      <c r="Q276" s="129"/>
      <c r="R276" s="129"/>
      <c r="S276" s="129"/>
    </row>
    <row r="277" spans="3:19" x14ac:dyDescent="0.2">
      <c r="C277" s="226">
        <v>0.88</v>
      </c>
      <c r="D277" s="199">
        <f t="shared" si="73"/>
        <v>565.5660088438658</v>
      </c>
      <c r="E277" s="199">
        <f t="shared" si="73"/>
        <v>590.47649893108746</v>
      </c>
      <c r="F277" s="199">
        <f t="shared" si="73"/>
        <v>577.24859774665629</v>
      </c>
      <c r="G277" s="199">
        <f t="shared" si="73"/>
        <v>659.48210362728548</v>
      </c>
      <c r="H277" s="199">
        <f t="shared" si="73"/>
        <v>590.47649848971025</v>
      </c>
      <c r="I277" s="199">
        <f t="shared" si="73"/>
        <v>482.41452119624716</v>
      </c>
      <c r="J277" s="199">
        <f t="shared" si="73"/>
        <v>579.03542075572352</v>
      </c>
      <c r="K277" s="160"/>
      <c r="L277" s="160"/>
      <c r="N277" s="129"/>
      <c r="O277" s="129"/>
      <c r="P277" s="129"/>
      <c r="Q277" s="129"/>
      <c r="R277" s="129"/>
      <c r="S277" s="129"/>
    </row>
    <row r="278" spans="3:19" x14ac:dyDescent="0.2">
      <c r="C278" s="226">
        <v>0.87</v>
      </c>
      <c r="D278" s="199">
        <f t="shared" si="73"/>
        <v>540.67354218197022</v>
      </c>
      <c r="E278" s="199">
        <f t="shared" si="73"/>
        <v>560.65276023908382</v>
      </c>
      <c r="F278" s="199">
        <f t="shared" si="73"/>
        <v>552.73417219158148</v>
      </c>
      <c r="G278" s="199">
        <f t="shared" si="73"/>
        <v>610.9186521532348</v>
      </c>
      <c r="H278" s="199">
        <f t="shared" si="73"/>
        <v>560.65275981999969</v>
      </c>
      <c r="I278" s="199">
        <f t="shared" si="73"/>
        <v>456.22635988272737</v>
      </c>
      <c r="J278" s="199">
        <f t="shared" si="73"/>
        <v>552.29801780328796</v>
      </c>
      <c r="K278" s="160"/>
      <c r="L278" s="160"/>
    </row>
    <row r="279" spans="3:19" x14ac:dyDescent="0.2">
      <c r="C279" s="226">
        <v>0.86</v>
      </c>
      <c r="D279" s="199">
        <f t="shared" si="73"/>
        <v>516.60777768943706</v>
      </c>
      <c r="E279" s="199">
        <f t="shared" si="73"/>
        <v>532.01648632039519</v>
      </c>
      <c r="F279" s="199">
        <f t="shared" si="73"/>
        <v>528.99535613188505</v>
      </c>
      <c r="G279" s="199">
        <f t="shared" si="73"/>
        <v>599.07376533218485</v>
      </c>
      <c r="H279" s="199">
        <f t="shared" si="73"/>
        <v>532.01648592271647</v>
      </c>
      <c r="I279" s="199">
        <f t="shared" si="73"/>
        <v>431.18152011899872</v>
      </c>
      <c r="J279" s="199">
        <f t="shared" si="73"/>
        <v>526.50739154888117</v>
      </c>
    </row>
    <row r="280" spans="3:19" x14ac:dyDescent="0.2">
      <c r="C280" s="226">
        <v>0.85</v>
      </c>
      <c r="D280" s="199">
        <f t="shared" si="73"/>
        <v>493.35039532947872</v>
      </c>
      <c r="E280" s="199">
        <f t="shared" si="73"/>
        <v>504.53338389715253</v>
      </c>
      <c r="F280" s="199">
        <f t="shared" si="73"/>
        <v>506.01620211068411</v>
      </c>
      <c r="G280" s="199">
        <f t="shared" si="73"/>
        <v>575.18472454617404</v>
      </c>
      <c r="H280" s="199">
        <f t="shared" si="73"/>
        <v>504.53338352001725</v>
      </c>
      <c r="I280" s="199">
        <f t="shared" si="73"/>
        <v>397.52141703409222</v>
      </c>
      <c r="J280" s="199">
        <f t="shared" si="73"/>
        <v>501.64044291831419</v>
      </c>
    </row>
    <row r="281" spans="3:19" x14ac:dyDescent="0.2">
      <c r="C281" s="226">
        <v>0.84</v>
      </c>
      <c r="D281" s="199">
        <f t="shared" ref="D281:J296" si="74">IF($C281&gt;=D$95,D$66*$C281^(1/D$65),IF(AND($C281&gt;=D$96,$C281&lt;D$95),D$68*$C281^(1/D$67),D$70*$C281^(1/D$69)))</f>
        <v>470.88327389334034</v>
      </c>
      <c r="E281" s="199">
        <f t="shared" si="74"/>
        <v>478.16976631638545</v>
      </c>
      <c r="F281" s="199">
        <f t="shared" si="74"/>
        <v>483.7809098004663</v>
      </c>
      <c r="G281" s="199">
        <f t="shared" si="74"/>
        <v>551.98240438018638</v>
      </c>
      <c r="H281" s="199">
        <f t="shared" si="74"/>
        <v>478.16976595895682</v>
      </c>
      <c r="I281" s="199">
        <f t="shared" si="74"/>
        <v>387.55364900770712</v>
      </c>
      <c r="J281" s="199">
        <f t="shared" si="74"/>
        <v>477.67437611286618</v>
      </c>
    </row>
    <row r="282" spans="3:19" x14ac:dyDescent="0.2">
      <c r="C282" s="268">
        <v>0.83</v>
      </c>
      <c r="D282" s="199">
        <f t="shared" si="74"/>
        <v>449.18849114349177</v>
      </c>
      <c r="E282" s="199">
        <f t="shared" si="74"/>
        <v>452.89254976655604</v>
      </c>
      <c r="F282" s="199">
        <f t="shared" si="74"/>
        <v>462.27382635268941</v>
      </c>
      <c r="G282" s="199">
        <f t="shared" si="74"/>
        <v>529.45488773916691</v>
      </c>
      <c r="H282" s="199">
        <f t="shared" si="74"/>
        <v>452.89254942802188</v>
      </c>
      <c r="I282" s="199">
        <f t="shared" si="74"/>
        <v>377.72092575367168</v>
      </c>
      <c r="J282" s="199">
        <f t="shared" si="74"/>
        <v>454.58669812513972</v>
      </c>
    </row>
    <row r="283" spans="3:19" x14ac:dyDescent="0.2">
      <c r="C283" s="226">
        <v>0.82</v>
      </c>
      <c r="D283" s="199">
        <f t="shared" si="74"/>
        <v>428.24832395861915</v>
      </c>
      <c r="E283" s="199">
        <f t="shared" si="74"/>
        <v>428.66924947333251</v>
      </c>
      <c r="F283" s="199">
        <f t="shared" si="74"/>
        <v>441.47944675236562</v>
      </c>
      <c r="G283" s="199">
        <f t="shared" si="74"/>
        <v>507.59032532831134</v>
      </c>
      <c r="H283" s="199">
        <f t="shared" si="74"/>
        <v>428.66924915290514</v>
      </c>
      <c r="I283" s="199">
        <f t="shared" si="74"/>
        <v>368.02301164767334</v>
      </c>
      <c r="J283" s="199">
        <f t="shared" si="74"/>
        <v>432.35521824997249</v>
      </c>
    </row>
    <row r="284" spans="3:19" x14ac:dyDescent="0.2">
      <c r="C284" s="226">
        <v>0.81</v>
      </c>
      <c r="D284" s="199">
        <f t="shared" si="74"/>
        <v>402.50173294423388</v>
      </c>
      <c r="E284" s="199">
        <f t="shared" si="74"/>
        <v>395.61926563000753</v>
      </c>
      <c r="F284" s="199">
        <f t="shared" si="74"/>
        <v>412.94727961842852</v>
      </c>
      <c r="G284" s="199">
        <f t="shared" si="74"/>
        <v>486.37693607725998</v>
      </c>
      <c r="H284" s="199">
        <f t="shared" si="74"/>
        <v>395.61926563000753</v>
      </c>
      <c r="I284" s="199">
        <f t="shared" si="74"/>
        <v>358.45966862777567</v>
      </c>
      <c r="J284" s="199">
        <f t="shared" si="74"/>
        <v>401.03810119361498</v>
      </c>
    </row>
    <row r="285" spans="3:19" x14ac:dyDescent="0.2">
      <c r="C285" s="226">
        <v>0.8</v>
      </c>
      <c r="D285" s="199">
        <f t="shared" si="74"/>
        <v>393.03045666088161</v>
      </c>
      <c r="E285" s="199">
        <f t="shared" si="74"/>
        <v>387.29952469120451</v>
      </c>
      <c r="F285" s="199">
        <f t="shared" si="74"/>
        <v>403.42945070144805</v>
      </c>
      <c r="G285" s="199">
        <f t="shared" si="74"/>
        <v>465.80300757213371</v>
      </c>
      <c r="H285" s="199">
        <f t="shared" si="74"/>
        <v>387.29952469120451</v>
      </c>
      <c r="I285" s="199">
        <f t="shared" si="74"/>
        <v>349.03065613900361</v>
      </c>
      <c r="J285" s="199">
        <f t="shared" si="74"/>
        <v>391.97080717319301</v>
      </c>
    </row>
    <row r="286" spans="3:19" x14ac:dyDescent="0.2">
      <c r="C286" s="226">
        <v>0.79</v>
      </c>
      <c r="D286" s="199">
        <f t="shared" si="74"/>
        <v>383.66711077173346</v>
      </c>
      <c r="E286" s="199">
        <f t="shared" si="74"/>
        <v>379.05339083615985</v>
      </c>
      <c r="F286" s="199">
        <f t="shared" si="74"/>
        <v>394.01540435232329</v>
      </c>
      <c r="G286" s="199">
        <f t="shared" si="74"/>
        <v>445.85689649566154</v>
      </c>
      <c r="H286" s="199">
        <f t="shared" si="74"/>
        <v>379.05339083615985</v>
      </c>
      <c r="I286" s="199">
        <f t="shared" si="74"/>
        <v>339.73573107596644</v>
      </c>
      <c r="J286" s="199">
        <f t="shared" si="74"/>
        <v>382.99832812855641</v>
      </c>
    </row>
    <row r="287" spans="3:19" x14ac:dyDescent="0.2">
      <c r="C287" s="226">
        <v>0.78</v>
      </c>
      <c r="D287" s="199">
        <f t="shared" si="74"/>
        <v>374.41180820567115</v>
      </c>
      <c r="E287" s="199">
        <f t="shared" si="74"/>
        <v>370.88113221669778</v>
      </c>
      <c r="F287" s="199">
        <f t="shared" si="74"/>
        <v>384.70530114164467</v>
      </c>
      <c r="G287" s="199">
        <f t="shared" si="74"/>
        <v>426.5270290756485</v>
      </c>
      <c r="H287" s="199">
        <f t="shared" si="74"/>
        <v>370.88113221669778</v>
      </c>
      <c r="I287" s="199">
        <f t="shared" si="74"/>
        <v>330.57464772342126</v>
      </c>
      <c r="J287" s="199">
        <f t="shared" si="74"/>
        <v>374.12085396340007</v>
      </c>
    </row>
    <row r="288" spans="3:19" x14ac:dyDescent="0.2">
      <c r="C288" s="226">
        <v>0.77</v>
      </c>
      <c r="D288" s="199">
        <f t="shared" si="74"/>
        <v>365.26466345071032</v>
      </c>
      <c r="E288" s="199">
        <f t="shared" si="74"/>
        <v>362.7830213965625</v>
      </c>
      <c r="F288" s="199">
        <f t="shared" si="74"/>
        <v>375.49930393886763</v>
      </c>
      <c r="G288" s="199">
        <f t="shared" si="74"/>
        <v>399.71710654646029</v>
      </c>
      <c r="H288" s="199">
        <f t="shared" si="74"/>
        <v>362.7830213965625</v>
      </c>
      <c r="I288" s="199">
        <f t="shared" si="74"/>
        <v>321.54715769467754</v>
      </c>
      <c r="J288" s="199">
        <f t="shared" si="74"/>
        <v>365.33857738844836</v>
      </c>
    </row>
    <row r="289" spans="3:10" x14ac:dyDescent="0.2">
      <c r="C289" s="226">
        <v>0.76</v>
      </c>
      <c r="D289" s="199">
        <f t="shared" si="74"/>
        <v>356.2257925959363</v>
      </c>
      <c r="E289" s="199">
        <f t="shared" si="74"/>
        <v>354.75933548199021</v>
      </c>
      <c r="F289" s="199">
        <f t="shared" si="74"/>
        <v>366.39757797534151</v>
      </c>
      <c r="G289" s="199">
        <f t="shared" si="74"/>
        <v>390.65141811529946</v>
      </c>
      <c r="H289" s="199">
        <f t="shared" si="74"/>
        <v>354.75933548199021</v>
      </c>
      <c r="I289" s="199">
        <f t="shared" si="74"/>
        <v>312.65300986773502</v>
      </c>
      <c r="J289" s="199">
        <f t="shared" si="74"/>
        <v>356.65169399974616</v>
      </c>
    </row>
    <row r="290" spans="3:10" x14ac:dyDescent="0.2">
      <c r="C290" s="226">
        <v>0.75</v>
      </c>
      <c r="D290" s="199">
        <f t="shared" si="74"/>
        <v>347.29531337513163</v>
      </c>
      <c r="E290" s="199">
        <f t="shared" si="74"/>
        <v>346.81035625790696</v>
      </c>
      <c r="F290" s="199">
        <f t="shared" si="74"/>
        <v>357.40029090991385</v>
      </c>
      <c r="G290" s="199">
        <f t="shared" si="74"/>
        <v>381.67534508195058</v>
      </c>
      <c r="H290" s="199">
        <f t="shared" si="74"/>
        <v>346.81035625790696</v>
      </c>
      <c r="I290" s="199">
        <f t="shared" si="74"/>
        <v>303.89195031904075</v>
      </c>
      <c r="J290" s="199">
        <f t="shared" si="74"/>
        <v>348.06040236018589</v>
      </c>
    </row>
    <row r="291" spans="3:10" x14ac:dyDescent="0.2">
      <c r="C291" s="226">
        <v>0.74</v>
      </c>
      <c r="D291" s="199">
        <f t="shared" si="74"/>
        <v>338.47334521218545</v>
      </c>
      <c r="E291" s="199">
        <f t="shared" si="74"/>
        <v>338.93637033007178</v>
      </c>
      <c r="F291" s="199">
        <f t="shared" si="74"/>
        <v>348.50761289725153</v>
      </c>
      <c r="G291" s="199">
        <f t="shared" si="74"/>
        <v>372.78917874663995</v>
      </c>
      <c r="H291" s="199">
        <f t="shared" si="74"/>
        <v>338.93637033007178</v>
      </c>
      <c r="I291" s="199">
        <f t="shared" si="74"/>
        <v>295.26372225474381</v>
      </c>
      <c r="J291" s="199">
        <f t="shared" si="74"/>
        <v>339.5649040844508</v>
      </c>
    </row>
    <row r="292" spans="3:10" x14ac:dyDescent="0.2">
      <c r="C292" s="226">
        <v>0.73</v>
      </c>
      <c r="D292" s="199">
        <f t="shared" si="74"/>
        <v>329.76000926838498</v>
      </c>
      <c r="E292" s="199">
        <f t="shared" si="74"/>
        <v>331.13766927350872</v>
      </c>
      <c r="F292" s="199">
        <f t="shared" si="74"/>
        <v>339.71971665902703</v>
      </c>
      <c r="G292" s="199">
        <f t="shared" si="74"/>
        <v>363.99321528612637</v>
      </c>
      <c r="H292" s="199">
        <f t="shared" si="74"/>
        <v>331.13766927350872</v>
      </c>
      <c r="I292" s="199">
        <f t="shared" si="74"/>
        <v>286.76806593931832</v>
      </c>
      <c r="J292" s="199">
        <f t="shared" si="74"/>
        <v>331.16540392756457</v>
      </c>
    </row>
    <row r="293" spans="3:10" x14ac:dyDescent="0.2">
      <c r="C293" s="226">
        <v>0.72</v>
      </c>
      <c r="D293" s="199">
        <f t="shared" si="74"/>
        <v>321.15542849169071</v>
      </c>
      <c r="E293" s="199">
        <f t="shared" si="74"/>
        <v>323.414549787596</v>
      </c>
      <c r="F293" s="199">
        <f t="shared" si="74"/>
        <v>331.0367775581343</v>
      </c>
      <c r="G293" s="199">
        <f t="shared" si="74"/>
        <v>355.28775590292037</v>
      </c>
      <c r="H293" s="199">
        <f t="shared" si="74"/>
        <v>323.414549787596</v>
      </c>
      <c r="I293" s="199">
        <f t="shared" si="74"/>
        <v>278.40471862141737</v>
      </c>
      <c r="J293" s="199">
        <f t="shared" si="74"/>
        <v>322.86210987725099</v>
      </c>
    </row>
    <row r="294" spans="3:10" x14ac:dyDescent="0.2">
      <c r="C294" s="226">
        <v>0.71</v>
      </c>
      <c r="D294" s="199">
        <f t="shared" si="74"/>
        <v>312.65972766811001</v>
      </c>
      <c r="E294" s="199">
        <f t="shared" si="74"/>
        <v>315.7673138582046</v>
      </c>
      <c r="F294" s="199">
        <f t="shared" si="74"/>
        <v>322.45897367610394</v>
      </c>
      <c r="G294" s="199">
        <f t="shared" si="74"/>
        <v>346.67310698119479</v>
      </c>
      <c r="H294" s="199">
        <f t="shared" si="74"/>
        <v>315.7673138582046</v>
      </c>
      <c r="I294" s="199">
        <f t="shared" si="74"/>
        <v>270.17341445681001</v>
      </c>
      <c r="J294" s="199">
        <f t="shared" si="74"/>
        <v>314.65523325032399</v>
      </c>
    </row>
    <row r="295" spans="3:10" x14ac:dyDescent="0.2">
      <c r="C295" s="226">
        <v>0.7</v>
      </c>
      <c r="D295" s="199">
        <f t="shared" si="74"/>
        <v>304.27303347528647</v>
      </c>
      <c r="E295" s="199">
        <f t="shared" si="74"/>
        <v>308.19626892731412</v>
      </c>
      <c r="F295" s="199">
        <f t="shared" si="74"/>
        <v>313.98648589390245</v>
      </c>
      <c r="G295" s="199">
        <f t="shared" si="74"/>
        <v>338.14958024978512</v>
      </c>
      <c r="H295" s="199">
        <f t="shared" si="74"/>
        <v>308.19626892731412</v>
      </c>
      <c r="I295" s="199">
        <f t="shared" si="74"/>
        <v>262.0738844282443</v>
      </c>
      <c r="J295" s="199">
        <f t="shared" si="74"/>
        <v>306.54498879334125</v>
      </c>
    </row>
    <row r="296" spans="3:10" x14ac:dyDescent="0.2">
      <c r="C296" s="226">
        <v>0.69</v>
      </c>
      <c r="D296" s="199">
        <f t="shared" si="74"/>
        <v>295.9954745384357</v>
      </c>
      <c r="E296" s="199">
        <f t="shared" si="74"/>
        <v>300.70172807055809</v>
      </c>
      <c r="F296" s="199">
        <f t="shared" si="74"/>
        <v>305.61949797631581</v>
      </c>
      <c r="G296" s="199">
        <f t="shared" si="74"/>
        <v>329.71749295270655</v>
      </c>
      <c r="H296" s="199">
        <f t="shared" si="74"/>
        <v>300.70172807055809</v>
      </c>
      <c r="I296" s="199">
        <f t="shared" si="74"/>
        <v>254.10585626206915</v>
      </c>
      <c r="J296" s="199">
        <f t="shared" si="74"/>
        <v>298.53159478777485</v>
      </c>
    </row>
    <row r="297" spans="3:10" x14ac:dyDescent="0.2">
      <c r="C297" s="226">
        <v>0.68</v>
      </c>
      <c r="D297" s="199">
        <f t="shared" ref="D297:J312" si="75">IF($C297&gt;=D$95,D$66*$C297^(1/D$65),IF(AND($C297&gt;=D$96,$C297&lt;D$95),D$68*$C297^(1/D$67),D$70*$C297^(1/D$69)))</f>
        <v>287.8271814887641</v>
      </c>
      <c r="E297" s="199">
        <f t="shared" si="75"/>
        <v>293.28401018319124</v>
      </c>
      <c r="F297" s="199">
        <f t="shared" si="75"/>
        <v>297.35819666012787</v>
      </c>
      <c r="G297" s="199">
        <f t="shared" si="75"/>
        <v>321.37716802764908</v>
      </c>
      <c r="H297" s="199">
        <f t="shared" si="75"/>
        <v>293.28401018319124</v>
      </c>
      <c r="I297" s="199">
        <f t="shared" si="75"/>
        <v>246.26905434143509</v>
      </c>
      <c r="J297" s="199">
        <f t="shared" si="75"/>
        <v>290.61527315996807</v>
      </c>
    </row>
    <row r="298" spans="3:10" x14ac:dyDescent="0.2">
      <c r="C298" s="226">
        <v>0.67</v>
      </c>
      <c r="D298" s="199">
        <f t="shared" si="75"/>
        <v>279.76828702451883</v>
      </c>
      <c r="E298" s="199">
        <f t="shared" si="75"/>
        <v>285.9434401750068</v>
      </c>
      <c r="F298" s="199">
        <f t="shared" si="75"/>
        <v>289.20277174632315</v>
      </c>
      <c r="G298" s="199">
        <f t="shared" si="75"/>
        <v>313.12893429294377</v>
      </c>
      <c r="H298" s="199">
        <f t="shared" si="75"/>
        <v>285.9434401750068</v>
      </c>
      <c r="I298" s="199">
        <f t="shared" si="75"/>
        <v>238.56319961588048</v>
      </c>
      <c r="J298" s="199">
        <f t="shared" si="75"/>
        <v>282.79624959617007</v>
      </c>
    </row>
    <row r="299" spans="3:10" x14ac:dyDescent="0.2">
      <c r="C299" s="226">
        <v>0.66</v>
      </c>
      <c r="D299" s="199">
        <f t="shared" si="75"/>
        <v>271.81892597482914</v>
      </c>
      <c r="E299" s="199">
        <f t="shared" si="75"/>
        <v>278.68034917477411</v>
      </c>
      <c r="F299" s="199">
        <f t="shared" si="75"/>
        <v>281.15341619656124</v>
      </c>
      <c r="G299" s="199">
        <f t="shared" si="75"/>
        <v>304.97312664353706</v>
      </c>
      <c r="H299" s="199">
        <f t="shared" si="75"/>
        <v>278.68034917477411</v>
      </c>
      <c r="I299" s="199">
        <f t="shared" si="75"/>
        <v>230.98800950709918</v>
      </c>
      <c r="J299" s="199">
        <f t="shared" si="75"/>
        <v>275.07475366296279</v>
      </c>
    </row>
    <row r="300" spans="3:10" x14ac:dyDescent="0.2">
      <c r="C300" s="226">
        <v>0.65</v>
      </c>
      <c r="D300" s="199">
        <f t="shared" si="75"/>
        <v>263.97923536651007</v>
      </c>
      <c r="E300" s="199">
        <f t="shared" si="75"/>
        <v>271.49507474481157</v>
      </c>
      <c r="F300" s="199">
        <f t="shared" si="75"/>
        <v>273.21032623418603</v>
      </c>
      <c r="G300" s="199">
        <f t="shared" si="75"/>
        <v>296.91008625654661</v>
      </c>
      <c r="H300" s="199">
        <f t="shared" si="75"/>
        <v>271.49507474481157</v>
      </c>
      <c r="I300" s="199">
        <f t="shared" si="75"/>
        <v>223.54319781066644</v>
      </c>
      <c r="J300" s="199">
        <f t="shared" si="75"/>
        <v>267.45101893341541</v>
      </c>
    </row>
    <row r="301" spans="3:10" x14ac:dyDescent="0.2">
      <c r="C301" s="226">
        <v>0.64</v>
      </c>
      <c r="D301" s="199">
        <f t="shared" si="75"/>
        <v>256.24935449401295</v>
      </c>
      <c r="E301" s="199">
        <f t="shared" si="75"/>
        <v>264.38796110636076</v>
      </c>
      <c r="F301" s="199">
        <f t="shared" si="75"/>
        <v>265.37370145005627</v>
      </c>
      <c r="G301" s="199">
        <f t="shared" si="75"/>
        <v>288.94016080702306</v>
      </c>
      <c r="H301" s="199">
        <f t="shared" si="75"/>
        <v>264.38796110636076</v>
      </c>
      <c r="I301" s="199">
        <f t="shared" si="75"/>
        <v>216.22847459348662</v>
      </c>
      <c r="J301" s="199">
        <f t="shared" si="75"/>
        <v>259.92528311933313</v>
      </c>
    </row>
    <row r="302" spans="3:10" x14ac:dyDescent="0.2">
      <c r="C302" s="226">
        <v>0.63</v>
      </c>
      <c r="D302" s="199">
        <f t="shared" si="75"/>
        <v>248.6294249927227</v>
      </c>
      <c r="E302" s="199">
        <f t="shared" si="75"/>
        <v>257.35935937648151</v>
      </c>
      <c r="F302" s="199">
        <f t="shared" si="75"/>
        <v>257.64374491350696</v>
      </c>
      <c r="G302" s="199">
        <f t="shared" si="75"/>
        <v>281.06370469458892</v>
      </c>
      <c r="H302" s="199">
        <f t="shared" si="75"/>
        <v>257.35935937648151</v>
      </c>
      <c r="I302" s="199">
        <f t="shared" si="75"/>
        <v>209.04354608670658</v>
      </c>
      <c r="J302" s="199">
        <f t="shared" si="75"/>
        <v>252.49778820999188</v>
      </c>
    </row>
    <row r="303" spans="3:10" x14ac:dyDescent="0.2">
      <c r="C303" s="226">
        <v>0.62</v>
      </c>
      <c r="D303" s="199">
        <f t="shared" si="75"/>
        <v>241.11959091581735</v>
      </c>
      <c r="E303" s="199">
        <f t="shared" si="75"/>
        <v>250.40962781724846</v>
      </c>
      <c r="F303" s="199">
        <f t="shared" si="75"/>
        <v>250.02066328877407</v>
      </c>
      <c r="G303" s="199">
        <f t="shared" si="75"/>
        <v>273.28107928168566</v>
      </c>
      <c r="H303" s="199">
        <f t="shared" si="75"/>
        <v>250.40962781724846</v>
      </c>
      <c r="I303" s="199">
        <f t="shared" si="75"/>
        <v>201.98811457382055</v>
      </c>
      <c r="J303" s="199">
        <f t="shared" si="75"/>
        <v>245.1687806177859</v>
      </c>
    </row>
    <row r="304" spans="3:10" x14ac:dyDescent="0.2">
      <c r="C304" s="226">
        <v>0.61</v>
      </c>
      <c r="D304" s="199">
        <f t="shared" si="75"/>
        <v>233.71999881492226</v>
      </c>
      <c r="E304" s="199">
        <f t="shared" si="75"/>
        <v>243.53913209809474</v>
      </c>
      <c r="F304" s="199">
        <f t="shared" si="75"/>
        <v>242.50466695724344</v>
      </c>
      <c r="G304" s="199">
        <f t="shared" si="75"/>
        <v>265.59265314421668</v>
      </c>
      <c r="H304" s="199">
        <f t="shared" si="75"/>
        <v>243.53913209809474</v>
      </c>
      <c r="I304" s="199">
        <f t="shared" si="75"/>
        <v>195.06187827366949</v>
      </c>
      <c r="J304" s="199">
        <f t="shared" si="75"/>
        <v>237.93851133124772</v>
      </c>
    </row>
    <row r="305" spans="3:10" x14ac:dyDescent="0.2">
      <c r="C305" s="226">
        <v>0.6</v>
      </c>
      <c r="D305" s="199">
        <f t="shared" si="75"/>
        <v>226.43079782481146</v>
      </c>
      <c r="E305" s="199">
        <f t="shared" si="75"/>
        <v>236.7482455722232</v>
      </c>
      <c r="F305" s="199">
        <f t="shared" si="75"/>
        <v>235.09597014591554</v>
      </c>
      <c r="G305" s="199">
        <f t="shared" si="75"/>
        <v>257.99880233544593</v>
      </c>
      <c r="H305" s="199">
        <f t="shared" si="75"/>
        <v>236.7482455722232</v>
      </c>
      <c r="I305" s="199">
        <f t="shared" si="75"/>
        <v>188.26453121801529</v>
      </c>
      <c r="J305" s="199">
        <f t="shared" si="75"/>
        <v>230.80723607594101</v>
      </c>
    </row>
    <row r="306" spans="3:10" x14ac:dyDescent="0.2">
      <c r="C306" s="226">
        <v>0.59</v>
      </c>
      <c r="D306" s="199">
        <f t="shared" si="75"/>
        <v>219.25213975242983</v>
      </c>
      <c r="E306" s="199">
        <f t="shared" si="75"/>
        <v>230.03734956808438</v>
      </c>
      <c r="F306" s="199">
        <f t="shared" si="75"/>
        <v>227.79479106250972</v>
      </c>
      <c r="G306" s="199">
        <f t="shared" si="75"/>
        <v>250.49991066408327</v>
      </c>
      <c r="H306" s="199">
        <f t="shared" si="75"/>
        <v>230.03734956808438</v>
      </c>
      <c r="I306" s="199">
        <f t="shared" si="75"/>
        <v>181.59576312334539</v>
      </c>
      <c r="J306" s="199">
        <f t="shared" si="75"/>
        <v>223.77521548376743</v>
      </c>
    </row>
    <row r="307" spans="3:10" x14ac:dyDescent="0.2">
      <c r="C307" s="226">
        <v>0.57999999999999996</v>
      </c>
      <c r="D307" s="199">
        <f t="shared" si="75"/>
        <v>212.18417917053253</v>
      </c>
      <c r="E307" s="199">
        <f t="shared" si="75"/>
        <v>223.40683369701037</v>
      </c>
      <c r="F307" s="199">
        <f t="shared" si="75"/>
        <v>220.60135203766862</v>
      </c>
      <c r="G307" s="199">
        <f t="shared" si="75"/>
        <v>243.09636998757114</v>
      </c>
      <c r="H307" s="199">
        <f t="shared" si="75"/>
        <v>223.40683369701037</v>
      </c>
      <c r="I307" s="199">
        <f t="shared" si="75"/>
        <v>175.05525925653299</v>
      </c>
      <c r="J307" s="199">
        <f t="shared" si="75"/>
        <v>216.84271527127734</v>
      </c>
    </row>
    <row r="308" spans="3:10" x14ac:dyDescent="0.2">
      <c r="C308" s="226">
        <v>0.56999999999999995</v>
      </c>
      <c r="D308" s="199">
        <f t="shared" si="75"/>
        <v>205.22707351626431</v>
      </c>
      <c r="E308" s="199">
        <f t="shared" si="75"/>
        <v>216.85709617819288</v>
      </c>
      <c r="F308" s="199">
        <f t="shared" si="75"/>
        <v>213.51587967476428</v>
      </c>
      <c r="G308" s="199">
        <f t="shared" si="75"/>
        <v>235.78858052167897</v>
      </c>
      <c r="H308" s="199">
        <f t="shared" si="75"/>
        <v>216.85709617819288</v>
      </c>
      <c r="I308" s="199">
        <f t="shared" si="75"/>
        <v>168.64270029394979</v>
      </c>
      <c r="J308" s="199">
        <f t="shared" si="75"/>
        <v>210.01000642762511</v>
      </c>
    </row>
    <row r="309" spans="3:10" x14ac:dyDescent="0.2">
      <c r="C309" s="226">
        <v>0.56000000000000005</v>
      </c>
      <c r="D309" s="199">
        <f t="shared" si="75"/>
        <v>198.38098319503013</v>
      </c>
      <c r="E309" s="199">
        <f t="shared" si="75"/>
        <v>210.38854418230255</v>
      </c>
      <c r="F309" s="199">
        <f t="shared" si="75"/>
        <v>206.53860500785132</v>
      </c>
      <c r="G309" s="199">
        <f t="shared" si="75"/>
        <v>228.57695116761164</v>
      </c>
      <c r="H309" s="199">
        <f t="shared" si="75"/>
        <v>210.38854418230255</v>
      </c>
      <c r="I309" s="199">
        <f t="shared" si="75"/>
        <v>162.35776217359162</v>
      </c>
      <c r="J309" s="199">
        <f t="shared" si="75"/>
        <v>203.27736541286819</v>
      </c>
    </row>
    <row r="310" spans="3:10" x14ac:dyDescent="0.2">
      <c r="C310" s="226">
        <v>0.55000000000000004</v>
      </c>
      <c r="D310" s="199">
        <f t="shared" si="75"/>
        <v>191.64607169003955</v>
      </c>
      <c r="E310" s="199">
        <f t="shared" si="75"/>
        <v>204.00159419516862</v>
      </c>
      <c r="F310" s="199">
        <f t="shared" si="75"/>
        <v>199.66976366836241</v>
      </c>
      <c r="G310" s="199">
        <f t="shared" si="75"/>
        <v>221.46189985795141</v>
      </c>
      <c r="H310" s="199">
        <f t="shared" si="75"/>
        <v>204.00159419516862</v>
      </c>
      <c r="I310" s="199">
        <f t="shared" si="75"/>
        <v>156.20011593974138</v>
      </c>
      <c r="J310" s="199">
        <f t="shared" si="75"/>
        <v>196.64507436737233</v>
      </c>
    </row>
    <row r="311" spans="3:10" x14ac:dyDescent="0.2">
      <c r="C311" s="226">
        <v>0.54</v>
      </c>
      <c r="D311" s="199">
        <f t="shared" si="75"/>
        <v>185.02250567794363</v>
      </c>
      <c r="E311" s="199">
        <f t="shared" si="75"/>
        <v>197.69667240307518</v>
      </c>
      <c r="F311" s="199">
        <f t="shared" si="75"/>
        <v>192.90959606119782</v>
      </c>
      <c r="G311" s="199">
        <f t="shared" si="75"/>
        <v>214.44385392287793</v>
      </c>
      <c r="H311" s="199">
        <f t="shared" si="75"/>
        <v>197.69667240307518</v>
      </c>
      <c r="I311" s="199">
        <f t="shared" si="75"/>
        <v>150.16942757965228</v>
      </c>
      <c r="J311" s="199">
        <f t="shared" si="75"/>
        <v>190.11342133315753</v>
      </c>
    </row>
    <row r="312" spans="3:10" x14ac:dyDescent="0.2">
      <c r="C312" s="226">
        <v>0.53</v>
      </c>
      <c r="D312" s="199">
        <f t="shared" si="75"/>
        <v>178.51045515101987</v>
      </c>
      <c r="E312" s="199">
        <f t="shared" si="75"/>
        <v>191.47421510137798</v>
      </c>
      <c r="F312" s="199">
        <f t="shared" si="75"/>
        <v>186.25834755091839</v>
      </c>
      <c r="G312" s="199">
        <f t="shared" si="75"/>
        <v>207.52325047824928</v>
      </c>
      <c r="H312" s="199">
        <f t="shared" si="75"/>
        <v>191.47421510137798</v>
      </c>
      <c r="I312" s="199">
        <f t="shared" si="75"/>
        <v>144.26535785168502</v>
      </c>
      <c r="J312" s="199">
        <f t="shared" si="75"/>
        <v>183.68270048809646</v>
      </c>
    </row>
    <row r="313" spans="3:10" x14ac:dyDescent="0.2">
      <c r="C313" s="226">
        <v>0.52</v>
      </c>
      <c r="D313" s="199">
        <f t="shared" ref="D313:J328" si="76">IF($C313&gt;=D$95,D$66*$C313^(1/D$65),IF(AND($C313&gt;=D$96,$C313&lt;D$95),D$68*$C313^(1/D$67),D$70*$C313^(1/D$69)))</f>
        <v>172.11009354640677</v>
      </c>
      <c r="E313" s="199">
        <f t="shared" si="76"/>
        <v>185.33466912831935</v>
      </c>
      <c r="F313" s="199">
        <f t="shared" si="76"/>
        <v>179.71626865882433</v>
      </c>
      <c r="G313" s="199">
        <f t="shared" si="76"/>
        <v>200.70053683728372</v>
      </c>
      <c r="H313" s="199">
        <f t="shared" si="76"/>
        <v>185.33466912831935</v>
      </c>
      <c r="I313" s="199">
        <f t="shared" si="76"/>
        <v>138.48756210428741</v>
      </c>
      <c r="J313" s="199">
        <f t="shared" si="76"/>
        <v>177.3532123939674</v>
      </c>
    </row>
    <row r="314" spans="3:10" x14ac:dyDescent="0.2">
      <c r="C314" s="226">
        <v>0.51</v>
      </c>
      <c r="D314" s="199">
        <f t="shared" si="76"/>
        <v>165.82159788293663</v>
      </c>
      <c r="E314" s="199">
        <f t="shared" si="76"/>
        <v>179.27849232610586</v>
      </c>
      <c r="F314" s="199">
        <f t="shared" si="76"/>
        <v>173.28361527177364</v>
      </c>
      <c r="G314" s="199">
        <f t="shared" si="76"/>
        <v>193.97617094775566</v>
      </c>
      <c r="H314" s="199">
        <f t="shared" si="76"/>
        <v>179.27849232610586</v>
      </c>
      <c r="I314" s="199">
        <f t="shared" si="76"/>
        <v>132.83569008514132</v>
      </c>
      <c r="J314" s="199">
        <f t="shared" si="76"/>
        <v>171.12526425946083</v>
      </c>
    </row>
    <row r="315" spans="3:10" x14ac:dyDescent="0.2">
      <c r="C315" s="226">
        <v>0.5</v>
      </c>
      <c r="D315" s="199">
        <f t="shared" si="76"/>
        <v>159.64514890616954</v>
      </c>
      <c r="E315" s="199">
        <f t="shared" si="76"/>
        <v>173.30615403152586</v>
      </c>
      <c r="F315" s="199">
        <f t="shared" si="76"/>
        <v>166.9606488636843</v>
      </c>
      <c r="G315" s="199">
        <f t="shared" si="76"/>
        <v>187.35062185681525</v>
      </c>
      <c r="H315" s="199">
        <f t="shared" si="76"/>
        <v>173.30615403152586</v>
      </c>
      <c r="I315" s="199">
        <f t="shared" si="76"/>
        <v>127.30938573974449</v>
      </c>
      <c r="J315" s="199">
        <f t="shared" si="76"/>
        <v>164.99917021935045</v>
      </c>
    </row>
    <row r="316" spans="3:10" x14ac:dyDescent="0.2">
      <c r="C316" s="226">
        <v>0.49</v>
      </c>
      <c r="D316" s="199">
        <f t="shared" si="76"/>
        <v>153.58093124229237</v>
      </c>
      <c r="E316" s="199">
        <f t="shared" si="76"/>
        <v>167.41813559862481</v>
      </c>
      <c r="F316" s="199">
        <f t="shared" si="76"/>
        <v>160.74763673075401</v>
      </c>
      <c r="G316" s="199">
        <f t="shared" si="76"/>
        <v>180.82437020575915</v>
      </c>
      <c r="H316" s="199">
        <f t="shared" si="76"/>
        <v>167.41813559862481</v>
      </c>
      <c r="I316" s="199">
        <f t="shared" si="76"/>
        <v>121.90828699861977</v>
      </c>
      <c r="J316" s="199">
        <f t="shared" si="76"/>
        <v>158.97525163116097</v>
      </c>
    </row>
    <row r="317" spans="3:10" x14ac:dyDescent="0.2">
      <c r="C317" s="226">
        <v>0.48</v>
      </c>
      <c r="D317" s="199">
        <f t="shared" si="76"/>
        <v>147.62913356161619</v>
      </c>
      <c r="E317" s="199">
        <f t="shared" si="76"/>
        <v>161.61493095622583</v>
      </c>
      <c r="F317" s="199">
        <f t="shared" si="76"/>
        <v>154.64485224154609</v>
      </c>
      <c r="G317" s="199">
        <f t="shared" si="76"/>
        <v>174.39790875733016</v>
      </c>
      <c r="H317" s="199">
        <f t="shared" si="76"/>
        <v>161.61493095622583</v>
      </c>
      <c r="I317" s="199">
        <f t="shared" si="76"/>
        <v>116.63202555226843</v>
      </c>
      <c r="J317" s="199">
        <f t="shared" si="76"/>
        <v>153.05383739080824</v>
      </c>
    </row>
    <row r="318" spans="3:10" x14ac:dyDescent="0.2">
      <c r="C318" s="226">
        <v>0.47</v>
      </c>
      <c r="D318" s="199">
        <f t="shared" si="76"/>
        <v>141.78994875247906</v>
      </c>
      <c r="E318" s="199">
        <f t="shared" si="76"/>
        <v>155.89704720338673</v>
      </c>
      <c r="F318" s="199">
        <f t="shared" si="76"/>
        <v>148.65257510320345</v>
      </c>
      <c r="G318" s="199">
        <f t="shared" si="76"/>
        <v>168.07174295840028</v>
      </c>
      <c r="H318" s="199">
        <f t="shared" si="76"/>
        <v>155.89704720338673</v>
      </c>
      <c r="I318" s="199">
        <f t="shared" si="76"/>
        <v>111.4802266128937</v>
      </c>
      <c r="J318" s="199">
        <f t="shared" si="76"/>
        <v>147.23526426883996</v>
      </c>
    </row>
    <row r="319" spans="3:10" x14ac:dyDescent="0.2">
      <c r="C319" s="226">
        <v>0.46</v>
      </c>
      <c r="D319" s="199">
        <f t="shared" si="76"/>
        <v>136.06357410645259</v>
      </c>
      <c r="E319" s="199">
        <f t="shared" si="76"/>
        <v>150.26500524623256</v>
      </c>
      <c r="F319" s="199">
        <f t="shared" si="76"/>
        <v>142.77109164519632</v>
      </c>
      <c r="G319" s="199">
        <f t="shared" si="76"/>
        <v>161.84639154120967</v>
      </c>
      <c r="H319" s="199">
        <f t="shared" si="76"/>
        <v>150.26500524623256</v>
      </c>
      <c r="I319" s="199">
        <f t="shared" si="76"/>
        <v>106.45250866182255</v>
      </c>
      <c r="J319" s="199">
        <f t="shared" si="76"/>
        <v>141.51987726908612</v>
      </c>
    </row>
    <row r="320" spans="3:10" x14ac:dyDescent="0.2">
      <c r="C320" s="226">
        <v>0.45</v>
      </c>
      <c r="D320" s="199">
        <f t="shared" si="76"/>
        <v>130.45021151584371</v>
      </c>
      <c r="E320" s="199">
        <f t="shared" si="76"/>
        <v>144.71934047999255</v>
      </c>
      <c r="F320" s="199">
        <f t="shared" si="76"/>
        <v>137.00069512215916</v>
      </c>
      <c r="G320" s="199">
        <f t="shared" si="76"/>
        <v>155.72238716669227</v>
      </c>
      <c r="H320" s="199">
        <f t="shared" si="76"/>
        <v>144.71934047999255</v>
      </c>
      <c r="I320" s="199">
        <f t="shared" si="76"/>
        <v>101.54848318144138</v>
      </c>
      <c r="J320" s="199">
        <f t="shared" si="76"/>
        <v>135.90803001172699</v>
      </c>
    </row>
    <row r="321" spans="3:28" x14ac:dyDescent="0.2">
      <c r="C321" s="226">
        <v>0.44</v>
      </c>
      <c r="D321" s="199">
        <f t="shared" si="76"/>
        <v>124.95006768459885</v>
      </c>
      <c r="E321" s="199">
        <f t="shared" si="76"/>
        <v>139.26060352052039</v>
      </c>
      <c r="F321" s="199">
        <f t="shared" si="76"/>
        <v>131.34168603755111</v>
      </c>
      <c r="G321" s="199">
        <f t="shared" si="76"/>
        <v>149.70027711382801</v>
      </c>
      <c r="H321" s="199">
        <f t="shared" si="76"/>
        <v>139.26060352052039</v>
      </c>
      <c r="I321" s="199">
        <f t="shared" si="76"/>
        <v>96.767754370335226</v>
      </c>
      <c r="J321" s="199">
        <f t="shared" si="76"/>
        <v>130.40008514301729</v>
      </c>
    </row>
    <row r="322" spans="3:28" x14ac:dyDescent="0.2">
      <c r="C322" s="226">
        <v>0.42999999999999899</v>
      </c>
      <c r="D322" s="199">
        <f t="shared" si="76"/>
        <v>119.5633543538398</v>
      </c>
      <c r="E322" s="199">
        <f t="shared" si="76"/>
        <v>133.88936099008299</v>
      </c>
      <c r="F322" s="199">
        <f t="shared" si="76"/>
        <v>125.79437249007155</v>
      </c>
      <c r="G322" s="199">
        <f t="shared" si="76"/>
        <v>143.7806240194252</v>
      </c>
      <c r="H322" s="199">
        <f t="shared" si="76"/>
        <v>133.88936099008299</v>
      </c>
      <c r="I322" s="199">
        <f t="shared" si="76"/>
        <v>92.109918840176576</v>
      </c>
      <c r="J322" s="199">
        <f t="shared" si="76"/>
        <v>124.99641477416134</v>
      </c>
    </row>
    <row r="323" spans="3:28" x14ac:dyDescent="0.2">
      <c r="C323" s="226">
        <v>0.41999999999999899</v>
      </c>
      <c r="D323" s="199">
        <f t="shared" si="76"/>
        <v>114.29028854341158</v>
      </c>
      <c r="E323" s="199">
        <f t="shared" si="76"/>
        <v>128.60619636279466</v>
      </c>
      <c r="F323" s="199">
        <f t="shared" si="76"/>
        <v>120.35907054499616</v>
      </c>
      <c r="G323" s="199">
        <f t="shared" si="76"/>
        <v>137.96400667327637</v>
      </c>
      <c r="H323" s="199">
        <f t="shared" si="76"/>
        <v>128.60619636279466</v>
      </c>
      <c r="I323" s="199">
        <f t="shared" si="76"/>
        <v>87.574565292751515</v>
      </c>
      <c r="J323" s="199">
        <f t="shared" si="76"/>
        <v>119.69740095213834</v>
      </c>
    </row>
    <row r="324" spans="3:28" x14ac:dyDescent="0.2">
      <c r="C324" s="226">
        <v>0.40999999999999898</v>
      </c>
      <c r="D324" s="199">
        <f t="shared" si="76"/>
        <v>109.13109281097378</v>
      </c>
      <c r="E324" s="199">
        <f t="shared" si="76"/>
        <v>123.41171087573125</v>
      </c>
      <c r="F324" s="199">
        <f t="shared" si="76"/>
        <v>115.03610463284663</v>
      </c>
      <c r="G324" s="199">
        <f t="shared" si="76"/>
        <v>132.25102087422729</v>
      </c>
      <c r="H324" s="199">
        <f t="shared" si="76"/>
        <v>123.41171087573125</v>
      </c>
      <c r="I324" s="199">
        <f t="shared" si="76"/>
        <v>83.161274175316279</v>
      </c>
      <c r="J324" s="199">
        <f t="shared" si="76"/>
        <v>114.50343616560249</v>
      </c>
    </row>
    <row r="325" spans="3:28" x14ac:dyDescent="0.2">
      <c r="C325" s="226">
        <v>0.39999999999999902</v>
      </c>
      <c r="D325" s="199">
        <f t="shared" si="76"/>
        <v>104.08599553037639</v>
      </c>
      <c r="E325" s="199">
        <f t="shared" si="76"/>
        <v>118.3065245125523</v>
      </c>
      <c r="F325" s="199">
        <f t="shared" si="76"/>
        <v>109.82580797812783</v>
      </c>
      <c r="G325" s="199">
        <f t="shared" si="76"/>
        <v>126.64228035342639</v>
      </c>
      <c r="H325" s="199">
        <f t="shared" si="76"/>
        <v>118.3065245125523</v>
      </c>
      <c r="I325" s="199">
        <f t="shared" si="76"/>
        <v>78.869617312283921</v>
      </c>
      <c r="J325" s="199">
        <f t="shared" si="76"/>
        <v>109.41492388939467</v>
      </c>
    </row>
    <row r="326" spans="3:28" x14ac:dyDescent="0.2">
      <c r="C326" s="226">
        <v>0.38999999999999901</v>
      </c>
      <c r="D326" s="199">
        <f t="shared" si="76"/>
        <v>99.155231191258522</v>
      </c>
      <c r="E326" s="199">
        <f t="shared" si="76"/>
        <v>113.2912770673337</v>
      </c>
      <c r="F326" s="199">
        <f t="shared" si="76"/>
        <v>104.72852306119069</v>
      </c>
      <c r="G326" s="199">
        <f t="shared" si="76"/>
        <v>121.13841777181177</v>
      </c>
      <c r="H326" s="199">
        <f t="shared" si="76"/>
        <v>113.2912770673337</v>
      </c>
      <c r="I326" s="199">
        <f t="shared" si="76"/>
        <v>74.699157510983355</v>
      </c>
      <c r="J326" s="199">
        <f t="shared" si="76"/>
        <v>104.43227917163178</v>
      </c>
    </row>
    <row r="327" spans="3:28" x14ac:dyDescent="0.2">
      <c r="C327" s="226">
        <v>0.37999999999999901</v>
      </c>
      <c r="D327" s="199">
        <f t="shared" si="76"/>
        <v>94.339040722071886</v>
      </c>
      <c r="E327" s="199">
        <f t="shared" si="76"/>
        <v>108.36662929736345</v>
      </c>
      <c r="F327" s="199">
        <f t="shared" si="76"/>
        <v>99.744602116690515</v>
      </c>
      <c r="G327" s="199">
        <f t="shared" si="76"/>
        <v>115.74008579984948</v>
      </c>
      <c r="H327" s="199">
        <f t="shared" si="76"/>
        <v>108.36662929736345</v>
      </c>
      <c r="I327" s="199">
        <f t="shared" si="76"/>
        <v>70.64944813896652</v>
      </c>
      <c r="J327" s="199">
        <f t="shared" si="76"/>
        <v>99.555929267874035</v>
      </c>
    </row>
    <row r="328" spans="3:28" x14ac:dyDescent="0.2">
      <c r="C328" s="226">
        <v>0.369999999999999</v>
      </c>
      <c r="D328" s="199">
        <f t="shared" si="76"/>
        <v>89.637671839016946</v>
      </c>
      <c r="E328" s="199">
        <f t="shared" si="76"/>
        <v>103.53326417485464</v>
      </c>
      <c r="F328" s="199">
        <f t="shared" si="76"/>
        <v>94.874407672567685</v>
      </c>
      <c r="G328" s="199">
        <f t="shared" si="76"/>
        <v>110.44795828862686</v>
      </c>
      <c r="H328" s="199">
        <f t="shared" si="76"/>
        <v>103.53326417485464</v>
      </c>
      <c r="I328" s="199">
        <f t="shared" si="76"/>
        <v>66.720032670017943</v>
      </c>
      <c r="J328" s="199">
        <f t="shared" si="76"/>
        <v>94.786314327468375</v>
      </c>
    </row>
    <row r="329" spans="3:28" x14ac:dyDescent="0.2">
      <c r="C329" s="226">
        <v>0.35999999999999899</v>
      </c>
      <c r="D329" s="199">
        <f t="shared" ref="D329:J344" si="77">IF($C329&gt;=D$95,D$66*$C329^(1/D$65),IF(AND($C329&gt;=D$96,$C329&lt;D$95),D$68*$C329^(1/D$67),D$70*$C329^(1/D$69)))</f>
        <v>85.051379423719112</v>
      </c>
      <c r="E329" s="199">
        <f t="shared" si="77"/>
        <v>98.791888248943124</v>
      </c>
      <c r="F329" s="199">
        <f t="shared" si="77"/>
        <v>90.118313134017725</v>
      </c>
      <c r="G329" s="199">
        <f t="shared" si="77"/>
        <v>105.26273154268505</v>
      </c>
      <c r="H329" s="199">
        <f t="shared" si="77"/>
        <v>98.791888248943124</v>
      </c>
      <c r="I329" s="199">
        <f t="shared" si="77"/>
        <v>62.910444195653959</v>
      </c>
      <c r="J329" s="199">
        <f t="shared" si="77"/>
        <v>90.123888137873394</v>
      </c>
      <c r="AA329" s="226"/>
      <c r="AB329" s="199"/>
    </row>
    <row r="330" spans="3:28" x14ac:dyDescent="0.2">
      <c r="C330" s="226">
        <v>0.34999999999999898</v>
      </c>
      <c r="D330" s="199">
        <f t="shared" si="77"/>
        <v>80.58042593286612</v>
      </c>
      <c r="E330" s="199">
        <f t="shared" si="77"/>
        <v>94.143233130991945</v>
      </c>
      <c r="F330" s="199">
        <f t="shared" si="77"/>
        <v>85.476703417545224</v>
      </c>
      <c r="G330" s="199">
        <f t="shared" si="77"/>
        <v>100.18512570647296</v>
      </c>
      <c r="H330" s="199">
        <f t="shared" si="77"/>
        <v>94.143233130991945</v>
      </c>
      <c r="I330" s="199">
        <f t="shared" si="77"/>
        <v>59.220204898470357</v>
      </c>
      <c r="J330" s="199">
        <f t="shared" si="77"/>
        <v>85.569118933591369</v>
      </c>
      <c r="AA330" s="226"/>
      <c r="AB330" s="199"/>
    </row>
    <row r="331" spans="3:28" x14ac:dyDescent="0.2">
      <c r="C331" s="226">
        <v>0.33999999999999903</v>
      </c>
      <c r="D331" s="199">
        <f t="shared" si="77"/>
        <v>76.225081843490955</v>
      </c>
      <c r="E331" s="199">
        <f t="shared" si="77"/>
        <v>89.58805711817412</v>
      </c>
      <c r="F331" s="199">
        <f t="shared" si="77"/>
        <v>80.949975640933857</v>
      </c>
      <c r="G331" s="199">
        <f t="shared" si="77"/>
        <v>95.215886278068993</v>
      </c>
      <c r="H331" s="199">
        <f t="shared" si="77"/>
        <v>89.58805711817412</v>
      </c>
      <c r="I331" s="199">
        <f t="shared" si="77"/>
        <v>55.648825483202366</v>
      </c>
      <c r="J331" s="199">
        <f t="shared" si="77"/>
        <v>81.122490277301878</v>
      </c>
      <c r="AA331" s="226"/>
      <c r="AB331" s="199"/>
    </row>
    <row r="332" spans="3:28" x14ac:dyDescent="0.2">
      <c r="C332" s="226">
        <v>0.32999999999999902</v>
      </c>
      <c r="D332" s="199">
        <f t="shared" si="77"/>
        <v>71.985626138127529</v>
      </c>
      <c r="E332" s="199">
        <f t="shared" si="77"/>
        <v>85.127146972614796</v>
      </c>
      <c r="F332" s="199">
        <f t="shared" si="77"/>
        <v>76.538539875832939</v>
      </c>
      <c r="G332" s="199">
        <f t="shared" si="77"/>
        <v>90.355785765900748</v>
      </c>
      <c r="H332" s="199">
        <f t="shared" si="77"/>
        <v>85.127146972614796</v>
      </c>
      <c r="I332" s="199">
        <f t="shared" si="77"/>
        <v>52.195804560776729</v>
      </c>
      <c r="J332" s="199">
        <f t="shared" si="77"/>
        <v>76.784502021928645</v>
      </c>
      <c r="AA332" s="226"/>
      <c r="AB332" s="199"/>
    </row>
    <row r="333" spans="3:28" x14ac:dyDescent="0.2">
      <c r="C333" s="226">
        <v>0.31999999999999901</v>
      </c>
      <c r="D333" s="199">
        <f t="shared" si="77"/>
        <v>67.86234683471109</v>
      </c>
      <c r="E333" s="199">
        <f t="shared" si="77"/>
        <v>80.761319876114186</v>
      </c>
      <c r="F333" s="199">
        <f t="shared" si="77"/>
        <v>72.24281997068951</v>
      </c>
      <c r="G333" s="199">
        <f t="shared" si="77"/>
        <v>85.605625506668048</v>
      </c>
      <c r="H333" s="199">
        <f t="shared" si="77"/>
        <v>80.761319876114186</v>
      </c>
      <c r="I333" s="199">
        <f t="shared" si="77"/>
        <v>48.860627979954202</v>
      </c>
      <c r="J333" s="199">
        <f t="shared" si="77"/>
        <v>72.555671363722325</v>
      </c>
      <c r="AA333" s="226"/>
      <c r="AB333" s="199"/>
    </row>
    <row r="334" spans="3:28" x14ac:dyDescent="0.2">
      <c r="C334" s="226">
        <v>0.309999999999999</v>
      </c>
      <c r="D334" s="199">
        <f t="shared" si="77"/>
        <v>63.855541566857518</v>
      </c>
      <c r="E334" s="199">
        <f t="shared" si="77"/>
        <v>76.491425583753468</v>
      </c>
      <c r="F334" s="199">
        <f t="shared" si="77"/>
        <v>68.063254452976054</v>
      </c>
      <c r="G334" s="199">
        <f t="shared" si="77"/>
        <v>80.966237665627432</v>
      </c>
      <c r="H334" s="199">
        <f t="shared" si="77"/>
        <v>76.491425583753468</v>
      </c>
      <c r="I334" s="199">
        <f t="shared" si="77"/>
        <v>45.642768100354047</v>
      </c>
      <c r="J334" s="199">
        <f t="shared" si="77"/>
        <v>68.436533998048418</v>
      </c>
      <c r="AA334" s="226"/>
      <c r="AB334" s="199"/>
    </row>
    <row r="335" spans="3:28" x14ac:dyDescent="0.2">
      <c r="C335" s="226">
        <v>0.29999999999999899</v>
      </c>
      <c r="D335" s="199">
        <f t="shared" si="77"/>
        <v>59.965518221068209</v>
      </c>
      <c r="E335" s="199">
        <f t="shared" si="77"/>
        <v>72.318348803617837</v>
      </c>
      <c r="F335" s="199">
        <f t="shared" si="77"/>
        <v>64.000297521125589</v>
      </c>
      <c r="G335" s="199">
        <f t="shared" si="77"/>
        <v>76.438487443937959</v>
      </c>
      <c r="H335" s="199">
        <f t="shared" si="77"/>
        <v>72.318348803617837</v>
      </c>
      <c r="I335" s="199">
        <f t="shared" si="77"/>
        <v>42.541682999695929</v>
      </c>
      <c r="J335" s="199">
        <f t="shared" si="77"/>
        <v>64.427645391490032</v>
      </c>
      <c r="AA335" s="226"/>
      <c r="AB335" s="199"/>
    </row>
    <row r="336" spans="3:28" x14ac:dyDescent="0.2">
      <c r="C336" s="226">
        <v>0.28999999999999898</v>
      </c>
      <c r="D336" s="199">
        <f t="shared" si="77"/>
        <v>56.192595638501743</v>
      </c>
      <c r="E336" s="199">
        <f t="shared" si="77"/>
        <v>68.243011834626316</v>
      </c>
      <c r="F336" s="199">
        <f t="shared" si="77"/>
        <v>60.054420138339623</v>
      </c>
      <c r="G336" s="199">
        <f t="shared" si="77"/>
        <v>72.02327552203883</v>
      </c>
      <c r="H336" s="199">
        <f t="shared" si="77"/>
        <v>68.243011834626316</v>
      </c>
      <c r="I336" s="199">
        <f t="shared" si="77"/>
        <v>39.556815606955858</v>
      </c>
      <c r="J336" s="199">
        <f t="shared" si="77"/>
        <v>60.52958218618857</v>
      </c>
      <c r="AA336" s="226"/>
      <c r="AB336" s="199"/>
    </row>
    <row r="337" spans="3:28" x14ac:dyDescent="0.2">
      <c r="C337" s="226">
        <v>0.27999999999999903</v>
      </c>
      <c r="D337" s="199">
        <f t="shared" si="77"/>
        <v>52.537104390273349</v>
      </c>
      <c r="E337" s="199">
        <f t="shared" si="77"/>
        <v>64.266377500227733</v>
      </c>
      <c r="F337" s="199">
        <f t="shared" si="77"/>
        <v>56.226111242555362</v>
      </c>
      <c r="G337" s="199">
        <f t="shared" si="77"/>
        <v>67.721540773209426</v>
      </c>
      <c r="H337" s="199">
        <f t="shared" si="77"/>
        <v>64.266377500227733</v>
      </c>
      <c r="I337" s="199">
        <f t="shared" si="77"/>
        <v>36.687592751767468</v>
      </c>
      <c r="J337" s="199">
        <f t="shared" si="77"/>
        <v>56.742943755140736</v>
      </c>
      <c r="AA337" s="226"/>
      <c r="AB337" s="199"/>
    </row>
    <row r="338" spans="3:28" x14ac:dyDescent="0.2">
      <c r="C338" s="226">
        <v>0.26999999999999902</v>
      </c>
      <c r="D338" s="199">
        <f t="shared" si="77"/>
        <v>48.999387636846755</v>
      </c>
      <c r="E338" s="199">
        <f t="shared" si="77"/>
        <v>60.389452422778916</v>
      </c>
      <c r="F338" s="199">
        <f t="shared" si="77"/>
        <v>52.515879089437071</v>
      </c>
      <c r="G338" s="199">
        <f t="shared" si="77"/>
        <v>63.534263287785564</v>
      </c>
      <c r="H338" s="199">
        <f t="shared" si="77"/>
        <v>60.389452422778916</v>
      </c>
      <c r="I338" s="199">
        <f t="shared" si="77"/>
        <v>33.933424118754218</v>
      </c>
      <c r="J338" s="199">
        <f t="shared" si="77"/>
        <v>53.068353930574055</v>
      </c>
      <c r="AA338" s="226"/>
      <c r="AB338" s="199"/>
    </row>
    <row r="339" spans="3:28" x14ac:dyDescent="0.2">
      <c r="C339" s="226">
        <v>0.25999999999999901</v>
      </c>
      <c r="D339" s="199">
        <f t="shared" si="77"/>
        <v>45.579802084042718</v>
      </c>
      <c r="E339" s="199">
        <f t="shared" si="77"/>
        <v>56.613290692099767</v>
      </c>
      <c r="F339" s="199">
        <f t="shared" si="77"/>
        <v>48.924252748409401</v>
      </c>
      <c r="G339" s="199">
        <f t="shared" si="77"/>
        <v>59.462467756272211</v>
      </c>
      <c r="H339" s="199">
        <f t="shared" si="77"/>
        <v>56.613290692099767</v>
      </c>
      <c r="I339" s="199">
        <f t="shared" si="77"/>
        <v>31.293701093483129</v>
      </c>
      <c r="J339" s="199">
        <f t="shared" si="77"/>
        <v>49.506462931693179</v>
      </c>
      <c r="AA339" s="226"/>
      <c r="AB339" s="199"/>
    </row>
    <row r="340" spans="3:28" x14ac:dyDescent="0.2">
      <c r="C340" s="226">
        <v>0.249999999999999</v>
      </c>
      <c r="D340" s="199">
        <f t="shared" si="77"/>
        <v>42.278719050598376</v>
      </c>
      <c r="E340" s="199">
        <f t="shared" si="77"/>
        <v>52.938997992455967</v>
      </c>
      <c r="F340" s="199">
        <f t="shared" si="77"/>
        <v>45.451783775637843</v>
      </c>
      <c r="G340" s="199">
        <f t="shared" si="77"/>
        <v>55.50722726920435</v>
      </c>
      <c r="H340" s="199">
        <f t="shared" si="77"/>
        <v>52.938997992455967</v>
      </c>
      <c r="I340" s="199">
        <f t="shared" si="77"/>
        <v>28.767795484293288</v>
      </c>
      <c r="J340" s="199">
        <f t="shared" si="77"/>
        <v>46.057949523232075</v>
      </c>
      <c r="AA340" s="226"/>
      <c r="AB340" s="199"/>
    </row>
    <row r="341" spans="3:28" x14ac:dyDescent="0.2">
      <c r="C341" s="226">
        <v>0.23999999999999899</v>
      </c>
      <c r="D341" s="199">
        <f t="shared" si="77"/>
        <v>39.096525665200595</v>
      </c>
      <c r="E341" s="199">
        <f t="shared" si="77"/>
        <v>49.367736265650329</v>
      </c>
      <c r="F341" s="199">
        <f t="shared" si="77"/>
        <v>42.09904809268545</v>
      </c>
      <c r="G341" s="199">
        <f t="shared" si="77"/>
        <v>51.669667603587648</v>
      </c>
      <c r="H341" s="199">
        <f t="shared" si="77"/>
        <v>49.367736265650329</v>
      </c>
      <c r="I341" s="199">
        <f t="shared" si="77"/>
        <v>26.355058101258731</v>
      </c>
      <c r="J341" s="199">
        <f t="shared" si="77"/>
        <v>42.723523442641472</v>
      </c>
      <c r="AA341" s="226"/>
      <c r="AB341" s="199"/>
    </row>
    <row r="342" spans="3:28" x14ac:dyDescent="0.2">
      <c r="C342" s="226">
        <v>0.22999999999999901</v>
      </c>
      <c r="D342" s="199">
        <f t="shared" si="77"/>
        <v>36.033626214649516</v>
      </c>
      <c r="E342" s="199">
        <f t="shared" si="77"/>
        <v>45.900729004808582</v>
      </c>
      <c r="F342" s="199">
        <f t="shared" si="77"/>
        <v>38.866648105610615</v>
      </c>
      <c r="G342" s="199">
        <f t="shared" si="77"/>
        <v>47.950972080810075</v>
      </c>
      <c r="H342" s="199">
        <f t="shared" si="77"/>
        <v>45.900729004808582</v>
      </c>
      <c r="I342" s="199">
        <f t="shared" si="77"/>
        <v>24.054817169832777</v>
      </c>
      <c r="J342" s="199">
        <f t="shared" si="77"/>
        <v>39.503928141749796</v>
      </c>
      <c r="AA342" s="226"/>
      <c r="AB342" s="199"/>
    </row>
    <row r="343" spans="3:28" x14ac:dyDescent="0.2">
      <c r="C343" s="226">
        <v>0.219999999999999</v>
      </c>
      <c r="D343" s="199">
        <f t="shared" si="77"/>
        <v>33.090443669511629</v>
      </c>
      <c r="E343" s="199">
        <f t="shared" si="77"/>
        <v>42.539267294916392</v>
      </c>
      <c r="F343" s="199">
        <f t="shared" si="77"/>
        <v>35.755215106887128</v>
      </c>
      <c r="G343" s="199">
        <f t="shared" si="77"/>
        <v>44.352387100004925</v>
      </c>
      <c r="H343" s="199">
        <f t="shared" si="77"/>
        <v>42.539267294916392</v>
      </c>
      <c r="I343" s="199">
        <f t="shared" si="77"/>
        <v>21.866376552086852</v>
      </c>
      <c r="J343" s="199">
        <f t="shared" si="77"/>
        <v>36.399943898856613</v>
      </c>
      <c r="AA343" s="226"/>
      <c r="AB343" s="199"/>
    </row>
    <row r="344" spans="3:28" x14ac:dyDescent="0.2">
      <c r="C344" s="226">
        <v>0.20999999999999899</v>
      </c>
      <c r="D344" s="199">
        <f t="shared" si="77"/>
        <v>30.267421419605679</v>
      </c>
      <c r="E344" s="199">
        <f t="shared" si="77"/>
        <v>39.284716743693458</v>
      </c>
      <c r="F344" s="199">
        <f t="shared" si="77"/>
        <v>32.765412012230279</v>
      </c>
      <c r="G344" s="199">
        <f t="shared" si="77"/>
        <v>40.875228475282597</v>
      </c>
      <c r="H344" s="199">
        <f t="shared" si="77"/>
        <v>39.284716743693458</v>
      </c>
      <c r="I344" s="199">
        <f t="shared" si="77"/>
        <v>19.789013742615754</v>
      </c>
      <c r="J344" s="199">
        <f t="shared" si="77"/>
        <v>33.412391370130223</v>
      </c>
      <c r="AA344" s="226"/>
      <c r="AB344" s="199"/>
    </row>
    <row r="345" spans="3:28" x14ac:dyDescent="0.2">
      <c r="C345" s="226">
        <v>0.19999999999999901</v>
      </c>
      <c r="D345" s="199">
        <f t="shared" ref="D345:J360" si="78">IF($C345&gt;=D$95,D$66*$C345^(1/D$65),IF(AND($C345&gt;=D$96,$C345&lt;D$95),D$68*$C345^(1/D$67),D$70*$C345^(1/D$69)))</f>
        <v>27.565025259346115</v>
      </c>
      <c r="E345" s="199">
        <f t="shared" si="78"/>
        <v>36.13852548205049</v>
      </c>
      <c r="F345" s="199">
        <f t="shared" si="78"/>
        <v>29.897936496893699</v>
      </c>
      <c r="G345" s="199">
        <f t="shared" si="78"/>
        <v>37.520888736843204</v>
      </c>
      <c r="H345" s="199">
        <f t="shared" si="78"/>
        <v>36.13852548205049</v>
      </c>
      <c r="I345" s="199">
        <f t="shared" si="78"/>
        <v>17.82197759874937</v>
      </c>
      <c r="J345" s="199">
        <f t="shared" si="78"/>
        <v>30.542135665813355</v>
      </c>
      <c r="AA345" s="226"/>
      <c r="AB345" s="199"/>
    </row>
    <row r="346" spans="3:28" x14ac:dyDescent="0.2">
      <c r="C346" s="226">
        <v>0.189999999999999</v>
      </c>
      <c r="D346" s="199">
        <f t="shared" si="78"/>
        <v>24.983745672946707</v>
      </c>
      <c r="E346" s="199">
        <f t="shared" si="78"/>
        <v>33.102233460092705</v>
      </c>
      <c r="F346" s="199">
        <f t="shared" si="78"/>
        <v>27.153524612235486</v>
      </c>
      <c r="G346" s="199">
        <f t="shared" si="78"/>
        <v>34.290845597296155</v>
      </c>
      <c r="H346" s="199">
        <f t="shared" si="78"/>
        <v>33.102233460092705</v>
      </c>
      <c r="I346" s="199">
        <f t="shared" si="78"/>
        <v>15.964485755157323</v>
      </c>
      <c r="J346" s="199">
        <f t="shared" si="78"/>
        <v>27.790091058412276</v>
      </c>
      <c r="AA346" s="226"/>
      <c r="AB346" s="199"/>
    </row>
    <row r="347" spans="3:28" x14ac:dyDescent="0.2">
      <c r="C347" s="226">
        <v>0.17999999999999899</v>
      </c>
      <c r="D347" s="199">
        <f t="shared" si="78"/>
        <v>22.524100482594172</v>
      </c>
      <c r="E347" s="199">
        <f t="shared" si="78"/>
        <v>30.177483326589627</v>
      </c>
      <c r="F347" s="199">
        <f t="shared" si="78"/>
        <v>24.53295498472119</v>
      </c>
      <c r="G347" s="199">
        <f t="shared" si="78"/>
        <v>31.186671839192151</v>
      </c>
      <c r="H347" s="199">
        <f t="shared" si="78"/>
        <v>30.177483326589627</v>
      </c>
      <c r="I347" s="199">
        <f t="shared" si="78"/>
        <v>14.215721660509335</v>
      </c>
      <c r="J347" s="199">
        <f t="shared" si="78"/>
        <v>25.157226458613987</v>
      </c>
      <c r="AA347" s="226"/>
      <c r="AB347" s="199"/>
    </row>
    <row r="348" spans="3:28" x14ac:dyDescent="0.2">
      <c r="C348" s="226">
        <v>0.16999999999999901</v>
      </c>
      <c r="D348" s="199">
        <f t="shared" si="78"/>
        <v>20.186637940147801</v>
      </c>
      <c r="E348" s="199">
        <f t="shared" si="78"/>
        <v>27.366033263102242</v>
      </c>
      <c r="F348" s="199">
        <f t="shared" si="78"/>
        <v>22.037053728024731</v>
      </c>
      <c r="G348" s="199">
        <f t="shared" si="78"/>
        <v>28.210046953112059</v>
      </c>
      <c r="H348" s="199">
        <f t="shared" si="78"/>
        <v>27.366033263102242</v>
      </c>
      <c r="I348" s="199">
        <f t="shared" si="78"/>
        <v>12.574831157496641</v>
      </c>
      <c r="J348" s="199">
        <f t="shared" si="78"/>
        <v>22.644571832838704</v>
      </c>
      <c r="AA348" s="226"/>
      <c r="AB348" s="199"/>
    </row>
    <row r="349" spans="3:28" x14ac:dyDescent="0.2">
      <c r="C349" s="226">
        <v>0.159999999999999</v>
      </c>
      <c r="D349" s="199">
        <f t="shared" si="78"/>
        <v>17.971940366476996</v>
      </c>
      <c r="E349" s="199">
        <f t="shared" si="78"/>
        <v>24.669772257550484</v>
      </c>
      <c r="F349" s="199">
        <f t="shared" si="78"/>
        <v>19.666700237437357</v>
      </c>
      <c r="G349" s="199">
        <f t="shared" si="78"/>
        <v>25.362770955479338</v>
      </c>
      <c r="H349" s="199">
        <f t="shared" si="78"/>
        <v>24.669772257550484</v>
      </c>
      <c r="I349" s="199">
        <f t="shared" si="78"/>
        <v>11.04091850568601</v>
      </c>
      <c r="J349" s="199">
        <f t="shared" si="78"/>
        <v>20.253225788056923</v>
      </c>
      <c r="AA349" s="226"/>
      <c r="AB349" s="199"/>
    </row>
    <row r="350" spans="3:28" x14ac:dyDescent="0.2">
      <c r="C350" s="226">
        <v>0.149999999999999</v>
      </c>
      <c r="D350" s="199">
        <f t="shared" si="78"/>
        <v>15.880628474856888</v>
      </c>
      <c r="E350" s="199">
        <f t="shared" si="78"/>
        <v>22.090738459501161</v>
      </c>
      <c r="F350" s="199">
        <f t="shared" si="78"/>
        <v>17.422834088778014</v>
      </c>
      <c r="G350" s="199">
        <f t="shared" si="78"/>
        <v>22.646780953348355</v>
      </c>
      <c r="H350" s="199">
        <f t="shared" si="78"/>
        <v>22.090738459501161</v>
      </c>
      <c r="I350" s="199">
        <f t="shared" si="78"/>
        <v>9.6130417170870519</v>
      </c>
      <c r="J350" s="199">
        <f t="shared" si="78"/>
        <v>17.984364620725479</v>
      </c>
      <c r="AA350" s="226"/>
      <c r="AB350" s="199"/>
    </row>
    <row r="351" spans="3:28" x14ac:dyDescent="0.2">
      <c r="C351" s="226">
        <v>0.13999999999999899</v>
      </c>
      <c r="D351" s="199">
        <f t="shared" si="78"/>
        <v>13.913366559943659</v>
      </c>
      <c r="E351" s="199">
        <f t="shared" si="78"/>
        <v>19.631141481843077</v>
      </c>
      <c r="F351" s="199">
        <f t="shared" si="78"/>
        <v>15.306463338125257</v>
      </c>
      <c r="G351" s="199">
        <f t="shared" si="78"/>
        <v>20.064171217921597</v>
      </c>
      <c r="H351" s="199">
        <f t="shared" si="78"/>
        <v>19.631141481843077</v>
      </c>
      <c r="I351" s="199">
        <f t="shared" si="78"/>
        <v>8.2902070335290095</v>
      </c>
      <c r="J351" s="199">
        <f t="shared" si="78"/>
        <v>15.839253226543631</v>
      </c>
      <c r="AA351" s="226"/>
      <c r="AB351" s="199"/>
    </row>
    <row r="352" spans="3:28" x14ac:dyDescent="0.2">
      <c r="C352" s="226">
        <v>0.12999999999999901</v>
      </c>
      <c r="D352" s="199">
        <f t="shared" si="78"/>
        <v>12.070868798059985</v>
      </c>
      <c r="E352" s="199">
        <f t="shared" si="78"/>
        <v>17.293389833982516</v>
      </c>
      <c r="F352" s="199">
        <f t="shared" si="78"/>
        <v>13.318674624467388</v>
      </c>
      <c r="G352" s="199">
        <f t="shared" si="78"/>
        <v>17.61721780810344</v>
      </c>
      <c r="H352" s="199">
        <f t="shared" si="78"/>
        <v>17.293389833982516</v>
      </c>
      <c r="I352" s="199">
        <f t="shared" si="78"/>
        <v>7.071362317655745</v>
      </c>
      <c r="J352" s="199">
        <f t="shared" si="78"/>
        <v>13.819258410514585</v>
      </c>
      <c r="AA352" s="226"/>
      <c r="AB352" s="199"/>
    </row>
    <row r="353" spans="3:28" x14ac:dyDescent="0.2">
      <c r="C353" s="226">
        <v>0.119999999999999</v>
      </c>
      <c r="D353" s="199">
        <f t="shared" si="78"/>
        <v>10.353906997982362</v>
      </c>
      <c r="E353" s="199">
        <f t="shared" si="78"/>
        <v>15.080125144222775</v>
      </c>
      <c r="F353" s="199">
        <f t="shared" si="78"/>
        <v>11.46064563172118</v>
      </c>
      <c r="G353" s="199">
        <f t="shared" si="78"/>
        <v>15.308409196466476</v>
      </c>
      <c r="H353" s="199">
        <f t="shared" si="78"/>
        <v>15.080125144222775</v>
      </c>
      <c r="I353" s="199">
        <f t="shared" si="78"/>
        <v>5.955389047148504</v>
      </c>
      <c r="J353" s="199">
        <f t="shared" si="78"/>
        <v>11.925865345624826</v>
      </c>
      <c r="AA353" s="226"/>
      <c r="AB353" s="199"/>
    </row>
    <row r="354" spans="3:28" x14ac:dyDescent="0.2">
      <c r="C354" s="226">
        <v>0.109999999999999</v>
      </c>
      <c r="D354" s="199">
        <f t="shared" si="78"/>
        <v>8.7633202809388102</v>
      </c>
      <c r="E354" s="199">
        <f t="shared" si="78"/>
        <v>12.994265544179513</v>
      </c>
      <c r="F354" s="199">
        <f t="shared" si="78"/>
        <v>9.7336606975964841</v>
      </c>
      <c r="G354" s="199">
        <f t="shared" si="78"/>
        <v>13.14048497033127</v>
      </c>
      <c r="H354" s="199">
        <f t="shared" si="78"/>
        <v>12.994265544179513</v>
      </c>
      <c r="I354" s="199">
        <f t="shared" si="78"/>
        <v>4.9410924809497283</v>
      </c>
      <c r="J354" s="199">
        <f t="shared" si="78"/>
        <v>10.160698241774552</v>
      </c>
      <c r="AA354" s="226"/>
      <c r="AB354" s="199"/>
    </row>
    <row r="355" spans="3:28" x14ac:dyDescent="0.2">
      <c r="C355" s="226">
        <v>9.9999999999999006E-2</v>
      </c>
      <c r="D355" s="199">
        <f t="shared" si="78"/>
        <v>7.3000273829022184</v>
      </c>
      <c r="E355" s="199">
        <f t="shared" si="78"/>
        <v>11.039061703467093</v>
      </c>
      <c r="F355" s="199">
        <f t="shared" si="78"/>
        <v>8.1391307127948025</v>
      </c>
      <c r="G355" s="199">
        <f t="shared" si="78"/>
        <v>11.116485645028671</v>
      </c>
      <c r="H355" s="199">
        <f t="shared" si="78"/>
        <v>11.039061703467093</v>
      </c>
      <c r="I355" s="199">
        <f t="shared" si="78"/>
        <v>4.02718938362153</v>
      </c>
      <c r="J355" s="199">
        <f t="shared" si="78"/>
        <v>8.5255467706755859</v>
      </c>
      <c r="AA355" s="226"/>
      <c r="AB355" s="199"/>
    </row>
    <row r="356" spans="3:28" x14ac:dyDescent="0.2">
      <c r="C356" s="226">
        <v>8.9999999999998997E-2</v>
      </c>
      <c r="D356" s="199">
        <f t="shared" si="78"/>
        <v>5.9650426129186398</v>
      </c>
      <c r="E356" s="199">
        <f t="shared" si="78"/>
        <v>9.2181708039812893</v>
      </c>
      <c r="F356" s="199">
        <f t="shared" si="78"/>
        <v>6.6786190215000962</v>
      </c>
      <c r="G356" s="199">
        <f t="shared" si="78"/>
        <v>9.2398181782984938</v>
      </c>
      <c r="H356" s="199">
        <f t="shared" si="78"/>
        <v>9.2181708039812893</v>
      </c>
      <c r="I356" s="199">
        <f t="shared" si="78"/>
        <v>3.2122924088816656</v>
      </c>
      <c r="J356" s="199">
        <f t="shared" si="78"/>
        <v>7.0224005662270317</v>
      </c>
      <c r="AA356" s="226"/>
      <c r="AB356" s="199"/>
    </row>
    <row r="357" spans="3:28" x14ac:dyDescent="0.2">
      <c r="C357" s="226">
        <v>7.9999999999999002E-2</v>
      </c>
      <c r="D357" s="199">
        <f t="shared" si="78"/>
        <v>4.7594970642983396</v>
      </c>
      <c r="E357" s="199">
        <f t="shared" si="78"/>
        <v>7.5357567728335528</v>
      </c>
      <c r="F357" s="199">
        <f t="shared" si="78"/>
        <v>5.3538759753030325</v>
      </c>
      <c r="G357" s="199">
        <f t="shared" si="78"/>
        <v>7.5143443755340211</v>
      </c>
      <c r="H357" s="199">
        <f t="shared" si="78"/>
        <v>7.5357567728335528</v>
      </c>
      <c r="I357" s="199">
        <f t="shared" si="78"/>
        <v>2.4948897811794595</v>
      </c>
      <c r="J357" s="199">
        <f t="shared" si="78"/>
        <v>5.6534954072123336</v>
      </c>
      <c r="AA357" s="226"/>
      <c r="AB357" s="199"/>
    </row>
    <row r="358" spans="3:28" x14ac:dyDescent="0.2">
      <c r="C358" s="226">
        <v>6.9999999999998994E-2</v>
      </c>
      <c r="D358" s="199">
        <f t="shared" si="78"/>
        <v>3.6846676511390819</v>
      </c>
      <c r="E358" s="199">
        <f t="shared" si="78"/>
        <v>5.9966304445706804</v>
      </c>
      <c r="F358" s="199">
        <f t="shared" si="78"/>
        <v>4.1668864295215142</v>
      </c>
      <c r="G358" s="199">
        <f t="shared" si="78"/>
        <v>5.9445039505262978</v>
      </c>
      <c r="H358" s="199">
        <f t="shared" si="78"/>
        <v>5.9966304445706804</v>
      </c>
      <c r="I358" s="199">
        <f t="shared" si="78"/>
        <v>1.8733181302952167</v>
      </c>
      <c r="J358" s="199">
        <f t="shared" si="78"/>
        <v>4.4213769355567196</v>
      </c>
      <c r="AA358" s="226"/>
      <c r="AB358" s="199"/>
    </row>
    <row r="359" spans="3:28" x14ac:dyDescent="0.2">
      <c r="C359" s="226">
        <v>5.9999999999999103E-2</v>
      </c>
      <c r="D359" s="199">
        <f t="shared" si="78"/>
        <v>2.7420183328026022</v>
      </c>
      <c r="E359" s="199">
        <f t="shared" si="78"/>
        <v>4.6064533553192089</v>
      </c>
      <c r="F359" s="199">
        <f t="shared" si="78"/>
        <v>3.1199374866319158</v>
      </c>
      <c r="G359" s="199">
        <f t="shared" si="78"/>
        <v>4.5354925432147857</v>
      </c>
      <c r="H359" s="199">
        <f t="shared" si="78"/>
        <v>4.6064533553192089</v>
      </c>
      <c r="I359" s="199">
        <f t="shared" si="78"/>
        <v>1.3457249294093661</v>
      </c>
      <c r="J359" s="199">
        <f t="shared" si="78"/>
        <v>3.3289919178346907</v>
      </c>
      <c r="AA359" s="226"/>
      <c r="AB359" s="199"/>
    </row>
    <row r="360" spans="3:28" x14ac:dyDescent="0.2">
      <c r="C360" s="226">
        <v>4.9999999999998997E-2</v>
      </c>
      <c r="D360" s="199">
        <f t="shared" si="78"/>
        <v>1.9332614169491156</v>
      </c>
      <c r="E360" s="199">
        <f t="shared" si="78"/>
        <v>3.3720491267270805</v>
      </c>
      <c r="F360" s="199">
        <f t="shared" si="78"/>
        <v>2.2157197626947149</v>
      </c>
      <c r="G360" s="199">
        <f t="shared" si="78"/>
        <v>3.2935321431974272</v>
      </c>
      <c r="H360" s="199">
        <f t="shared" si="78"/>
        <v>3.3720491267270805</v>
      </c>
      <c r="I360" s="199">
        <f t="shared" si="78"/>
        <v>0.91001429227987973</v>
      </c>
      <c r="J360" s="199">
        <f t="shared" si="78"/>
        <v>2.379825318513483</v>
      </c>
      <c r="AA360" s="226"/>
      <c r="AB360" s="199"/>
    </row>
    <row r="361" spans="3:28" x14ac:dyDescent="0.2">
      <c r="C361" s="226">
        <v>3.9999999999999002E-2</v>
      </c>
      <c r="D361" s="199">
        <f t="shared" ref="D361:J364" si="79">IF($C361&gt;=D$95,D$66*$C361^(1/D$65),IF(AND($C361&gt;=D$96,$C361&lt;D$95),D$68*$C361^(1/D$67),D$70*$C361^(1/D$69)))</f>
        <v>1.2604544552862236</v>
      </c>
      <c r="E361" s="199">
        <f t="shared" si="79"/>
        <v>2.3019114058471142</v>
      </c>
      <c r="F361" s="199">
        <f t="shared" si="79"/>
        <v>1.4574884252500124</v>
      </c>
      <c r="G361" s="199">
        <f t="shared" si="79"/>
        <v>2.2263092425206992</v>
      </c>
      <c r="H361" s="199">
        <f t="shared" si="79"/>
        <v>2.3019114058471142</v>
      </c>
      <c r="I361" s="199">
        <f t="shared" si="79"/>
        <v>0.56376423909188766</v>
      </c>
      <c r="J361" s="199">
        <f t="shared" si="79"/>
        <v>1.5781194884134555</v>
      </c>
      <c r="AA361" s="226"/>
      <c r="AB361" s="199"/>
    </row>
    <row r="362" spans="3:28" x14ac:dyDescent="0.2">
      <c r="C362" s="226">
        <v>2.9999999999999E-2</v>
      </c>
      <c r="D362" s="199">
        <f t="shared" si="79"/>
        <v>0.72616689901604725</v>
      </c>
      <c r="E362" s="199">
        <f t="shared" si="79"/>
        <v>1.4071111686271651</v>
      </c>
      <c r="F362" s="199">
        <f t="shared" si="79"/>
        <v>0.8493421953078033</v>
      </c>
      <c r="G362" s="199">
        <f t="shared" si="79"/>
        <v>1.3437511596113254</v>
      </c>
      <c r="H362" s="199">
        <f t="shared" si="79"/>
        <v>1.4071111686271651</v>
      </c>
      <c r="I362" s="199">
        <f t="shared" si="79"/>
        <v>0.304090223375232</v>
      </c>
      <c r="J362" s="199">
        <f t="shared" si="79"/>
        <v>0.92925644117507311</v>
      </c>
      <c r="AA362" s="226"/>
      <c r="AB362" s="199"/>
    </row>
    <row r="363" spans="3:28" x14ac:dyDescent="0.2">
      <c r="C363" s="226">
        <v>1.9999999999999001E-2</v>
      </c>
      <c r="D363" s="199">
        <f t="shared" si="79"/>
        <v>0.33380531858465806</v>
      </c>
      <c r="E363" s="199">
        <f t="shared" si="79"/>
        <v>0.70315381455398229</v>
      </c>
      <c r="F363" s="199">
        <f t="shared" si="79"/>
        <v>0.39677282767415606</v>
      </c>
      <c r="G363" s="199">
        <f t="shared" si="79"/>
        <v>0.65959884131351576</v>
      </c>
      <c r="H363" s="199">
        <f t="shared" si="79"/>
        <v>0.70315381455398229</v>
      </c>
      <c r="I363" s="199">
        <f t="shared" si="79"/>
        <v>0.12739244822614654</v>
      </c>
      <c r="J363" s="199">
        <f t="shared" si="79"/>
        <v>0.44051705013028458</v>
      </c>
      <c r="AA363" s="226"/>
      <c r="AB363" s="199"/>
    </row>
    <row r="364" spans="3:28" x14ac:dyDescent="0.2">
      <c r="C364" s="226">
        <v>9.9999999999990097E-3</v>
      </c>
      <c r="D364" s="199">
        <f t="shared" si="79"/>
        <v>8.8401441438911293E-2</v>
      </c>
      <c r="E364" s="199">
        <f t="shared" si="79"/>
        <v>0.21478901649555238</v>
      </c>
      <c r="F364" s="199">
        <f t="shared" si="79"/>
        <v>0.10801367204925404</v>
      </c>
      <c r="G364" s="199">
        <f t="shared" si="79"/>
        <v>0.1954223713186915</v>
      </c>
      <c r="H364" s="199">
        <f t="shared" si="79"/>
        <v>0.21478901649555238</v>
      </c>
      <c r="I364" s="199">
        <f t="shared" si="79"/>
        <v>2.8786564914425994E-2</v>
      </c>
      <c r="J364" s="199">
        <f t="shared" si="79"/>
        <v>0.12296614602394279</v>
      </c>
      <c r="AA364" s="226"/>
      <c r="AB364" s="199"/>
    </row>
    <row r="365" spans="3:28" x14ac:dyDescent="0.2">
      <c r="C365" s="226"/>
      <c r="D365" s="199"/>
      <c r="AA365" s="226"/>
      <c r="AB365" s="199"/>
    </row>
    <row r="366" spans="3:28" x14ac:dyDescent="0.2">
      <c r="C366" s="226"/>
      <c r="D366" s="199"/>
      <c r="AA366" s="226"/>
      <c r="AB366" s="199"/>
    </row>
    <row r="367" spans="3:28" x14ac:dyDescent="0.2">
      <c r="C367" s="226"/>
      <c r="D367" s="199"/>
      <c r="AA367" s="226"/>
      <c r="AB367" s="199"/>
    </row>
    <row r="368" spans="3:28" x14ac:dyDescent="0.2">
      <c r="C368" s="226"/>
      <c r="D368" s="199"/>
      <c r="AA368" s="226"/>
      <c r="AB368" s="199"/>
    </row>
    <row r="369" spans="3:28" x14ac:dyDescent="0.2">
      <c r="C369" s="226"/>
      <c r="D369" s="199"/>
      <c r="AA369" s="226"/>
      <c r="AB369" s="199"/>
    </row>
    <row r="370" spans="3:28" x14ac:dyDescent="0.2">
      <c r="C370" s="226"/>
      <c r="D370" s="199"/>
      <c r="AA370" s="226"/>
      <c r="AB370" s="199"/>
    </row>
    <row r="371" spans="3:28" x14ac:dyDescent="0.2">
      <c r="C371" s="226"/>
      <c r="D371" s="199"/>
      <c r="AA371" s="226"/>
      <c r="AB371" s="199"/>
    </row>
    <row r="372" spans="3:28" x14ac:dyDescent="0.2">
      <c r="C372" s="226"/>
      <c r="D372" s="199"/>
      <c r="AA372" s="226"/>
      <c r="AB372" s="199"/>
    </row>
    <row r="373" spans="3:28" x14ac:dyDescent="0.2">
      <c r="C373" s="226"/>
      <c r="D373" s="199"/>
      <c r="AA373" s="226"/>
      <c r="AB373" s="199"/>
    </row>
    <row r="374" spans="3:28" x14ac:dyDescent="0.2">
      <c r="C374" s="226"/>
      <c r="D374" s="199"/>
      <c r="AA374" s="226"/>
      <c r="AB374" s="199"/>
    </row>
    <row r="375" spans="3:28" x14ac:dyDescent="0.2">
      <c r="C375" s="226"/>
      <c r="D375" s="199"/>
      <c r="AA375" s="226"/>
      <c r="AB375" s="199"/>
    </row>
    <row r="376" spans="3:28" x14ac:dyDescent="0.2">
      <c r="AA376" s="226"/>
      <c r="AB376" s="199"/>
    </row>
    <row r="377" spans="3:28" x14ac:dyDescent="0.2">
      <c r="AA377" s="226"/>
      <c r="AB377" s="199"/>
    </row>
    <row r="378" spans="3:28" x14ac:dyDescent="0.2">
      <c r="AA378" s="226"/>
      <c r="AB378" s="199"/>
    </row>
    <row r="379" spans="3:28" x14ac:dyDescent="0.2">
      <c r="AA379" s="226"/>
      <c r="AB379" s="199"/>
    </row>
    <row r="380" spans="3:28" x14ac:dyDescent="0.2">
      <c r="AA380" s="226"/>
      <c r="AB380" s="199"/>
    </row>
    <row r="381" spans="3:28" x14ac:dyDescent="0.2">
      <c r="AA381" s="226"/>
      <c r="AB381" s="199"/>
    </row>
    <row r="382" spans="3:28" x14ac:dyDescent="0.2">
      <c r="AA382" s="226"/>
      <c r="AB382" s="199"/>
    </row>
    <row r="383" spans="3:28" x14ac:dyDescent="0.2">
      <c r="AA383" s="226"/>
      <c r="AB383" s="199"/>
    </row>
    <row r="384" spans="3:28" x14ac:dyDescent="0.2">
      <c r="AA384" s="226"/>
      <c r="AB384" s="199"/>
    </row>
    <row r="385" spans="27:28" x14ac:dyDescent="0.2">
      <c r="AA385" s="226"/>
      <c r="AB385" s="199"/>
    </row>
    <row r="386" spans="27:28" x14ac:dyDescent="0.2">
      <c r="AA386" s="226"/>
      <c r="AB386" s="199"/>
    </row>
    <row r="387" spans="27:28" x14ac:dyDescent="0.2">
      <c r="AA387" s="226"/>
      <c r="AB387" s="199"/>
    </row>
    <row r="388" spans="27:28" x14ac:dyDescent="0.2">
      <c r="AA388" s="226"/>
      <c r="AB388" s="199"/>
    </row>
    <row r="389" spans="27:28" x14ac:dyDescent="0.2">
      <c r="AA389" s="226"/>
      <c r="AB389" s="199"/>
    </row>
    <row r="390" spans="27:28" x14ac:dyDescent="0.2">
      <c r="AA390" s="226"/>
      <c r="AB390" s="199"/>
    </row>
    <row r="391" spans="27:28" x14ac:dyDescent="0.2">
      <c r="AA391" s="226"/>
      <c r="AB391" s="199"/>
    </row>
    <row r="392" spans="27:28" x14ac:dyDescent="0.2">
      <c r="AA392" s="226"/>
      <c r="AB392" s="199"/>
    </row>
    <row r="393" spans="27:28" x14ac:dyDescent="0.2">
      <c r="AA393" s="226"/>
      <c r="AB393" s="199"/>
    </row>
    <row r="394" spans="27:28" x14ac:dyDescent="0.2">
      <c r="AA394" s="226"/>
      <c r="AB394" s="199"/>
    </row>
    <row r="395" spans="27:28" x14ac:dyDescent="0.2">
      <c r="AA395" s="226"/>
      <c r="AB395" s="199"/>
    </row>
    <row r="396" spans="27:28" x14ac:dyDescent="0.2">
      <c r="AA396" s="226"/>
      <c r="AB396" s="199"/>
    </row>
    <row r="397" spans="27:28" x14ac:dyDescent="0.2">
      <c r="AA397" s="226"/>
      <c r="AB397" s="199"/>
    </row>
    <row r="398" spans="27:28" x14ac:dyDescent="0.2">
      <c r="AA398" s="226"/>
      <c r="AB398" s="199"/>
    </row>
    <row r="399" spans="27:28" x14ac:dyDescent="0.2">
      <c r="AA399" s="226"/>
      <c r="AB399" s="199"/>
    </row>
    <row r="400" spans="27:28" x14ac:dyDescent="0.2">
      <c r="AA400" s="226"/>
      <c r="AB400" s="199"/>
    </row>
    <row r="401" spans="27:28" x14ac:dyDescent="0.2">
      <c r="AA401" s="226"/>
      <c r="AB401" s="199"/>
    </row>
    <row r="402" spans="27:28" x14ac:dyDescent="0.2">
      <c r="AA402" s="226"/>
      <c r="AB402" s="199"/>
    </row>
    <row r="403" spans="27:28" x14ac:dyDescent="0.2">
      <c r="AA403" s="226"/>
      <c r="AB403" s="199"/>
    </row>
    <row r="404" spans="27:28" x14ac:dyDescent="0.2">
      <c r="AA404" s="226"/>
      <c r="AB404" s="199"/>
    </row>
    <row r="405" spans="27:28" x14ac:dyDescent="0.2">
      <c r="AA405" s="226"/>
      <c r="AB405" s="199"/>
    </row>
    <row r="406" spans="27:28" x14ac:dyDescent="0.2">
      <c r="AA406" s="226"/>
      <c r="AB406" s="199"/>
    </row>
    <row r="407" spans="27:28" x14ac:dyDescent="0.2">
      <c r="AA407" s="226"/>
      <c r="AB407" s="199"/>
    </row>
    <row r="408" spans="27:28" x14ac:dyDescent="0.2">
      <c r="AA408" s="226"/>
      <c r="AB408" s="199"/>
    </row>
    <row r="409" spans="27:28" x14ac:dyDescent="0.2">
      <c r="AA409" s="226"/>
      <c r="AB409" s="199"/>
    </row>
    <row r="410" spans="27:28" x14ac:dyDescent="0.2">
      <c r="AA410" s="226"/>
      <c r="AB410" s="199"/>
    </row>
    <row r="411" spans="27:28" x14ac:dyDescent="0.2">
      <c r="AA411" s="226"/>
      <c r="AB411" s="199"/>
    </row>
    <row r="412" spans="27:28" x14ac:dyDescent="0.2">
      <c r="AA412" s="226"/>
      <c r="AB412" s="199"/>
    </row>
    <row r="413" spans="27:28" x14ac:dyDescent="0.2">
      <c r="AA413" s="226"/>
      <c r="AB413" s="199"/>
    </row>
    <row r="414" spans="27:28" x14ac:dyDescent="0.2">
      <c r="AA414" s="226"/>
      <c r="AB414" s="199"/>
    </row>
    <row r="415" spans="27:28" x14ac:dyDescent="0.2">
      <c r="AA415" s="226"/>
      <c r="AB415" s="199"/>
    </row>
    <row r="416" spans="27:28" x14ac:dyDescent="0.2">
      <c r="AA416" s="226"/>
      <c r="AB416" s="199"/>
    </row>
    <row r="417" spans="27:28" x14ac:dyDescent="0.2">
      <c r="AA417" s="226"/>
      <c r="AB417" s="199"/>
    </row>
    <row r="418" spans="27:28" x14ac:dyDescent="0.2">
      <c r="AA418" s="226"/>
      <c r="AB418" s="199"/>
    </row>
    <row r="419" spans="27:28" x14ac:dyDescent="0.2">
      <c r="AA419" s="226"/>
      <c r="AB419" s="199"/>
    </row>
    <row r="420" spans="27:28" x14ac:dyDescent="0.2">
      <c r="AA420" s="226"/>
      <c r="AB420" s="199"/>
    </row>
    <row r="421" spans="27:28" x14ac:dyDescent="0.2">
      <c r="AA421" s="226"/>
      <c r="AB421" s="199"/>
    </row>
    <row r="422" spans="27:28" x14ac:dyDescent="0.2">
      <c r="AA422" s="226"/>
      <c r="AB422" s="199"/>
    </row>
    <row r="423" spans="27:28" x14ac:dyDescent="0.2">
      <c r="AA423" s="226"/>
      <c r="AB423" s="199"/>
    </row>
    <row r="424" spans="27:28" x14ac:dyDescent="0.2">
      <c r="AA424" s="226"/>
      <c r="AB424" s="199"/>
    </row>
    <row r="425" spans="27:28" x14ac:dyDescent="0.2">
      <c r="AA425" s="226"/>
      <c r="AB425" s="199"/>
    </row>
    <row r="426" spans="27:28" x14ac:dyDescent="0.2">
      <c r="AA426" s="226"/>
      <c r="AB426" s="199"/>
    </row>
    <row r="427" spans="27:28" x14ac:dyDescent="0.2">
      <c r="AA427" s="226"/>
      <c r="AB427" s="199"/>
    </row>
    <row r="428" spans="27:28" x14ac:dyDescent="0.2">
      <c r="AA428" s="226"/>
      <c r="AB428" s="199"/>
    </row>
    <row r="429" spans="27:28" x14ac:dyDescent="0.2">
      <c r="AA429" s="226"/>
      <c r="AB429" s="199"/>
    </row>
    <row r="430" spans="27:28" x14ac:dyDescent="0.2">
      <c r="AA430" s="226"/>
      <c r="AB430" s="199"/>
    </row>
    <row r="431" spans="27:28" x14ac:dyDescent="0.2">
      <c r="AA431" s="226"/>
      <c r="AB431" s="199"/>
    </row>
    <row r="432" spans="27:28" x14ac:dyDescent="0.2">
      <c r="AA432" s="226"/>
      <c r="AB432" s="199"/>
    </row>
    <row r="433" spans="27:28" x14ac:dyDescent="0.2">
      <c r="AA433" s="226"/>
      <c r="AB433" s="199"/>
    </row>
    <row r="434" spans="27:28" x14ac:dyDescent="0.2">
      <c r="AA434" s="226"/>
      <c r="AB434" s="199"/>
    </row>
    <row r="435" spans="27:28" x14ac:dyDescent="0.2">
      <c r="AA435" s="226"/>
      <c r="AB435" s="199"/>
    </row>
    <row r="436" spans="27:28" x14ac:dyDescent="0.2">
      <c r="AA436" s="226"/>
      <c r="AB436" s="199"/>
    </row>
    <row r="437" spans="27:28" x14ac:dyDescent="0.2">
      <c r="AA437" s="226"/>
      <c r="AB437" s="199"/>
    </row>
    <row r="438" spans="27:28" x14ac:dyDescent="0.2">
      <c r="AA438" s="226"/>
      <c r="AB438" s="199"/>
    </row>
    <row r="439" spans="27:28" x14ac:dyDescent="0.2">
      <c r="AA439" s="226"/>
      <c r="AB439" s="199"/>
    </row>
    <row r="440" spans="27:28" x14ac:dyDescent="0.2">
      <c r="AA440" s="226"/>
      <c r="AB440" s="199"/>
    </row>
    <row r="441" spans="27:28" x14ac:dyDescent="0.2">
      <c r="AA441" s="226"/>
      <c r="AB441" s="199"/>
    </row>
    <row r="442" spans="27:28" x14ac:dyDescent="0.2">
      <c r="AA442" s="226"/>
      <c r="AB442" s="199"/>
    </row>
    <row r="443" spans="27:28" x14ac:dyDescent="0.2">
      <c r="AA443" s="226"/>
      <c r="AB443" s="199"/>
    </row>
    <row r="444" spans="27:28" x14ac:dyDescent="0.2">
      <c r="AA444" s="226"/>
      <c r="AB444" s="199"/>
    </row>
    <row r="445" spans="27:28" x14ac:dyDescent="0.2">
      <c r="AA445" s="226"/>
      <c r="AB445" s="199"/>
    </row>
    <row r="446" spans="27:28" x14ac:dyDescent="0.2">
      <c r="AA446" s="226"/>
      <c r="AB446" s="199"/>
    </row>
    <row r="447" spans="27:28" x14ac:dyDescent="0.2">
      <c r="AA447" s="226"/>
      <c r="AB447" s="199"/>
    </row>
    <row r="448" spans="27:28" x14ac:dyDescent="0.2">
      <c r="AA448" s="226"/>
      <c r="AB448" s="199"/>
    </row>
    <row r="449" spans="27:28" x14ac:dyDescent="0.2">
      <c r="AA449" s="226"/>
      <c r="AB449" s="199"/>
    </row>
    <row r="450" spans="27:28" x14ac:dyDescent="0.2">
      <c r="AA450" s="226"/>
      <c r="AB450" s="199"/>
    </row>
    <row r="451" spans="27:28" x14ac:dyDescent="0.2">
      <c r="AA451" s="226"/>
      <c r="AB451" s="199"/>
    </row>
    <row r="452" spans="27:28" x14ac:dyDescent="0.2">
      <c r="AA452" s="226"/>
      <c r="AB452" s="199"/>
    </row>
    <row r="453" spans="27:28" x14ac:dyDescent="0.2">
      <c r="AA453" s="226"/>
      <c r="AB453" s="199"/>
    </row>
    <row r="454" spans="27:28" x14ac:dyDescent="0.2">
      <c r="AA454" s="226"/>
      <c r="AB454" s="199"/>
    </row>
    <row r="455" spans="27:28" x14ac:dyDescent="0.2">
      <c r="AA455" s="226"/>
      <c r="AB455" s="199"/>
    </row>
    <row r="456" spans="27:28" x14ac:dyDescent="0.2">
      <c r="AA456" s="226"/>
      <c r="AB456" s="199"/>
    </row>
    <row r="457" spans="27:28" x14ac:dyDescent="0.2">
      <c r="AA457" s="226"/>
      <c r="AB457" s="199"/>
    </row>
    <row r="458" spans="27:28" x14ac:dyDescent="0.2">
      <c r="AA458" s="226"/>
      <c r="AB458" s="199"/>
    </row>
    <row r="459" spans="27:28" x14ac:dyDescent="0.2">
      <c r="AA459" s="226"/>
      <c r="AB459" s="199"/>
    </row>
    <row r="460" spans="27:28" x14ac:dyDescent="0.2">
      <c r="AA460" s="226"/>
      <c r="AB460" s="199"/>
    </row>
    <row r="461" spans="27:28" x14ac:dyDescent="0.2">
      <c r="AA461" s="226"/>
      <c r="AB461" s="199"/>
    </row>
    <row r="462" spans="27:28" x14ac:dyDescent="0.2">
      <c r="AA462" s="226"/>
      <c r="AB462" s="199"/>
    </row>
    <row r="463" spans="27:28" x14ac:dyDescent="0.2">
      <c r="AA463" s="226"/>
      <c r="AB463" s="199"/>
    </row>
    <row r="464" spans="27:28" x14ac:dyDescent="0.2">
      <c r="AA464" s="226"/>
      <c r="AB464" s="199"/>
    </row>
    <row r="465" spans="27:28" x14ac:dyDescent="0.2">
      <c r="AA465" s="226"/>
      <c r="AB465" s="199"/>
    </row>
    <row r="466" spans="27:28" x14ac:dyDescent="0.2">
      <c r="AA466" s="226"/>
      <c r="AB466" s="199"/>
    </row>
    <row r="467" spans="27:28" x14ac:dyDescent="0.2">
      <c r="AA467" s="226"/>
      <c r="AB467" s="199"/>
    </row>
    <row r="468" spans="27:28" x14ac:dyDescent="0.2">
      <c r="AA468" s="226"/>
      <c r="AB468" s="199"/>
    </row>
    <row r="469" spans="27:28" x14ac:dyDescent="0.2">
      <c r="AA469" s="226"/>
      <c r="AB469" s="199"/>
    </row>
    <row r="470" spans="27:28" x14ac:dyDescent="0.2">
      <c r="AA470" s="226"/>
      <c r="AB470" s="199"/>
    </row>
    <row r="471" spans="27:28" x14ac:dyDescent="0.2">
      <c r="AA471" s="226"/>
      <c r="AB471" s="199"/>
    </row>
    <row r="472" spans="27:28" x14ac:dyDescent="0.2">
      <c r="AA472" s="226"/>
      <c r="AB472" s="199"/>
    </row>
    <row r="473" spans="27:28" x14ac:dyDescent="0.2">
      <c r="AA473" s="226"/>
      <c r="AB473" s="199"/>
    </row>
    <row r="474" spans="27:28" x14ac:dyDescent="0.2">
      <c r="AA474" s="226"/>
      <c r="AB474" s="199"/>
    </row>
    <row r="475" spans="27:28" x14ac:dyDescent="0.2">
      <c r="AA475" s="226"/>
      <c r="AB475" s="199"/>
    </row>
    <row r="476" spans="27:28" x14ac:dyDescent="0.2">
      <c r="AA476" s="226"/>
      <c r="AB476" s="199"/>
    </row>
    <row r="477" spans="27:28" x14ac:dyDescent="0.2">
      <c r="AA477" s="226"/>
      <c r="AB477" s="199"/>
    </row>
    <row r="478" spans="27:28" x14ac:dyDescent="0.2">
      <c r="AA478" s="226"/>
      <c r="AB478" s="199"/>
    </row>
    <row r="479" spans="27:28" x14ac:dyDescent="0.2">
      <c r="AA479" s="226"/>
      <c r="AB479" s="199"/>
    </row>
    <row r="480" spans="27:28" x14ac:dyDescent="0.2">
      <c r="AA480" s="226"/>
      <c r="AB480" s="199"/>
    </row>
  </sheetData>
  <scenarios current="0">
    <scenario name="solve_piece2_kvalue_maxsize_of_trend" count="1" user="Michael Smit" comment="Created by Michael Smit on 12/12/2019">
      <inputCells r="D68" val="935.697667161446" numFmtId="1"/>
    </scenario>
  </scenario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E97FD-4591-4141-AADC-00B6F0609777}">
  <sheetPr codeName="Sheet16"/>
  <dimension ref="A1:AJ350"/>
  <sheetViews>
    <sheetView topLeftCell="I1" zoomScale="85" zoomScaleNormal="85" workbookViewId="0">
      <selection activeCell="L22" sqref="L22"/>
    </sheetView>
  </sheetViews>
  <sheetFormatPr defaultRowHeight="11.25" x14ac:dyDescent="0.2"/>
  <cols>
    <col min="1" max="1" width="27.7109375" style="138" customWidth="1"/>
    <col min="2" max="2" width="14.42578125" style="36" customWidth="1"/>
    <col min="3" max="3" width="6.85546875" style="36" customWidth="1"/>
    <col min="4" max="4" width="8.7109375" style="36" customWidth="1"/>
    <col min="5" max="9" width="6.85546875" style="36" customWidth="1"/>
    <col min="10" max="10" width="6.28515625" style="36" customWidth="1"/>
    <col min="11" max="12" width="6.85546875" style="36" customWidth="1"/>
    <col min="13" max="16" width="6.85546875" style="139" customWidth="1"/>
    <col min="17" max="22" width="6.85546875" style="36" customWidth="1"/>
    <col min="23" max="23" width="8.140625" style="36" customWidth="1"/>
    <col min="24" max="16384" width="9.140625" style="36"/>
  </cols>
  <sheetData>
    <row r="1" spans="1:21" x14ac:dyDescent="0.2">
      <c r="M1" s="129"/>
      <c r="N1" s="129"/>
      <c r="O1" s="129"/>
      <c r="P1" s="129"/>
      <c r="Q1" s="129"/>
      <c r="R1" s="129"/>
      <c r="S1" s="129"/>
      <c r="T1" s="129"/>
      <c r="U1" s="129"/>
    </row>
    <row r="2" spans="1:21" x14ac:dyDescent="0.2">
      <c r="A2" s="327" t="s">
        <v>194</v>
      </c>
      <c r="B2" s="127"/>
      <c r="C2" s="131"/>
      <c r="D2" s="350" t="s">
        <v>305</v>
      </c>
      <c r="E2" s="131"/>
      <c r="F2" s="352"/>
      <c r="G2" s="471" t="s">
        <v>304</v>
      </c>
      <c r="H2" s="472"/>
      <c r="J2" s="390" t="s">
        <v>324</v>
      </c>
      <c r="L2" s="129"/>
      <c r="M2" s="457"/>
      <c r="N2" s="129"/>
      <c r="P2" s="129"/>
      <c r="Q2" s="129"/>
      <c r="R2" s="129"/>
      <c r="S2" s="129"/>
      <c r="T2" s="129"/>
      <c r="U2" s="129"/>
    </row>
    <row r="3" spans="1:21" x14ac:dyDescent="0.2">
      <c r="A3" s="327"/>
      <c r="B3" s="143" t="s">
        <v>16</v>
      </c>
      <c r="C3" s="340" t="s">
        <v>306</v>
      </c>
      <c r="D3" s="353" t="s">
        <v>296</v>
      </c>
      <c r="E3" s="374" t="s">
        <v>297</v>
      </c>
      <c r="F3" s="375" t="s">
        <v>298</v>
      </c>
      <c r="G3" s="359" t="str">
        <f>F3</f>
        <v>cumpas</v>
      </c>
      <c r="H3" s="375" t="s">
        <v>297</v>
      </c>
      <c r="L3" s="456" t="s">
        <v>112</v>
      </c>
      <c r="M3" s="392" t="s">
        <v>325</v>
      </c>
      <c r="N3" s="392"/>
      <c r="O3" s="392" t="s">
        <v>329</v>
      </c>
      <c r="P3" s="129"/>
      <c r="Q3" s="129"/>
      <c r="R3" s="129"/>
      <c r="S3" s="129"/>
      <c r="T3" s="129"/>
      <c r="U3" s="129"/>
    </row>
    <row r="4" spans="1:21" ht="12.75" x14ac:dyDescent="0.25">
      <c r="B4" s="361" t="str">
        <f>"+"&amp;C4</f>
        <v>+1180</v>
      </c>
      <c r="C4" s="131">
        <v>1180</v>
      </c>
      <c r="D4" s="360">
        <f>data!J5</f>
        <v>10.603333333333333</v>
      </c>
      <c r="E4" s="363">
        <f t="shared" ref="E4:E15" si="0">D4/D$16</f>
        <v>3.5400101270330574E-2</v>
      </c>
      <c r="F4" s="376">
        <f>1-D4/D$16</f>
        <v>0.96459989872966945</v>
      </c>
      <c r="G4" s="396">
        <f t="shared" ref="G4:G14" si="1">IF($C4&gt;=bp_1,($C4/k_1)^n_1,0)+IF($C4&lt;bp_1,($C4/k_2)^n_2,0)</f>
        <v>0.96143956751629045</v>
      </c>
      <c r="H4" s="377">
        <f>1-G4</f>
        <v>3.856043248370955E-2</v>
      </c>
      <c r="I4" s="387" t="s">
        <v>322</v>
      </c>
      <c r="J4" s="390" t="s">
        <v>323</v>
      </c>
      <c r="K4" s="390" t="s">
        <v>326</v>
      </c>
      <c r="L4" s="390" t="s">
        <v>327</v>
      </c>
      <c r="M4" s="392" t="s">
        <v>328</v>
      </c>
      <c r="N4" s="392"/>
      <c r="O4" s="391" t="s">
        <v>79</v>
      </c>
      <c r="P4" s="392" t="s">
        <v>69</v>
      </c>
      <c r="Q4" s="129"/>
      <c r="R4" s="129"/>
      <c r="S4" s="129"/>
      <c r="T4" s="129"/>
      <c r="U4" s="129"/>
    </row>
    <row r="5" spans="1:21" x14ac:dyDescent="0.2">
      <c r="A5" s="387"/>
      <c r="B5" s="143" t="str">
        <f>C4&amp;" -"&amp;C5</f>
        <v>1180 -600</v>
      </c>
      <c r="C5" s="139">
        <v>600</v>
      </c>
      <c r="D5" s="360">
        <f>data!J6</f>
        <v>23.303333333333331</v>
      </c>
      <c r="E5" s="363">
        <f t="shared" si="0"/>
        <v>7.7800096818887457E-2</v>
      </c>
      <c r="F5" s="376">
        <f t="shared" ref="F5:F15" si="2">F4-D5/D$16</f>
        <v>0.886799801910782</v>
      </c>
      <c r="G5" s="396">
        <f t="shared" si="1"/>
        <v>0.88389436816805855</v>
      </c>
      <c r="H5" s="377">
        <f t="shared" ref="H5:H15" si="3">G4-G5</f>
        <v>7.7545199348231897E-2</v>
      </c>
      <c r="I5" s="162">
        <v>1</v>
      </c>
      <c r="J5" s="36">
        <f>C5</f>
        <v>600</v>
      </c>
      <c r="K5" s="186">
        <f>INDEX($G$4:$G$14,MATCH(J5,$C$4:$C$14,0))</f>
        <v>0.88389436816805855</v>
      </c>
      <c r="L5" s="338">
        <f>(LOG(F$4)-LOG(F$5))/(LOG($C$4)-LOG(bp_1))</f>
        <v>0.12433707978529741</v>
      </c>
      <c r="M5" s="199">
        <v>1618.9539912947644</v>
      </c>
      <c r="N5" s="199"/>
      <c r="O5" s="199">
        <f>bp_1</f>
        <v>600</v>
      </c>
      <c r="P5" s="322">
        <f>e_y1</f>
        <v>0.88389436816805855</v>
      </c>
      <c r="Q5" s="129"/>
      <c r="R5" s="129"/>
      <c r="S5" s="129"/>
      <c r="T5" s="129"/>
      <c r="U5" s="129"/>
    </row>
    <row r="6" spans="1:21" x14ac:dyDescent="0.2">
      <c r="B6" s="143" t="str">
        <f t="shared" ref="B6:B15" si="4">C5&amp;" -"&amp;C6</f>
        <v>600 -425</v>
      </c>
      <c r="C6" s="139">
        <v>425</v>
      </c>
      <c r="D6" s="360">
        <f>data!J7</f>
        <v>21.433333333333337</v>
      </c>
      <c r="E6" s="363">
        <f t="shared" si="0"/>
        <v>7.1556947868036971E-2</v>
      </c>
      <c r="F6" s="376">
        <f t="shared" si="2"/>
        <v>0.81524285404274499</v>
      </c>
      <c r="G6" s="396">
        <f t="shared" si="1"/>
        <v>0.80887723687596502</v>
      </c>
      <c r="H6" s="377">
        <f t="shared" si="3"/>
        <v>7.5017131292093531E-2</v>
      </c>
      <c r="I6" s="162">
        <v>2</v>
      </c>
      <c r="J6" s="36">
        <f t="shared" ref="J6" si="5">C6</f>
        <v>425</v>
      </c>
      <c r="K6" s="186">
        <f t="shared" ref="K6" si="6">INDEX($G$4:$G$14,MATCH(J6,$C$4:$C$14,0))</f>
        <v>0.80887723687596502</v>
      </c>
      <c r="L6" s="338">
        <f>(LOG(F$5)-LOG(F$14))/(LOG(bp_1)-LOG(C14))</f>
        <v>0.4918339673451021</v>
      </c>
      <c r="M6" s="199">
        <v>654.15790630787785</v>
      </c>
      <c r="N6" s="199"/>
      <c r="O6" s="199">
        <f>bp_1</f>
        <v>600</v>
      </c>
      <c r="P6" s="322">
        <v>0.2</v>
      </c>
      <c r="Q6" s="397">
        <f>P5-P6</f>
        <v>0.68389436816805849</v>
      </c>
      <c r="R6" s="129"/>
      <c r="S6" s="129"/>
      <c r="T6" s="129"/>
      <c r="U6" s="129"/>
    </row>
    <row r="7" spans="1:21" x14ac:dyDescent="0.2">
      <c r="B7" s="143" t="str">
        <f t="shared" si="4"/>
        <v>425 -300</v>
      </c>
      <c r="C7" s="129">
        <v>300</v>
      </c>
      <c r="D7" s="360">
        <f>data!J8</f>
        <v>35.303333333333335</v>
      </c>
      <c r="E7" s="363">
        <f t="shared" si="0"/>
        <v>0.11786308473878375</v>
      </c>
      <c r="F7" s="376">
        <f t="shared" si="2"/>
        <v>0.69737976930396128</v>
      </c>
      <c r="G7" s="396">
        <f t="shared" si="1"/>
        <v>0.68152851752685761</v>
      </c>
      <c r="H7" s="377">
        <f t="shared" si="3"/>
        <v>0.12734871934910741</v>
      </c>
      <c r="I7" s="162"/>
      <c r="K7" s="186"/>
      <c r="L7" s="338"/>
      <c r="M7" s="199"/>
      <c r="N7" s="199"/>
      <c r="O7" s="199"/>
      <c r="P7" s="199"/>
      <c r="Q7" s="129"/>
      <c r="R7" s="129"/>
      <c r="S7" s="129"/>
      <c r="T7" s="129"/>
      <c r="U7" s="129"/>
    </row>
    <row r="8" spans="1:21" x14ac:dyDescent="0.2">
      <c r="B8" s="143" t="str">
        <f t="shared" si="4"/>
        <v>300 -212</v>
      </c>
      <c r="C8" s="129">
        <v>212</v>
      </c>
      <c r="D8" s="360">
        <f>data!J9</f>
        <v>37.611666666666672</v>
      </c>
      <c r="E8" s="363">
        <f t="shared" si="0"/>
        <v>0.12556964560948602</v>
      </c>
      <c r="F8" s="376">
        <f t="shared" si="2"/>
        <v>0.57181012369447526</v>
      </c>
      <c r="G8" s="396">
        <f t="shared" si="1"/>
        <v>0.57454315445329995</v>
      </c>
      <c r="H8" s="377">
        <f t="shared" si="3"/>
        <v>0.10698536307355766</v>
      </c>
      <c r="I8" s="162"/>
      <c r="K8" s="186"/>
      <c r="L8" s="338"/>
      <c r="M8" s="199"/>
      <c r="N8" s="199"/>
      <c r="O8" s="199"/>
      <c r="P8" s="322"/>
      <c r="Q8" s="129"/>
      <c r="R8" s="129"/>
      <c r="S8" s="129"/>
      <c r="T8" s="129"/>
      <c r="U8" s="129"/>
    </row>
    <row r="9" spans="1:21" x14ac:dyDescent="0.2">
      <c r="B9" s="143" t="str">
        <f t="shared" si="4"/>
        <v>212 -180</v>
      </c>
      <c r="C9" s="129">
        <v>180</v>
      </c>
      <c r="D9" s="360">
        <f>data!J10</f>
        <v>12.778333333333334</v>
      </c>
      <c r="E9" s="363">
        <f t="shared" si="0"/>
        <v>4.2661517830811777E-2</v>
      </c>
      <c r="F9" s="376">
        <f t="shared" si="2"/>
        <v>0.52914860586366352</v>
      </c>
      <c r="G9" s="396">
        <f t="shared" si="1"/>
        <v>0.53011645156040366</v>
      </c>
      <c r="H9" s="377">
        <f t="shared" si="3"/>
        <v>4.4426702892896297E-2</v>
      </c>
      <c r="I9" s="162"/>
      <c r="K9" s="186"/>
      <c r="L9" s="338"/>
      <c r="M9" s="199"/>
      <c r="N9" s="199"/>
      <c r="O9" s="199"/>
      <c r="P9" s="348"/>
      <c r="Q9" s="129"/>
      <c r="R9" s="129"/>
      <c r="S9" s="129"/>
      <c r="T9" s="129"/>
      <c r="U9" s="129"/>
    </row>
    <row r="10" spans="1:21" x14ac:dyDescent="0.2">
      <c r="B10" s="143" t="str">
        <f t="shared" si="4"/>
        <v>180 -150</v>
      </c>
      <c r="C10" s="129">
        <v>150</v>
      </c>
      <c r="D10" s="360">
        <f>data!J11</f>
        <v>15.020000000000001</v>
      </c>
      <c r="E10" s="363">
        <f t="shared" si="0"/>
        <v>5.0145506546403512E-2</v>
      </c>
      <c r="F10" s="376">
        <f t="shared" si="2"/>
        <v>0.47900309931726004</v>
      </c>
      <c r="G10" s="396">
        <f t="shared" si="1"/>
        <v>0.48464892736772308</v>
      </c>
      <c r="H10" s="377">
        <f t="shared" si="3"/>
        <v>4.5467524192680575E-2</v>
      </c>
      <c r="I10" s="162"/>
      <c r="M10" s="129"/>
      <c r="N10" s="129"/>
      <c r="O10" s="129"/>
      <c r="P10" s="129"/>
      <c r="Q10" s="129"/>
      <c r="R10" s="129"/>
      <c r="S10" s="129"/>
      <c r="T10" s="129"/>
      <c r="U10" s="129"/>
    </row>
    <row r="11" spans="1:21" x14ac:dyDescent="0.2">
      <c r="B11" s="143" t="str">
        <f t="shared" si="4"/>
        <v>150 -106</v>
      </c>
      <c r="C11" s="129">
        <v>106</v>
      </c>
      <c r="D11" s="360">
        <f>data!J12</f>
        <v>24.594999999999999</v>
      </c>
      <c r="E11" s="363">
        <f t="shared" si="0"/>
        <v>8.2112432324154078E-2</v>
      </c>
      <c r="F11" s="376">
        <f t="shared" si="2"/>
        <v>0.39689066699310593</v>
      </c>
      <c r="G11" s="396">
        <f t="shared" si="1"/>
        <v>0.40856943821325375</v>
      </c>
      <c r="H11" s="377">
        <f t="shared" si="3"/>
        <v>7.6079489154469326E-2</v>
      </c>
      <c r="I11" s="162"/>
      <c r="M11" s="129"/>
      <c r="N11" s="129"/>
      <c r="O11" s="129"/>
      <c r="P11" s="129"/>
      <c r="Q11" s="129"/>
      <c r="R11" s="129"/>
      <c r="S11" s="129"/>
      <c r="T11" s="129"/>
      <c r="U11" s="129"/>
    </row>
    <row r="12" spans="1:21" x14ac:dyDescent="0.2">
      <c r="B12" s="143" t="str">
        <f t="shared" si="4"/>
        <v>106 -75</v>
      </c>
      <c r="C12" s="139">
        <v>75</v>
      </c>
      <c r="D12" s="360">
        <f>data!J13</f>
        <v>18.613333333333333</v>
      </c>
      <c r="E12" s="363">
        <f t="shared" si="0"/>
        <v>6.2142145706861336E-2</v>
      </c>
      <c r="F12" s="376">
        <f t="shared" si="2"/>
        <v>0.3347485212862446</v>
      </c>
      <c r="G12" s="396">
        <f t="shared" si="1"/>
        <v>0.34464380691073315</v>
      </c>
      <c r="H12" s="377">
        <f t="shared" si="3"/>
        <v>6.3925631302520602E-2</v>
      </c>
      <c r="I12" s="162"/>
      <c r="M12" s="129"/>
      <c r="N12" s="129"/>
      <c r="O12" s="129"/>
      <c r="P12" s="397"/>
      <c r="Q12" s="129"/>
      <c r="R12" s="129"/>
      <c r="S12" s="129"/>
      <c r="T12" s="129"/>
      <c r="U12" s="129"/>
    </row>
    <row r="13" spans="1:21" x14ac:dyDescent="0.2">
      <c r="B13" s="143" t="str">
        <f t="shared" si="4"/>
        <v>75 -53</v>
      </c>
      <c r="C13" s="139">
        <v>53</v>
      </c>
      <c r="D13" s="360">
        <f>data!J14</f>
        <v>19.510000000000002</v>
      </c>
      <c r="E13" s="363">
        <f t="shared" si="0"/>
        <v>6.5135741193098035E-2</v>
      </c>
      <c r="F13" s="376">
        <f t="shared" si="2"/>
        <v>0.2696127800931466</v>
      </c>
      <c r="G13" s="396">
        <f t="shared" si="1"/>
        <v>0.2905421195049015</v>
      </c>
      <c r="H13" s="377">
        <f t="shared" si="3"/>
        <v>5.4101687405831655E-2</v>
      </c>
      <c r="I13" s="162"/>
      <c r="M13" s="129"/>
      <c r="N13" s="129"/>
      <c r="O13" s="129"/>
      <c r="P13" s="129"/>
      <c r="Q13" s="129"/>
      <c r="R13" s="129"/>
      <c r="S13" s="129"/>
      <c r="T13" s="129"/>
      <c r="U13" s="129"/>
    </row>
    <row r="14" spans="1:21" x14ac:dyDescent="0.2">
      <c r="B14" s="143" t="str">
        <f t="shared" si="4"/>
        <v>53 -38</v>
      </c>
      <c r="C14" s="139">
        <v>38</v>
      </c>
      <c r="D14" s="360">
        <f>data!J15</f>
        <v>12.386666666666668</v>
      </c>
      <c r="E14" s="363">
        <f t="shared" si="0"/>
        <v>4.1353906419537387E-2</v>
      </c>
      <c r="F14" s="376">
        <f t="shared" si="2"/>
        <v>0.2282588736736092</v>
      </c>
      <c r="G14" s="396">
        <f t="shared" si="1"/>
        <v>0.24668508523379154</v>
      </c>
      <c r="H14" s="377">
        <f t="shared" si="3"/>
        <v>4.3857034271109957E-2</v>
      </c>
      <c r="I14" s="162"/>
      <c r="M14" s="129"/>
      <c r="N14" s="129"/>
      <c r="O14" s="129"/>
      <c r="P14" s="129"/>
      <c r="Q14" s="129"/>
      <c r="R14" s="129"/>
      <c r="S14" s="129"/>
      <c r="T14" s="129"/>
      <c r="U14" s="129"/>
    </row>
    <row r="15" spans="1:21" x14ac:dyDescent="0.2">
      <c r="B15" s="144" t="str">
        <f t="shared" si="4"/>
        <v>38 -0</v>
      </c>
      <c r="C15" s="132">
        <v>0</v>
      </c>
      <c r="D15" s="353">
        <f>data!J16</f>
        <v>68.36999999999999</v>
      </c>
      <c r="E15" s="367">
        <f t="shared" si="0"/>
        <v>0.228258873673609</v>
      </c>
      <c r="F15" s="378">
        <f t="shared" si="2"/>
        <v>0</v>
      </c>
      <c r="G15" s="364"/>
      <c r="H15" s="379">
        <f t="shared" si="3"/>
        <v>0.24668508523379154</v>
      </c>
      <c r="I15" s="354"/>
      <c r="J15" s="354"/>
      <c r="M15" s="129"/>
      <c r="N15" s="129"/>
      <c r="O15" s="129"/>
      <c r="P15" s="397"/>
      <c r="Q15" s="129"/>
      <c r="R15" s="129"/>
      <c r="S15" s="129"/>
      <c r="T15" s="129"/>
      <c r="U15" s="129"/>
    </row>
    <row r="16" spans="1:21" x14ac:dyDescent="0.2">
      <c r="C16" s="36" t="s">
        <v>77</v>
      </c>
      <c r="D16" s="160">
        <f>data!J17</f>
        <v>299.52833333333336</v>
      </c>
    </row>
    <row r="18" spans="1:16" ht="15" x14ac:dyDescent="0.25">
      <c r="A18" s="327" t="s">
        <v>303</v>
      </c>
      <c r="C18"/>
      <c r="D18"/>
      <c r="F18"/>
    </row>
    <row r="19" spans="1:16" ht="15" x14ac:dyDescent="0.25">
      <c r="A19" s="324" t="s">
        <v>316</v>
      </c>
      <c r="B19"/>
      <c r="D19" s="160"/>
      <c r="E19" s="160"/>
      <c r="G19" s="160"/>
    </row>
    <row r="20" spans="1:16" ht="15" x14ac:dyDescent="0.25">
      <c r="B20"/>
      <c r="C20" s="383"/>
      <c r="D20" s="129"/>
      <c r="E20" s="384"/>
      <c r="F20" s="129"/>
      <c r="G20" s="164"/>
      <c r="K20" s="164"/>
      <c r="L20" s="164"/>
    </row>
    <row r="21" spans="1:16" ht="12.75" x14ac:dyDescent="0.2">
      <c r="B21" s="386"/>
      <c r="C21" s="383"/>
      <c r="D21" s="129"/>
      <c r="E21" s="384"/>
      <c r="F21" s="129"/>
      <c r="G21" s="164"/>
      <c r="K21" s="164"/>
      <c r="L21" s="164"/>
    </row>
    <row r="22" spans="1:16" ht="12.75" x14ac:dyDescent="0.2">
      <c r="B22" s="385"/>
      <c r="C22" s="383"/>
      <c r="D22" s="129"/>
      <c r="E22" s="129"/>
      <c r="F22" s="129"/>
    </row>
    <row r="23" spans="1:16" x14ac:dyDescent="0.2">
      <c r="C23" s="160"/>
      <c r="D23" s="160"/>
      <c r="E23" s="160"/>
      <c r="F23" s="160"/>
      <c r="G23" s="160"/>
      <c r="I23" s="160"/>
      <c r="J23" s="185"/>
    </row>
    <row r="24" spans="1:16" x14ac:dyDescent="0.2">
      <c r="A24" s="286" t="s">
        <v>265</v>
      </c>
      <c r="C24" s="369" t="s">
        <v>310</v>
      </c>
      <c r="D24" s="369"/>
      <c r="E24" s="340"/>
      <c r="F24" s="340"/>
    </row>
    <row r="25" spans="1:16" x14ac:dyDescent="0.2">
      <c r="B25" s="351"/>
      <c r="C25" s="324" t="s">
        <v>298</v>
      </c>
      <c r="D25" s="337" t="s">
        <v>307</v>
      </c>
      <c r="E25" s="393"/>
      <c r="F25" s="394"/>
    </row>
    <row r="26" spans="1:16" x14ac:dyDescent="0.2">
      <c r="A26" s="141" t="s">
        <v>91</v>
      </c>
      <c r="B26" s="386"/>
      <c r="C26" s="370">
        <f t="shared" ref="C26:C36" si="7">(G4-F4)^2</f>
        <v>9.9876933782575654E-6</v>
      </c>
      <c r="D26" s="370">
        <f t="shared" ref="D26:D37" si="8">(H4-E4)^2</f>
        <v>9.9876933782574349E-6</v>
      </c>
      <c r="E26" s="139"/>
      <c r="F26" s="139"/>
    </row>
    <row r="27" spans="1:16" x14ac:dyDescent="0.2">
      <c r="B27" s="386"/>
      <c r="C27" s="371">
        <f t="shared" si="7"/>
        <v>8.4415452333560017E-6</v>
      </c>
      <c r="D27" s="371">
        <f t="shared" si="8"/>
        <v>6.4972720546602139E-8</v>
      </c>
      <c r="E27" s="139"/>
      <c r="F27" s="139"/>
    </row>
    <row r="28" spans="1:16" x14ac:dyDescent="0.2">
      <c r="B28" s="129"/>
      <c r="C28" s="371">
        <f t="shared" si="7"/>
        <v>4.052108191400384E-5</v>
      </c>
      <c r="D28" s="371">
        <f t="shared" si="8"/>
        <v>1.1972869328115775E-5</v>
      </c>
      <c r="E28" s="348"/>
      <c r="F28" s="348"/>
    </row>
    <row r="29" spans="1:16" x14ac:dyDescent="0.2">
      <c r="A29" s="395"/>
      <c r="B29" s="129"/>
      <c r="C29" s="371">
        <f t="shared" si="7"/>
        <v>2.5126218290113226E-4</v>
      </c>
      <c r="D29" s="371">
        <f t="shared" si="8"/>
        <v>8.9977263960570086E-5</v>
      </c>
      <c r="E29" s="348"/>
      <c r="F29" s="348"/>
    </row>
    <row r="30" spans="1:16" x14ac:dyDescent="0.2">
      <c r="A30" s="395"/>
      <c r="B30" s="129"/>
      <c r="C30" s="371">
        <f t="shared" si="7"/>
        <v>7.4694571286818875E-6</v>
      </c>
      <c r="D30" s="371">
        <f t="shared" si="8"/>
        <v>3.4537555737521199E-4</v>
      </c>
      <c r="E30" s="348"/>
      <c r="F30" s="348"/>
    </row>
    <row r="31" spans="1:16" x14ac:dyDescent="0.2">
      <c r="A31" s="395"/>
      <c r="B31" s="129"/>
      <c r="C31" s="371">
        <f t="shared" si="7"/>
        <v>9.3672529269839308E-7</v>
      </c>
      <c r="D31" s="371">
        <f t="shared" si="8"/>
        <v>3.1158783034063326E-6</v>
      </c>
      <c r="E31" s="348"/>
      <c r="F31" s="348"/>
    </row>
    <row r="32" spans="1:16" x14ac:dyDescent="0.2">
      <c r="B32" s="129"/>
      <c r="C32" s="371">
        <f t="shared" si="7"/>
        <v>3.1875374375395311E-5</v>
      </c>
      <c r="D32" s="371">
        <f t="shared" si="8"/>
        <v>2.1883518901743189E-5</v>
      </c>
      <c r="E32" s="348"/>
      <c r="F32" s="348"/>
      <c r="M32" s="323"/>
      <c r="N32" s="323"/>
      <c r="O32" s="323"/>
      <c r="P32" s="323"/>
    </row>
    <row r="33" spans="1:23" x14ac:dyDescent="0.2">
      <c r="B33" s="129"/>
      <c r="C33" s="371">
        <f t="shared" si="7"/>
        <v>1.3639369721255302E-4</v>
      </c>
      <c r="D33" s="371">
        <f t="shared" si="8"/>
        <v>3.6396403288645895E-5</v>
      </c>
      <c r="E33" s="348"/>
      <c r="F33" s="348"/>
      <c r="M33" s="322"/>
      <c r="N33" s="322"/>
      <c r="O33" s="322"/>
      <c r="P33" s="322"/>
      <c r="Q33" s="162"/>
      <c r="R33" s="162"/>
      <c r="S33" s="162"/>
      <c r="T33" s="162"/>
      <c r="U33" s="162"/>
    </row>
    <row r="34" spans="1:23" x14ac:dyDescent="0.2">
      <c r="B34" s="129"/>
      <c r="C34" s="371">
        <f t="shared" si="7"/>
        <v>9.7916677590209706E-5</v>
      </c>
      <c r="D34" s="371">
        <f t="shared" si="8"/>
        <v>3.1808208699240879E-6</v>
      </c>
      <c r="E34" s="348"/>
      <c r="F34" s="348"/>
      <c r="M34" s="322"/>
      <c r="N34" s="322"/>
      <c r="O34" s="322"/>
      <c r="P34" s="322"/>
      <c r="Q34" s="162"/>
      <c r="R34" s="162"/>
      <c r="S34" s="162"/>
      <c r="T34" s="162"/>
      <c r="U34" s="162"/>
    </row>
    <row r="35" spans="1:23" x14ac:dyDescent="0.2">
      <c r="B35" s="129"/>
      <c r="C35" s="371">
        <f t="shared" si="7"/>
        <v>4.3803724821243689E-4</v>
      </c>
      <c r="D35" s="371">
        <f t="shared" si="8"/>
        <v>1.2175034298028753E-4</v>
      </c>
      <c r="E35" s="348"/>
      <c r="F35" s="348"/>
      <c r="M35" s="322"/>
      <c r="N35" s="322"/>
      <c r="O35" s="322"/>
      <c r="P35" s="322"/>
      <c r="Q35" s="162"/>
      <c r="R35" s="162"/>
      <c r="S35" s="162"/>
      <c r="T35" s="162"/>
      <c r="U35" s="162"/>
    </row>
    <row r="36" spans="1:23" x14ac:dyDescent="0.2">
      <c r="B36" s="129"/>
      <c r="C36" s="371">
        <f t="shared" si="7"/>
        <v>3.395252724605974E-4</v>
      </c>
      <c r="D36" s="371">
        <f t="shared" si="8"/>
        <v>6.2656490413183109E-6</v>
      </c>
      <c r="E36" s="348"/>
      <c r="F36" s="348"/>
      <c r="M36" s="322"/>
      <c r="N36" s="322"/>
      <c r="O36" s="322"/>
      <c r="P36" s="322"/>
      <c r="Q36" s="162"/>
      <c r="R36" s="162"/>
      <c r="S36" s="162"/>
      <c r="T36" s="162"/>
      <c r="U36" s="162"/>
    </row>
    <row r="37" spans="1:23" x14ac:dyDescent="0.2">
      <c r="B37" s="129"/>
      <c r="C37" s="371"/>
      <c r="D37" s="371">
        <f t="shared" si="8"/>
        <v>3.3952527246060456E-4</v>
      </c>
      <c r="E37" s="348"/>
      <c r="F37" s="348"/>
      <c r="M37" s="322"/>
      <c r="N37" s="322"/>
      <c r="O37" s="322"/>
      <c r="P37" s="322"/>
      <c r="Q37" s="162"/>
      <c r="R37" s="162"/>
      <c r="S37" s="162"/>
      <c r="T37" s="162"/>
      <c r="U37" s="162"/>
    </row>
    <row r="38" spans="1:23" x14ac:dyDescent="0.2">
      <c r="B38" s="129"/>
      <c r="C38" s="372"/>
      <c r="D38" s="372"/>
      <c r="E38" s="348"/>
      <c r="F38" s="348"/>
      <c r="M38" s="322"/>
      <c r="N38" s="322"/>
      <c r="O38" s="322"/>
      <c r="P38" s="322"/>
      <c r="Q38" s="162"/>
      <c r="R38" s="162"/>
      <c r="S38" s="162"/>
      <c r="T38" s="162"/>
      <c r="U38" s="162"/>
    </row>
    <row r="39" spans="1:23" x14ac:dyDescent="0.2">
      <c r="B39" s="324" t="s">
        <v>314</v>
      </c>
      <c r="C39" s="373">
        <f>SUM(C26:C36)</f>
        <v>1.362366955699322E-3</v>
      </c>
      <c r="D39" s="373">
        <f>SUM(D26:D37)</f>
        <v>9.8949624260863183E-4</v>
      </c>
      <c r="E39" s="161"/>
      <c r="M39" s="322"/>
      <c r="N39" s="322"/>
      <c r="O39" s="322"/>
      <c r="P39" s="322"/>
      <c r="Q39" s="162"/>
      <c r="R39" s="162"/>
      <c r="S39" s="162"/>
      <c r="T39" s="162"/>
      <c r="U39" s="162"/>
    </row>
    <row r="40" spans="1:23" x14ac:dyDescent="0.2">
      <c r="A40" s="208" t="s">
        <v>108</v>
      </c>
      <c r="B40" s="340" t="s">
        <v>214</v>
      </c>
      <c r="C40" s="365">
        <f>C39/COUNT(C26:C36)</f>
        <v>1.2385154142721111E-4</v>
      </c>
      <c r="D40" s="365">
        <f>D39/COUNT(D26:D37)</f>
        <v>8.2458020217385982E-5</v>
      </c>
      <c r="E40" s="139"/>
      <c r="F40" s="139"/>
      <c r="K40" s="139"/>
      <c r="M40" s="322"/>
      <c r="N40" s="322"/>
      <c r="O40" s="322"/>
      <c r="P40" s="322"/>
      <c r="Q40" s="162"/>
      <c r="R40" s="162"/>
      <c r="S40" s="162"/>
      <c r="T40" s="162"/>
      <c r="U40" s="162"/>
    </row>
    <row r="41" spans="1:23" x14ac:dyDescent="0.2">
      <c r="A41" s="208" t="s">
        <v>109</v>
      </c>
      <c r="B41" s="173" t="s">
        <v>46</v>
      </c>
      <c r="C41" s="366">
        <f>SQRT(C40)</f>
        <v>1.1128860742556316E-2</v>
      </c>
      <c r="D41" s="366">
        <f>SQRT(D40)</f>
        <v>9.0806398572669967E-3</v>
      </c>
      <c r="M41" s="322"/>
      <c r="N41" s="322"/>
      <c r="O41" s="322"/>
      <c r="P41" s="322"/>
      <c r="Q41" s="162"/>
      <c r="R41" s="162"/>
      <c r="S41" s="162"/>
      <c r="T41" s="162"/>
      <c r="U41" s="162"/>
    </row>
    <row r="42" spans="1:23" ht="12.75" x14ac:dyDescent="0.2">
      <c r="A42" s="327" t="s">
        <v>167</v>
      </c>
      <c r="B42" s="324" t="s">
        <v>315</v>
      </c>
      <c r="C42" s="399">
        <f>RSQ(G4:G14,F4:F14)</f>
        <v>0.9993593882111389</v>
      </c>
      <c r="D42" s="399">
        <f>RSQ(H4:H15,E4:E15)</f>
        <v>0.97731683315863704</v>
      </c>
      <c r="E42" s="341"/>
      <c r="F42" s="341"/>
      <c r="Q42" s="160"/>
      <c r="R42" s="160"/>
      <c r="S42" s="160"/>
      <c r="T42" s="160"/>
      <c r="U42" s="160"/>
      <c r="V42" s="160"/>
      <c r="W42" s="184"/>
    </row>
    <row r="43" spans="1:23" x14ac:dyDescent="0.2">
      <c r="A43" s="387" t="s">
        <v>319</v>
      </c>
      <c r="C43" s="399">
        <f>1-(1-C42)*((COUNT(C26:C37)/((COUNT(C26:C37)-(COUNT(J5:M9)+1)))))</f>
        <v>0.99647663516126395</v>
      </c>
      <c r="D43" s="399">
        <f>1-(1-D42)*((COUNT(D26:D37)/((COUNT(D26:D37)-(COUNT(K5:N9)+1)))))</f>
        <v>0.94556039958072891</v>
      </c>
      <c r="E43" s="339"/>
      <c r="F43" s="339"/>
      <c r="G43" s="366"/>
      <c r="H43" s="324"/>
      <c r="Q43" s="160"/>
      <c r="R43" s="160"/>
      <c r="S43" s="160"/>
      <c r="T43" s="160"/>
      <c r="U43" s="160"/>
      <c r="V43" s="160"/>
      <c r="W43" s="184"/>
    </row>
    <row r="44" spans="1:23" x14ac:dyDescent="0.2">
      <c r="A44" s="387"/>
      <c r="D44" s="339"/>
      <c r="E44" s="339"/>
      <c r="F44" s="339"/>
      <c r="G44" s="366"/>
      <c r="H44" s="324"/>
      <c r="Q44" s="160"/>
      <c r="R44" s="160"/>
      <c r="S44" s="160"/>
      <c r="T44" s="160"/>
      <c r="U44" s="160"/>
      <c r="V44" s="160"/>
      <c r="W44" s="184"/>
    </row>
    <row r="45" spans="1:23" x14ac:dyDescent="0.2">
      <c r="A45" s="387"/>
      <c r="D45" s="339"/>
      <c r="E45" s="339"/>
      <c r="F45" s="339"/>
      <c r="G45" s="366"/>
      <c r="H45" s="324"/>
      <c r="Q45" s="160"/>
      <c r="R45" s="160"/>
      <c r="S45" s="160"/>
      <c r="T45" s="160"/>
      <c r="U45" s="160"/>
      <c r="V45" s="160"/>
      <c r="W45" s="184"/>
    </row>
    <row r="46" spans="1:23" ht="15" x14ac:dyDescent="0.25">
      <c r="A46" s="387"/>
      <c r="B46"/>
      <c r="D46" s="339"/>
      <c r="E46" s="339"/>
      <c r="F46" s="339"/>
      <c r="G46" s="366"/>
      <c r="H46" s="324"/>
      <c r="Q46" s="160"/>
      <c r="R46" s="160"/>
      <c r="S46" s="160"/>
      <c r="T46" s="160"/>
      <c r="U46" s="160"/>
      <c r="V46" s="160"/>
      <c r="W46" s="184"/>
    </row>
    <row r="47" spans="1:23" ht="15" x14ac:dyDescent="0.25">
      <c r="E47"/>
      <c r="Q47" s="160"/>
      <c r="R47" s="160"/>
      <c r="S47" s="160"/>
      <c r="T47" s="160"/>
      <c r="U47" s="160"/>
      <c r="V47" s="160"/>
      <c r="W47" s="184"/>
    </row>
    <row r="48" spans="1:23" x14ac:dyDescent="0.2">
      <c r="B48" s="161"/>
      <c r="C48" s="161"/>
      <c r="D48" s="167"/>
      <c r="E48" s="167"/>
      <c r="F48" s="167"/>
      <c r="G48" s="167"/>
      <c r="H48" s="167"/>
      <c r="I48" s="167"/>
      <c r="J48" s="139"/>
      <c r="Q48" s="160"/>
      <c r="R48" s="160"/>
      <c r="S48" s="160"/>
      <c r="T48" s="160"/>
      <c r="U48" s="160"/>
      <c r="V48" s="160"/>
      <c r="W48" s="184"/>
    </row>
    <row r="49" spans="1:23" x14ac:dyDescent="0.2">
      <c r="Q49" s="160"/>
      <c r="R49" s="160"/>
      <c r="S49" s="160"/>
      <c r="T49" s="160"/>
      <c r="U49" s="160"/>
      <c r="V49" s="160"/>
      <c r="W49" s="184"/>
    </row>
    <row r="50" spans="1:23" ht="12.75" x14ac:dyDescent="0.2">
      <c r="B50" s="380"/>
      <c r="C50" s="129"/>
      <c r="D50" s="351"/>
      <c r="E50" s="129"/>
      <c r="F50" s="129"/>
      <c r="G50" s="129"/>
      <c r="H50" s="129"/>
      <c r="I50" s="129"/>
      <c r="Q50" s="160"/>
      <c r="R50" s="160"/>
      <c r="S50" s="160"/>
      <c r="T50" s="160"/>
      <c r="U50" s="160"/>
      <c r="V50" s="160"/>
      <c r="W50" s="184"/>
    </row>
    <row r="51" spans="1:23" x14ac:dyDescent="0.2">
      <c r="C51" s="130">
        <v>1</v>
      </c>
      <c r="D51" s="193">
        <f t="shared" ref="D51:D63" si="9">IF($C51&gt;=e_y1,k_1*$C51^(1/n_1),0)+IF($C51&lt;e_y1,k_2*$C51^(1/n_2),0)</f>
        <v>1618.9539912947644</v>
      </c>
      <c r="E51" s="193"/>
      <c r="F51" s="193"/>
      <c r="G51" s="193"/>
      <c r="H51" s="193"/>
      <c r="I51" s="193"/>
      <c r="Q51" s="160"/>
      <c r="R51" s="160"/>
      <c r="S51" s="160"/>
      <c r="T51" s="160"/>
      <c r="U51" s="160"/>
      <c r="V51" s="160"/>
      <c r="W51" s="184"/>
    </row>
    <row r="52" spans="1:23" x14ac:dyDescent="0.2">
      <c r="A52" s="138" t="s">
        <v>80</v>
      </c>
      <c r="C52" s="130">
        <v>0.95</v>
      </c>
      <c r="D52" s="193">
        <f t="shared" si="9"/>
        <v>1071.6999041221572</v>
      </c>
      <c r="E52" s="193"/>
      <c r="F52" s="193"/>
      <c r="G52" s="193"/>
      <c r="H52" s="193"/>
      <c r="I52" s="193"/>
      <c r="Q52" s="160"/>
      <c r="R52" s="160"/>
      <c r="S52" s="160"/>
      <c r="T52" s="160"/>
      <c r="U52" s="160"/>
      <c r="V52" s="160"/>
      <c r="W52" s="184"/>
    </row>
    <row r="53" spans="1:23" x14ac:dyDescent="0.2">
      <c r="C53" s="130">
        <v>0.9</v>
      </c>
      <c r="D53" s="193">
        <f t="shared" si="9"/>
        <v>693.78176928506002</v>
      </c>
      <c r="E53" s="193"/>
      <c r="F53" s="193"/>
      <c r="G53" s="193"/>
      <c r="H53" s="193"/>
      <c r="I53" s="193"/>
      <c r="M53" s="340" t="s">
        <v>301</v>
      </c>
      <c r="N53" s="340"/>
      <c r="O53" s="340"/>
      <c r="P53" s="340"/>
      <c r="Q53" s="160"/>
      <c r="R53" s="160"/>
      <c r="S53" s="160"/>
      <c r="T53" s="160"/>
      <c r="U53" s="160"/>
      <c r="V53" s="160"/>
      <c r="W53" s="184"/>
    </row>
    <row r="54" spans="1:23" x14ac:dyDescent="0.2">
      <c r="C54" s="130">
        <v>0.84</v>
      </c>
      <c r="D54" s="193">
        <f t="shared" si="9"/>
        <v>458.90918482776351</v>
      </c>
      <c r="E54" s="193"/>
      <c r="F54" s="193"/>
      <c r="G54" s="193"/>
      <c r="H54" s="193"/>
      <c r="I54" s="193"/>
      <c r="M54" s="340" t="s">
        <v>302</v>
      </c>
      <c r="N54" s="340"/>
      <c r="O54" s="340"/>
      <c r="P54" s="340"/>
      <c r="Q54" s="160"/>
      <c r="R54" s="160"/>
      <c r="S54" s="160"/>
      <c r="T54" s="160"/>
      <c r="U54" s="160"/>
      <c r="V54" s="160"/>
      <c r="W54" s="184"/>
    </row>
    <row r="55" spans="1:23" x14ac:dyDescent="0.2">
      <c r="C55" s="130">
        <v>0.8</v>
      </c>
      <c r="D55" s="193">
        <f t="shared" si="9"/>
        <v>415.57032715526668</v>
      </c>
      <c r="E55" s="193"/>
      <c r="F55" s="193"/>
      <c r="G55" s="193"/>
      <c r="H55" s="193"/>
      <c r="I55" s="193"/>
      <c r="Q55" s="160"/>
      <c r="R55" s="160"/>
      <c r="S55" s="160"/>
      <c r="T55" s="160"/>
      <c r="U55" s="160"/>
      <c r="V55" s="160"/>
      <c r="W55" s="184"/>
    </row>
    <row r="56" spans="1:23" x14ac:dyDescent="0.2">
      <c r="A56" s="36"/>
      <c r="B56" s="138" t="s">
        <v>156</v>
      </c>
      <c r="C56" s="130">
        <v>0.75</v>
      </c>
      <c r="D56" s="193">
        <f t="shared" si="9"/>
        <v>364.46543591470618</v>
      </c>
      <c r="E56" s="193"/>
      <c r="F56" s="193"/>
      <c r="G56" s="193"/>
      <c r="H56" s="193"/>
      <c r="I56" s="193"/>
      <c r="Q56" s="160"/>
      <c r="R56" s="160"/>
      <c r="S56" s="160"/>
      <c r="T56" s="160"/>
      <c r="U56" s="160"/>
      <c r="V56" s="160"/>
      <c r="W56" s="184"/>
    </row>
    <row r="57" spans="1:23" x14ac:dyDescent="0.2">
      <c r="A57" s="36"/>
      <c r="B57" s="138" t="s">
        <v>47</v>
      </c>
      <c r="C57" s="130">
        <v>0.5</v>
      </c>
      <c r="D57" s="193">
        <f t="shared" si="9"/>
        <v>159.81828379614365</v>
      </c>
      <c r="E57" s="193"/>
      <c r="F57" s="193"/>
      <c r="G57" s="193"/>
      <c r="H57" s="193"/>
      <c r="I57" s="193"/>
      <c r="Q57" s="160"/>
      <c r="R57" s="160"/>
      <c r="S57" s="160"/>
      <c r="T57" s="160"/>
      <c r="U57" s="160"/>
      <c r="V57" s="160"/>
      <c r="W57" s="184"/>
    </row>
    <row r="58" spans="1:23" x14ac:dyDescent="0.2">
      <c r="A58" s="36"/>
      <c r="B58" s="138"/>
      <c r="C58" s="130">
        <v>0.4</v>
      </c>
      <c r="D58" s="193">
        <f t="shared" si="9"/>
        <v>101.52860011646526</v>
      </c>
      <c r="E58" s="193"/>
      <c r="F58" s="193"/>
      <c r="G58" s="193"/>
      <c r="H58" s="193"/>
      <c r="I58" s="193"/>
      <c r="Q58" s="160"/>
      <c r="R58" s="160"/>
      <c r="S58" s="160"/>
      <c r="T58" s="160"/>
      <c r="U58" s="160"/>
      <c r="V58" s="160"/>
      <c r="W58" s="184"/>
    </row>
    <row r="59" spans="1:23" x14ac:dyDescent="0.2">
      <c r="A59" s="36"/>
      <c r="B59" s="138" t="s">
        <v>155</v>
      </c>
      <c r="C59" s="130">
        <v>0.25</v>
      </c>
      <c r="D59" s="193">
        <f t="shared" si="9"/>
        <v>39.045440847310466</v>
      </c>
      <c r="E59" s="193"/>
      <c r="F59" s="193"/>
      <c r="G59" s="193"/>
      <c r="H59" s="193"/>
      <c r="I59" s="193"/>
      <c r="Q59" s="160"/>
      <c r="R59" s="160"/>
      <c r="S59" s="160"/>
      <c r="T59" s="160"/>
      <c r="U59" s="160"/>
      <c r="V59" s="160"/>
      <c r="W59" s="184"/>
    </row>
    <row r="60" spans="1:23" x14ac:dyDescent="0.2">
      <c r="A60" s="36"/>
      <c r="B60" s="138"/>
      <c r="C60" s="130">
        <v>0.16</v>
      </c>
      <c r="D60" s="193">
        <f t="shared" si="9"/>
        <v>15.757749837174087</v>
      </c>
      <c r="E60" s="193"/>
      <c r="F60" s="193"/>
      <c r="G60" s="193"/>
      <c r="H60" s="193"/>
      <c r="I60" s="193"/>
      <c r="L60" s="259"/>
      <c r="Q60" s="160"/>
      <c r="R60" s="160"/>
      <c r="S60" s="160"/>
      <c r="T60" s="160"/>
      <c r="U60" s="160"/>
      <c r="V60" s="160"/>
      <c r="W60" s="184"/>
    </row>
    <row r="61" spans="1:23" x14ac:dyDescent="0.2">
      <c r="A61" s="36"/>
      <c r="B61" s="138"/>
      <c r="C61" s="130">
        <v>0.1</v>
      </c>
      <c r="D61" s="193">
        <f t="shared" si="9"/>
        <v>6.0600489758384581</v>
      </c>
      <c r="E61" s="193"/>
      <c r="F61" s="193"/>
      <c r="G61" s="193"/>
      <c r="H61" s="193"/>
      <c r="I61" s="193"/>
    </row>
    <row r="62" spans="1:23" x14ac:dyDescent="0.2">
      <c r="A62" s="36"/>
      <c r="B62" s="138"/>
      <c r="C62" s="130">
        <v>0.05</v>
      </c>
      <c r="D62" s="193">
        <f t="shared" si="9"/>
        <v>1.4805395114849453</v>
      </c>
      <c r="E62" s="193"/>
      <c r="F62" s="193"/>
      <c r="G62" s="193"/>
      <c r="H62" s="193"/>
      <c r="I62" s="193"/>
    </row>
    <row r="63" spans="1:23" x14ac:dyDescent="0.2">
      <c r="A63" s="36"/>
      <c r="B63" s="138"/>
      <c r="C63" s="130">
        <v>0.01</v>
      </c>
      <c r="D63" s="193">
        <f t="shared" si="9"/>
        <v>5.6139646460646155E-2</v>
      </c>
      <c r="E63" s="193"/>
      <c r="F63" s="193"/>
      <c r="G63" s="193"/>
      <c r="H63" s="193"/>
      <c r="I63" s="193"/>
    </row>
    <row r="64" spans="1:23" x14ac:dyDescent="0.2">
      <c r="A64" s="36"/>
      <c r="B64" s="138" t="s">
        <v>158</v>
      </c>
      <c r="C64" s="129" t="s">
        <v>157</v>
      </c>
      <c r="D64" s="193"/>
      <c r="E64" s="193"/>
      <c r="F64" s="193"/>
      <c r="G64" s="193"/>
      <c r="H64" s="193"/>
      <c r="I64" s="193"/>
    </row>
    <row r="65" spans="1:25" x14ac:dyDescent="0.2">
      <c r="C65" s="129"/>
      <c r="D65" s="129"/>
      <c r="E65" s="129"/>
      <c r="F65" s="129"/>
      <c r="G65" s="129"/>
      <c r="H65" s="129"/>
      <c r="I65" s="129"/>
      <c r="L65" s="260"/>
    </row>
    <row r="66" spans="1:25" x14ac:dyDescent="0.2">
      <c r="B66" s="286" t="s">
        <v>291</v>
      </c>
      <c r="C66" s="342" t="s">
        <v>290</v>
      </c>
      <c r="D66" s="204" t="e">
        <f>D68-D67</f>
        <v>#DIV/0!</v>
      </c>
      <c r="E66" s="204"/>
      <c r="F66" s="204"/>
      <c r="G66" s="204"/>
      <c r="H66" s="204"/>
      <c r="I66" s="204"/>
    </row>
    <row r="67" spans="1:25" x14ac:dyDescent="0.2">
      <c r="B67" s="226">
        <v>0.1</v>
      </c>
      <c r="C67" s="342" t="s">
        <v>288</v>
      </c>
      <c r="D67" s="343" t="e">
        <f>IF($B67&gt;=G$5,M$5*$B67^(1/L$5),IF(AND($B67&gt;=G$6,$B67&lt;G$5),M$6*$B67^(1/L$6),M$7*$B67^(1/L$7)))</f>
        <v>#DIV/0!</v>
      </c>
      <c r="E67" s="343"/>
      <c r="F67" s="343"/>
      <c r="G67" s="343"/>
      <c r="H67" s="343"/>
      <c r="I67" s="343"/>
    </row>
    <row r="68" spans="1:25" x14ac:dyDescent="0.2">
      <c r="B68" s="226">
        <v>0.25</v>
      </c>
      <c r="C68" s="342" t="s">
        <v>155</v>
      </c>
      <c r="D68" s="193" t="e">
        <f>IF($B68&gt;=G$5,M$5*$B68^(1/L$5),IF(AND($B68&gt;=G$6,$B68&lt;G$5),M$6*$B68^(1/L$6),M$7*$B68^(1/L$7)))</f>
        <v>#DIV/0!</v>
      </c>
      <c r="E68" s="193"/>
      <c r="F68" s="193"/>
      <c r="G68" s="193"/>
      <c r="H68" s="193"/>
      <c r="I68" s="193"/>
    </row>
    <row r="69" spans="1:25" x14ac:dyDescent="0.2">
      <c r="B69" s="226">
        <v>0.5</v>
      </c>
      <c r="C69" s="342" t="s">
        <v>47</v>
      </c>
      <c r="D69" s="193" t="e">
        <f>IF($B69&gt;=G$5,M$5*$B69^(1/L$5),IF(AND($B69&gt;=G$6,$B69&lt;G$5),M$6*$B69^(1/L$6),M$7*$B69^(1/L$7)))</f>
        <v>#DIV/0!</v>
      </c>
      <c r="E69" s="193"/>
      <c r="F69" s="193"/>
      <c r="G69" s="193"/>
      <c r="H69" s="193"/>
      <c r="I69" s="193"/>
    </row>
    <row r="70" spans="1:25" x14ac:dyDescent="0.2">
      <c r="B70" s="226">
        <v>0.75</v>
      </c>
      <c r="C70" s="342" t="s">
        <v>156</v>
      </c>
      <c r="D70" s="193" t="e">
        <f>IF($B70&gt;=G$5,M$5*$B70^(1/L$5),IF(AND($B70&gt;=G$6,$B70&lt;G$5),M$6*$B70^(1/L$6),M$7*$B70^(1/L$7)))</f>
        <v>#DIV/0!</v>
      </c>
      <c r="E70" s="193"/>
      <c r="F70" s="193"/>
      <c r="G70" s="193"/>
      <c r="H70" s="193"/>
      <c r="I70" s="193"/>
    </row>
    <row r="71" spans="1:25" x14ac:dyDescent="0.2">
      <c r="B71" s="226">
        <v>0.9</v>
      </c>
      <c r="C71" s="342" t="s">
        <v>289</v>
      </c>
      <c r="D71" s="193">
        <f>IF($B71&gt;=G$5,M$5*$B71^(1/L$5),IF(AND($B71&gt;=G$6,$B71&lt;G$5),M$6*$B71^(1/L$6),M$7*$B71^(1/L$7)))</f>
        <v>693.78176928506002</v>
      </c>
      <c r="E71" s="193"/>
      <c r="F71" s="193"/>
      <c r="G71" s="193"/>
      <c r="H71" s="193"/>
      <c r="I71" s="193"/>
    </row>
    <row r="72" spans="1:25" x14ac:dyDescent="0.2">
      <c r="C72" s="342" t="s">
        <v>290</v>
      </c>
      <c r="D72" s="193" t="e">
        <f>D71-D70</f>
        <v>#DIV/0!</v>
      </c>
      <c r="E72" s="193"/>
      <c r="F72" s="193"/>
      <c r="G72" s="193"/>
      <c r="H72" s="193"/>
      <c r="I72" s="193"/>
    </row>
    <row r="74" spans="1:25" x14ac:dyDescent="0.2">
      <c r="A74" s="208"/>
      <c r="B74" s="139"/>
      <c r="C74" s="139"/>
      <c r="D74" s="139"/>
      <c r="E74" s="139"/>
      <c r="F74" s="139"/>
      <c r="G74" s="139"/>
      <c r="H74" s="139"/>
      <c r="I74" s="139"/>
      <c r="J74" s="139"/>
      <c r="K74" s="139"/>
    </row>
    <row r="75" spans="1:25" x14ac:dyDescent="0.2">
      <c r="A75" s="208"/>
      <c r="B75" s="139"/>
      <c r="C75" s="139"/>
      <c r="D75" s="199"/>
      <c r="E75" s="139"/>
      <c r="F75" s="139"/>
      <c r="G75" s="139"/>
      <c r="H75" s="139"/>
      <c r="I75" s="139"/>
      <c r="J75" s="139"/>
      <c r="K75" s="139"/>
    </row>
    <row r="76" spans="1:25" x14ac:dyDescent="0.2">
      <c r="A76" s="344"/>
      <c r="B76" s="139"/>
      <c r="C76" s="338"/>
      <c r="D76" s="318"/>
      <c r="E76" s="338"/>
      <c r="F76" s="338"/>
      <c r="G76" s="338"/>
      <c r="H76" s="338"/>
      <c r="I76" s="338"/>
      <c r="J76" s="139"/>
      <c r="K76" s="139"/>
    </row>
    <row r="77" spans="1:25" x14ac:dyDescent="0.2">
      <c r="A77" s="344"/>
      <c r="B77" s="139"/>
      <c r="C77" s="338"/>
      <c r="D77" s="318"/>
      <c r="E77" s="338"/>
      <c r="F77" s="338"/>
      <c r="G77" s="338"/>
      <c r="H77" s="338"/>
      <c r="I77" s="338"/>
      <c r="J77" s="139"/>
      <c r="K77" s="139"/>
    </row>
    <row r="78" spans="1:25" x14ac:dyDescent="0.2">
      <c r="A78" s="344"/>
      <c r="B78" s="139"/>
      <c r="C78" s="150"/>
      <c r="D78" s="200"/>
      <c r="E78" s="150"/>
      <c r="F78" s="150"/>
      <c r="G78" s="150"/>
      <c r="H78" s="150"/>
      <c r="I78" s="150"/>
      <c r="J78" s="139"/>
      <c r="K78" s="139"/>
      <c r="Q78" s="139"/>
      <c r="R78" s="139"/>
      <c r="S78" s="139"/>
      <c r="T78" s="139"/>
    </row>
    <row r="79" spans="1:25" x14ac:dyDescent="0.2">
      <c r="A79" s="344"/>
      <c r="B79" s="139"/>
      <c r="C79" s="150"/>
      <c r="D79" s="200"/>
      <c r="E79" s="150"/>
      <c r="F79" s="150"/>
      <c r="G79" s="150"/>
      <c r="H79" s="150"/>
      <c r="I79" s="150"/>
      <c r="J79" s="139"/>
      <c r="K79" s="139"/>
      <c r="Q79" s="139"/>
      <c r="R79" s="139"/>
      <c r="S79" s="139"/>
      <c r="T79" s="139"/>
    </row>
    <row r="80" spans="1:25" x14ac:dyDescent="0.2">
      <c r="A80" s="344"/>
      <c r="B80" s="139"/>
      <c r="C80" s="199"/>
      <c r="D80" s="200"/>
      <c r="E80" s="199"/>
      <c r="F80" s="199"/>
      <c r="G80" s="199"/>
      <c r="H80" s="199"/>
      <c r="I80" s="199"/>
      <c r="J80" s="139"/>
      <c r="K80" s="139"/>
      <c r="M80" s="317"/>
      <c r="N80" s="317"/>
      <c r="O80" s="317"/>
      <c r="P80" s="317"/>
      <c r="Q80" s="139"/>
      <c r="R80" s="139"/>
      <c r="S80" s="139"/>
      <c r="T80" s="139"/>
      <c r="V80" s="139"/>
      <c r="W80" s="139"/>
      <c r="X80" s="139"/>
      <c r="Y80" s="139"/>
    </row>
    <row r="81" spans="1:29" x14ac:dyDescent="0.2">
      <c r="A81" s="345"/>
      <c r="B81" s="129"/>
      <c r="C81" s="150"/>
      <c r="D81" s="200"/>
      <c r="E81" s="150"/>
      <c r="F81" s="150"/>
      <c r="G81" s="150"/>
      <c r="H81" s="150"/>
      <c r="I81" s="150"/>
      <c r="J81" s="139"/>
      <c r="K81" s="139"/>
      <c r="Q81" s="139"/>
      <c r="R81" s="139"/>
      <c r="S81" s="129"/>
      <c r="T81" s="129"/>
      <c r="U81" s="161"/>
      <c r="V81" s="129"/>
      <c r="W81" s="129"/>
      <c r="X81" s="129"/>
      <c r="Y81" s="129"/>
      <c r="Z81" s="161"/>
      <c r="AA81" s="161"/>
      <c r="AB81" s="161"/>
      <c r="AC81" s="161"/>
    </row>
    <row r="82" spans="1:29" x14ac:dyDescent="0.2">
      <c r="A82" s="344"/>
      <c r="B82" s="139"/>
      <c r="C82" s="139"/>
      <c r="D82" s="139"/>
      <c r="E82" s="139"/>
      <c r="F82" s="139"/>
      <c r="G82" s="139"/>
      <c r="H82" s="139"/>
      <c r="I82" s="139"/>
      <c r="J82" s="139"/>
      <c r="K82" s="139"/>
      <c r="S82" s="161"/>
      <c r="T82" s="273"/>
      <c r="U82" s="161"/>
      <c r="V82" s="161"/>
      <c r="W82" s="161"/>
      <c r="X82" s="161"/>
      <c r="Y82" s="161"/>
      <c r="Z82" s="161"/>
      <c r="AA82" s="161"/>
      <c r="AB82" s="161"/>
      <c r="AC82" s="161"/>
    </row>
    <row r="83" spans="1:29" x14ac:dyDescent="0.2">
      <c r="A83" s="344"/>
      <c r="B83" s="139"/>
      <c r="C83" s="282"/>
      <c r="D83" s="139"/>
      <c r="E83" s="139"/>
      <c r="F83" s="139"/>
      <c r="G83" s="139"/>
      <c r="H83" s="139"/>
      <c r="I83" s="139"/>
      <c r="J83" s="139"/>
      <c r="K83" s="139"/>
      <c r="S83" s="161"/>
      <c r="T83" s="161"/>
      <c r="U83" s="161"/>
      <c r="V83" s="161"/>
      <c r="W83" s="161"/>
      <c r="X83" s="161"/>
      <c r="Y83" s="161"/>
      <c r="Z83" s="161"/>
      <c r="AA83" s="161"/>
      <c r="AB83" s="161"/>
      <c r="AC83" s="161"/>
    </row>
    <row r="84" spans="1:29" x14ac:dyDescent="0.2">
      <c r="A84" s="344"/>
      <c r="B84" s="139"/>
      <c r="C84" s="139"/>
      <c r="D84" s="139"/>
      <c r="E84" s="139"/>
      <c r="F84" s="139"/>
      <c r="G84" s="139"/>
      <c r="H84" s="139"/>
      <c r="I84" s="139"/>
      <c r="J84" s="139"/>
      <c r="K84" s="139"/>
      <c r="S84" s="161"/>
      <c r="T84" s="161"/>
      <c r="U84" s="161"/>
      <c r="V84" s="161"/>
      <c r="W84" s="161"/>
      <c r="X84" s="161"/>
      <c r="Y84" s="161"/>
      <c r="Z84" s="161"/>
      <c r="AA84" s="161"/>
      <c r="AB84" s="161"/>
      <c r="AC84" s="161"/>
    </row>
    <row r="85" spans="1:29" x14ac:dyDescent="0.2">
      <c r="A85" s="344"/>
      <c r="B85" s="139"/>
      <c r="C85" s="139"/>
      <c r="D85" s="139"/>
      <c r="E85" s="139"/>
      <c r="F85" s="139"/>
      <c r="G85" s="139"/>
      <c r="H85" s="139"/>
      <c r="I85" s="139"/>
      <c r="J85" s="139"/>
      <c r="K85" s="139"/>
      <c r="S85" s="161"/>
      <c r="T85" s="161"/>
      <c r="U85" s="161"/>
      <c r="V85" s="161"/>
      <c r="W85" s="161"/>
      <c r="X85" s="161"/>
      <c r="Y85" s="161"/>
      <c r="Z85" s="161"/>
      <c r="AA85" s="161"/>
      <c r="AB85" s="161"/>
      <c r="AC85" s="161"/>
    </row>
    <row r="86" spans="1:29" x14ac:dyDescent="0.2">
      <c r="A86" s="208"/>
      <c r="B86" s="139"/>
      <c r="C86" s="139"/>
      <c r="D86" s="139"/>
      <c r="E86" s="139"/>
      <c r="F86" s="139"/>
      <c r="G86" s="139"/>
      <c r="H86" s="139"/>
      <c r="I86" s="139"/>
      <c r="J86" s="139"/>
      <c r="K86" s="139"/>
      <c r="S86" s="161"/>
      <c r="T86" s="161"/>
      <c r="U86" s="161"/>
      <c r="V86" s="161"/>
      <c r="W86" s="161"/>
      <c r="X86" s="161"/>
      <c r="Y86" s="161"/>
      <c r="Z86" s="161"/>
      <c r="AA86" s="161"/>
      <c r="AB86" s="161"/>
      <c r="AC86" s="161"/>
    </row>
    <row r="87" spans="1:29" x14ac:dyDescent="0.2">
      <c r="A87" s="208"/>
      <c r="B87" s="139"/>
      <c r="C87" s="139"/>
      <c r="D87" s="139"/>
      <c r="E87" s="139"/>
      <c r="F87" s="139"/>
      <c r="G87" s="139"/>
      <c r="H87" s="139"/>
      <c r="I87" s="139"/>
      <c r="J87" s="139"/>
      <c r="K87" s="139"/>
      <c r="S87" s="274"/>
      <c r="T87" s="161"/>
      <c r="U87" s="161"/>
      <c r="V87" s="161"/>
      <c r="W87" s="161"/>
      <c r="X87" s="161"/>
      <c r="Y87" s="161"/>
      <c r="Z87" s="161"/>
      <c r="AA87" s="161"/>
      <c r="AB87" s="161"/>
      <c r="AC87" s="161"/>
    </row>
    <row r="88" spans="1:29" x14ac:dyDescent="0.2">
      <c r="A88" s="208"/>
      <c r="B88" s="139"/>
      <c r="C88" s="139"/>
      <c r="D88" s="139"/>
      <c r="E88" s="139"/>
      <c r="F88" s="139"/>
      <c r="G88" s="139"/>
      <c r="H88" s="139"/>
      <c r="I88" s="139"/>
      <c r="J88" s="139"/>
      <c r="K88" s="139"/>
      <c r="Q88" s="139"/>
      <c r="R88" s="130"/>
      <c r="S88" s="193"/>
      <c r="T88" s="193"/>
      <c r="U88" s="193"/>
      <c r="V88" s="193"/>
      <c r="W88" s="193"/>
      <c r="X88" s="193"/>
      <c r="Y88" s="161"/>
      <c r="Z88" s="161"/>
      <c r="AA88" s="161"/>
      <c r="AB88" s="161"/>
      <c r="AC88" s="161"/>
    </row>
    <row r="89" spans="1:29" x14ac:dyDescent="0.2">
      <c r="A89" s="208"/>
      <c r="B89" s="139"/>
      <c r="C89" s="139"/>
      <c r="D89" s="139"/>
      <c r="E89" s="139"/>
      <c r="F89" s="139"/>
      <c r="G89" s="139"/>
      <c r="H89" s="139"/>
      <c r="I89" s="139"/>
      <c r="J89" s="139"/>
      <c r="K89" s="139"/>
      <c r="Q89" s="139"/>
      <c r="R89" s="130"/>
      <c r="S89" s="193"/>
      <c r="T89" s="193"/>
      <c r="U89" s="193"/>
      <c r="V89" s="193"/>
      <c r="W89" s="193"/>
      <c r="X89" s="193"/>
      <c r="Y89" s="161"/>
      <c r="Z89" s="161"/>
      <c r="AA89" s="161"/>
      <c r="AB89" s="161"/>
      <c r="AC89" s="161"/>
    </row>
    <row r="90" spans="1:29" x14ac:dyDescent="0.2">
      <c r="A90" s="208"/>
      <c r="B90" s="139"/>
      <c r="C90" s="139"/>
      <c r="D90" s="139"/>
      <c r="E90" s="139"/>
      <c r="F90" s="139"/>
      <c r="G90" s="139"/>
      <c r="H90" s="139"/>
      <c r="I90" s="139"/>
      <c r="J90" s="139"/>
      <c r="K90" s="139"/>
      <c r="Q90" s="139"/>
      <c r="R90" s="130"/>
      <c r="S90" s="193"/>
      <c r="T90" s="193"/>
      <c r="U90" s="193"/>
      <c r="V90" s="193"/>
      <c r="W90" s="193"/>
      <c r="X90" s="193"/>
      <c r="Y90" s="161"/>
      <c r="Z90" s="161"/>
      <c r="AA90" s="161"/>
      <c r="AB90" s="161"/>
      <c r="AC90" s="161"/>
    </row>
    <row r="91" spans="1:29" x14ac:dyDescent="0.2">
      <c r="Q91" s="139"/>
      <c r="R91" s="130"/>
      <c r="S91" s="193"/>
      <c r="T91" s="193"/>
      <c r="U91" s="193"/>
      <c r="V91" s="193"/>
      <c r="W91" s="193"/>
      <c r="X91" s="193"/>
      <c r="Y91" s="161"/>
      <c r="Z91" s="161"/>
      <c r="AA91" s="161"/>
      <c r="AB91" s="161"/>
      <c r="AC91" s="161"/>
    </row>
    <row r="92" spans="1:29" x14ac:dyDescent="0.2">
      <c r="Q92" s="139"/>
      <c r="R92" s="130"/>
      <c r="S92" s="193"/>
      <c r="T92" s="193"/>
      <c r="U92" s="193"/>
      <c r="V92" s="193"/>
      <c r="W92" s="193"/>
      <c r="X92" s="193"/>
      <c r="Y92" s="161"/>
      <c r="Z92" s="161"/>
      <c r="AA92" s="161"/>
      <c r="AB92" s="161"/>
      <c r="AC92" s="161"/>
    </row>
    <row r="93" spans="1:29" x14ac:dyDescent="0.2">
      <c r="L93" s="318"/>
      <c r="Q93" s="139"/>
      <c r="R93" s="130"/>
      <c r="S93" s="193"/>
      <c r="T93" s="193"/>
      <c r="U93" s="193"/>
      <c r="V93" s="193"/>
      <c r="W93" s="193"/>
      <c r="X93" s="193"/>
      <c r="Y93" s="161"/>
      <c r="Z93" s="161"/>
      <c r="AA93" s="161"/>
      <c r="AB93" s="161"/>
      <c r="AC93" s="161"/>
    </row>
    <row r="94" spans="1:29" x14ac:dyDescent="0.2">
      <c r="L94" s="318"/>
      <c r="Q94" s="139"/>
      <c r="R94" s="130"/>
      <c r="S94" s="193"/>
      <c r="T94" s="193"/>
      <c r="U94" s="193"/>
      <c r="V94" s="193"/>
      <c r="W94" s="193"/>
      <c r="X94" s="193"/>
      <c r="Y94" s="161"/>
      <c r="Z94" s="161"/>
      <c r="AA94" s="161"/>
      <c r="AB94" s="161"/>
      <c r="AC94" s="161"/>
    </row>
    <row r="95" spans="1:29" x14ac:dyDescent="0.2">
      <c r="L95" s="200"/>
      <c r="Q95" s="139"/>
      <c r="R95" s="130"/>
      <c r="S95" s="193"/>
      <c r="T95" s="193"/>
      <c r="U95" s="193"/>
      <c r="V95" s="193"/>
      <c r="W95" s="193"/>
      <c r="X95" s="193"/>
      <c r="Y95" s="161"/>
      <c r="Z95" s="161"/>
      <c r="AA95" s="161"/>
      <c r="AB95" s="161"/>
      <c r="AC95" s="161"/>
    </row>
    <row r="96" spans="1:29" x14ac:dyDescent="0.2">
      <c r="L96" s="200"/>
      <c r="Q96" s="139"/>
      <c r="R96" s="139"/>
      <c r="S96" s="193"/>
      <c r="T96" s="193"/>
      <c r="U96" s="193"/>
      <c r="V96" s="193"/>
      <c r="W96" s="193"/>
      <c r="X96" s="193"/>
      <c r="Y96" s="161"/>
      <c r="Z96" s="161"/>
      <c r="AA96" s="161"/>
      <c r="AB96" s="161"/>
      <c r="AC96" s="161"/>
    </row>
    <row r="97" spans="1:36" x14ac:dyDescent="0.2">
      <c r="L97" s="200"/>
      <c r="Q97" s="139"/>
      <c r="R97" s="130"/>
      <c r="S97" s="193"/>
      <c r="T97" s="193"/>
      <c r="U97" s="193"/>
      <c r="V97" s="193"/>
      <c r="W97" s="193"/>
      <c r="X97" s="193"/>
      <c r="Y97" s="161"/>
      <c r="Z97" s="161"/>
      <c r="AA97" s="161"/>
      <c r="AB97" s="161"/>
      <c r="AC97" s="161"/>
    </row>
    <row r="98" spans="1:36" x14ac:dyDescent="0.2">
      <c r="C98" s="226"/>
      <c r="D98" s="199"/>
      <c r="E98" s="199"/>
      <c r="F98" s="199"/>
      <c r="G98" s="199"/>
      <c r="H98" s="199"/>
      <c r="I98" s="199"/>
      <c r="J98" s="199"/>
      <c r="K98" s="160"/>
      <c r="L98" s="200"/>
      <c r="Q98" s="139"/>
      <c r="R98" s="130"/>
      <c r="S98" s="193"/>
      <c r="T98" s="193"/>
      <c r="U98" s="193"/>
      <c r="V98" s="193"/>
      <c r="W98" s="193"/>
      <c r="X98" s="193"/>
      <c r="Y98" s="161"/>
      <c r="Z98" s="161"/>
      <c r="AA98" s="161"/>
      <c r="AB98" s="161"/>
      <c r="AC98" s="161"/>
    </row>
    <row r="99" spans="1:36" x14ac:dyDescent="0.2">
      <c r="C99" s="226"/>
      <c r="D99" s="199"/>
      <c r="E99" s="199"/>
      <c r="F99" s="199"/>
      <c r="G99" s="199"/>
      <c r="H99" s="199"/>
      <c r="I99" s="199"/>
      <c r="J99" s="199"/>
      <c r="K99" s="160"/>
      <c r="S99" s="193"/>
      <c r="T99" s="193"/>
      <c r="U99" s="193"/>
      <c r="V99" s="193"/>
      <c r="W99" s="193"/>
      <c r="X99" s="193"/>
      <c r="Y99" s="161"/>
      <c r="Z99" s="161"/>
      <c r="AA99" s="161"/>
      <c r="AB99" s="161"/>
      <c r="AC99" s="161"/>
    </row>
    <row r="100" spans="1:36" x14ac:dyDescent="0.2">
      <c r="C100" s="226"/>
      <c r="D100" s="199"/>
      <c r="E100" s="199"/>
      <c r="F100" s="199"/>
      <c r="G100" s="199"/>
      <c r="H100" s="199"/>
      <c r="I100" s="199"/>
      <c r="J100" s="199"/>
      <c r="K100" s="160"/>
      <c r="L100" s="139"/>
      <c r="R100" s="130"/>
      <c r="S100" s="193"/>
      <c r="T100" s="193"/>
      <c r="U100" s="193"/>
      <c r="V100" s="193"/>
      <c r="W100" s="193"/>
      <c r="X100" s="193"/>
      <c r="Y100" s="161"/>
      <c r="Z100" s="161"/>
      <c r="AA100" s="161"/>
      <c r="AB100" s="161"/>
      <c r="AC100" s="161"/>
    </row>
    <row r="101" spans="1:36" x14ac:dyDescent="0.2">
      <c r="C101" s="226"/>
      <c r="D101" s="199"/>
      <c r="E101" s="199"/>
      <c r="F101" s="199"/>
      <c r="G101" s="199"/>
      <c r="H101" s="199"/>
      <c r="I101" s="199"/>
      <c r="J101" s="199"/>
      <c r="K101" s="160"/>
      <c r="L101" s="139"/>
      <c r="R101" s="130"/>
      <c r="S101" s="199"/>
      <c r="T101" s="199"/>
      <c r="U101" s="199"/>
      <c r="V101" s="199"/>
      <c r="W101" s="199"/>
      <c r="X101" s="199"/>
    </row>
    <row r="102" spans="1:36" x14ac:dyDescent="0.2">
      <c r="C102" s="226"/>
      <c r="D102" s="199"/>
      <c r="E102" s="199"/>
      <c r="F102" s="199"/>
      <c r="G102" s="199"/>
      <c r="H102" s="199"/>
      <c r="I102" s="199"/>
      <c r="J102" s="199"/>
      <c r="K102" s="160"/>
    </row>
    <row r="103" spans="1:36" x14ac:dyDescent="0.2">
      <c r="C103" s="226"/>
      <c r="D103" s="199"/>
      <c r="E103" s="199"/>
      <c r="F103" s="199"/>
      <c r="G103" s="199"/>
      <c r="H103" s="199"/>
      <c r="I103" s="199"/>
      <c r="J103" s="199"/>
      <c r="K103" s="160"/>
      <c r="L103" s="139"/>
    </row>
    <row r="104" spans="1:36" x14ac:dyDescent="0.2">
      <c r="C104" s="226"/>
      <c r="D104" s="199"/>
      <c r="E104" s="199"/>
      <c r="F104" s="199"/>
      <c r="G104" s="199"/>
      <c r="H104" s="199"/>
      <c r="I104" s="199"/>
      <c r="J104" s="199"/>
      <c r="K104" s="160"/>
      <c r="L104" s="139"/>
    </row>
    <row r="105" spans="1:36" x14ac:dyDescent="0.2">
      <c r="C105" s="226"/>
      <c r="D105" s="199"/>
      <c r="E105" s="199"/>
      <c r="F105" s="199"/>
      <c r="G105" s="199"/>
      <c r="H105" s="199"/>
      <c r="I105" s="199"/>
      <c r="J105" s="199"/>
      <c r="K105" s="160"/>
      <c r="L105" s="139"/>
    </row>
    <row r="106" spans="1:36" x14ac:dyDescent="0.2">
      <c r="C106" s="226"/>
      <c r="D106" s="199"/>
      <c r="E106" s="199"/>
      <c r="F106" s="199"/>
      <c r="G106" s="199"/>
      <c r="H106" s="199"/>
      <c r="I106" s="199"/>
      <c r="J106" s="199"/>
      <c r="K106" s="160"/>
    </row>
    <row r="107" spans="1:36" x14ac:dyDescent="0.2">
      <c r="C107" s="226"/>
      <c r="D107" s="199"/>
      <c r="E107" s="199"/>
      <c r="F107" s="199"/>
      <c r="G107" s="199"/>
      <c r="H107" s="199"/>
      <c r="I107" s="199"/>
      <c r="J107" s="199"/>
      <c r="K107" s="160"/>
    </row>
    <row r="108" spans="1:36" x14ac:dyDescent="0.2">
      <c r="C108" s="226"/>
      <c r="D108" s="199"/>
      <c r="E108" s="199"/>
      <c r="F108" s="199"/>
      <c r="G108" s="199"/>
      <c r="H108" s="199"/>
      <c r="I108" s="199"/>
      <c r="J108" s="199"/>
      <c r="K108" s="160"/>
    </row>
    <row r="109" spans="1:36" x14ac:dyDescent="0.2">
      <c r="C109" s="226"/>
      <c r="D109" s="199"/>
      <c r="E109" s="199"/>
      <c r="F109" s="199"/>
      <c r="G109" s="199"/>
      <c r="H109" s="199"/>
      <c r="I109" s="199"/>
      <c r="J109" s="199"/>
      <c r="K109" s="160"/>
    </row>
    <row r="110" spans="1:36" x14ac:dyDescent="0.2">
      <c r="C110" s="226"/>
      <c r="D110" s="199"/>
      <c r="E110" s="199"/>
      <c r="F110" s="199"/>
      <c r="G110" s="199"/>
      <c r="H110" s="199"/>
      <c r="I110" s="199"/>
      <c r="J110" s="199"/>
      <c r="K110" s="160"/>
    </row>
    <row r="111" spans="1:36" x14ac:dyDescent="0.2">
      <c r="C111" s="226"/>
      <c r="D111" s="199"/>
      <c r="E111" s="199"/>
      <c r="F111" s="199"/>
      <c r="G111" s="199"/>
      <c r="H111" s="199"/>
      <c r="I111" s="199"/>
      <c r="J111" s="199"/>
      <c r="K111" s="160"/>
    </row>
    <row r="112" spans="1:36" s="139" customFormat="1" x14ac:dyDescent="0.2">
      <c r="A112" s="138"/>
      <c r="B112" s="36"/>
      <c r="C112" s="226"/>
      <c r="D112" s="199"/>
      <c r="E112" s="199"/>
      <c r="F112" s="199"/>
      <c r="G112" s="199"/>
      <c r="H112" s="199"/>
      <c r="I112" s="199"/>
      <c r="J112" s="199"/>
      <c r="K112" s="36"/>
      <c r="L112" s="36"/>
      <c r="Q112" s="36"/>
      <c r="R112" s="36"/>
      <c r="S112" s="36"/>
      <c r="T112" s="36"/>
      <c r="U112" s="36"/>
      <c r="V112" s="36"/>
      <c r="W112" s="36"/>
      <c r="X112" s="36"/>
      <c r="Y112" s="36"/>
      <c r="Z112" s="36"/>
      <c r="AA112" s="36"/>
      <c r="AB112" s="36"/>
      <c r="AC112" s="36"/>
      <c r="AD112" s="36"/>
      <c r="AE112" s="36"/>
      <c r="AF112" s="36"/>
      <c r="AG112" s="36"/>
      <c r="AH112" s="36"/>
      <c r="AI112" s="36"/>
      <c r="AJ112" s="36"/>
    </row>
    <row r="113" spans="1:36" s="139" customFormat="1" x14ac:dyDescent="0.2">
      <c r="A113" s="138"/>
      <c r="B113" s="36"/>
      <c r="C113" s="226"/>
      <c r="D113" s="199"/>
      <c r="E113" s="199"/>
      <c r="F113" s="199"/>
      <c r="G113" s="199"/>
      <c r="H113" s="199"/>
      <c r="I113" s="199"/>
      <c r="J113" s="199"/>
      <c r="K113" s="36"/>
      <c r="L113" s="36"/>
      <c r="Q113" s="36"/>
      <c r="R113" s="36"/>
      <c r="S113" s="36"/>
      <c r="T113" s="36"/>
      <c r="U113" s="36"/>
      <c r="V113" s="36"/>
      <c r="W113" s="36"/>
      <c r="X113" s="36"/>
      <c r="Y113" s="36"/>
      <c r="Z113" s="36"/>
      <c r="AA113" s="36"/>
      <c r="AB113" s="36"/>
      <c r="AC113" s="36"/>
      <c r="AD113" s="36"/>
      <c r="AE113" s="36"/>
      <c r="AF113" s="36"/>
      <c r="AG113" s="36"/>
      <c r="AH113" s="36"/>
      <c r="AI113" s="36"/>
      <c r="AJ113" s="36"/>
    </row>
    <row r="114" spans="1:36" s="139" customFormat="1" x14ac:dyDescent="0.2">
      <c r="A114" s="138"/>
      <c r="B114" s="36"/>
      <c r="C114" s="226"/>
      <c r="D114" s="199"/>
      <c r="E114" s="199"/>
      <c r="F114" s="199"/>
      <c r="G114" s="199"/>
      <c r="H114" s="199"/>
      <c r="I114" s="199"/>
      <c r="J114" s="199"/>
      <c r="K114" s="36"/>
      <c r="L114" s="36"/>
      <c r="Q114" s="36"/>
      <c r="R114" s="36"/>
      <c r="S114" s="36"/>
      <c r="T114" s="36"/>
      <c r="U114" s="36"/>
      <c r="V114" s="36"/>
      <c r="W114" s="36"/>
      <c r="X114" s="36"/>
      <c r="Y114" s="36"/>
      <c r="Z114" s="36"/>
      <c r="AA114" s="36"/>
      <c r="AB114" s="36"/>
      <c r="AC114" s="36"/>
      <c r="AD114" s="36"/>
      <c r="AE114" s="36"/>
      <c r="AF114" s="36"/>
      <c r="AG114" s="36"/>
      <c r="AH114" s="36"/>
      <c r="AI114" s="36"/>
      <c r="AJ114" s="36"/>
    </row>
    <row r="115" spans="1:36" s="139" customFormat="1" x14ac:dyDescent="0.2">
      <c r="A115" s="138"/>
      <c r="B115" s="36"/>
      <c r="C115" s="313"/>
      <c r="D115" s="199"/>
      <c r="E115" s="199"/>
      <c r="F115" s="199"/>
      <c r="G115" s="199"/>
      <c r="H115" s="199"/>
      <c r="I115" s="199"/>
      <c r="J115" s="199"/>
      <c r="K115" s="36"/>
      <c r="L115" s="160"/>
      <c r="Q115" s="36"/>
      <c r="R115" s="36"/>
      <c r="S115" s="36"/>
      <c r="T115" s="36"/>
      <c r="U115" s="36"/>
      <c r="V115" s="36"/>
      <c r="W115" s="36"/>
      <c r="X115" s="36"/>
      <c r="Y115" s="36"/>
      <c r="Z115" s="36"/>
      <c r="AA115" s="36"/>
      <c r="AB115" s="36"/>
      <c r="AC115" s="36"/>
      <c r="AD115" s="36"/>
      <c r="AE115" s="36"/>
      <c r="AF115" s="36"/>
      <c r="AG115" s="36"/>
      <c r="AH115" s="36"/>
      <c r="AI115" s="36"/>
      <c r="AJ115" s="36"/>
    </row>
    <row r="116" spans="1:36" s="139" customFormat="1" x14ac:dyDescent="0.2">
      <c r="A116" s="138"/>
      <c r="B116" s="36"/>
      <c r="C116" s="226"/>
      <c r="D116" s="199"/>
      <c r="E116" s="199"/>
      <c r="F116" s="199"/>
      <c r="G116" s="199"/>
      <c r="H116" s="199"/>
      <c r="I116" s="199"/>
      <c r="J116" s="199"/>
      <c r="K116" s="36"/>
      <c r="L116" s="160"/>
      <c r="Q116" s="36"/>
      <c r="R116" s="36"/>
      <c r="S116" s="36"/>
      <c r="T116" s="36"/>
      <c r="U116" s="36"/>
      <c r="V116" s="36"/>
      <c r="W116" s="36"/>
      <c r="X116" s="36"/>
      <c r="Y116" s="36"/>
      <c r="Z116" s="36"/>
      <c r="AA116" s="36"/>
      <c r="AB116" s="36"/>
      <c r="AC116" s="36"/>
      <c r="AD116" s="36"/>
      <c r="AE116" s="36"/>
      <c r="AF116" s="36"/>
      <c r="AG116" s="36"/>
      <c r="AH116" s="36"/>
      <c r="AI116" s="36"/>
      <c r="AJ116" s="36"/>
    </row>
    <row r="117" spans="1:36" s="139" customFormat="1" x14ac:dyDescent="0.2">
      <c r="A117" s="138"/>
      <c r="B117" s="36"/>
      <c r="C117" s="226"/>
      <c r="D117" s="199"/>
      <c r="E117" s="199"/>
      <c r="F117" s="199"/>
      <c r="G117" s="199"/>
      <c r="H117" s="199"/>
      <c r="I117" s="199"/>
      <c r="J117" s="199"/>
      <c r="K117" s="36"/>
      <c r="L117" s="160"/>
      <c r="Q117" s="36"/>
      <c r="R117" s="36"/>
      <c r="S117" s="36"/>
      <c r="T117" s="36"/>
      <c r="U117" s="36"/>
      <c r="V117" s="36"/>
      <c r="W117" s="36"/>
      <c r="X117" s="36"/>
      <c r="Y117" s="36"/>
      <c r="Z117" s="36"/>
      <c r="AA117" s="36"/>
      <c r="AB117" s="36"/>
      <c r="AC117" s="36"/>
      <c r="AD117" s="36"/>
      <c r="AE117" s="36"/>
      <c r="AF117" s="36"/>
      <c r="AG117" s="36"/>
      <c r="AH117" s="36"/>
      <c r="AI117" s="36"/>
      <c r="AJ117" s="36"/>
    </row>
    <row r="118" spans="1:36" s="139" customFormat="1" x14ac:dyDescent="0.2">
      <c r="A118" s="138"/>
      <c r="B118" s="36"/>
      <c r="C118" s="226"/>
      <c r="D118" s="199"/>
      <c r="E118" s="199"/>
      <c r="F118" s="199"/>
      <c r="G118" s="199"/>
      <c r="H118" s="199"/>
      <c r="I118" s="199"/>
      <c r="J118" s="199"/>
      <c r="K118" s="36"/>
      <c r="L118" s="160"/>
      <c r="Q118" s="36"/>
      <c r="R118" s="36"/>
      <c r="S118" s="36"/>
      <c r="T118" s="36"/>
      <c r="U118" s="36"/>
      <c r="V118" s="36"/>
      <c r="W118" s="36"/>
      <c r="X118" s="36"/>
      <c r="Y118" s="36"/>
      <c r="Z118" s="36"/>
      <c r="AA118" s="36"/>
      <c r="AB118" s="36"/>
      <c r="AC118" s="36"/>
      <c r="AD118" s="36"/>
      <c r="AE118" s="36"/>
      <c r="AF118" s="36"/>
      <c r="AG118" s="36"/>
      <c r="AH118" s="36"/>
      <c r="AI118" s="36"/>
      <c r="AJ118" s="36"/>
    </row>
    <row r="119" spans="1:36" x14ac:dyDescent="0.2">
      <c r="C119" s="226"/>
      <c r="D119" s="199"/>
      <c r="E119" s="199"/>
      <c r="F119" s="199"/>
      <c r="G119" s="199"/>
      <c r="H119" s="199"/>
      <c r="I119" s="199"/>
      <c r="J119" s="199"/>
      <c r="L119" s="160"/>
    </row>
    <row r="120" spans="1:36" s="139" customFormat="1" x14ac:dyDescent="0.2">
      <c r="A120" s="138"/>
      <c r="B120" s="36"/>
      <c r="C120" s="226"/>
      <c r="D120" s="199"/>
      <c r="E120" s="199"/>
      <c r="F120" s="199"/>
      <c r="G120" s="199"/>
      <c r="H120" s="199"/>
      <c r="I120" s="199"/>
      <c r="J120" s="199"/>
      <c r="K120" s="36"/>
      <c r="L120" s="160"/>
      <c r="Q120" s="36"/>
      <c r="R120" s="36"/>
      <c r="S120" s="36"/>
      <c r="T120" s="36"/>
      <c r="U120" s="36"/>
      <c r="V120" s="36"/>
      <c r="W120" s="36"/>
      <c r="X120" s="36"/>
      <c r="Y120" s="36"/>
      <c r="Z120" s="36"/>
      <c r="AA120" s="36"/>
      <c r="AB120" s="36"/>
      <c r="AC120" s="36"/>
      <c r="AD120" s="36"/>
      <c r="AE120" s="36"/>
      <c r="AF120" s="36"/>
      <c r="AG120" s="36"/>
      <c r="AH120" s="36"/>
      <c r="AI120" s="36"/>
      <c r="AJ120" s="36"/>
    </row>
    <row r="121" spans="1:36" s="139" customFormat="1" x14ac:dyDescent="0.2">
      <c r="A121" s="138"/>
      <c r="B121" s="36"/>
      <c r="C121" s="226"/>
      <c r="D121" s="199"/>
      <c r="E121" s="199"/>
      <c r="F121" s="199"/>
      <c r="G121" s="199"/>
      <c r="H121" s="199"/>
      <c r="I121" s="199"/>
      <c r="J121" s="199"/>
      <c r="K121" s="36"/>
      <c r="L121" s="160"/>
      <c r="Q121" s="36"/>
      <c r="R121" s="36"/>
      <c r="S121" s="36"/>
      <c r="T121" s="36"/>
      <c r="U121" s="36"/>
      <c r="V121" s="36"/>
      <c r="W121" s="36"/>
      <c r="X121" s="36"/>
      <c r="Y121" s="36"/>
      <c r="Z121" s="36"/>
      <c r="AA121" s="36"/>
      <c r="AB121" s="36"/>
      <c r="AC121" s="36"/>
      <c r="AD121" s="36"/>
      <c r="AE121" s="36"/>
      <c r="AF121" s="36"/>
      <c r="AG121" s="36"/>
      <c r="AH121" s="36"/>
      <c r="AI121" s="36"/>
      <c r="AJ121" s="36"/>
    </row>
    <row r="122" spans="1:36" x14ac:dyDescent="0.2">
      <c r="C122" s="226"/>
      <c r="D122" s="199"/>
      <c r="E122" s="199"/>
      <c r="F122" s="199"/>
      <c r="G122" s="199"/>
      <c r="H122" s="199"/>
      <c r="I122" s="199"/>
      <c r="J122" s="199"/>
      <c r="L122" s="160"/>
    </row>
    <row r="123" spans="1:36" s="139" customFormat="1" x14ac:dyDescent="0.2">
      <c r="A123" s="138"/>
      <c r="B123" s="36"/>
      <c r="C123" s="226"/>
      <c r="D123" s="199"/>
      <c r="E123" s="199"/>
      <c r="F123" s="199"/>
      <c r="G123" s="199"/>
      <c r="H123" s="199"/>
      <c r="I123" s="199"/>
      <c r="J123" s="199"/>
      <c r="K123" s="36"/>
      <c r="L123" s="160"/>
      <c r="Q123" s="36"/>
      <c r="R123" s="36"/>
      <c r="S123" s="36"/>
      <c r="T123" s="36"/>
      <c r="U123" s="36"/>
      <c r="V123" s="36"/>
      <c r="W123" s="36"/>
      <c r="X123" s="36"/>
      <c r="Y123" s="36"/>
      <c r="Z123" s="36"/>
      <c r="AA123" s="36"/>
      <c r="AB123" s="36"/>
      <c r="AC123" s="36"/>
      <c r="AD123" s="36"/>
      <c r="AE123" s="36"/>
      <c r="AF123" s="36"/>
      <c r="AG123" s="36"/>
      <c r="AH123" s="36"/>
      <c r="AI123" s="36"/>
      <c r="AJ123" s="36"/>
    </row>
    <row r="124" spans="1:36" s="139" customFormat="1" x14ac:dyDescent="0.2">
      <c r="A124" s="138"/>
      <c r="B124" s="36"/>
      <c r="C124" s="226"/>
      <c r="D124" s="199"/>
      <c r="E124" s="199"/>
      <c r="F124" s="199"/>
      <c r="G124" s="199"/>
      <c r="H124" s="199"/>
      <c r="I124" s="199"/>
      <c r="J124" s="199"/>
      <c r="K124" s="36"/>
      <c r="L124" s="160"/>
      <c r="Q124" s="36"/>
      <c r="R124" s="36"/>
      <c r="S124" s="36"/>
      <c r="T124" s="36"/>
      <c r="U124" s="36"/>
      <c r="V124" s="36"/>
      <c r="W124" s="36"/>
      <c r="X124" s="36"/>
      <c r="Y124" s="36"/>
      <c r="Z124" s="36"/>
      <c r="AA124" s="36"/>
      <c r="AB124" s="36"/>
      <c r="AC124" s="36"/>
      <c r="AD124" s="36"/>
      <c r="AE124" s="36"/>
      <c r="AF124" s="36"/>
      <c r="AG124" s="36"/>
      <c r="AH124" s="36"/>
      <c r="AI124" s="36"/>
      <c r="AJ124" s="36"/>
    </row>
    <row r="125" spans="1:36" s="139" customFormat="1" x14ac:dyDescent="0.2">
      <c r="A125" s="138"/>
      <c r="B125" s="36"/>
      <c r="C125" s="226"/>
      <c r="D125" s="199"/>
      <c r="E125" s="199"/>
      <c r="F125" s="199"/>
      <c r="G125" s="199"/>
      <c r="H125" s="199"/>
      <c r="I125" s="199"/>
      <c r="J125" s="199"/>
      <c r="K125" s="36"/>
      <c r="L125" s="160"/>
      <c r="Q125" s="36"/>
      <c r="R125" s="36"/>
      <c r="S125" s="36"/>
      <c r="T125" s="36"/>
      <c r="U125" s="36"/>
      <c r="V125" s="36"/>
      <c r="W125" s="36"/>
      <c r="X125" s="36"/>
      <c r="Y125" s="36"/>
      <c r="Z125" s="36"/>
      <c r="AA125" s="36"/>
      <c r="AB125" s="36"/>
      <c r="AC125" s="36"/>
      <c r="AD125" s="36"/>
      <c r="AE125" s="36"/>
      <c r="AF125" s="36"/>
      <c r="AG125" s="36"/>
      <c r="AH125" s="36"/>
      <c r="AI125" s="36"/>
      <c r="AJ125" s="36"/>
    </row>
    <row r="126" spans="1:36" x14ac:dyDescent="0.2">
      <c r="C126" s="226"/>
      <c r="D126" s="199"/>
      <c r="E126" s="199"/>
      <c r="F126" s="199"/>
      <c r="G126" s="199"/>
      <c r="H126" s="199"/>
      <c r="I126" s="199"/>
      <c r="J126" s="199"/>
      <c r="L126" s="160"/>
    </row>
    <row r="127" spans="1:36" x14ac:dyDescent="0.2">
      <c r="C127" s="226"/>
      <c r="D127" s="199"/>
      <c r="E127" s="199"/>
      <c r="F127" s="199"/>
      <c r="G127" s="199"/>
      <c r="H127" s="199"/>
      <c r="I127" s="199"/>
      <c r="J127" s="199"/>
      <c r="L127" s="160"/>
    </row>
    <row r="128" spans="1:36" x14ac:dyDescent="0.2">
      <c r="C128" s="226"/>
      <c r="D128" s="199"/>
      <c r="E128" s="199"/>
      <c r="F128" s="199"/>
      <c r="G128" s="199"/>
      <c r="H128" s="199"/>
      <c r="I128" s="199"/>
      <c r="J128" s="199"/>
      <c r="L128" s="160"/>
    </row>
    <row r="129" spans="3:23" x14ac:dyDescent="0.2">
      <c r="C129" s="226"/>
      <c r="D129" s="199"/>
      <c r="E129" s="199"/>
      <c r="F129" s="199"/>
      <c r="G129" s="199"/>
      <c r="H129" s="199"/>
      <c r="I129" s="199"/>
      <c r="J129" s="199"/>
    </row>
    <row r="130" spans="3:23" x14ac:dyDescent="0.2">
      <c r="C130" s="226"/>
      <c r="D130" s="199"/>
      <c r="E130" s="199"/>
      <c r="F130" s="199"/>
      <c r="G130" s="199"/>
      <c r="H130" s="199"/>
      <c r="I130" s="199"/>
      <c r="J130" s="199"/>
    </row>
    <row r="131" spans="3:23" x14ac:dyDescent="0.2">
      <c r="C131" s="226"/>
      <c r="D131" s="199"/>
      <c r="E131" s="199"/>
      <c r="F131" s="199"/>
      <c r="G131" s="199"/>
      <c r="H131" s="199"/>
      <c r="I131" s="199"/>
      <c r="J131" s="199"/>
      <c r="Q131" s="129"/>
      <c r="R131" s="129"/>
      <c r="S131" s="129"/>
      <c r="T131" s="129"/>
      <c r="U131" s="129"/>
      <c r="V131" s="129"/>
    </row>
    <row r="132" spans="3:23" x14ac:dyDescent="0.2">
      <c r="C132" s="226"/>
      <c r="D132" s="199"/>
      <c r="E132" s="199"/>
      <c r="F132" s="199"/>
      <c r="G132" s="199"/>
      <c r="H132" s="199"/>
      <c r="I132" s="199"/>
      <c r="J132" s="199"/>
      <c r="Q132" s="193"/>
      <c r="R132" s="129"/>
      <c r="S132" s="129"/>
      <c r="T132" s="129"/>
      <c r="U132" s="129"/>
      <c r="V132" s="129"/>
    </row>
    <row r="133" spans="3:23" x14ac:dyDescent="0.2">
      <c r="C133" s="226"/>
      <c r="D133" s="199"/>
      <c r="E133" s="199"/>
      <c r="F133" s="199"/>
      <c r="G133" s="199"/>
      <c r="H133" s="199"/>
      <c r="I133" s="199"/>
      <c r="J133" s="199"/>
      <c r="Q133" s="129"/>
      <c r="R133" s="129"/>
      <c r="S133" s="129"/>
      <c r="T133" s="129"/>
      <c r="U133" s="129"/>
      <c r="V133" s="129"/>
    </row>
    <row r="134" spans="3:23" x14ac:dyDescent="0.2">
      <c r="C134" s="226"/>
      <c r="D134" s="199"/>
      <c r="E134" s="199"/>
      <c r="F134" s="199"/>
      <c r="G134" s="199"/>
      <c r="H134" s="199"/>
      <c r="I134" s="199"/>
      <c r="J134" s="199"/>
      <c r="W134" s="129"/>
    </row>
    <row r="135" spans="3:23" x14ac:dyDescent="0.2">
      <c r="C135" s="226"/>
      <c r="D135" s="199"/>
      <c r="E135" s="199"/>
      <c r="F135" s="199"/>
      <c r="G135" s="199"/>
      <c r="H135" s="199"/>
      <c r="I135" s="199"/>
      <c r="J135" s="199"/>
      <c r="Q135" s="129"/>
      <c r="R135" s="129"/>
      <c r="S135" s="129"/>
      <c r="T135" s="129"/>
      <c r="U135" s="129"/>
      <c r="V135" s="129"/>
    </row>
    <row r="136" spans="3:23" x14ac:dyDescent="0.2">
      <c r="C136" s="226"/>
      <c r="D136" s="199"/>
      <c r="E136" s="199"/>
      <c r="F136" s="199"/>
      <c r="G136" s="199"/>
      <c r="H136" s="199"/>
      <c r="I136" s="199"/>
      <c r="J136" s="199"/>
      <c r="Q136" s="129"/>
      <c r="R136" s="129"/>
      <c r="S136" s="129"/>
      <c r="T136" s="129"/>
      <c r="U136" s="129"/>
      <c r="V136" s="129"/>
    </row>
    <row r="137" spans="3:23" x14ac:dyDescent="0.2">
      <c r="C137" s="226"/>
      <c r="D137" s="199"/>
      <c r="E137" s="199"/>
      <c r="F137" s="199"/>
      <c r="G137" s="199"/>
      <c r="H137" s="199"/>
      <c r="I137" s="199"/>
      <c r="J137" s="199"/>
      <c r="Q137" s="129"/>
      <c r="R137" s="129"/>
      <c r="S137" s="129"/>
      <c r="T137" s="129"/>
      <c r="U137" s="129"/>
      <c r="V137" s="129"/>
    </row>
    <row r="138" spans="3:23" x14ac:dyDescent="0.2">
      <c r="C138" s="226"/>
      <c r="D138" s="199"/>
      <c r="E138" s="199"/>
      <c r="F138" s="199"/>
      <c r="G138" s="199"/>
      <c r="H138" s="199"/>
      <c r="I138" s="199"/>
      <c r="J138" s="199"/>
      <c r="Q138" s="129"/>
      <c r="R138" s="129"/>
      <c r="S138" s="129"/>
      <c r="T138" s="129"/>
      <c r="U138" s="129"/>
      <c r="V138" s="129"/>
    </row>
    <row r="139" spans="3:23" x14ac:dyDescent="0.2">
      <c r="C139" s="226"/>
      <c r="D139" s="199"/>
      <c r="E139" s="199"/>
      <c r="F139" s="199"/>
      <c r="G139" s="199"/>
      <c r="H139" s="199"/>
      <c r="I139" s="199"/>
      <c r="J139" s="199"/>
      <c r="Q139" s="129"/>
      <c r="R139" s="129"/>
      <c r="S139" s="129"/>
      <c r="T139" s="129"/>
      <c r="U139" s="129"/>
      <c r="V139" s="129"/>
    </row>
    <row r="140" spans="3:23" x14ac:dyDescent="0.2">
      <c r="C140" s="226"/>
      <c r="D140" s="199"/>
      <c r="E140" s="199"/>
      <c r="F140" s="199"/>
      <c r="G140" s="199"/>
      <c r="H140" s="199"/>
      <c r="I140" s="199"/>
      <c r="J140" s="199"/>
      <c r="Q140" s="129"/>
      <c r="R140" s="129"/>
      <c r="S140" s="129"/>
      <c r="T140" s="129"/>
      <c r="U140" s="129"/>
      <c r="V140" s="129"/>
    </row>
    <row r="141" spans="3:23" x14ac:dyDescent="0.2">
      <c r="C141" s="226"/>
      <c r="D141" s="199"/>
      <c r="E141" s="199"/>
      <c r="F141" s="199"/>
      <c r="G141" s="199"/>
      <c r="H141" s="199"/>
      <c r="I141" s="199"/>
      <c r="J141" s="199"/>
      <c r="Q141" s="129"/>
      <c r="R141" s="129"/>
      <c r="S141" s="129"/>
      <c r="T141" s="129"/>
      <c r="U141" s="129"/>
      <c r="V141" s="129"/>
    </row>
    <row r="142" spans="3:23" x14ac:dyDescent="0.2">
      <c r="C142" s="226"/>
      <c r="D142" s="199"/>
      <c r="E142" s="199"/>
      <c r="F142" s="199"/>
      <c r="G142" s="199"/>
      <c r="H142" s="199"/>
      <c r="I142" s="199"/>
      <c r="J142" s="199"/>
      <c r="Q142" s="129"/>
      <c r="R142" s="129"/>
      <c r="S142" s="129"/>
      <c r="T142" s="129"/>
      <c r="U142" s="129"/>
      <c r="V142" s="129"/>
    </row>
    <row r="143" spans="3:23" x14ac:dyDescent="0.2">
      <c r="C143" s="226"/>
      <c r="D143" s="199"/>
      <c r="E143" s="199"/>
      <c r="F143" s="199"/>
      <c r="G143" s="199"/>
      <c r="H143" s="199"/>
      <c r="I143" s="199"/>
      <c r="J143" s="199"/>
      <c r="Q143" s="129"/>
      <c r="R143" s="129"/>
      <c r="S143" s="129"/>
      <c r="T143" s="129"/>
      <c r="U143" s="129"/>
      <c r="V143" s="129"/>
    </row>
    <row r="144" spans="3:23" x14ac:dyDescent="0.2">
      <c r="C144" s="226"/>
      <c r="D144" s="199"/>
      <c r="E144" s="199"/>
      <c r="F144" s="199"/>
      <c r="G144" s="199"/>
      <c r="H144" s="199"/>
      <c r="I144" s="199"/>
      <c r="J144" s="199"/>
      <c r="Q144" s="129"/>
      <c r="R144" s="129"/>
      <c r="S144" s="129"/>
      <c r="T144" s="129"/>
      <c r="U144" s="129"/>
      <c r="V144" s="129"/>
    </row>
    <row r="145" spans="3:22" x14ac:dyDescent="0.2">
      <c r="C145" s="226"/>
      <c r="D145" s="199"/>
      <c r="E145" s="199"/>
      <c r="F145" s="199"/>
      <c r="G145" s="199"/>
      <c r="H145" s="199"/>
      <c r="I145" s="199"/>
      <c r="J145" s="199"/>
      <c r="Q145" s="129"/>
      <c r="R145" s="129"/>
      <c r="S145" s="129"/>
      <c r="T145" s="129"/>
      <c r="U145" s="129"/>
      <c r="V145" s="129"/>
    </row>
    <row r="146" spans="3:22" x14ac:dyDescent="0.2">
      <c r="C146" s="226"/>
      <c r="D146" s="199"/>
      <c r="E146" s="199"/>
      <c r="F146" s="199"/>
      <c r="G146" s="199"/>
      <c r="H146" s="199"/>
      <c r="I146" s="199"/>
      <c r="J146" s="199"/>
      <c r="Q146" s="129"/>
      <c r="R146" s="129"/>
      <c r="S146" s="129"/>
      <c r="T146" s="129"/>
      <c r="U146" s="129"/>
      <c r="V146" s="129"/>
    </row>
    <row r="147" spans="3:22" x14ac:dyDescent="0.2">
      <c r="C147" s="226"/>
      <c r="D147" s="199"/>
      <c r="E147" s="199"/>
      <c r="F147" s="199"/>
      <c r="G147" s="199"/>
      <c r="H147" s="199"/>
      <c r="I147" s="199"/>
      <c r="J147" s="199"/>
      <c r="Q147" s="129"/>
      <c r="R147" s="129"/>
      <c r="S147" s="129"/>
      <c r="T147" s="129"/>
      <c r="U147" s="129"/>
      <c r="V147" s="129"/>
    </row>
    <row r="148" spans="3:22" x14ac:dyDescent="0.2">
      <c r="C148" s="226"/>
      <c r="D148" s="199"/>
      <c r="E148" s="199"/>
      <c r="F148" s="199"/>
      <c r="G148" s="199"/>
      <c r="H148" s="199"/>
      <c r="I148" s="199"/>
      <c r="J148" s="199"/>
    </row>
    <row r="149" spans="3:22" x14ac:dyDescent="0.2">
      <c r="C149" s="226"/>
      <c r="D149" s="199"/>
      <c r="E149" s="199"/>
      <c r="F149" s="199"/>
      <c r="G149" s="199"/>
      <c r="H149" s="199"/>
      <c r="I149" s="199"/>
      <c r="J149" s="199"/>
    </row>
    <row r="150" spans="3:22" x14ac:dyDescent="0.2">
      <c r="C150" s="226"/>
      <c r="D150" s="199"/>
      <c r="E150" s="199"/>
      <c r="F150" s="199"/>
      <c r="G150" s="199"/>
      <c r="H150" s="199"/>
      <c r="I150" s="199"/>
      <c r="J150" s="199"/>
    </row>
    <row r="151" spans="3:22" x14ac:dyDescent="0.2">
      <c r="C151" s="226"/>
      <c r="D151" s="199"/>
      <c r="E151" s="199"/>
      <c r="F151" s="199"/>
      <c r="G151" s="199"/>
      <c r="H151" s="199"/>
      <c r="I151" s="199"/>
      <c r="J151" s="199"/>
    </row>
    <row r="152" spans="3:22" x14ac:dyDescent="0.2">
      <c r="C152" s="226"/>
      <c r="D152" s="199"/>
      <c r="E152" s="199"/>
      <c r="F152" s="199"/>
      <c r="G152" s="199"/>
      <c r="H152" s="199"/>
      <c r="I152" s="199"/>
      <c r="J152" s="199"/>
    </row>
    <row r="153" spans="3:22" x14ac:dyDescent="0.2">
      <c r="C153" s="226"/>
      <c r="D153" s="199"/>
      <c r="E153" s="199"/>
      <c r="F153" s="199"/>
      <c r="G153" s="199"/>
      <c r="H153" s="199"/>
      <c r="I153" s="199"/>
      <c r="J153" s="199"/>
    </row>
    <row r="154" spans="3:22" x14ac:dyDescent="0.2">
      <c r="C154" s="226"/>
      <c r="D154" s="199"/>
      <c r="E154" s="199"/>
      <c r="F154" s="199"/>
      <c r="G154" s="199"/>
      <c r="H154" s="199"/>
      <c r="I154" s="199"/>
      <c r="J154" s="199"/>
    </row>
    <row r="155" spans="3:22" x14ac:dyDescent="0.2">
      <c r="C155" s="226"/>
      <c r="D155" s="199"/>
      <c r="E155" s="199"/>
      <c r="F155" s="199"/>
      <c r="G155" s="199"/>
      <c r="H155" s="199"/>
      <c r="I155" s="199"/>
      <c r="J155" s="199"/>
    </row>
    <row r="156" spans="3:22" x14ac:dyDescent="0.2">
      <c r="C156" s="226"/>
      <c r="D156" s="199"/>
      <c r="E156" s="199"/>
      <c r="F156" s="199"/>
      <c r="G156" s="199"/>
      <c r="H156" s="199"/>
      <c r="I156" s="199"/>
      <c r="J156" s="199"/>
    </row>
    <row r="157" spans="3:22" x14ac:dyDescent="0.2">
      <c r="C157" s="226"/>
      <c r="D157" s="199"/>
      <c r="E157" s="199"/>
      <c r="F157" s="199"/>
      <c r="G157" s="199"/>
      <c r="H157" s="199"/>
      <c r="I157" s="199"/>
      <c r="J157" s="199"/>
    </row>
    <row r="158" spans="3:22" x14ac:dyDescent="0.2">
      <c r="C158" s="226"/>
      <c r="D158" s="199"/>
      <c r="E158" s="199"/>
      <c r="F158" s="199"/>
      <c r="G158" s="199"/>
      <c r="H158" s="199"/>
      <c r="I158" s="199"/>
      <c r="J158" s="199"/>
    </row>
    <row r="159" spans="3:22" x14ac:dyDescent="0.2">
      <c r="C159" s="226"/>
      <c r="D159" s="199"/>
      <c r="E159" s="199"/>
      <c r="F159" s="199"/>
      <c r="G159" s="199"/>
      <c r="H159" s="199"/>
      <c r="I159" s="199"/>
      <c r="J159" s="199"/>
    </row>
    <row r="160" spans="3:22" x14ac:dyDescent="0.2">
      <c r="C160" s="226"/>
      <c r="D160" s="199"/>
      <c r="E160" s="199"/>
      <c r="F160" s="199"/>
      <c r="G160" s="199"/>
      <c r="H160" s="199"/>
      <c r="I160" s="199"/>
      <c r="J160" s="199"/>
    </row>
    <row r="161" spans="3:10" x14ac:dyDescent="0.2">
      <c r="C161" s="226"/>
      <c r="D161" s="199"/>
      <c r="E161" s="199"/>
      <c r="F161" s="199"/>
      <c r="G161" s="199"/>
      <c r="H161" s="199"/>
      <c r="I161" s="199"/>
      <c r="J161" s="199"/>
    </row>
    <row r="162" spans="3:10" x14ac:dyDescent="0.2">
      <c r="C162" s="226"/>
      <c r="D162" s="199"/>
      <c r="E162" s="199"/>
      <c r="F162" s="199"/>
      <c r="G162" s="199"/>
      <c r="H162" s="199"/>
      <c r="I162" s="199"/>
      <c r="J162" s="199"/>
    </row>
    <row r="163" spans="3:10" x14ac:dyDescent="0.2">
      <c r="C163" s="226"/>
      <c r="D163" s="199"/>
      <c r="E163" s="199"/>
      <c r="F163" s="199"/>
      <c r="G163" s="199"/>
      <c r="H163" s="199"/>
      <c r="I163" s="199"/>
      <c r="J163" s="199"/>
    </row>
    <row r="164" spans="3:10" x14ac:dyDescent="0.2">
      <c r="C164" s="226"/>
      <c r="D164" s="199"/>
      <c r="E164" s="199"/>
      <c r="F164" s="199"/>
      <c r="G164" s="199"/>
      <c r="H164" s="199"/>
      <c r="I164" s="199"/>
      <c r="J164" s="199"/>
    </row>
    <row r="165" spans="3:10" x14ac:dyDescent="0.2">
      <c r="C165" s="226"/>
      <c r="D165" s="199"/>
      <c r="E165" s="199"/>
      <c r="F165" s="199"/>
      <c r="G165" s="199"/>
      <c r="H165" s="199"/>
      <c r="I165" s="199"/>
      <c r="J165" s="199"/>
    </row>
    <row r="166" spans="3:10" x14ac:dyDescent="0.2">
      <c r="C166" s="226"/>
      <c r="D166" s="199"/>
      <c r="E166" s="199"/>
      <c r="F166" s="199"/>
      <c r="G166" s="199"/>
      <c r="H166" s="199"/>
      <c r="I166" s="199"/>
      <c r="J166" s="199"/>
    </row>
    <row r="167" spans="3:10" x14ac:dyDescent="0.2">
      <c r="C167" s="226"/>
      <c r="D167" s="199"/>
      <c r="E167" s="199"/>
      <c r="F167" s="199"/>
      <c r="G167" s="199"/>
      <c r="H167" s="199"/>
      <c r="I167" s="199"/>
      <c r="J167" s="199"/>
    </row>
    <row r="168" spans="3:10" x14ac:dyDescent="0.2">
      <c r="C168" s="226"/>
      <c r="D168" s="199"/>
      <c r="E168" s="199"/>
      <c r="F168" s="199"/>
      <c r="G168" s="199"/>
      <c r="H168" s="199"/>
      <c r="I168" s="199"/>
      <c r="J168" s="199"/>
    </row>
    <row r="169" spans="3:10" x14ac:dyDescent="0.2">
      <c r="C169" s="226"/>
      <c r="D169" s="199"/>
      <c r="E169" s="199"/>
      <c r="F169" s="199"/>
      <c r="G169" s="199"/>
      <c r="H169" s="199"/>
      <c r="I169" s="199"/>
      <c r="J169" s="199"/>
    </row>
    <row r="170" spans="3:10" x14ac:dyDescent="0.2">
      <c r="C170" s="226"/>
      <c r="D170" s="199"/>
      <c r="E170" s="199"/>
      <c r="F170" s="199"/>
      <c r="G170" s="199"/>
      <c r="H170" s="199"/>
      <c r="I170" s="199"/>
      <c r="J170" s="199"/>
    </row>
    <row r="171" spans="3:10" x14ac:dyDescent="0.2">
      <c r="C171" s="226"/>
      <c r="D171" s="199"/>
      <c r="E171" s="199"/>
      <c r="F171" s="199"/>
      <c r="G171" s="199"/>
      <c r="H171" s="199"/>
      <c r="I171" s="199"/>
      <c r="J171" s="199"/>
    </row>
    <row r="172" spans="3:10" x14ac:dyDescent="0.2">
      <c r="C172" s="226"/>
      <c r="D172" s="199"/>
      <c r="E172" s="199"/>
      <c r="F172" s="199"/>
      <c r="G172" s="199"/>
      <c r="H172" s="199"/>
      <c r="I172" s="199"/>
      <c r="J172" s="199"/>
    </row>
    <row r="173" spans="3:10" x14ac:dyDescent="0.2">
      <c r="C173" s="226"/>
      <c r="D173" s="199"/>
      <c r="E173" s="199"/>
      <c r="F173" s="199"/>
      <c r="G173" s="199"/>
      <c r="H173" s="199"/>
      <c r="I173" s="199"/>
      <c r="J173" s="199"/>
    </row>
    <row r="174" spans="3:10" x14ac:dyDescent="0.2">
      <c r="C174" s="226"/>
      <c r="D174" s="199"/>
      <c r="E174" s="199"/>
      <c r="F174" s="199"/>
      <c r="G174" s="199"/>
      <c r="H174" s="199"/>
      <c r="I174" s="199"/>
      <c r="J174" s="199"/>
    </row>
    <row r="175" spans="3:10" x14ac:dyDescent="0.2">
      <c r="C175" s="226"/>
      <c r="D175" s="199"/>
      <c r="E175" s="199"/>
      <c r="F175" s="199"/>
      <c r="G175" s="199"/>
      <c r="H175" s="199"/>
      <c r="I175" s="199"/>
      <c r="J175" s="199"/>
    </row>
    <row r="176" spans="3:10" x14ac:dyDescent="0.2">
      <c r="C176" s="226"/>
      <c r="D176" s="199"/>
      <c r="E176" s="199"/>
      <c r="F176" s="199"/>
      <c r="G176" s="199"/>
      <c r="H176" s="199"/>
      <c r="I176" s="199"/>
      <c r="J176" s="199"/>
    </row>
    <row r="177" spans="3:10" x14ac:dyDescent="0.2">
      <c r="C177" s="226"/>
      <c r="D177" s="199"/>
      <c r="E177" s="199"/>
      <c r="F177" s="199"/>
      <c r="G177" s="199"/>
      <c r="H177" s="199"/>
      <c r="I177" s="199"/>
      <c r="J177" s="199"/>
    </row>
    <row r="178" spans="3:10" x14ac:dyDescent="0.2">
      <c r="C178" s="226"/>
      <c r="D178" s="199"/>
      <c r="E178" s="199"/>
      <c r="F178" s="199"/>
      <c r="G178" s="199"/>
      <c r="H178" s="199"/>
      <c r="I178" s="199"/>
      <c r="J178" s="199"/>
    </row>
    <row r="179" spans="3:10" x14ac:dyDescent="0.2">
      <c r="C179" s="226"/>
      <c r="D179" s="199"/>
      <c r="E179" s="199"/>
      <c r="F179" s="199"/>
      <c r="G179" s="199"/>
      <c r="H179" s="199"/>
      <c r="I179" s="199"/>
      <c r="J179" s="199"/>
    </row>
    <row r="180" spans="3:10" x14ac:dyDescent="0.2">
      <c r="C180" s="226"/>
      <c r="D180" s="199"/>
      <c r="E180" s="199"/>
      <c r="F180" s="199"/>
      <c r="G180" s="199"/>
      <c r="H180" s="199"/>
      <c r="I180" s="199"/>
      <c r="J180" s="199"/>
    </row>
    <row r="181" spans="3:10" x14ac:dyDescent="0.2">
      <c r="C181" s="226"/>
      <c r="D181" s="199"/>
      <c r="E181" s="199"/>
      <c r="F181" s="199"/>
      <c r="G181" s="199"/>
      <c r="H181" s="199"/>
      <c r="I181" s="199"/>
      <c r="J181" s="199"/>
    </row>
    <row r="182" spans="3:10" x14ac:dyDescent="0.2">
      <c r="C182" s="226"/>
      <c r="D182" s="199"/>
      <c r="E182" s="199"/>
      <c r="F182" s="199"/>
      <c r="G182" s="199"/>
      <c r="H182" s="199"/>
      <c r="I182" s="199"/>
      <c r="J182" s="199"/>
    </row>
    <row r="183" spans="3:10" x14ac:dyDescent="0.2">
      <c r="C183" s="226"/>
      <c r="D183" s="199"/>
      <c r="E183" s="199"/>
      <c r="F183" s="199"/>
      <c r="G183" s="199"/>
      <c r="H183" s="199"/>
      <c r="I183" s="199"/>
      <c r="J183" s="199"/>
    </row>
    <row r="184" spans="3:10" x14ac:dyDescent="0.2">
      <c r="C184" s="226"/>
      <c r="D184" s="199"/>
      <c r="E184" s="199"/>
      <c r="F184" s="199"/>
      <c r="G184" s="199"/>
      <c r="H184" s="199"/>
      <c r="I184" s="199"/>
      <c r="J184" s="199"/>
    </row>
    <row r="185" spans="3:10" x14ac:dyDescent="0.2">
      <c r="C185" s="226"/>
      <c r="D185" s="199"/>
      <c r="E185" s="199"/>
      <c r="F185" s="199"/>
      <c r="G185" s="199"/>
      <c r="H185" s="199"/>
      <c r="I185" s="199"/>
      <c r="J185" s="199"/>
    </row>
    <row r="186" spans="3:10" x14ac:dyDescent="0.2">
      <c r="C186" s="226"/>
      <c r="D186" s="199"/>
      <c r="E186" s="199"/>
      <c r="F186" s="199"/>
      <c r="G186" s="199"/>
      <c r="H186" s="199"/>
      <c r="I186" s="199"/>
      <c r="J186" s="199"/>
    </row>
    <row r="187" spans="3:10" x14ac:dyDescent="0.2">
      <c r="C187" s="226"/>
      <c r="D187" s="199"/>
      <c r="E187" s="199"/>
      <c r="F187" s="199"/>
      <c r="G187" s="199"/>
      <c r="H187" s="199"/>
      <c r="I187" s="199"/>
      <c r="J187" s="199"/>
    </row>
    <row r="188" spans="3:10" x14ac:dyDescent="0.2">
      <c r="C188" s="226"/>
      <c r="D188" s="199"/>
      <c r="E188" s="199"/>
      <c r="F188" s="199"/>
      <c r="G188" s="199"/>
      <c r="H188" s="199"/>
      <c r="I188" s="199"/>
      <c r="J188" s="199"/>
    </row>
    <row r="189" spans="3:10" x14ac:dyDescent="0.2">
      <c r="C189" s="226"/>
      <c r="D189" s="199"/>
      <c r="E189" s="199"/>
      <c r="F189" s="199"/>
      <c r="G189" s="199"/>
      <c r="H189" s="199"/>
      <c r="I189" s="199"/>
      <c r="J189" s="199"/>
    </row>
    <row r="190" spans="3:10" x14ac:dyDescent="0.2">
      <c r="C190" s="226"/>
      <c r="D190" s="199"/>
      <c r="E190" s="199"/>
      <c r="F190" s="199"/>
      <c r="G190" s="199"/>
      <c r="H190" s="199"/>
      <c r="I190" s="199"/>
      <c r="J190" s="199"/>
    </row>
    <row r="191" spans="3:10" x14ac:dyDescent="0.2">
      <c r="C191" s="226"/>
      <c r="D191" s="199"/>
      <c r="E191" s="199"/>
      <c r="F191" s="199"/>
      <c r="G191" s="199"/>
      <c r="H191" s="199"/>
      <c r="I191" s="199"/>
      <c r="J191" s="199"/>
    </row>
    <row r="192" spans="3:10" x14ac:dyDescent="0.2">
      <c r="C192" s="226"/>
      <c r="D192" s="199"/>
      <c r="E192" s="199"/>
      <c r="F192" s="199"/>
      <c r="G192" s="199"/>
      <c r="H192" s="199"/>
      <c r="I192" s="199"/>
      <c r="J192" s="199"/>
    </row>
    <row r="193" spans="3:31" x14ac:dyDescent="0.2">
      <c r="C193" s="226"/>
      <c r="D193" s="199"/>
      <c r="E193" s="199"/>
      <c r="F193" s="199"/>
      <c r="G193" s="199"/>
      <c r="H193" s="199"/>
      <c r="I193" s="199"/>
      <c r="J193" s="199"/>
    </row>
    <row r="194" spans="3:31" x14ac:dyDescent="0.2">
      <c r="C194" s="226"/>
      <c r="D194" s="199"/>
      <c r="E194" s="199"/>
      <c r="F194" s="199"/>
      <c r="G194" s="199"/>
      <c r="H194" s="199"/>
      <c r="I194" s="199"/>
      <c r="J194" s="199"/>
    </row>
    <row r="195" spans="3:31" x14ac:dyDescent="0.2">
      <c r="C195" s="226"/>
      <c r="D195" s="199"/>
      <c r="E195" s="199"/>
      <c r="F195" s="199"/>
      <c r="G195" s="199"/>
      <c r="H195" s="199"/>
      <c r="I195" s="199"/>
      <c r="J195" s="199"/>
    </row>
    <row r="196" spans="3:31" x14ac:dyDescent="0.2">
      <c r="C196" s="226"/>
      <c r="D196" s="199"/>
      <c r="E196" s="199"/>
      <c r="F196" s="199"/>
      <c r="G196" s="199"/>
      <c r="H196" s="199"/>
      <c r="I196" s="199"/>
      <c r="J196" s="199"/>
    </row>
    <row r="197" spans="3:31" x14ac:dyDescent="0.2">
      <c r="C197" s="226"/>
      <c r="D197" s="199"/>
      <c r="E197" s="199"/>
      <c r="F197" s="199"/>
      <c r="G197" s="199"/>
      <c r="H197" s="199"/>
      <c r="I197" s="199"/>
      <c r="J197" s="199"/>
    </row>
    <row r="198" spans="3:31" x14ac:dyDescent="0.2">
      <c r="C198" s="226"/>
      <c r="D198" s="199"/>
    </row>
    <row r="199" spans="3:31" x14ac:dyDescent="0.2">
      <c r="C199" s="226"/>
      <c r="D199" s="199"/>
      <c r="AD199" s="226"/>
      <c r="AE199" s="199"/>
    </row>
    <row r="200" spans="3:31" x14ac:dyDescent="0.2">
      <c r="C200" s="226"/>
      <c r="D200" s="199"/>
      <c r="AD200" s="226"/>
      <c r="AE200" s="199"/>
    </row>
    <row r="201" spans="3:31" x14ac:dyDescent="0.2">
      <c r="C201" s="226"/>
      <c r="D201" s="199"/>
      <c r="AD201" s="226"/>
      <c r="AE201" s="199"/>
    </row>
    <row r="202" spans="3:31" x14ac:dyDescent="0.2">
      <c r="C202" s="226"/>
      <c r="D202" s="199"/>
      <c r="AD202" s="226"/>
      <c r="AE202" s="199"/>
    </row>
    <row r="203" spans="3:31" x14ac:dyDescent="0.2">
      <c r="C203" s="226"/>
      <c r="D203" s="199"/>
      <c r="AD203" s="226"/>
      <c r="AE203" s="199"/>
    </row>
    <row r="204" spans="3:31" x14ac:dyDescent="0.2">
      <c r="C204" s="226"/>
      <c r="D204" s="199"/>
      <c r="AD204" s="226"/>
      <c r="AE204" s="199"/>
    </row>
    <row r="205" spans="3:31" x14ac:dyDescent="0.2">
      <c r="C205" s="226"/>
      <c r="D205" s="199"/>
      <c r="AD205" s="226"/>
      <c r="AE205" s="199"/>
    </row>
    <row r="206" spans="3:31" x14ac:dyDescent="0.2">
      <c r="C206" s="226"/>
      <c r="D206" s="199"/>
      <c r="AD206" s="226"/>
      <c r="AE206" s="199"/>
    </row>
    <row r="207" spans="3:31" x14ac:dyDescent="0.2">
      <c r="C207" s="226"/>
      <c r="D207" s="199"/>
      <c r="AD207" s="226"/>
      <c r="AE207" s="199"/>
    </row>
    <row r="208" spans="3:31" x14ac:dyDescent="0.2">
      <c r="C208" s="226"/>
      <c r="D208" s="199"/>
      <c r="AD208" s="226"/>
      <c r="AE208" s="199"/>
    </row>
    <row r="209" spans="30:31" x14ac:dyDescent="0.2">
      <c r="AD209" s="226"/>
      <c r="AE209" s="199"/>
    </row>
    <row r="210" spans="30:31" x14ac:dyDescent="0.2">
      <c r="AD210" s="226"/>
      <c r="AE210" s="199"/>
    </row>
    <row r="211" spans="30:31" x14ac:dyDescent="0.2">
      <c r="AD211" s="226"/>
      <c r="AE211" s="199"/>
    </row>
    <row r="212" spans="30:31" x14ac:dyDescent="0.2">
      <c r="AD212" s="226"/>
      <c r="AE212" s="199"/>
    </row>
    <row r="213" spans="30:31" x14ac:dyDescent="0.2">
      <c r="AD213" s="226"/>
      <c r="AE213" s="199"/>
    </row>
    <row r="214" spans="30:31" x14ac:dyDescent="0.2">
      <c r="AD214" s="226"/>
      <c r="AE214" s="199"/>
    </row>
    <row r="215" spans="30:31" x14ac:dyDescent="0.2">
      <c r="AD215" s="226"/>
      <c r="AE215" s="199"/>
    </row>
    <row r="216" spans="30:31" x14ac:dyDescent="0.2">
      <c r="AD216" s="226"/>
      <c r="AE216" s="199"/>
    </row>
    <row r="217" spans="30:31" x14ac:dyDescent="0.2">
      <c r="AD217" s="226"/>
      <c r="AE217" s="199"/>
    </row>
    <row r="218" spans="30:31" x14ac:dyDescent="0.2">
      <c r="AD218" s="226"/>
      <c r="AE218" s="199"/>
    </row>
    <row r="219" spans="30:31" x14ac:dyDescent="0.2">
      <c r="AD219" s="226"/>
      <c r="AE219" s="199"/>
    </row>
    <row r="220" spans="30:31" x14ac:dyDescent="0.2">
      <c r="AD220" s="226"/>
      <c r="AE220" s="199"/>
    </row>
    <row r="221" spans="30:31" x14ac:dyDescent="0.2">
      <c r="AD221" s="226"/>
      <c r="AE221" s="199"/>
    </row>
    <row r="222" spans="30:31" x14ac:dyDescent="0.2">
      <c r="AD222" s="226"/>
      <c r="AE222" s="199"/>
    </row>
    <row r="223" spans="30:31" x14ac:dyDescent="0.2">
      <c r="AD223" s="226"/>
      <c r="AE223" s="199"/>
    </row>
    <row r="224" spans="30:31" x14ac:dyDescent="0.2">
      <c r="AD224" s="226"/>
      <c r="AE224" s="199"/>
    </row>
    <row r="225" spans="30:31" x14ac:dyDescent="0.2">
      <c r="AD225" s="226"/>
      <c r="AE225" s="199"/>
    </row>
    <row r="226" spans="30:31" x14ac:dyDescent="0.2">
      <c r="AD226" s="226"/>
      <c r="AE226" s="199"/>
    </row>
    <row r="227" spans="30:31" x14ac:dyDescent="0.2">
      <c r="AD227" s="226"/>
      <c r="AE227" s="199"/>
    </row>
    <row r="228" spans="30:31" x14ac:dyDescent="0.2">
      <c r="AD228" s="226"/>
      <c r="AE228" s="199"/>
    </row>
    <row r="229" spans="30:31" x14ac:dyDescent="0.2">
      <c r="AD229" s="226"/>
      <c r="AE229" s="199"/>
    </row>
    <row r="230" spans="30:31" x14ac:dyDescent="0.2">
      <c r="AD230" s="226"/>
      <c r="AE230" s="199"/>
    </row>
    <row r="231" spans="30:31" x14ac:dyDescent="0.2">
      <c r="AD231" s="226"/>
      <c r="AE231" s="199"/>
    </row>
    <row r="232" spans="30:31" x14ac:dyDescent="0.2">
      <c r="AD232" s="226"/>
      <c r="AE232" s="199"/>
    </row>
    <row r="233" spans="30:31" x14ac:dyDescent="0.2">
      <c r="AD233" s="226"/>
      <c r="AE233" s="199"/>
    </row>
    <row r="234" spans="30:31" x14ac:dyDescent="0.2">
      <c r="AD234" s="226"/>
      <c r="AE234" s="199"/>
    </row>
    <row r="235" spans="30:31" x14ac:dyDescent="0.2">
      <c r="AD235" s="226"/>
      <c r="AE235" s="199"/>
    </row>
    <row r="236" spans="30:31" x14ac:dyDescent="0.2">
      <c r="AD236" s="226"/>
      <c r="AE236" s="199"/>
    </row>
    <row r="237" spans="30:31" x14ac:dyDescent="0.2">
      <c r="AD237" s="226"/>
      <c r="AE237" s="199"/>
    </row>
    <row r="238" spans="30:31" x14ac:dyDescent="0.2">
      <c r="AD238" s="226"/>
      <c r="AE238" s="199"/>
    </row>
    <row r="239" spans="30:31" x14ac:dyDescent="0.2">
      <c r="AD239" s="226"/>
      <c r="AE239" s="199"/>
    </row>
    <row r="240" spans="30:31" x14ac:dyDescent="0.2">
      <c r="AD240" s="226"/>
      <c r="AE240" s="199"/>
    </row>
    <row r="241" spans="30:31" x14ac:dyDescent="0.2">
      <c r="AD241" s="226"/>
      <c r="AE241" s="199"/>
    </row>
    <row r="242" spans="30:31" x14ac:dyDescent="0.2">
      <c r="AD242" s="226"/>
      <c r="AE242" s="199"/>
    </row>
    <row r="243" spans="30:31" x14ac:dyDescent="0.2">
      <c r="AD243" s="226"/>
      <c r="AE243" s="199"/>
    </row>
    <row r="244" spans="30:31" x14ac:dyDescent="0.2">
      <c r="AD244" s="226"/>
      <c r="AE244" s="199"/>
    </row>
    <row r="245" spans="30:31" x14ac:dyDescent="0.2">
      <c r="AD245" s="226"/>
      <c r="AE245" s="199"/>
    </row>
    <row r="246" spans="30:31" x14ac:dyDescent="0.2">
      <c r="AD246" s="226"/>
      <c r="AE246" s="199"/>
    </row>
    <row r="247" spans="30:31" x14ac:dyDescent="0.2">
      <c r="AD247" s="226"/>
      <c r="AE247" s="199"/>
    </row>
    <row r="248" spans="30:31" x14ac:dyDescent="0.2">
      <c r="AD248" s="226"/>
      <c r="AE248" s="199"/>
    </row>
    <row r="249" spans="30:31" x14ac:dyDescent="0.2">
      <c r="AD249" s="226"/>
      <c r="AE249" s="199"/>
    </row>
    <row r="250" spans="30:31" x14ac:dyDescent="0.2">
      <c r="AD250" s="226"/>
      <c r="AE250" s="199"/>
    </row>
    <row r="251" spans="30:31" x14ac:dyDescent="0.2">
      <c r="AD251" s="226"/>
      <c r="AE251" s="199"/>
    </row>
    <row r="252" spans="30:31" x14ac:dyDescent="0.2">
      <c r="AD252" s="226"/>
      <c r="AE252" s="199"/>
    </row>
    <row r="253" spans="30:31" x14ac:dyDescent="0.2">
      <c r="AD253" s="226"/>
      <c r="AE253" s="199"/>
    </row>
    <row r="254" spans="30:31" x14ac:dyDescent="0.2">
      <c r="AD254" s="226"/>
      <c r="AE254" s="199"/>
    </row>
    <row r="255" spans="30:31" x14ac:dyDescent="0.2">
      <c r="AD255" s="226"/>
      <c r="AE255" s="199"/>
    </row>
    <row r="256" spans="30:31" x14ac:dyDescent="0.2">
      <c r="AD256" s="226"/>
      <c r="AE256" s="199"/>
    </row>
    <row r="257" spans="30:31" x14ac:dyDescent="0.2">
      <c r="AD257" s="226"/>
      <c r="AE257" s="199"/>
    </row>
    <row r="258" spans="30:31" x14ac:dyDescent="0.2">
      <c r="AD258" s="226"/>
      <c r="AE258" s="199"/>
    </row>
    <row r="259" spans="30:31" x14ac:dyDescent="0.2">
      <c r="AD259" s="226"/>
      <c r="AE259" s="199"/>
    </row>
    <row r="260" spans="30:31" x14ac:dyDescent="0.2">
      <c r="AD260" s="226"/>
      <c r="AE260" s="199"/>
    </row>
    <row r="261" spans="30:31" x14ac:dyDescent="0.2">
      <c r="AD261" s="226"/>
      <c r="AE261" s="199"/>
    </row>
    <row r="262" spans="30:31" x14ac:dyDescent="0.2">
      <c r="AD262" s="226"/>
      <c r="AE262" s="199"/>
    </row>
    <row r="263" spans="30:31" x14ac:dyDescent="0.2">
      <c r="AD263" s="226"/>
      <c r="AE263" s="199"/>
    </row>
    <row r="264" spans="30:31" x14ac:dyDescent="0.2">
      <c r="AD264" s="226"/>
      <c r="AE264" s="199"/>
    </row>
    <row r="265" spans="30:31" x14ac:dyDescent="0.2">
      <c r="AD265" s="226"/>
      <c r="AE265" s="199"/>
    </row>
    <row r="266" spans="30:31" x14ac:dyDescent="0.2">
      <c r="AD266" s="226"/>
      <c r="AE266" s="199"/>
    </row>
    <row r="267" spans="30:31" x14ac:dyDescent="0.2">
      <c r="AD267" s="226"/>
      <c r="AE267" s="199"/>
    </row>
    <row r="268" spans="30:31" x14ac:dyDescent="0.2">
      <c r="AD268" s="226"/>
      <c r="AE268" s="199"/>
    </row>
    <row r="269" spans="30:31" x14ac:dyDescent="0.2">
      <c r="AD269" s="226"/>
      <c r="AE269" s="199"/>
    </row>
    <row r="270" spans="30:31" x14ac:dyDescent="0.2">
      <c r="AD270" s="226"/>
      <c r="AE270" s="199"/>
    </row>
    <row r="271" spans="30:31" x14ac:dyDescent="0.2">
      <c r="AD271" s="226"/>
      <c r="AE271" s="199"/>
    </row>
    <row r="272" spans="30:31" x14ac:dyDescent="0.2">
      <c r="AD272" s="226"/>
      <c r="AE272" s="199"/>
    </row>
    <row r="273" spans="30:31" x14ac:dyDescent="0.2">
      <c r="AD273" s="226"/>
      <c r="AE273" s="199"/>
    </row>
    <row r="274" spans="30:31" x14ac:dyDescent="0.2">
      <c r="AD274" s="226"/>
      <c r="AE274" s="199"/>
    </row>
    <row r="275" spans="30:31" x14ac:dyDescent="0.2">
      <c r="AD275" s="226"/>
      <c r="AE275" s="199"/>
    </row>
    <row r="276" spans="30:31" x14ac:dyDescent="0.2">
      <c r="AD276" s="226"/>
      <c r="AE276" s="199"/>
    </row>
    <row r="277" spans="30:31" x14ac:dyDescent="0.2">
      <c r="AD277" s="226"/>
      <c r="AE277" s="199"/>
    </row>
    <row r="278" spans="30:31" x14ac:dyDescent="0.2">
      <c r="AD278" s="226"/>
      <c r="AE278" s="199"/>
    </row>
    <row r="279" spans="30:31" x14ac:dyDescent="0.2">
      <c r="AD279" s="226"/>
      <c r="AE279" s="199"/>
    </row>
    <row r="280" spans="30:31" x14ac:dyDescent="0.2">
      <c r="AD280" s="226"/>
      <c r="AE280" s="199"/>
    </row>
    <row r="281" spans="30:31" x14ac:dyDescent="0.2">
      <c r="AD281" s="226"/>
      <c r="AE281" s="199"/>
    </row>
    <row r="282" spans="30:31" x14ac:dyDescent="0.2">
      <c r="AD282" s="226"/>
      <c r="AE282" s="199"/>
    </row>
    <row r="283" spans="30:31" x14ac:dyDescent="0.2">
      <c r="AD283" s="226"/>
      <c r="AE283" s="199"/>
    </row>
    <row r="284" spans="30:31" x14ac:dyDescent="0.2">
      <c r="AD284" s="226"/>
      <c r="AE284" s="199"/>
    </row>
    <row r="285" spans="30:31" x14ac:dyDescent="0.2">
      <c r="AD285" s="226"/>
      <c r="AE285" s="199"/>
    </row>
    <row r="286" spans="30:31" x14ac:dyDescent="0.2">
      <c r="AD286" s="226"/>
      <c r="AE286" s="199"/>
    </row>
    <row r="287" spans="30:31" x14ac:dyDescent="0.2">
      <c r="AD287" s="226"/>
      <c r="AE287" s="199"/>
    </row>
    <row r="288" spans="30:31" x14ac:dyDescent="0.2">
      <c r="AD288" s="226"/>
      <c r="AE288" s="199"/>
    </row>
    <row r="289" spans="30:31" x14ac:dyDescent="0.2">
      <c r="AD289" s="226"/>
      <c r="AE289" s="199"/>
    </row>
    <row r="290" spans="30:31" x14ac:dyDescent="0.2">
      <c r="AD290" s="226"/>
      <c r="AE290" s="199"/>
    </row>
    <row r="291" spans="30:31" x14ac:dyDescent="0.2">
      <c r="AD291" s="226"/>
      <c r="AE291" s="199"/>
    </row>
    <row r="292" spans="30:31" x14ac:dyDescent="0.2">
      <c r="AD292" s="226"/>
      <c r="AE292" s="199"/>
    </row>
    <row r="293" spans="30:31" x14ac:dyDescent="0.2">
      <c r="AD293" s="226"/>
      <c r="AE293" s="199"/>
    </row>
    <row r="294" spans="30:31" x14ac:dyDescent="0.2">
      <c r="AD294" s="226"/>
      <c r="AE294" s="199"/>
    </row>
    <row r="295" spans="30:31" x14ac:dyDescent="0.2">
      <c r="AD295" s="226"/>
      <c r="AE295" s="199"/>
    </row>
    <row r="296" spans="30:31" x14ac:dyDescent="0.2">
      <c r="AD296" s="226"/>
      <c r="AE296" s="199"/>
    </row>
    <row r="297" spans="30:31" x14ac:dyDescent="0.2">
      <c r="AD297" s="226"/>
      <c r="AE297" s="199"/>
    </row>
    <row r="298" spans="30:31" x14ac:dyDescent="0.2">
      <c r="AD298" s="226"/>
      <c r="AE298" s="199"/>
    </row>
    <row r="299" spans="30:31" x14ac:dyDescent="0.2">
      <c r="AD299" s="226"/>
      <c r="AE299" s="199"/>
    </row>
    <row r="300" spans="30:31" x14ac:dyDescent="0.2">
      <c r="AD300" s="226"/>
      <c r="AE300" s="199"/>
    </row>
    <row r="301" spans="30:31" x14ac:dyDescent="0.2">
      <c r="AD301" s="226"/>
      <c r="AE301" s="199"/>
    </row>
    <row r="302" spans="30:31" x14ac:dyDescent="0.2">
      <c r="AD302" s="226"/>
      <c r="AE302" s="199"/>
    </row>
    <row r="303" spans="30:31" x14ac:dyDescent="0.2">
      <c r="AD303" s="226"/>
      <c r="AE303" s="199"/>
    </row>
    <row r="304" spans="30:31" x14ac:dyDescent="0.2">
      <c r="AD304" s="226"/>
      <c r="AE304" s="199"/>
    </row>
    <row r="305" spans="30:31" x14ac:dyDescent="0.2">
      <c r="AD305" s="226"/>
      <c r="AE305" s="199"/>
    </row>
    <row r="306" spans="30:31" x14ac:dyDescent="0.2">
      <c r="AD306" s="226"/>
      <c r="AE306" s="199"/>
    </row>
    <row r="307" spans="30:31" x14ac:dyDescent="0.2">
      <c r="AD307" s="226"/>
      <c r="AE307" s="199"/>
    </row>
    <row r="308" spans="30:31" x14ac:dyDescent="0.2">
      <c r="AD308" s="226"/>
      <c r="AE308" s="199"/>
    </row>
    <row r="309" spans="30:31" x14ac:dyDescent="0.2">
      <c r="AD309" s="226"/>
      <c r="AE309" s="199"/>
    </row>
    <row r="310" spans="30:31" x14ac:dyDescent="0.2">
      <c r="AD310" s="226"/>
      <c r="AE310" s="199"/>
    </row>
    <row r="311" spans="30:31" x14ac:dyDescent="0.2">
      <c r="AD311" s="226"/>
      <c r="AE311" s="199"/>
    </row>
    <row r="312" spans="30:31" x14ac:dyDescent="0.2">
      <c r="AD312" s="226"/>
      <c r="AE312" s="199"/>
    </row>
    <row r="313" spans="30:31" x14ac:dyDescent="0.2">
      <c r="AD313" s="226"/>
      <c r="AE313" s="199"/>
    </row>
    <row r="314" spans="30:31" x14ac:dyDescent="0.2">
      <c r="AD314" s="226"/>
      <c r="AE314" s="199"/>
    </row>
    <row r="315" spans="30:31" x14ac:dyDescent="0.2">
      <c r="AD315" s="226"/>
      <c r="AE315" s="199"/>
    </row>
    <row r="316" spans="30:31" x14ac:dyDescent="0.2">
      <c r="AD316" s="226"/>
      <c r="AE316" s="199"/>
    </row>
    <row r="317" spans="30:31" x14ac:dyDescent="0.2">
      <c r="AD317" s="226"/>
      <c r="AE317" s="199"/>
    </row>
    <row r="318" spans="30:31" x14ac:dyDescent="0.2">
      <c r="AD318" s="226"/>
      <c r="AE318" s="199"/>
    </row>
    <row r="319" spans="30:31" x14ac:dyDescent="0.2">
      <c r="AD319" s="226"/>
      <c r="AE319" s="199"/>
    </row>
    <row r="320" spans="30:31" x14ac:dyDescent="0.2">
      <c r="AD320" s="226"/>
      <c r="AE320" s="199"/>
    </row>
    <row r="321" spans="30:31" x14ac:dyDescent="0.2">
      <c r="AD321" s="226"/>
      <c r="AE321" s="199"/>
    </row>
    <row r="322" spans="30:31" x14ac:dyDescent="0.2">
      <c r="AD322" s="226"/>
      <c r="AE322" s="199"/>
    </row>
    <row r="323" spans="30:31" x14ac:dyDescent="0.2">
      <c r="AD323" s="226"/>
      <c r="AE323" s="199"/>
    </row>
    <row r="324" spans="30:31" x14ac:dyDescent="0.2">
      <c r="AD324" s="226"/>
      <c r="AE324" s="199"/>
    </row>
    <row r="325" spans="30:31" x14ac:dyDescent="0.2">
      <c r="AD325" s="226"/>
      <c r="AE325" s="199"/>
    </row>
    <row r="326" spans="30:31" x14ac:dyDescent="0.2">
      <c r="AD326" s="226"/>
      <c r="AE326" s="199"/>
    </row>
    <row r="327" spans="30:31" x14ac:dyDescent="0.2">
      <c r="AD327" s="226"/>
      <c r="AE327" s="199"/>
    </row>
    <row r="328" spans="30:31" x14ac:dyDescent="0.2">
      <c r="AD328" s="226"/>
      <c r="AE328" s="199"/>
    </row>
    <row r="329" spans="30:31" x14ac:dyDescent="0.2">
      <c r="AD329" s="226"/>
      <c r="AE329" s="199"/>
    </row>
    <row r="330" spans="30:31" x14ac:dyDescent="0.2">
      <c r="AD330" s="226"/>
      <c r="AE330" s="199"/>
    </row>
    <row r="331" spans="30:31" x14ac:dyDescent="0.2">
      <c r="AD331" s="226"/>
      <c r="AE331" s="199"/>
    </row>
    <row r="332" spans="30:31" x14ac:dyDescent="0.2">
      <c r="AD332" s="226"/>
      <c r="AE332" s="199"/>
    </row>
    <row r="333" spans="30:31" x14ac:dyDescent="0.2">
      <c r="AD333" s="226"/>
      <c r="AE333" s="199"/>
    </row>
    <row r="334" spans="30:31" x14ac:dyDescent="0.2">
      <c r="AD334" s="226"/>
      <c r="AE334" s="199"/>
    </row>
    <row r="335" spans="30:31" x14ac:dyDescent="0.2">
      <c r="AD335" s="226"/>
      <c r="AE335" s="199"/>
    </row>
    <row r="336" spans="30:31" x14ac:dyDescent="0.2">
      <c r="AD336" s="226"/>
      <c r="AE336" s="199"/>
    </row>
    <row r="337" spans="30:31" x14ac:dyDescent="0.2">
      <c r="AD337" s="226"/>
      <c r="AE337" s="199"/>
    </row>
    <row r="338" spans="30:31" x14ac:dyDescent="0.2">
      <c r="AD338" s="226"/>
      <c r="AE338" s="199"/>
    </row>
    <row r="339" spans="30:31" x14ac:dyDescent="0.2">
      <c r="AD339" s="226"/>
      <c r="AE339" s="199"/>
    </row>
    <row r="340" spans="30:31" x14ac:dyDescent="0.2">
      <c r="AD340" s="226"/>
      <c r="AE340" s="199"/>
    </row>
    <row r="341" spans="30:31" x14ac:dyDescent="0.2">
      <c r="AD341" s="226"/>
      <c r="AE341" s="199"/>
    </row>
    <row r="342" spans="30:31" x14ac:dyDescent="0.2">
      <c r="AD342" s="226"/>
      <c r="AE342" s="199"/>
    </row>
    <row r="343" spans="30:31" x14ac:dyDescent="0.2">
      <c r="AD343" s="226"/>
      <c r="AE343" s="199"/>
    </row>
    <row r="344" spans="30:31" x14ac:dyDescent="0.2">
      <c r="AD344" s="226"/>
      <c r="AE344" s="199"/>
    </row>
    <row r="345" spans="30:31" x14ac:dyDescent="0.2">
      <c r="AD345" s="226"/>
      <c r="AE345" s="199"/>
    </row>
    <row r="346" spans="30:31" x14ac:dyDescent="0.2">
      <c r="AD346" s="226"/>
      <c r="AE346" s="199"/>
    </row>
    <row r="347" spans="30:31" x14ac:dyDescent="0.2">
      <c r="AD347" s="226"/>
      <c r="AE347" s="199"/>
    </row>
    <row r="348" spans="30:31" x14ac:dyDescent="0.2">
      <c r="AD348" s="226"/>
      <c r="AE348" s="199"/>
    </row>
    <row r="349" spans="30:31" x14ac:dyDescent="0.2">
      <c r="AD349" s="226"/>
      <c r="AE349" s="199"/>
    </row>
    <row r="350" spans="30:31" x14ac:dyDescent="0.2">
      <c r="AD350" s="226"/>
      <c r="AE350" s="199"/>
    </row>
  </sheetData>
  <scenarios current="0">
    <scenario name="solve_piece2_kvalue_maxsize_of_trend" count="1" user="Michael Smit" comment="Created by Michael Smit on 12/12/2019">
      <inputCells r="D68" undone="1" val="935.697667161446" numFmtId="1"/>
    </scenario>
  </scenarios>
  <mergeCells count="1">
    <mergeCell ref="G2:H2"/>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FC403-F7A4-4582-AE54-F5F68097197A}">
  <sheetPr codeName="Sheet17"/>
  <dimension ref="A1:AG347"/>
  <sheetViews>
    <sheetView zoomScale="85" zoomScaleNormal="85" workbookViewId="0">
      <selection activeCell="G4" sqref="G4"/>
    </sheetView>
  </sheetViews>
  <sheetFormatPr defaultRowHeight="11.25" x14ac:dyDescent="0.2"/>
  <cols>
    <col min="1" max="1" width="27.7109375" style="138" customWidth="1"/>
    <col min="2" max="2" width="14.42578125" style="36" customWidth="1"/>
    <col min="3" max="3" width="6.85546875" style="36" customWidth="1"/>
    <col min="4" max="4" width="8.7109375" style="36" customWidth="1"/>
    <col min="5" max="9" width="6.85546875" style="36" customWidth="1"/>
    <col min="10" max="10" width="8.85546875" style="36" customWidth="1"/>
    <col min="11" max="12" width="6.85546875" style="36" customWidth="1"/>
    <col min="13" max="13" width="6.85546875" style="139" customWidth="1"/>
    <col min="14" max="19" width="6.85546875" style="36" customWidth="1"/>
    <col min="20" max="20" width="8.140625" style="36" customWidth="1"/>
    <col min="21" max="16384" width="9.140625" style="36"/>
  </cols>
  <sheetData>
    <row r="1" spans="1:18" x14ac:dyDescent="0.2">
      <c r="M1" s="129"/>
      <c r="N1" s="129"/>
      <c r="O1" s="129"/>
      <c r="P1" s="129"/>
      <c r="Q1" s="129"/>
      <c r="R1" s="129"/>
    </row>
    <row r="2" spans="1:18" x14ac:dyDescent="0.2">
      <c r="A2" s="327" t="s">
        <v>194</v>
      </c>
      <c r="B2" s="127"/>
      <c r="C2" s="131"/>
      <c r="D2" s="350" t="s">
        <v>305</v>
      </c>
      <c r="E2" s="131"/>
      <c r="F2" s="352"/>
      <c r="G2" s="471" t="s">
        <v>304</v>
      </c>
      <c r="H2" s="472"/>
      <c r="L2" s="129"/>
      <c r="M2" s="129"/>
      <c r="N2" s="129"/>
      <c r="O2" s="129"/>
      <c r="P2" s="129"/>
      <c r="Q2" s="129"/>
      <c r="R2" s="129"/>
    </row>
    <row r="3" spans="1:18" x14ac:dyDescent="0.2">
      <c r="A3" s="327"/>
      <c r="B3" s="143" t="s">
        <v>16</v>
      </c>
      <c r="C3" s="340" t="s">
        <v>306</v>
      </c>
      <c r="D3" s="353" t="s">
        <v>296</v>
      </c>
      <c r="E3" s="374" t="s">
        <v>297</v>
      </c>
      <c r="F3" s="375" t="s">
        <v>298</v>
      </c>
      <c r="G3" s="359" t="str">
        <f>F3</f>
        <v>cumpas</v>
      </c>
      <c r="H3" s="375" t="s">
        <v>297</v>
      </c>
      <c r="L3" s="129"/>
      <c r="M3" s="129"/>
      <c r="N3" s="129"/>
      <c r="O3" s="129"/>
      <c r="P3" s="129"/>
      <c r="Q3" s="129"/>
      <c r="R3" s="129"/>
    </row>
    <row r="4" spans="1:18" x14ac:dyDescent="0.2">
      <c r="B4" s="361" t="str">
        <f>"+"&amp;C4</f>
        <v>+1180</v>
      </c>
      <c r="C4" s="131">
        <v>1180</v>
      </c>
      <c r="D4" s="360">
        <f>data!J5</f>
        <v>10.603333333333333</v>
      </c>
      <c r="E4" s="363">
        <f t="shared" ref="E4:E15" si="0">D4/D$16</f>
        <v>3.5400101270330574E-2</v>
      </c>
      <c r="F4" s="376">
        <f>1-D4/D$16</f>
        <v>0.96459989872966945</v>
      </c>
      <c r="G4" s="362">
        <f t="shared" ref="G4:G14" si="1">IF($B28&gt;=breakpoint1,($B28/k_1)^n_1,0)+IF(AND($B28&gt;=breakpoint2,$B28&lt;breakpoint1),($B28/k_2)^n_2,0)+IF($B28&lt;breakpoint2,($B28/k_3)^n_3,0)</f>
        <v>0.96412945265050376</v>
      </c>
      <c r="H4" s="377">
        <f>1-G4</f>
        <v>3.587054734949624E-2</v>
      </c>
      <c r="I4" s="354"/>
      <c r="J4" s="354"/>
      <c r="M4" s="129"/>
      <c r="N4" s="129"/>
      <c r="O4" s="129"/>
      <c r="P4" s="129"/>
      <c r="Q4" s="129"/>
      <c r="R4" s="129"/>
    </row>
    <row r="5" spans="1:18" x14ac:dyDescent="0.2">
      <c r="B5" s="143" t="str">
        <f>C4&amp;" -"&amp;C5</f>
        <v>1180 -600</v>
      </c>
      <c r="C5" s="139">
        <v>600</v>
      </c>
      <c r="D5" s="360">
        <f>data!J6</f>
        <v>23.303333333333331</v>
      </c>
      <c r="E5" s="363">
        <f t="shared" si="0"/>
        <v>7.7800096818887457E-2</v>
      </c>
      <c r="F5" s="376">
        <f t="shared" ref="F5:F15" si="2">F4-D5/D$16</f>
        <v>0.886799801910782</v>
      </c>
      <c r="G5" s="362">
        <f t="shared" si="1"/>
        <v>0.88636729980253681</v>
      </c>
      <c r="H5" s="377">
        <f t="shared" ref="H5:H15" si="3">G4-G5</f>
        <v>7.7762152847966948E-2</v>
      </c>
      <c r="I5" s="354"/>
      <c r="J5" s="354"/>
      <c r="M5" s="129"/>
      <c r="N5" s="129"/>
      <c r="O5" s="129"/>
      <c r="P5" s="129"/>
      <c r="Q5" s="129"/>
      <c r="R5" s="129"/>
    </row>
    <row r="6" spans="1:18" x14ac:dyDescent="0.2">
      <c r="B6" s="143" t="str">
        <f t="shared" ref="B6:B15" si="4">C5&amp;" -"&amp;C6</f>
        <v>600 -425</v>
      </c>
      <c r="C6" s="139">
        <v>425</v>
      </c>
      <c r="D6" s="360">
        <f>data!J7</f>
        <v>21.433333333333337</v>
      </c>
      <c r="E6" s="363">
        <f t="shared" si="0"/>
        <v>7.1556947868036971E-2</v>
      </c>
      <c r="F6" s="376">
        <f t="shared" si="2"/>
        <v>0.81524285404274499</v>
      </c>
      <c r="G6" s="362">
        <f t="shared" si="1"/>
        <v>0.81429474113530276</v>
      </c>
      <c r="H6" s="377">
        <f t="shared" si="3"/>
        <v>7.2072558667234055E-2</v>
      </c>
      <c r="I6" s="354"/>
      <c r="J6" s="354"/>
      <c r="M6" s="129"/>
      <c r="N6" s="129"/>
      <c r="O6" s="129"/>
      <c r="P6" s="129"/>
      <c r="Q6" s="129"/>
      <c r="R6" s="129"/>
    </row>
    <row r="7" spans="1:18" x14ac:dyDescent="0.2">
      <c r="B7" s="143" t="str">
        <f t="shared" si="4"/>
        <v>425 -300</v>
      </c>
      <c r="C7" s="129">
        <v>300</v>
      </c>
      <c r="D7" s="360">
        <f>data!J8</f>
        <v>35.303333333333335</v>
      </c>
      <c r="E7" s="363">
        <f t="shared" si="0"/>
        <v>0.11786308473878375</v>
      </c>
      <c r="F7" s="376">
        <f t="shared" si="2"/>
        <v>0.69737976930396128</v>
      </c>
      <c r="G7" s="362">
        <f t="shared" si="1"/>
        <v>0.69591589104170759</v>
      </c>
      <c r="H7" s="377">
        <f t="shared" si="3"/>
        <v>0.11837885009359517</v>
      </c>
      <c r="I7" s="354"/>
      <c r="J7" s="354"/>
      <c r="M7" s="129"/>
      <c r="N7" s="129"/>
      <c r="O7" s="129"/>
      <c r="P7" s="129"/>
      <c r="Q7" s="129"/>
      <c r="R7" s="129"/>
    </row>
    <row r="8" spans="1:18" x14ac:dyDescent="0.2">
      <c r="B8" s="143" t="str">
        <f t="shared" si="4"/>
        <v>300 -212</v>
      </c>
      <c r="C8" s="129">
        <v>212</v>
      </c>
      <c r="D8" s="360">
        <f>data!J9</f>
        <v>37.611666666666672</v>
      </c>
      <c r="E8" s="363">
        <f t="shared" si="0"/>
        <v>0.12556964560948602</v>
      </c>
      <c r="F8" s="376">
        <f t="shared" si="2"/>
        <v>0.57181012369447526</v>
      </c>
      <c r="G8" s="362">
        <f t="shared" si="1"/>
        <v>0.57950570902635212</v>
      </c>
      <c r="H8" s="377">
        <f t="shared" si="3"/>
        <v>0.11641018201535547</v>
      </c>
      <c r="I8" s="354"/>
      <c r="J8" s="354"/>
      <c r="M8" s="129"/>
      <c r="N8" s="129"/>
      <c r="O8" s="129"/>
      <c r="P8" s="129"/>
      <c r="Q8" s="129"/>
      <c r="R8" s="129"/>
    </row>
    <row r="9" spans="1:18" x14ac:dyDescent="0.2">
      <c r="B9" s="143" t="str">
        <f t="shared" si="4"/>
        <v>212 -180</v>
      </c>
      <c r="C9" s="129">
        <v>180</v>
      </c>
      <c r="D9" s="360">
        <f>data!J10</f>
        <v>12.778333333333334</v>
      </c>
      <c r="E9" s="363">
        <f t="shared" si="0"/>
        <v>4.2661517830811777E-2</v>
      </c>
      <c r="F9" s="376">
        <f t="shared" si="2"/>
        <v>0.52914860586366352</v>
      </c>
      <c r="G9" s="362">
        <f t="shared" si="1"/>
        <v>0.53160710026902047</v>
      </c>
      <c r="H9" s="377">
        <f t="shared" si="3"/>
        <v>4.7898608757331651E-2</v>
      </c>
      <c r="I9" s="354"/>
      <c r="J9" s="354"/>
      <c r="M9" s="129"/>
      <c r="N9" s="129"/>
      <c r="O9" s="129"/>
      <c r="P9" s="129"/>
      <c r="Q9" s="129"/>
      <c r="R9" s="129"/>
    </row>
    <row r="10" spans="1:18" x14ac:dyDescent="0.2">
      <c r="B10" s="143" t="str">
        <f t="shared" si="4"/>
        <v>180 -150</v>
      </c>
      <c r="C10" s="129">
        <v>150</v>
      </c>
      <c r="D10" s="360">
        <f>data!J11</f>
        <v>15.020000000000001</v>
      </c>
      <c r="E10" s="363">
        <f t="shared" si="0"/>
        <v>5.0145506546403512E-2</v>
      </c>
      <c r="F10" s="376">
        <f t="shared" si="2"/>
        <v>0.47900309931726004</v>
      </c>
      <c r="G10" s="362">
        <f t="shared" si="1"/>
        <v>0.48288510266694579</v>
      </c>
      <c r="H10" s="377">
        <f t="shared" si="3"/>
        <v>4.8721997602074685E-2</v>
      </c>
      <c r="I10" s="354"/>
      <c r="J10" s="354"/>
      <c r="M10" s="129"/>
      <c r="N10" s="129"/>
      <c r="O10" s="129"/>
      <c r="P10" s="129"/>
      <c r="Q10" s="129"/>
      <c r="R10" s="129"/>
    </row>
    <row r="11" spans="1:18" x14ac:dyDescent="0.2">
      <c r="B11" s="143" t="str">
        <f t="shared" si="4"/>
        <v>150 -106</v>
      </c>
      <c r="C11" s="129">
        <v>106</v>
      </c>
      <c r="D11" s="360">
        <f>data!J12</f>
        <v>24.594999999999999</v>
      </c>
      <c r="E11" s="363">
        <f t="shared" si="0"/>
        <v>8.2112432324154078E-2</v>
      </c>
      <c r="F11" s="376">
        <f t="shared" si="2"/>
        <v>0.39689066699310593</v>
      </c>
      <c r="G11" s="362">
        <f t="shared" si="1"/>
        <v>0.40210990638594324</v>
      </c>
      <c r="H11" s="377">
        <f t="shared" si="3"/>
        <v>8.0775196281002548E-2</v>
      </c>
      <c r="I11" s="354"/>
      <c r="J11" s="354"/>
      <c r="M11" s="129"/>
      <c r="N11" s="129"/>
      <c r="O11" s="129"/>
      <c r="P11" s="129"/>
      <c r="Q11" s="129"/>
      <c r="R11" s="129"/>
    </row>
    <row r="12" spans="1:18" x14ac:dyDescent="0.2">
      <c r="B12" s="143" t="str">
        <f t="shared" si="4"/>
        <v>106 -75</v>
      </c>
      <c r="C12" s="139">
        <v>75</v>
      </c>
      <c r="D12" s="360">
        <f>data!J13</f>
        <v>18.613333333333333</v>
      </c>
      <c r="E12" s="363">
        <f t="shared" si="0"/>
        <v>6.2142145706861336E-2</v>
      </c>
      <c r="F12" s="376">
        <f t="shared" si="2"/>
        <v>0.3347485212862446</v>
      </c>
      <c r="G12" s="362">
        <f t="shared" si="1"/>
        <v>0.33506638572173658</v>
      </c>
      <c r="H12" s="377">
        <f t="shared" si="3"/>
        <v>6.7043520664206657E-2</v>
      </c>
      <c r="I12" s="354"/>
      <c r="J12" s="354"/>
      <c r="M12" s="129"/>
      <c r="N12" s="129"/>
      <c r="O12" s="129"/>
      <c r="P12" s="129"/>
      <c r="Q12" s="129"/>
      <c r="R12" s="129"/>
    </row>
    <row r="13" spans="1:18" x14ac:dyDescent="0.2">
      <c r="B13" s="143" t="str">
        <f t="shared" si="4"/>
        <v>75 -53</v>
      </c>
      <c r="C13" s="139">
        <v>53</v>
      </c>
      <c r="D13" s="360">
        <f>data!J14</f>
        <v>19.510000000000002</v>
      </c>
      <c r="E13" s="363">
        <f t="shared" si="0"/>
        <v>6.5135741193098035E-2</v>
      </c>
      <c r="F13" s="376">
        <f t="shared" si="2"/>
        <v>0.2696127800931466</v>
      </c>
      <c r="G13" s="362">
        <f t="shared" si="1"/>
        <v>0.27901774615020974</v>
      </c>
      <c r="H13" s="377">
        <f t="shared" si="3"/>
        <v>5.6048639571526837E-2</v>
      </c>
      <c r="I13" s="354"/>
      <c r="J13" s="354"/>
      <c r="M13" s="129"/>
      <c r="N13" s="129"/>
      <c r="O13" s="129"/>
      <c r="P13" s="129"/>
      <c r="Q13" s="129"/>
      <c r="R13" s="129"/>
    </row>
    <row r="14" spans="1:18" x14ac:dyDescent="0.2">
      <c r="B14" s="143" t="str">
        <f t="shared" si="4"/>
        <v>53 -38</v>
      </c>
      <c r="C14" s="139">
        <v>38</v>
      </c>
      <c r="D14" s="360">
        <f>data!J15</f>
        <v>12.386666666666668</v>
      </c>
      <c r="E14" s="363">
        <f t="shared" si="0"/>
        <v>4.1353906419537387E-2</v>
      </c>
      <c r="F14" s="376">
        <f t="shared" si="2"/>
        <v>0.2282588736736092</v>
      </c>
      <c r="G14" s="362">
        <f t="shared" si="1"/>
        <v>0.23412658601107622</v>
      </c>
      <c r="H14" s="377">
        <f t="shared" si="3"/>
        <v>4.4891160139133524E-2</v>
      </c>
      <c r="I14" s="354"/>
      <c r="J14" s="354"/>
      <c r="M14" s="129"/>
      <c r="N14" s="129"/>
      <c r="O14" s="129"/>
      <c r="P14" s="129"/>
      <c r="Q14" s="129"/>
      <c r="R14" s="129"/>
    </row>
    <row r="15" spans="1:18" x14ac:dyDescent="0.2">
      <c r="B15" s="144" t="str">
        <f t="shared" si="4"/>
        <v>38 -0</v>
      </c>
      <c r="C15" s="132">
        <v>0</v>
      </c>
      <c r="D15" s="353">
        <f>data!J16</f>
        <v>68.36999999999999</v>
      </c>
      <c r="E15" s="367">
        <f t="shared" si="0"/>
        <v>0.228258873673609</v>
      </c>
      <c r="F15" s="378">
        <f t="shared" si="2"/>
        <v>0</v>
      </c>
      <c r="G15" s="364"/>
      <c r="H15" s="379">
        <f t="shared" si="3"/>
        <v>0.23412658601107622</v>
      </c>
      <c r="I15" s="354"/>
      <c r="J15" s="354"/>
      <c r="M15" s="129"/>
      <c r="N15" s="129"/>
      <c r="O15" s="129"/>
      <c r="P15" s="129"/>
      <c r="Q15" s="129"/>
      <c r="R15" s="129"/>
    </row>
    <row r="16" spans="1:18" x14ac:dyDescent="0.2">
      <c r="C16" s="36" t="s">
        <v>77</v>
      </c>
      <c r="D16" s="160">
        <f>data!J17</f>
        <v>299.52833333333336</v>
      </c>
    </row>
    <row r="18" spans="1:13" x14ac:dyDescent="0.2">
      <c r="A18" s="327" t="s">
        <v>303</v>
      </c>
    </row>
    <row r="19" spans="1:13" x14ac:dyDescent="0.2">
      <c r="A19" s="324" t="s">
        <v>316</v>
      </c>
      <c r="D19" s="160"/>
      <c r="E19" s="160"/>
      <c r="G19" s="160"/>
      <c r="J19" s="160"/>
    </row>
    <row r="20" spans="1:13" ht="15" x14ac:dyDescent="0.25">
      <c r="B20" s="385"/>
      <c r="C20" s="383"/>
      <c r="D20" s="129"/>
      <c r="E20" s="384"/>
      <c r="F20" s="129"/>
      <c r="G20" s="164"/>
      <c r="H20"/>
      <c r="K20" s="164"/>
      <c r="L20" s="164"/>
    </row>
    <row r="21" spans="1:13" ht="12.75" x14ac:dyDescent="0.2">
      <c r="B21" s="386"/>
      <c r="C21" s="383"/>
      <c r="D21" s="129"/>
      <c r="E21" s="384"/>
      <c r="F21" s="129"/>
      <c r="G21" s="164"/>
      <c r="K21" s="164"/>
      <c r="L21" s="164"/>
    </row>
    <row r="22" spans="1:13" ht="12.75" x14ac:dyDescent="0.2">
      <c r="B22" s="385"/>
      <c r="C22" s="383"/>
      <c r="D22" s="129"/>
      <c r="E22" s="129"/>
      <c r="F22" s="129"/>
    </row>
    <row r="23" spans="1:13" x14ac:dyDescent="0.2">
      <c r="C23" s="160"/>
      <c r="D23" s="160"/>
      <c r="E23" s="160"/>
      <c r="F23" s="160"/>
      <c r="G23" s="160"/>
      <c r="I23" s="160"/>
      <c r="J23" s="185"/>
    </row>
    <row r="24" spans="1:13" x14ac:dyDescent="0.2">
      <c r="C24" s="324" t="s">
        <v>311</v>
      </c>
      <c r="D24" s="324" t="s">
        <v>312</v>
      </c>
      <c r="E24" s="324" t="s">
        <v>313</v>
      </c>
      <c r="G24" s="369" t="s">
        <v>310</v>
      </c>
      <c r="H24" s="369"/>
      <c r="I24" s="160"/>
      <c r="J24" s="185"/>
    </row>
    <row r="25" spans="1:13" x14ac:dyDescent="0.2">
      <c r="B25" s="324" t="s">
        <v>308</v>
      </c>
      <c r="C25" s="285" t="s">
        <v>263</v>
      </c>
      <c r="D25" s="285" t="s">
        <v>262</v>
      </c>
      <c r="E25" s="285" t="s">
        <v>264</v>
      </c>
      <c r="G25" s="324" t="s">
        <v>298</v>
      </c>
      <c r="H25" s="337" t="s">
        <v>307</v>
      </c>
      <c r="J25" s="185"/>
    </row>
    <row r="26" spans="1:13" x14ac:dyDescent="0.2">
      <c r="A26" s="141" t="s">
        <v>91</v>
      </c>
      <c r="B26" s="350" t="s">
        <v>299</v>
      </c>
      <c r="C26" s="319">
        <f>(LOG(F$4)-LOG(F$5))/(LOG($B$28)-LOG(breakpoint1))</f>
        <v>0.12433707978529741</v>
      </c>
      <c r="D26" s="181">
        <f>(LOG(F$5)-LOG(F$6))/(LOG(breakpoint1)-LOG(breakpoint2))</f>
        <v>0.24397716752317</v>
      </c>
      <c r="E26" s="284">
        <f>(LOG(F6)-LOG(F14))/(LOG($C$6)-LOG($C$14))</f>
        <v>0.52723299524264688</v>
      </c>
      <c r="G26" s="370">
        <f t="shared" ref="G26:G36" si="5">(G4-F4)^2</f>
        <v>2.2131951340236808E-7</v>
      </c>
      <c r="H26" s="370">
        <f t="shared" ref="H26:H37" si="6">(H4-E4)^2</f>
        <v>2.2131951340234849E-7</v>
      </c>
    </row>
    <row r="27" spans="1:13" x14ac:dyDescent="0.2">
      <c r="B27" s="355" t="s">
        <v>300</v>
      </c>
      <c r="C27" s="321">
        <v>1582.9816594516128</v>
      </c>
      <c r="D27" s="182">
        <v>986.44347923903115</v>
      </c>
      <c r="E27" s="272">
        <v>596.68211084309212</v>
      </c>
      <c r="G27" s="371">
        <f t="shared" si="5"/>
        <v>1.8705807363653566E-7</v>
      </c>
      <c r="H27" s="371">
        <f t="shared" si="6"/>
        <v>1.4397449292164534E-9</v>
      </c>
    </row>
    <row r="28" spans="1:13" x14ac:dyDescent="0.2">
      <c r="A28" s="286" t="s">
        <v>265</v>
      </c>
      <c r="B28" s="137">
        <v>1180</v>
      </c>
      <c r="C28" s="348">
        <f t="shared" ref="C28:E38" si="7">($B28/C$27)^C$26</f>
        <v>0.96412945265050376</v>
      </c>
      <c r="D28" s="348">
        <f t="shared" si="7"/>
        <v>1.0446812856506169</v>
      </c>
      <c r="E28" s="356">
        <f t="shared" si="7"/>
        <v>1.4326306774762039</v>
      </c>
      <c r="G28" s="371">
        <f t="shared" si="5"/>
        <v>8.9891808525856511E-7</v>
      </c>
      <c r="H28" s="371">
        <f t="shared" si="6"/>
        <v>2.6585449624865485E-7</v>
      </c>
    </row>
    <row r="29" spans="1:13" x14ac:dyDescent="0.2">
      <c r="A29" s="381" t="s">
        <v>317</v>
      </c>
      <c r="B29" s="357">
        <v>600</v>
      </c>
      <c r="C29" s="348">
        <f t="shared" si="7"/>
        <v>0.88636729980253681</v>
      </c>
      <c r="D29" s="348">
        <f t="shared" si="7"/>
        <v>0.88576846954848132</v>
      </c>
      <c r="E29" s="356">
        <f t="shared" si="7"/>
        <v>1.0029278698589366</v>
      </c>
      <c r="G29" s="371">
        <f t="shared" si="5"/>
        <v>2.1429395666988911E-6</v>
      </c>
      <c r="H29" s="371">
        <f t="shared" si="6"/>
        <v>2.6601390122374762E-7</v>
      </c>
    </row>
    <row r="30" spans="1:13" x14ac:dyDescent="0.2">
      <c r="A30" s="381" t="s">
        <v>318</v>
      </c>
      <c r="B30" s="357">
        <v>425</v>
      </c>
      <c r="C30" s="348">
        <f t="shared" si="7"/>
        <v>0.84916623258085289</v>
      </c>
      <c r="D30" s="348">
        <f t="shared" si="7"/>
        <v>0.81429474113530276</v>
      </c>
      <c r="E30" s="356">
        <f t="shared" si="7"/>
        <v>0.83619980732876975</v>
      </c>
      <c r="G30" s="371">
        <f t="shared" si="5"/>
        <v>5.9222033600198344E-5</v>
      </c>
      <c r="H30" s="371">
        <f t="shared" si="6"/>
        <v>8.3895773332203052E-5</v>
      </c>
    </row>
    <row r="31" spans="1:13" x14ac:dyDescent="0.2">
      <c r="A31" s="368"/>
      <c r="B31" s="137">
        <v>300</v>
      </c>
      <c r="C31" s="348">
        <f t="shared" si="7"/>
        <v>0.81317596724490537</v>
      </c>
      <c r="D31" s="348">
        <f t="shared" si="7"/>
        <v>0.74795551898877544</v>
      </c>
      <c r="E31" s="356">
        <f t="shared" si="7"/>
        <v>0.69591589104170759</v>
      </c>
      <c r="G31" s="371">
        <f t="shared" si="5"/>
        <v>6.0441947411714132E-6</v>
      </c>
      <c r="H31" s="371">
        <f t="shared" si="6"/>
        <v>2.7427121372636798E-5</v>
      </c>
    </row>
    <row r="32" spans="1:13" x14ac:dyDescent="0.2">
      <c r="B32" s="137">
        <v>212</v>
      </c>
      <c r="C32" s="348">
        <f t="shared" si="7"/>
        <v>0.77881860800243619</v>
      </c>
      <c r="D32" s="348">
        <f t="shared" si="7"/>
        <v>0.68720700500665355</v>
      </c>
      <c r="E32" s="356">
        <f t="shared" si="7"/>
        <v>0.57950570902635212</v>
      </c>
      <c r="G32" s="371">
        <f t="shared" si="5"/>
        <v>1.5069950006971364E-5</v>
      </c>
      <c r="H32" s="371">
        <f t="shared" si="6"/>
        <v>2.0263777145841724E-6</v>
      </c>
      <c r="M32" s="323"/>
    </row>
    <row r="33" spans="1:20" x14ac:dyDescent="0.2">
      <c r="B33" s="137">
        <v>180</v>
      </c>
      <c r="C33" s="348">
        <f t="shared" si="7"/>
        <v>0.76313348355497479</v>
      </c>
      <c r="D33" s="348">
        <f t="shared" si="7"/>
        <v>0.66031283875272373</v>
      </c>
      <c r="E33" s="356">
        <f t="shared" si="7"/>
        <v>0.53160710026902047</v>
      </c>
      <c r="G33" s="371">
        <f t="shared" si="5"/>
        <v>2.7240459839744719E-5</v>
      </c>
      <c r="H33" s="371">
        <f t="shared" si="6"/>
        <v>1.7882002351035595E-6</v>
      </c>
      <c r="M33" s="322"/>
      <c r="N33" s="162"/>
      <c r="O33" s="162"/>
      <c r="P33" s="162"/>
      <c r="Q33" s="162"/>
      <c r="R33" s="162"/>
    </row>
    <row r="34" spans="1:20" x14ac:dyDescent="0.2">
      <c r="B34" s="137">
        <v>150</v>
      </c>
      <c r="C34" s="348">
        <f t="shared" si="7"/>
        <v>0.74602837204396022</v>
      </c>
      <c r="D34" s="348">
        <f t="shared" si="7"/>
        <v>0.63158429953026052</v>
      </c>
      <c r="E34" s="356">
        <f t="shared" si="7"/>
        <v>0.48288510266694579</v>
      </c>
      <c r="G34" s="371">
        <f t="shared" si="5"/>
        <v>1.0103779935063311E-7</v>
      </c>
      <c r="H34" s="371">
        <f t="shared" si="6"/>
        <v>2.4023476472491846E-5</v>
      </c>
      <c r="M34" s="322"/>
      <c r="N34" s="162"/>
      <c r="O34" s="162"/>
      <c r="P34" s="162"/>
      <c r="Q34" s="162"/>
      <c r="R34" s="162"/>
    </row>
    <row r="35" spans="1:20" x14ac:dyDescent="0.2">
      <c r="B35" s="137">
        <v>106</v>
      </c>
      <c r="C35" s="348">
        <f t="shared" si="7"/>
        <v>0.71450805440566323</v>
      </c>
      <c r="D35" s="348">
        <f t="shared" si="7"/>
        <v>0.5802873885818991</v>
      </c>
      <c r="E35" s="356">
        <f t="shared" si="7"/>
        <v>0.40210990638594324</v>
      </c>
      <c r="G35" s="371">
        <f t="shared" si="5"/>
        <v>8.8453386534509913E-5</v>
      </c>
      <c r="H35" s="371">
        <f t="shared" si="6"/>
        <v>8.2575415880761891E-5</v>
      </c>
      <c r="M35" s="322"/>
      <c r="N35" s="162"/>
      <c r="O35" s="162"/>
      <c r="P35" s="162"/>
      <c r="Q35" s="162"/>
      <c r="R35" s="162"/>
    </row>
    <row r="36" spans="1:20" x14ac:dyDescent="0.2">
      <c r="B36" s="137">
        <v>75</v>
      </c>
      <c r="C36" s="348">
        <f t="shared" si="7"/>
        <v>0.68442545563688806</v>
      </c>
      <c r="D36" s="348">
        <f t="shared" si="7"/>
        <v>0.53331878338491956</v>
      </c>
      <c r="E36" s="356">
        <f t="shared" si="7"/>
        <v>0.33506638572173658</v>
      </c>
      <c r="G36" s="371">
        <f t="shared" si="5"/>
        <v>3.4430048075262725E-5</v>
      </c>
      <c r="H36" s="371">
        <f t="shared" si="6"/>
        <v>1.2512163876796705E-5</v>
      </c>
      <c r="M36" s="322"/>
      <c r="N36" s="162"/>
      <c r="O36" s="162"/>
      <c r="P36" s="162"/>
      <c r="Q36" s="162"/>
      <c r="R36" s="162"/>
    </row>
    <row r="37" spans="1:20" x14ac:dyDescent="0.2">
      <c r="B37" s="137">
        <v>53</v>
      </c>
      <c r="C37" s="348">
        <f t="shared" si="7"/>
        <v>0.65550791232375039</v>
      </c>
      <c r="D37" s="348">
        <f t="shared" si="7"/>
        <v>0.4900029407353606</v>
      </c>
      <c r="E37" s="356">
        <f t="shared" si="7"/>
        <v>0.27901774615020974</v>
      </c>
      <c r="G37" s="371"/>
      <c r="H37" s="371">
        <f t="shared" si="6"/>
        <v>3.4430048075265002E-5</v>
      </c>
      <c r="M37" s="322"/>
      <c r="N37" s="162"/>
      <c r="O37" s="162"/>
      <c r="P37" s="162"/>
      <c r="Q37" s="162"/>
      <c r="R37" s="162"/>
    </row>
    <row r="38" spans="1:20" x14ac:dyDescent="0.2">
      <c r="B38" s="128">
        <v>38</v>
      </c>
      <c r="C38" s="349">
        <f t="shared" si="7"/>
        <v>0.6289443078124668</v>
      </c>
      <c r="D38" s="349">
        <f t="shared" si="7"/>
        <v>0.45179963002855555</v>
      </c>
      <c r="E38" s="358">
        <f t="shared" si="7"/>
        <v>0.23412658601107622</v>
      </c>
      <c r="G38" s="372"/>
      <c r="H38" s="372"/>
      <c r="M38" s="322"/>
      <c r="N38" s="162"/>
      <c r="O38" s="162"/>
      <c r="P38" s="162"/>
      <c r="Q38" s="162"/>
      <c r="R38" s="162"/>
    </row>
    <row r="39" spans="1:20" x14ac:dyDescent="0.2">
      <c r="B39" s="324" t="s">
        <v>314</v>
      </c>
      <c r="D39" s="161"/>
      <c r="E39" s="161"/>
      <c r="G39" s="373">
        <f>SUM(G26:G36)</f>
        <v>2.3401134583620546E-4</v>
      </c>
      <c r="H39" s="373">
        <f>SUM(H26:H37)</f>
        <v>2.6943320461564704E-4</v>
      </c>
      <c r="M39" s="322"/>
      <c r="N39" s="162"/>
      <c r="O39" s="162"/>
      <c r="P39" s="162"/>
      <c r="Q39" s="162"/>
      <c r="R39" s="162"/>
    </row>
    <row r="40" spans="1:20" x14ac:dyDescent="0.2">
      <c r="A40" s="208" t="s">
        <v>108</v>
      </c>
      <c r="B40" s="340" t="s">
        <v>214</v>
      </c>
      <c r="C40" s="200"/>
      <c r="D40" s="139"/>
      <c r="E40" s="139"/>
      <c r="F40" s="139"/>
      <c r="G40" s="365">
        <f>G39/COUNT(G26:G36)</f>
        <v>2.1273758712382316E-5</v>
      </c>
      <c r="H40" s="365">
        <f>H39/COUNT(H26:H37)</f>
        <v>2.2452767051303921E-5</v>
      </c>
      <c r="I40" s="139"/>
      <c r="J40" s="175"/>
      <c r="K40" s="139"/>
      <c r="M40" s="322"/>
      <c r="N40" s="162"/>
      <c r="O40" s="162"/>
      <c r="P40" s="162"/>
      <c r="Q40" s="162"/>
      <c r="R40" s="162"/>
    </row>
    <row r="41" spans="1:20" x14ac:dyDescent="0.2">
      <c r="A41" s="208" t="s">
        <v>109</v>
      </c>
      <c r="B41" s="173" t="s">
        <v>46</v>
      </c>
      <c r="G41" s="366">
        <f>SQRT(G40)</f>
        <v>4.6123485029193447E-3</v>
      </c>
      <c r="H41" s="366">
        <f>SQRT(H40)</f>
        <v>4.7384350846354246E-3</v>
      </c>
      <c r="I41" s="139"/>
      <c r="M41" s="322"/>
      <c r="N41" s="162"/>
      <c r="O41" s="162"/>
      <c r="P41" s="162"/>
      <c r="Q41" s="162"/>
      <c r="R41" s="162"/>
    </row>
    <row r="42" spans="1:20" ht="12.75" x14ac:dyDescent="0.2">
      <c r="A42" s="327" t="s">
        <v>167</v>
      </c>
      <c r="B42" s="324" t="s">
        <v>315</v>
      </c>
      <c r="D42" s="341"/>
      <c r="E42" s="341"/>
      <c r="F42" s="341"/>
      <c r="G42" s="346">
        <f>RSQ(G4:G14,F4:F14)</f>
        <v>0.99988313198351941</v>
      </c>
      <c r="H42" s="346">
        <f>RSQ(H4:H15,E4:E15)</f>
        <v>0.99172863993572258</v>
      </c>
      <c r="I42" s="347"/>
      <c r="N42" s="160"/>
      <c r="O42" s="160"/>
      <c r="P42" s="160"/>
      <c r="Q42" s="160"/>
      <c r="R42" s="160"/>
      <c r="S42" s="160"/>
      <c r="T42" s="184"/>
    </row>
    <row r="43" spans="1:20" ht="12.75" x14ac:dyDescent="0.2">
      <c r="A43" s="387" t="s">
        <v>333</v>
      </c>
      <c r="D43" s="339"/>
      <c r="E43" s="339"/>
      <c r="F43" s="339"/>
      <c r="G43" s="366">
        <f>1-(1-G42)*((COUNT(G26:G36)/((COUNT(G26:G36)-(COUNT(C26:E27)+1)))))</f>
        <v>0.99967861295467841</v>
      </c>
      <c r="H43" s="366">
        <f>1-(1-H42)*((COUNT(H26:H37)/((COUNT(H26:H37)-(COUNT(D26:F27)+1)))))</f>
        <v>0.98582052560409583</v>
      </c>
      <c r="N43" s="160"/>
      <c r="O43" s="160"/>
      <c r="P43" s="160"/>
      <c r="Q43" s="160"/>
      <c r="R43" s="160"/>
      <c r="S43" s="160"/>
      <c r="T43" s="184"/>
    </row>
    <row r="44" spans="1:20" x14ac:dyDescent="0.2">
      <c r="E44" s="193"/>
      <c r="N44" s="160"/>
      <c r="O44" s="160"/>
      <c r="P44" s="160"/>
      <c r="Q44" s="160"/>
      <c r="R44" s="160"/>
      <c r="S44" s="160"/>
      <c r="T44" s="184"/>
    </row>
    <row r="45" spans="1:20" x14ac:dyDescent="0.2">
      <c r="B45" s="161"/>
      <c r="C45" s="161"/>
      <c r="D45" s="167"/>
      <c r="E45" s="167"/>
      <c r="F45" s="167"/>
      <c r="G45" s="167"/>
      <c r="H45" s="167"/>
      <c r="I45" s="167"/>
      <c r="J45" s="139"/>
      <c r="N45" s="160"/>
      <c r="O45" s="160"/>
      <c r="P45" s="160"/>
      <c r="Q45" s="160"/>
      <c r="R45" s="160"/>
      <c r="S45" s="160"/>
      <c r="T45" s="184"/>
    </row>
    <row r="46" spans="1:20" x14ac:dyDescent="0.2">
      <c r="N46" s="160"/>
      <c r="O46" s="160"/>
      <c r="P46" s="160"/>
      <c r="Q46" s="160"/>
      <c r="R46" s="160"/>
      <c r="S46" s="160"/>
      <c r="T46" s="184"/>
    </row>
    <row r="47" spans="1:20" ht="12.75" x14ac:dyDescent="0.2">
      <c r="A47" s="138" t="s">
        <v>209</v>
      </c>
      <c r="B47" s="380" t="s">
        <v>84</v>
      </c>
      <c r="C47" s="129"/>
      <c r="D47" s="351" t="s">
        <v>309</v>
      </c>
      <c r="E47" s="129"/>
      <c r="F47" s="129"/>
      <c r="G47" s="129"/>
      <c r="H47" s="129"/>
      <c r="I47" s="129"/>
      <c r="N47" s="160"/>
      <c r="O47" s="160"/>
      <c r="P47" s="160"/>
      <c r="Q47" s="160"/>
      <c r="R47" s="160"/>
      <c r="S47" s="160"/>
      <c r="T47" s="184"/>
    </row>
    <row r="48" spans="1:20" x14ac:dyDescent="0.2">
      <c r="C48" s="130">
        <v>1</v>
      </c>
      <c r="D48" s="193">
        <f t="shared" ref="D48:D60" si="8">IF($C48&gt;=G$5,C$27*$C48^(1/C$26),IF(AND($C48&gt;=G$6,$C48&lt;G$5),D$27*$C48^(1/D$26),E$27*$C48^(1/E$26)))</f>
        <v>1582.9816594516128</v>
      </c>
      <c r="E48" s="193"/>
      <c r="F48" s="193"/>
      <c r="G48" s="193"/>
      <c r="H48" s="193"/>
      <c r="I48" s="193"/>
      <c r="N48" s="160"/>
      <c r="O48" s="160"/>
      <c r="P48" s="160"/>
      <c r="Q48" s="160"/>
      <c r="R48" s="160"/>
      <c r="S48" s="160"/>
      <c r="T48" s="184"/>
    </row>
    <row r="49" spans="1:20" x14ac:dyDescent="0.2">
      <c r="A49" s="138" t="s">
        <v>80</v>
      </c>
      <c r="C49" s="130">
        <v>0.95</v>
      </c>
      <c r="D49" s="193">
        <f t="shared" si="8"/>
        <v>1047.8872789366051</v>
      </c>
      <c r="E49" s="193"/>
      <c r="F49" s="193"/>
      <c r="G49" s="193"/>
      <c r="H49" s="193"/>
      <c r="I49" s="193"/>
      <c r="N49" s="160"/>
      <c r="O49" s="160"/>
      <c r="P49" s="160"/>
      <c r="Q49" s="160"/>
      <c r="R49" s="160"/>
      <c r="S49" s="160"/>
      <c r="T49" s="184"/>
    </row>
    <row r="50" spans="1:20" x14ac:dyDescent="0.2">
      <c r="C50" s="130">
        <v>0.9</v>
      </c>
      <c r="D50" s="193">
        <f t="shared" si="8"/>
        <v>678.36629227604908</v>
      </c>
      <c r="E50" s="193"/>
      <c r="F50" s="193"/>
      <c r="G50" s="193"/>
      <c r="H50" s="193"/>
      <c r="I50" s="193"/>
      <c r="M50" s="340" t="s">
        <v>301</v>
      </c>
      <c r="N50" s="160"/>
      <c r="O50" s="160"/>
      <c r="P50" s="160"/>
      <c r="Q50" s="160"/>
      <c r="R50" s="160"/>
      <c r="S50" s="160"/>
      <c r="T50" s="184"/>
    </row>
    <row r="51" spans="1:20" x14ac:dyDescent="0.2">
      <c r="C51" s="130">
        <v>0.84</v>
      </c>
      <c r="D51" s="193">
        <f t="shared" si="8"/>
        <v>482.73898096926865</v>
      </c>
      <c r="E51" s="193"/>
      <c r="F51" s="193"/>
      <c r="G51" s="193"/>
      <c r="H51" s="193"/>
      <c r="I51" s="193"/>
      <c r="M51" s="340" t="s">
        <v>302</v>
      </c>
      <c r="N51" s="160"/>
      <c r="O51" s="160"/>
      <c r="P51" s="160"/>
      <c r="Q51" s="160"/>
      <c r="R51" s="160"/>
      <c r="S51" s="160"/>
      <c r="T51" s="184"/>
    </row>
    <row r="52" spans="1:20" x14ac:dyDescent="0.2">
      <c r="C52" s="130">
        <v>0.8</v>
      </c>
      <c r="D52" s="193">
        <f t="shared" si="8"/>
        <v>390.78178694895587</v>
      </c>
      <c r="E52" s="193"/>
      <c r="F52" s="193"/>
      <c r="G52" s="193"/>
      <c r="H52" s="193"/>
      <c r="I52" s="193"/>
      <c r="N52" s="160"/>
      <c r="O52" s="160"/>
      <c r="P52" s="160"/>
      <c r="Q52" s="160"/>
      <c r="R52" s="160"/>
      <c r="S52" s="160"/>
      <c r="T52" s="184"/>
    </row>
    <row r="53" spans="1:20" x14ac:dyDescent="0.2">
      <c r="A53" s="36"/>
      <c r="B53" s="138" t="s">
        <v>156</v>
      </c>
      <c r="C53" s="130">
        <v>0.75</v>
      </c>
      <c r="D53" s="193">
        <f t="shared" si="8"/>
        <v>345.75811706552366</v>
      </c>
      <c r="E53" s="193"/>
      <c r="F53" s="193"/>
      <c r="G53" s="193"/>
      <c r="H53" s="193"/>
      <c r="I53" s="193"/>
      <c r="N53" s="160"/>
      <c r="O53" s="160"/>
      <c r="P53" s="160"/>
      <c r="Q53" s="160"/>
      <c r="R53" s="160"/>
      <c r="S53" s="160"/>
      <c r="T53" s="184"/>
    </row>
    <row r="54" spans="1:20" x14ac:dyDescent="0.2">
      <c r="A54" s="36"/>
      <c r="B54" s="138" t="s">
        <v>47</v>
      </c>
      <c r="C54" s="130">
        <v>0.5</v>
      </c>
      <c r="D54" s="193">
        <f t="shared" si="8"/>
        <v>160.24372648103309</v>
      </c>
      <c r="E54" s="193"/>
      <c r="F54" s="193"/>
      <c r="G54" s="193"/>
      <c r="H54" s="193"/>
      <c r="I54" s="193"/>
      <c r="N54" s="160"/>
      <c r="O54" s="160"/>
      <c r="P54" s="160"/>
      <c r="Q54" s="160"/>
      <c r="R54" s="160"/>
      <c r="S54" s="160"/>
      <c r="T54" s="184"/>
    </row>
    <row r="55" spans="1:20" x14ac:dyDescent="0.2">
      <c r="A55" s="36"/>
      <c r="B55" s="138"/>
      <c r="C55" s="130">
        <v>0.4</v>
      </c>
      <c r="D55" s="193">
        <f t="shared" si="8"/>
        <v>104.94755690452556</v>
      </c>
      <c r="E55" s="193"/>
      <c r="F55" s="193"/>
      <c r="G55" s="193"/>
      <c r="H55" s="193"/>
      <c r="I55" s="193"/>
      <c r="N55" s="160"/>
      <c r="O55" s="160"/>
      <c r="P55" s="160"/>
      <c r="Q55" s="160"/>
      <c r="R55" s="160"/>
      <c r="S55" s="160"/>
      <c r="T55" s="184"/>
    </row>
    <row r="56" spans="1:20" x14ac:dyDescent="0.2">
      <c r="A56" s="36"/>
      <c r="B56" s="138" t="s">
        <v>155</v>
      </c>
      <c r="C56" s="130">
        <v>0.25</v>
      </c>
      <c r="D56" s="193">
        <f t="shared" si="8"/>
        <v>43.034727218897018</v>
      </c>
      <c r="E56" s="193"/>
      <c r="F56" s="193"/>
      <c r="G56" s="193"/>
      <c r="H56" s="193"/>
      <c r="I56" s="193"/>
      <c r="N56" s="160"/>
      <c r="O56" s="160"/>
      <c r="P56" s="160"/>
      <c r="Q56" s="160"/>
      <c r="R56" s="160"/>
      <c r="S56" s="160"/>
      <c r="T56" s="184"/>
    </row>
    <row r="57" spans="1:20" x14ac:dyDescent="0.2">
      <c r="A57" s="36"/>
      <c r="B57" s="138"/>
      <c r="C57" s="130">
        <v>0.16</v>
      </c>
      <c r="D57" s="193">
        <f t="shared" si="8"/>
        <v>18.458722827581038</v>
      </c>
      <c r="E57" s="193"/>
      <c r="F57" s="193"/>
      <c r="G57" s="193"/>
      <c r="H57" s="193"/>
      <c r="I57" s="193"/>
      <c r="L57" s="259"/>
      <c r="N57" s="160"/>
      <c r="O57" s="160"/>
      <c r="P57" s="160"/>
      <c r="Q57" s="160"/>
      <c r="R57" s="160"/>
      <c r="S57" s="160"/>
      <c r="T57" s="184"/>
    </row>
    <row r="58" spans="1:20" x14ac:dyDescent="0.2">
      <c r="A58" s="36"/>
      <c r="B58" s="138"/>
      <c r="C58" s="130">
        <v>0.1</v>
      </c>
      <c r="D58" s="193">
        <f t="shared" si="8"/>
        <v>7.5691719285742005</v>
      </c>
      <c r="E58" s="193"/>
      <c r="F58" s="193"/>
      <c r="G58" s="193"/>
      <c r="H58" s="193"/>
      <c r="I58" s="193"/>
    </row>
    <row r="59" spans="1:20" x14ac:dyDescent="0.2">
      <c r="A59" s="36"/>
      <c r="B59" s="138"/>
      <c r="C59" s="130">
        <v>0.05</v>
      </c>
      <c r="D59" s="193">
        <f t="shared" si="8"/>
        <v>2.0327613215964386</v>
      </c>
      <c r="E59" s="193"/>
      <c r="F59" s="193"/>
      <c r="G59" s="193"/>
      <c r="H59" s="193"/>
      <c r="I59" s="193"/>
    </row>
    <row r="60" spans="1:20" x14ac:dyDescent="0.2">
      <c r="A60" s="36"/>
      <c r="B60" s="138"/>
      <c r="C60" s="130">
        <v>0.01</v>
      </c>
      <c r="D60" s="343">
        <f t="shared" si="8"/>
        <v>9.6018235913530994E-2</v>
      </c>
      <c r="E60" s="193"/>
      <c r="F60" s="193"/>
      <c r="G60" s="193"/>
      <c r="H60" s="193"/>
      <c r="I60" s="193"/>
    </row>
    <row r="61" spans="1:20" x14ac:dyDescent="0.2">
      <c r="A61" s="36"/>
      <c r="B61" s="138" t="s">
        <v>158</v>
      </c>
      <c r="C61" s="129" t="s">
        <v>157</v>
      </c>
      <c r="D61" s="193">
        <f>D53-D56</f>
        <v>302.72338984662667</v>
      </c>
      <c r="E61" s="193"/>
      <c r="F61" s="193"/>
      <c r="G61" s="193"/>
      <c r="H61" s="193"/>
      <c r="I61" s="193"/>
    </row>
    <row r="62" spans="1:20" x14ac:dyDescent="0.2">
      <c r="C62" s="129"/>
      <c r="D62" s="129"/>
      <c r="E62" s="129"/>
      <c r="F62" s="129"/>
      <c r="G62" s="129"/>
      <c r="H62" s="129"/>
      <c r="I62" s="129"/>
      <c r="L62" s="260"/>
    </row>
    <row r="63" spans="1:20" x14ac:dyDescent="0.2">
      <c r="B63" s="286" t="s">
        <v>291</v>
      </c>
      <c r="C63" s="342" t="s">
        <v>290</v>
      </c>
      <c r="D63" s="204">
        <f>D65-D64</f>
        <v>35.465555290322818</v>
      </c>
      <c r="E63" s="204"/>
      <c r="F63" s="204"/>
      <c r="G63" s="204"/>
      <c r="H63" s="204"/>
      <c r="I63" s="204"/>
    </row>
    <row r="64" spans="1:20" x14ac:dyDescent="0.2">
      <c r="B64" s="226">
        <v>0.1</v>
      </c>
      <c r="C64" s="342" t="s">
        <v>288</v>
      </c>
      <c r="D64" s="343">
        <f>IF($B64&gt;=G$5,C$27*$B64^(1/C$26),IF(AND($B64&gt;=G$6,$B64&lt;G$5),D$27*$B64^(1/D$26),E$27*$B64^(1/E$26)))</f>
        <v>7.5691719285742005</v>
      </c>
      <c r="E64" s="343"/>
      <c r="F64" s="343"/>
      <c r="G64" s="343"/>
      <c r="H64" s="343"/>
      <c r="I64" s="343"/>
    </row>
    <row r="65" spans="1:26" x14ac:dyDescent="0.2">
      <c r="B65" s="226">
        <v>0.25</v>
      </c>
      <c r="C65" s="342" t="s">
        <v>155</v>
      </c>
      <c r="D65" s="193">
        <f>IF($B65&gt;=G$5,C$27*$B65^(1/C$26),IF(AND($B65&gt;=G$6,$B65&lt;G$5),D$27*$B65^(1/D$26),E$27*$B65^(1/E$26)))</f>
        <v>43.034727218897018</v>
      </c>
      <c r="E65" s="193"/>
      <c r="F65" s="193"/>
      <c r="G65" s="193"/>
      <c r="H65" s="193"/>
      <c r="I65" s="193"/>
    </row>
    <row r="66" spans="1:26" x14ac:dyDescent="0.2">
      <c r="B66" s="226">
        <v>0.5</v>
      </c>
      <c r="C66" s="342" t="s">
        <v>47</v>
      </c>
      <c r="D66" s="193">
        <f>IF($B66&gt;=G$5,C$27*$B66^(1/C$26),IF(AND($B66&gt;=G$6,$B66&lt;G$5),D$27*$B66^(1/D$26),E$27*$B66^(1/E$26)))</f>
        <v>160.24372648103309</v>
      </c>
      <c r="E66" s="193"/>
      <c r="F66" s="193"/>
      <c r="G66" s="193"/>
      <c r="H66" s="193"/>
      <c r="I66" s="193"/>
    </row>
    <row r="67" spans="1:26" x14ac:dyDescent="0.2">
      <c r="B67" s="226">
        <v>0.75</v>
      </c>
      <c r="C67" s="342" t="s">
        <v>156</v>
      </c>
      <c r="D67" s="193">
        <f>IF($B67&gt;=G$5,C$27*$B67^(1/C$26),IF(AND($B67&gt;=G$6,$B67&lt;G$5),D$27*$B67^(1/D$26),E$27*$B67^(1/E$26)))</f>
        <v>345.75811706552366</v>
      </c>
      <c r="E67" s="193"/>
      <c r="F67" s="193"/>
      <c r="G67" s="193"/>
      <c r="H67" s="193"/>
      <c r="I67" s="193"/>
    </row>
    <row r="68" spans="1:26" x14ac:dyDescent="0.2">
      <c r="B68" s="226">
        <v>0.9</v>
      </c>
      <c r="C68" s="342" t="s">
        <v>289</v>
      </c>
      <c r="D68" s="193">
        <f>IF($B68&gt;=G$5,C$27*$B68^(1/C$26),IF(AND($B68&gt;=G$6,$B68&lt;G$5),D$27*$B68^(1/D$26),E$27*$B68^(1/E$26)))</f>
        <v>678.36629227604908</v>
      </c>
      <c r="E68" s="193"/>
      <c r="F68" s="193"/>
      <c r="G68" s="193"/>
      <c r="H68" s="193"/>
      <c r="I68" s="193"/>
    </row>
    <row r="69" spans="1:26" x14ac:dyDescent="0.2">
      <c r="C69" s="342" t="s">
        <v>290</v>
      </c>
      <c r="D69" s="193">
        <f>D68-D67</f>
        <v>332.60817521052542</v>
      </c>
      <c r="E69" s="193"/>
      <c r="F69" s="193"/>
      <c r="G69" s="193"/>
      <c r="H69" s="193"/>
      <c r="I69" s="193"/>
    </row>
    <row r="71" spans="1:26" x14ac:dyDescent="0.2">
      <c r="A71" s="208"/>
      <c r="B71" s="139"/>
      <c r="C71" s="139"/>
      <c r="D71" s="139"/>
      <c r="E71" s="139"/>
      <c r="F71" s="139"/>
      <c r="G71" s="139"/>
      <c r="H71" s="139"/>
      <c r="I71" s="139"/>
      <c r="J71" s="139"/>
      <c r="K71" s="139"/>
    </row>
    <row r="72" spans="1:26" x14ac:dyDescent="0.2">
      <c r="A72" s="208"/>
      <c r="B72" s="139"/>
      <c r="C72" s="139"/>
      <c r="D72" s="199"/>
      <c r="E72" s="139"/>
      <c r="F72" s="139"/>
      <c r="G72" s="139"/>
      <c r="H72" s="139"/>
      <c r="I72" s="139"/>
      <c r="J72" s="139"/>
      <c r="K72" s="139"/>
    </row>
    <row r="73" spans="1:26" x14ac:dyDescent="0.2">
      <c r="A73" s="344"/>
      <c r="B73" s="139"/>
      <c r="C73" s="338"/>
      <c r="D73" s="318"/>
      <c r="E73" s="338"/>
      <c r="F73" s="338"/>
      <c r="G73" s="338"/>
      <c r="H73" s="338"/>
      <c r="I73" s="338"/>
      <c r="J73" s="139"/>
      <c r="K73" s="139"/>
    </row>
    <row r="74" spans="1:26" x14ac:dyDescent="0.2">
      <c r="A74" s="344"/>
      <c r="B74" s="139"/>
      <c r="C74" s="338"/>
      <c r="D74" s="318"/>
      <c r="E74" s="338"/>
      <c r="F74" s="338"/>
      <c r="G74" s="338"/>
      <c r="H74" s="338"/>
      <c r="I74" s="338"/>
      <c r="J74" s="139"/>
      <c r="K74" s="139"/>
    </row>
    <row r="75" spans="1:26" x14ac:dyDescent="0.2">
      <c r="A75" s="344"/>
      <c r="B75" s="139"/>
      <c r="C75" s="150"/>
      <c r="D75" s="200"/>
      <c r="E75" s="150"/>
      <c r="F75" s="150"/>
      <c r="G75" s="150"/>
      <c r="H75" s="150"/>
      <c r="I75" s="150"/>
      <c r="J75" s="139"/>
      <c r="K75" s="139"/>
      <c r="N75" s="139"/>
      <c r="O75" s="139"/>
      <c r="P75" s="139"/>
      <c r="Q75" s="139"/>
    </row>
    <row r="76" spans="1:26" x14ac:dyDescent="0.2">
      <c r="A76" s="344"/>
      <c r="B76" s="139"/>
      <c r="C76" s="150"/>
      <c r="D76" s="200"/>
      <c r="E76" s="150"/>
      <c r="F76" s="150"/>
      <c r="G76" s="150"/>
      <c r="H76" s="150"/>
      <c r="I76" s="150"/>
      <c r="J76" s="139"/>
      <c r="K76" s="139"/>
      <c r="N76" s="139"/>
      <c r="O76" s="139"/>
      <c r="P76" s="139"/>
      <c r="Q76" s="139"/>
    </row>
    <row r="77" spans="1:26" x14ac:dyDescent="0.2">
      <c r="A77" s="344"/>
      <c r="B77" s="139"/>
      <c r="C77" s="199"/>
      <c r="D77" s="200"/>
      <c r="E77" s="199"/>
      <c r="F77" s="199"/>
      <c r="G77" s="199"/>
      <c r="H77" s="199"/>
      <c r="I77" s="199"/>
      <c r="J77" s="139"/>
      <c r="K77" s="139"/>
      <c r="M77" s="317"/>
      <c r="N77" s="139"/>
      <c r="O77" s="139"/>
      <c r="P77" s="139"/>
      <c r="Q77" s="139"/>
      <c r="S77" s="139"/>
      <c r="T77" s="139"/>
      <c r="U77" s="139"/>
      <c r="V77" s="139"/>
    </row>
    <row r="78" spans="1:26" x14ac:dyDescent="0.2">
      <c r="A78" s="345"/>
      <c r="B78" s="129"/>
      <c r="C78" s="150"/>
      <c r="D78" s="200"/>
      <c r="E78" s="150"/>
      <c r="F78" s="150"/>
      <c r="G78" s="150"/>
      <c r="H78" s="150"/>
      <c r="I78" s="150"/>
      <c r="J78" s="139"/>
      <c r="K78" s="139"/>
      <c r="N78" s="139"/>
      <c r="O78" s="139"/>
      <c r="P78" s="129"/>
      <c r="Q78" s="129"/>
      <c r="R78" s="161"/>
      <c r="S78" s="129"/>
      <c r="T78" s="129"/>
      <c r="U78" s="129"/>
      <c r="V78" s="129"/>
      <c r="W78" s="161"/>
      <c r="X78" s="161"/>
      <c r="Y78" s="161"/>
      <c r="Z78" s="161"/>
    </row>
    <row r="79" spans="1:26" x14ac:dyDescent="0.2">
      <c r="A79" s="344"/>
      <c r="B79" s="139"/>
      <c r="C79" s="139"/>
      <c r="D79" s="139"/>
      <c r="E79" s="139"/>
      <c r="F79" s="139"/>
      <c r="G79" s="139"/>
      <c r="H79" s="139"/>
      <c r="I79" s="139"/>
      <c r="J79" s="139"/>
      <c r="K79" s="139"/>
      <c r="P79" s="161"/>
      <c r="Q79" s="273"/>
      <c r="R79" s="161"/>
      <c r="S79" s="161"/>
      <c r="T79" s="161"/>
      <c r="U79" s="161"/>
      <c r="V79" s="161"/>
      <c r="W79" s="161"/>
      <c r="X79" s="161"/>
      <c r="Y79" s="161"/>
      <c r="Z79" s="161"/>
    </row>
    <row r="80" spans="1:26" x14ac:dyDescent="0.2">
      <c r="A80" s="344"/>
      <c r="B80" s="139"/>
      <c r="C80" s="282"/>
      <c r="D80" s="139"/>
      <c r="E80" s="139"/>
      <c r="F80" s="139"/>
      <c r="G80" s="139"/>
      <c r="H80" s="139"/>
      <c r="I80" s="139"/>
      <c r="J80" s="139"/>
      <c r="K80" s="139"/>
      <c r="P80" s="161"/>
      <c r="Q80" s="161"/>
      <c r="R80" s="161"/>
      <c r="S80" s="161"/>
      <c r="T80" s="161"/>
      <c r="U80" s="161"/>
      <c r="V80" s="161"/>
      <c r="W80" s="161"/>
      <c r="X80" s="161"/>
      <c r="Y80" s="161"/>
      <c r="Z80" s="161"/>
    </row>
    <row r="81" spans="1:26" x14ac:dyDescent="0.2">
      <c r="A81" s="344"/>
      <c r="B81" s="139"/>
      <c r="C81" s="139"/>
      <c r="D81" s="139"/>
      <c r="E81" s="139"/>
      <c r="F81" s="139"/>
      <c r="G81" s="139"/>
      <c r="H81" s="139"/>
      <c r="I81" s="139"/>
      <c r="J81" s="139"/>
      <c r="K81" s="139"/>
      <c r="P81" s="161"/>
      <c r="Q81" s="161"/>
      <c r="R81" s="161"/>
      <c r="S81" s="161"/>
      <c r="T81" s="161"/>
      <c r="U81" s="161"/>
      <c r="V81" s="161"/>
      <c r="W81" s="161"/>
      <c r="X81" s="161"/>
      <c r="Y81" s="161"/>
      <c r="Z81" s="161"/>
    </row>
    <row r="82" spans="1:26" x14ac:dyDescent="0.2">
      <c r="A82" s="344"/>
      <c r="B82" s="139"/>
      <c r="C82" s="139"/>
      <c r="D82" s="139"/>
      <c r="E82" s="139"/>
      <c r="F82" s="139"/>
      <c r="G82" s="139"/>
      <c r="H82" s="139"/>
      <c r="I82" s="139"/>
      <c r="J82" s="139"/>
      <c r="K82" s="139"/>
      <c r="P82" s="161"/>
      <c r="Q82" s="161"/>
      <c r="R82" s="161"/>
      <c r="S82" s="161"/>
      <c r="T82" s="161"/>
      <c r="U82" s="161"/>
      <c r="V82" s="161"/>
      <c r="W82" s="161"/>
      <c r="X82" s="161"/>
      <c r="Y82" s="161"/>
      <c r="Z82" s="161"/>
    </row>
    <row r="83" spans="1:26" x14ac:dyDescent="0.2">
      <c r="A83" s="208"/>
      <c r="B83" s="139"/>
      <c r="C83" s="139"/>
      <c r="D83" s="139"/>
      <c r="E83" s="139"/>
      <c r="F83" s="139"/>
      <c r="G83" s="139"/>
      <c r="H83" s="139"/>
      <c r="I83" s="139"/>
      <c r="J83" s="139"/>
      <c r="K83" s="139"/>
      <c r="P83" s="161"/>
      <c r="Q83" s="161"/>
      <c r="R83" s="161"/>
      <c r="S83" s="161"/>
      <c r="T83" s="161"/>
      <c r="U83" s="161"/>
      <c r="V83" s="161"/>
      <c r="W83" s="161"/>
      <c r="X83" s="161"/>
      <c r="Y83" s="161"/>
      <c r="Z83" s="161"/>
    </row>
    <row r="84" spans="1:26" x14ac:dyDescent="0.2">
      <c r="A84" s="208"/>
      <c r="B84" s="139"/>
      <c r="C84" s="139"/>
      <c r="D84" s="139"/>
      <c r="E84" s="139"/>
      <c r="F84" s="139"/>
      <c r="G84" s="139"/>
      <c r="H84" s="139"/>
      <c r="I84" s="139"/>
      <c r="J84" s="139"/>
      <c r="K84" s="139"/>
      <c r="P84" s="274"/>
      <c r="Q84" s="161"/>
      <c r="R84" s="161"/>
      <c r="S84" s="161"/>
      <c r="T84" s="161"/>
      <c r="U84" s="161"/>
      <c r="V84" s="161"/>
      <c r="W84" s="161"/>
      <c r="X84" s="161"/>
      <c r="Y84" s="161"/>
      <c r="Z84" s="161"/>
    </row>
    <row r="85" spans="1:26" x14ac:dyDescent="0.2">
      <c r="A85" s="208"/>
      <c r="B85" s="139"/>
      <c r="C85" s="139"/>
      <c r="D85" s="139"/>
      <c r="E85" s="139"/>
      <c r="F85" s="139"/>
      <c r="G85" s="139"/>
      <c r="H85" s="139"/>
      <c r="I85" s="139"/>
      <c r="J85" s="139"/>
      <c r="K85" s="139"/>
      <c r="N85" s="139"/>
      <c r="O85" s="130"/>
      <c r="P85" s="193"/>
      <c r="Q85" s="193"/>
      <c r="R85" s="193"/>
      <c r="S85" s="193"/>
      <c r="T85" s="193"/>
      <c r="U85" s="193"/>
      <c r="V85" s="161"/>
      <c r="W85" s="161"/>
      <c r="X85" s="161"/>
      <c r="Y85" s="161"/>
      <c r="Z85" s="161"/>
    </row>
    <row r="86" spans="1:26" x14ac:dyDescent="0.2">
      <c r="A86" s="208"/>
      <c r="B86" s="139"/>
      <c r="C86" s="139"/>
      <c r="D86" s="139"/>
      <c r="E86" s="139"/>
      <c r="F86" s="139"/>
      <c r="G86" s="139"/>
      <c r="H86" s="139"/>
      <c r="I86" s="139"/>
      <c r="J86" s="139"/>
      <c r="K86" s="139"/>
      <c r="N86" s="139"/>
      <c r="O86" s="130"/>
      <c r="P86" s="193"/>
      <c r="Q86" s="193"/>
      <c r="R86" s="193"/>
      <c r="S86" s="193"/>
      <c r="T86" s="193"/>
      <c r="U86" s="193"/>
      <c r="V86" s="161"/>
      <c r="W86" s="161"/>
      <c r="X86" s="161"/>
      <c r="Y86" s="161"/>
      <c r="Z86" s="161"/>
    </row>
    <row r="87" spans="1:26" x14ac:dyDescent="0.2">
      <c r="A87" s="208"/>
      <c r="B87" s="139"/>
      <c r="C87" s="139"/>
      <c r="D87" s="139"/>
      <c r="E87" s="139"/>
      <c r="F87" s="139"/>
      <c r="G87" s="139"/>
      <c r="H87" s="139"/>
      <c r="I87" s="139"/>
      <c r="J87" s="139"/>
      <c r="K87" s="139"/>
      <c r="N87" s="139"/>
      <c r="O87" s="130"/>
      <c r="P87" s="193"/>
      <c r="Q87" s="193"/>
      <c r="R87" s="193"/>
      <c r="S87" s="193"/>
      <c r="T87" s="193"/>
      <c r="U87" s="193"/>
      <c r="V87" s="161"/>
      <c r="W87" s="161"/>
      <c r="X87" s="161"/>
      <c r="Y87" s="161"/>
      <c r="Z87" s="161"/>
    </row>
    <row r="88" spans="1:26" x14ac:dyDescent="0.2">
      <c r="N88" s="139"/>
      <c r="O88" s="130"/>
      <c r="P88" s="193"/>
      <c r="Q88" s="193"/>
      <c r="R88" s="193"/>
      <c r="S88" s="193"/>
      <c r="T88" s="193"/>
      <c r="U88" s="193"/>
      <c r="V88" s="161"/>
      <c r="W88" s="161"/>
      <c r="X88" s="161"/>
      <c r="Y88" s="161"/>
      <c r="Z88" s="161"/>
    </row>
    <row r="89" spans="1:26" x14ac:dyDescent="0.2">
      <c r="N89" s="139"/>
      <c r="O89" s="130"/>
      <c r="P89" s="193"/>
      <c r="Q89" s="193"/>
      <c r="R89" s="193"/>
      <c r="S89" s="193"/>
      <c r="T89" s="193"/>
      <c r="U89" s="193"/>
      <c r="V89" s="161"/>
      <c r="W89" s="161"/>
      <c r="X89" s="161"/>
      <c r="Y89" s="161"/>
      <c r="Z89" s="161"/>
    </row>
    <row r="90" spans="1:26" x14ac:dyDescent="0.2">
      <c r="L90" s="318"/>
      <c r="N90" s="139"/>
      <c r="O90" s="130"/>
      <c r="P90" s="193"/>
      <c r="Q90" s="193"/>
      <c r="R90" s="193"/>
      <c r="S90" s="193"/>
      <c r="T90" s="193"/>
      <c r="U90" s="193"/>
      <c r="V90" s="161"/>
      <c r="W90" s="161"/>
      <c r="X90" s="161"/>
      <c r="Y90" s="161"/>
      <c r="Z90" s="161"/>
    </row>
    <row r="91" spans="1:26" x14ac:dyDescent="0.2">
      <c r="L91" s="318"/>
      <c r="N91" s="139"/>
      <c r="O91" s="130"/>
      <c r="P91" s="193"/>
      <c r="Q91" s="193"/>
      <c r="R91" s="193"/>
      <c r="S91" s="193"/>
      <c r="T91" s="193"/>
      <c r="U91" s="193"/>
      <c r="V91" s="161"/>
      <c r="W91" s="161"/>
      <c r="X91" s="161"/>
      <c r="Y91" s="161"/>
      <c r="Z91" s="161"/>
    </row>
    <row r="92" spans="1:26" x14ac:dyDescent="0.2">
      <c r="L92" s="200"/>
      <c r="N92" s="139"/>
      <c r="O92" s="130"/>
      <c r="P92" s="193"/>
      <c r="Q92" s="193"/>
      <c r="R92" s="193"/>
      <c r="S92" s="193"/>
      <c r="T92" s="193"/>
      <c r="U92" s="193"/>
      <c r="V92" s="161"/>
      <c r="W92" s="161"/>
      <c r="X92" s="161"/>
      <c r="Y92" s="161"/>
      <c r="Z92" s="161"/>
    </row>
    <row r="93" spans="1:26" x14ac:dyDescent="0.2">
      <c r="L93" s="200"/>
      <c r="N93" s="139"/>
      <c r="O93" s="139"/>
      <c r="P93" s="193"/>
      <c r="Q93" s="193"/>
      <c r="R93" s="193"/>
      <c r="S93" s="193"/>
      <c r="T93" s="193"/>
      <c r="U93" s="193"/>
      <c r="V93" s="161"/>
      <c r="W93" s="161"/>
      <c r="X93" s="161"/>
      <c r="Y93" s="161"/>
      <c r="Z93" s="161"/>
    </row>
    <row r="94" spans="1:26" x14ac:dyDescent="0.2">
      <c r="L94" s="200"/>
      <c r="N94" s="139"/>
      <c r="O94" s="130"/>
      <c r="P94" s="193"/>
      <c r="Q94" s="193"/>
      <c r="R94" s="193"/>
      <c r="S94" s="193"/>
      <c r="T94" s="193"/>
      <c r="U94" s="193"/>
      <c r="V94" s="161"/>
      <c r="W94" s="161"/>
      <c r="X94" s="161"/>
      <c r="Y94" s="161"/>
      <c r="Z94" s="161"/>
    </row>
    <row r="95" spans="1:26" x14ac:dyDescent="0.2">
      <c r="C95" s="226"/>
      <c r="D95" s="199"/>
      <c r="E95" s="199"/>
      <c r="F95" s="199"/>
      <c r="G95" s="199"/>
      <c r="H95" s="199"/>
      <c r="I95" s="199"/>
      <c r="J95" s="199"/>
      <c r="K95" s="160"/>
      <c r="L95" s="200"/>
      <c r="N95" s="139"/>
      <c r="O95" s="130"/>
      <c r="P95" s="193"/>
      <c r="Q95" s="193"/>
      <c r="R95" s="193"/>
      <c r="S95" s="193"/>
      <c r="T95" s="193"/>
      <c r="U95" s="193"/>
      <c r="V95" s="161"/>
      <c r="W95" s="161"/>
      <c r="X95" s="161"/>
      <c r="Y95" s="161"/>
      <c r="Z95" s="161"/>
    </row>
    <row r="96" spans="1:26" x14ac:dyDescent="0.2">
      <c r="C96" s="226"/>
      <c r="D96" s="199"/>
      <c r="E96" s="199"/>
      <c r="F96" s="199"/>
      <c r="G96" s="199"/>
      <c r="H96" s="199"/>
      <c r="I96" s="199"/>
      <c r="J96" s="199"/>
      <c r="K96" s="160"/>
      <c r="P96" s="193"/>
      <c r="Q96" s="193"/>
      <c r="R96" s="193"/>
      <c r="S96" s="193"/>
      <c r="T96" s="193"/>
      <c r="U96" s="193"/>
      <c r="V96" s="161"/>
      <c r="W96" s="161"/>
      <c r="X96" s="161"/>
      <c r="Y96" s="161"/>
      <c r="Z96" s="161"/>
    </row>
    <row r="97" spans="1:33" x14ac:dyDescent="0.2">
      <c r="C97" s="226"/>
      <c r="D97" s="199"/>
      <c r="E97" s="199"/>
      <c r="F97" s="199"/>
      <c r="G97" s="199"/>
      <c r="H97" s="199"/>
      <c r="I97" s="199"/>
      <c r="J97" s="199"/>
      <c r="K97" s="160"/>
      <c r="L97" s="139"/>
      <c r="O97" s="130"/>
      <c r="P97" s="193"/>
      <c r="Q97" s="193"/>
      <c r="R97" s="193"/>
      <c r="S97" s="193"/>
      <c r="T97" s="193"/>
      <c r="U97" s="193"/>
      <c r="V97" s="161"/>
      <c r="W97" s="161"/>
      <c r="X97" s="161"/>
      <c r="Y97" s="161"/>
      <c r="Z97" s="161"/>
    </row>
    <row r="98" spans="1:33" x14ac:dyDescent="0.2">
      <c r="C98" s="226"/>
      <c r="D98" s="199"/>
      <c r="E98" s="199"/>
      <c r="F98" s="199"/>
      <c r="G98" s="199"/>
      <c r="H98" s="199"/>
      <c r="I98" s="199"/>
      <c r="J98" s="199"/>
      <c r="K98" s="160"/>
      <c r="L98" s="139"/>
      <c r="O98" s="130"/>
      <c r="P98" s="199"/>
      <c r="Q98" s="199"/>
      <c r="R98" s="199"/>
      <c r="S98" s="199"/>
      <c r="T98" s="199"/>
      <c r="U98" s="199"/>
    </row>
    <row r="99" spans="1:33" x14ac:dyDescent="0.2">
      <c r="C99" s="226"/>
      <c r="D99" s="199"/>
      <c r="E99" s="199"/>
      <c r="F99" s="199"/>
      <c r="G99" s="199"/>
      <c r="H99" s="199"/>
      <c r="I99" s="199"/>
      <c r="J99" s="199"/>
      <c r="K99" s="160"/>
    </row>
    <row r="100" spans="1:33" x14ac:dyDescent="0.2">
      <c r="C100" s="226"/>
      <c r="D100" s="199"/>
      <c r="E100" s="199"/>
      <c r="F100" s="199"/>
      <c r="G100" s="199"/>
      <c r="H100" s="199"/>
      <c r="I100" s="199"/>
      <c r="J100" s="199"/>
      <c r="K100" s="160"/>
      <c r="L100" s="139"/>
    </row>
    <row r="101" spans="1:33" x14ac:dyDescent="0.2">
      <c r="C101" s="226"/>
      <c r="D101" s="199"/>
      <c r="E101" s="199"/>
      <c r="F101" s="199"/>
      <c r="G101" s="199"/>
      <c r="H101" s="199"/>
      <c r="I101" s="199"/>
      <c r="J101" s="199"/>
      <c r="K101" s="160"/>
      <c r="L101" s="139"/>
    </row>
    <row r="102" spans="1:33" x14ac:dyDescent="0.2">
      <c r="C102" s="226"/>
      <c r="D102" s="199"/>
      <c r="E102" s="199"/>
      <c r="F102" s="199"/>
      <c r="G102" s="199"/>
      <c r="H102" s="199"/>
      <c r="I102" s="199"/>
      <c r="J102" s="199"/>
      <c r="K102" s="160"/>
      <c r="L102" s="139"/>
    </row>
    <row r="103" spans="1:33" x14ac:dyDescent="0.2">
      <c r="C103" s="226"/>
      <c r="D103" s="199"/>
      <c r="E103" s="199"/>
      <c r="F103" s="199"/>
      <c r="G103" s="199"/>
      <c r="H103" s="199"/>
      <c r="I103" s="199"/>
      <c r="J103" s="199"/>
      <c r="K103" s="160"/>
    </row>
    <row r="104" spans="1:33" x14ac:dyDescent="0.2">
      <c r="C104" s="226"/>
      <c r="D104" s="199"/>
      <c r="E104" s="199"/>
      <c r="F104" s="199"/>
      <c r="G104" s="199"/>
      <c r="H104" s="199"/>
      <c r="I104" s="199"/>
      <c r="J104" s="199"/>
      <c r="K104" s="160"/>
    </row>
    <row r="105" spans="1:33" x14ac:dyDescent="0.2">
      <c r="C105" s="226"/>
      <c r="D105" s="199"/>
      <c r="E105" s="199"/>
      <c r="F105" s="199"/>
      <c r="G105" s="199"/>
      <c r="H105" s="199"/>
      <c r="I105" s="199"/>
      <c r="J105" s="199"/>
      <c r="K105" s="160"/>
    </row>
    <row r="106" spans="1:33" x14ac:dyDescent="0.2">
      <c r="C106" s="226"/>
      <c r="D106" s="199"/>
      <c r="E106" s="199"/>
      <c r="F106" s="199"/>
      <c r="G106" s="199"/>
      <c r="H106" s="199"/>
      <c r="I106" s="199"/>
      <c r="J106" s="199"/>
      <c r="K106" s="160"/>
    </row>
    <row r="107" spans="1:33" x14ac:dyDescent="0.2">
      <c r="C107" s="226"/>
      <c r="D107" s="199"/>
      <c r="E107" s="199"/>
      <c r="F107" s="199"/>
      <c r="G107" s="199"/>
      <c r="H107" s="199"/>
      <c r="I107" s="199"/>
      <c r="J107" s="199"/>
      <c r="K107" s="160"/>
    </row>
    <row r="108" spans="1:33" x14ac:dyDescent="0.2">
      <c r="C108" s="226"/>
      <c r="D108" s="199"/>
      <c r="E108" s="199"/>
      <c r="F108" s="199"/>
      <c r="G108" s="199"/>
      <c r="H108" s="199"/>
      <c r="I108" s="199"/>
      <c r="J108" s="199"/>
      <c r="K108" s="160"/>
    </row>
    <row r="109" spans="1:33" s="139" customFormat="1" x14ac:dyDescent="0.2">
      <c r="A109" s="138"/>
      <c r="B109" s="36"/>
      <c r="C109" s="226"/>
      <c r="D109" s="199"/>
      <c r="E109" s="199"/>
      <c r="F109" s="199"/>
      <c r="G109" s="199"/>
      <c r="H109" s="199"/>
      <c r="I109" s="199"/>
      <c r="J109" s="199"/>
      <c r="K109" s="36"/>
      <c r="L109" s="36"/>
      <c r="N109" s="36"/>
      <c r="O109" s="36"/>
      <c r="P109" s="36"/>
      <c r="Q109" s="36"/>
      <c r="R109" s="36"/>
      <c r="S109" s="36"/>
      <c r="T109" s="36"/>
      <c r="U109" s="36"/>
      <c r="V109" s="36"/>
      <c r="W109" s="36"/>
      <c r="X109" s="36"/>
      <c r="Y109" s="36"/>
      <c r="Z109" s="36"/>
      <c r="AA109" s="36"/>
      <c r="AB109" s="36"/>
      <c r="AC109" s="36"/>
      <c r="AD109" s="36"/>
      <c r="AE109" s="36"/>
      <c r="AF109" s="36"/>
      <c r="AG109" s="36"/>
    </row>
    <row r="110" spans="1:33" s="139" customFormat="1" x14ac:dyDescent="0.2">
      <c r="A110" s="138"/>
      <c r="B110" s="36"/>
      <c r="C110" s="226"/>
      <c r="D110" s="199"/>
      <c r="E110" s="199"/>
      <c r="F110" s="199"/>
      <c r="G110" s="199"/>
      <c r="H110" s="199"/>
      <c r="I110" s="199"/>
      <c r="J110" s="199"/>
      <c r="K110" s="36"/>
      <c r="L110" s="36"/>
      <c r="N110" s="36"/>
      <c r="O110" s="36"/>
      <c r="P110" s="36"/>
      <c r="Q110" s="36"/>
      <c r="R110" s="36"/>
      <c r="S110" s="36"/>
      <c r="T110" s="36"/>
      <c r="U110" s="36"/>
      <c r="V110" s="36"/>
      <c r="W110" s="36"/>
      <c r="X110" s="36"/>
      <c r="Y110" s="36"/>
      <c r="Z110" s="36"/>
      <c r="AA110" s="36"/>
      <c r="AB110" s="36"/>
      <c r="AC110" s="36"/>
      <c r="AD110" s="36"/>
      <c r="AE110" s="36"/>
      <c r="AF110" s="36"/>
      <c r="AG110" s="36"/>
    </row>
    <row r="111" spans="1:33" s="139" customFormat="1" x14ac:dyDescent="0.2">
      <c r="A111" s="138"/>
      <c r="B111" s="36"/>
      <c r="C111" s="226"/>
      <c r="D111" s="199"/>
      <c r="E111" s="199"/>
      <c r="F111" s="199"/>
      <c r="G111" s="199"/>
      <c r="H111" s="199"/>
      <c r="I111" s="199"/>
      <c r="J111" s="199"/>
      <c r="K111" s="36"/>
      <c r="L111" s="36"/>
      <c r="N111" s="36"/>
      <c r="O111" s="36"/>
      <c r="P111" s="36"/>
      <c r="Q111" s="36"/>
      <c r="R111" s="36"/>
      <c r="S111" s="36"/>
      <c r="T111" s="36"/>
      <c r="U111" s="36"/>
      <c r="V111" s="36"/>
      <c r="W111" s="36"/>
      <c r="X111" s="36"/>
      <c r="Y111" s="36"/>
      <c r="Z111" s="36"/>
      <c r="AA111" s="36"/>
      <c r="AB111" s="36"/>
      <c r="AC111" s="36"/>
      <c r="AD111" s="36"/>
      <c r="AE111" s="36"/>
      <c r="AF111" s="36"/>
      <c r="AG111" s="36"/>
    </row>
    <row r="112" spans="1:33" s="139" customFormat="1" x14ac:dyDescent="0.2">
      <c r="A112" s="138"/>
      <c r="B112" s="36"/>
      <c r="C112" s="268"/>
      <c r="D112" s="199"/>
      <c r="E112" s="199"/>
      <c r="F112" s="199"/>
      <c r="G112" s="199"/>
      <c r="H112" s="199"/>
      <c r="I112" s="199"/>
      <c r="J112" s="199"/>
      <c r="K112" s="36"/>
      <c r="L112" s="160"/>
      <c r="N112" s="36"/>
      <c r="O112" s="36"/>
      <c r="P112" s="36"/>
      <c r="Q112" s="36"/>
      <c r="R112" s="36"/>
      <c r="S112" s="36"/>
      <c r="T112" s="36"/>
      <c r="U112" s="36"/>
      <c r="V112" s="36"/>
      <c r="W112" s="36"/>
      <c r="X112" s="36"/>
      <c r="Y112" s="36"/>
      <c r="Z112" s="36"/>
      <c r="AA112" s="36"/>
      <c r="AB112" s="36"/>
      <c r="AC112" s="36"/>
      <c r="AD112" s="36"/>
      <c r="AE112" s="36"/>
      <c r="AF112" s="36"/>
      <c r="AG112" s="36"/>
    </row>
    <row r="113" spans="1:33" s="139" customFormat="1" x14ac:dyDescent="0.2">
      <c r="A113" s="138"/>
      <c r="B113" s="36"/>
      <c r="C113" s="226"/>
      <c r="D113" s="199"/>
      <c r="E113" s="199"/>
      <c r="F113" s="199"/>
      <c r="G113" s="199"/>
      <c r="H113" s="199"/>
      <c r="I113" s="199"/>
      <c r="J113" s="199"/>
      <c r="K113" s="36"/>
      <c r="L113" s="160"/>
      <c r="N113" s="36"/>
      <c r="O113" s="36"/>
      <c r="P113" s="36"/>
      <c r="Q113" s="36"/>
      <c r="R113" s="36"/>
      <c r="S113" s="36"/>
      <c r="T113" s="36"/>
      <c r="U113" s="36"/>
      <c r="V113" s="36"/>
      <c r="W113" s="36"/>
      <c r="X113" s="36"/>
      <c r="Y113" s="36"/>
      <c r="Z113" s="36"/>
      <c r="AA113" s="36"/>
      <c r="AB113" s="36"/>
      <c r="AC113" s="36"/>
      <c r="AD113" s="36"/>
      <c r="AE113" s="36"/>
      <c r="AF113" s="36"/>
      <c r="AG113" s="36"/>
    </row>
    <row r="114" spans="1:33" s="139" customFormat="1" x14ac:dyDescent="0.2">
      <c r="A114" s="138"/>
      <c r="B114" s="36"/>
      <c r="C114" s="226"/>
      <c r="D114" s="199"/>
      <c r="E114" s="199"/>
      <c r="F114" s="199"/>
      <c r="G114" s="199"/>
      <c r="H114" s="199"/>
      <c r="I114" s="199"/>
      <c r="J114" s="199"/>
      <c r="K114" s="36"/>
      <c r="L114" s="160"/>
      <c r="N114" s="36"/>
      <c r="O114" s="36"/>
      <c r="P114" s="36"/>
      <c r="Q114" s="36"/>
      <c r="R114" s="36"/>
      <c r="S114" s="36"/>
      <c r="T114" s="36"/>
      <c r="U114" s="36"/>
      <c r="V114" s="36"/>
      <c r="W114" s="36"/>
      <c r="X114" s="36"/>
      <c r="Y114" s="36"/>
      <c r="Z114" s="36"/>
      <c r="AA114" s="36"/>
      <c r="AB114" s="36"/>
      <c r="AC114" s="36"/>
      <c r="AD114" s="36"/>
      <c r="AE114" s="36"/>
      <c r="AF114" s="36"/>
      <c r="AG114" s="36"/>
    </row>
    <row r="115" spans="1:33" s="139" customFormat="1" x14ac:dyDescent="0.2">
      <c r="A115" s="138"/>
      <c r="B115" s="36"/>
      <c r="C115" s="226"/>
      <c r="D115" s="199"/>
      <c r="E115" s="199"/>
      <c r="F115" s="199"/>
      <c r="G115" s="199"/>
      <c r="H115" s="199"/>
      <c r="I115" s="199"/>
      <c r="J115" s="199"/>
      <c r="K115" s="36"/>
      <c r="L115" s="160"/>
      <c r="N115" s="36"/>
      <c r="O115" s="36"/>
      <c r="P115" s="36"/>
      <c r="Q115" s="36"/>
      <c r="R115" s="36"/>
      <c r="S115" s="36"/>
      <c r="T115" s="36"/>
      <c r="U115" s="36"/>
      <c r="V115" s="36"/>
      <c r="W115" s="36"/>
      <c r="X115" s="36"/>
      <c r="Y115" s="36"/>
      <c r="Z115" s="36"/>
      <c r="AA115" s="36"/>
      <c r="AB115" s="36"/>
      <c r="AC115" s="36"/>
      <c r="AD115" s="36"/>
      <c r="AE115" s="36"/>
      <c r="AF115" s="36"/>
      <c r="AG115" s="36"/>
    </row>
    <row r="116" spans="1:33" x14ac:dyDescent="0.2">
      <c r="C116" s="226"/>
      <c r="D116" s="199"/>
      <c r="E116" s="199"/>
      <c r="F116" s="199"/>
      <c r="G116" s="199"/>
      <c r="H116" s="199"/>
      <c r="I116" s="199"/>
      <c r="J116" s="199"/>
      <c r="L116" s="160"/>
    </row>
    <row r="117" spans="1:33" s="139" customFormat="1" x14ac:dyDescent="0.2">
      <c r="A117" s="138"/>
      <c r="B117" s="36"/>
      <c r="C117" s="226"/>
      <c r="D117" s="199"/>
      <c r="E117" s="199"/>
      <c r="F117" s="199"/>
      <c r="G117" s="199"/>
      <c r="H117" s="199"/>
      <c r="I117" s="199"/>
      <c r="J117" s="199"/>
      <c r="K117" s="36"/>
      <c r="L117" s="160"/>
      <c r="N117" s="36"/>
      <c r="O117" s="36"/>
      <c r="P117" s="36"/>
      <c r="Q117" s="36"/>
      <c r="R117" s="36"/>
      <c r="S117" s="36"/>
      <c r="T117" s="36"/>
      <c r="U117" s="36"/>
      <c r="V117" s="36"/>
      <c r="W117" s="36"/>
      <c r="X117" s="36"/>
      <c r="Y117" s="36"/>
      <c r="Z117" s="36"/>
      <c r="AA117" s="36"/>
      <c r="AB117" s="36"/>
      <c r="AC117" s="36"/>
      <c r="AD117" s="36"/>
      <c r="AE117" s="36"/>
      <c r="AF117" s="36"/>
      <c r="AG117" s="36"/>
    </row>
    <row r="118" spans="1:33" s="139" customFormat="1" x14ac:dyDescent="0.2">
      <c r="A118" s="138"/>
      <c r="B118" s="36"/>
      <c r="C118" s="226"/>
      <c r="D118" s="199"/>
      <c r="E118" s="199"/>
      <c r="F118" s="199"/>
      <c r="G118" s="199"/>
      <c r="H118" s="199"/>
      <c r="I118" s="199"/>
      <c r="J118" s="199"/>
      <c r="K118" s="36"/>
      <c r="L118" s="160"/>
      <c r="N118" s="36"/>
      <c r="O118" s="36"/>
      <c r="P118" s="36"/>
      <c r="Q118" s="36"/>
      <c r="R118" s="36"/>
      <c r="S118" s="36"/>
      <c r="T118" s="36"/>
      <c r="U118" s="36"/>
      <c r="V118" s="36"/>
      <c r="W118" s="36"/>
      <c r="X118" s="36"/>
      <c r="Y118" s="36"/>
      <c r="Z118" s="36"/>
      <c r="AA118" s="36"/>
      <c r="AB118" s="36"/>
      <c r="AC118" s="36"/>
      <c r="AD118" s="36"/>
      <c r="AE118" s="36"/>
      <c r="AF118" s="36"/>
      <c r="AG118" s="36"/>
    </row>
    <row r="119" spans="1:33" x14ac:dyDescent="0.2">
      <c r="C119" s="226"/>
      <c r="D119" s="199"/>
      <c r="E119" s="199"/>
      <c r="F119" s="199"/>
      <c r="G119" s="199"/>
      <c r="H119" s="199"/>
      <c r="I119" s="199"/>
      <c r="J119" s="199"/>
      <c r="L119" s="160"/>
    </row>
    <row r="120" spans="1:33" s="139" customFormat="1" x14ac:dyDescent="0.2">
      <c r="A120" s="138"/>
      <c r="B120" s="36"/>
      <c r="C120" s="226"/>
      <c r="D120" s="199"/>
      <c r="E120" s="199"/>
      <c r="F120" s="199"/>
      <c r="G120" s="199"/>
      <c r="H120" s="199"/>
      <c r="I120" s="199"/>
      <c r="J120" s="199"/>
      <c r="K120" s="36"/>
      <c r="L120" s="160"/>
      <c r="N120" s="36"/>
      <c r="O120" s="36"/>
      <c r="P120" s="36"/>
      <c r="Q120" s="36"/>
      <c r="R120" s="36"/>
      <c r="S120" s="36"/>
      <c r="T120" s="36"/>
      <c r="U120" s="36"/>
      <c r="V120" s="36"/>
      <c r="W120" s="36"/>
      <c r="X120" s="36"/>
      <c r="Y120" s="36"/>
      <c r="Z120" s="36"/>
      <c r="AA120" s="36"/>
      <c r="AB120" s="36"/>
      <c r="AC120" s="36"/>
      <c r="AD120" s="36"/>
      <c r="AE120" s="36"/>
      <c r="AF120" s="36"/>
      <c r="AG120" s="36"/>
    </row>
    <row r="121" spans="1:33" s="139" customFormat="1" x14ac:dyDescent="0.2">
      <c r="A121" s="138"/>
      <c r="B121" s="36"/>
      <c r="C121" s="226"/>
      <c r="D121" s="199"/>
      <c r="E121" s="199"/>
      <c r="F121" s="199"/>
      <c r="G121" s="199"/>
      <c r="H121" s="199"/>
      <c r="I121" s="199"/>
      <c r="J121" s="199"/>
      <c r="K121" s="36"/>
      <c r="L121" s="160"/>
      <c r="N121" s="36"/>
      <c r="O121" s="36"/>
      <c r="P121" s="36"/>
      <c r="Q121" s="36"/>
      <c r="R121" s="36"/>
      <c r="S121" s="36"/>
      <c r="T121" s="36"/>
      <c r="U121" s="36"/>
      <c r="V121" s="36"/>
      <c r="W121" s="36"/>
      <c r="X121" s="36"/>
      <c r="Y121" s="36"/>
      <c r="Z121" s="36"/>
      <c r="AA121" s="36"/>
      <c r="AB121" s="36"/>
      <c r="AC121" s="36"/>
      <c r="AD121" s="36"/>
      <c r="AE121" s="36"/>
      <c r="AF121" s="36"/>
      <c r="AG121" s="36"/>
    </row>
    <row r="122" spans="1:33" s="139" customFormat="1" x14ac:dyDescent="0.2">
      <c r="A122" s="138"/>
      <c r="B122" s="36"/>
      <c r="C122" s="226"/>
      <c r="D122" s="199"/>
      <c r="E122" s="199"/>
      <c r="F122" s="199"/>
      <c r="G122" s="199"/>
      <c r="H122" s="199"/>
      <c r="I122" s="199"/>
      <c r="J122" s="199"/>
      <c r="K122" s="36"/>
      <c r="L122" s="160"/>
      <c r="N122" s="36"/>
      <c r="O122" s="36"/>
      <c r="P122" s="36"/>
      <c r="Q122" s="36"/>
      <c r="R122" s="36"/>
      <c r="S122" s="36"/>
      <c r="T122" s="36"/>
      <c r="U122" s="36"/>
      <c r="V122" s="36"/>
      <c r="W122" s="36"/>
      <c r="X122" s="36"/>
      <c r="Y122" s="36"/>
      <c r="Z122" s="36"/>
      <c r="AA122" s="36"/>
      <c r="AB122" s="36"/>
      <c r="AC122" s="36"/>
      <c r="AD122" s="36"/>
      <c r="AE122" s="36"/>
      <c r="AF122" s="36"/>
      <c r="AG122" s="36"/>
    </row>
    <row r="123" spans="1:33" x14ac:dyDescent="0.2">
      <c r="C123" s="226"/>
      <c r="D123" s="199"/>
      <c r="E123" s="199"/>
      <c r="F123" s="199"/>
      <c r="G123" s="199"/>
      <c r="H123" s="199"/>
      <c r="I123" s="199"/>
      <c r="J123" s="199"/>
      <c r="L123" s="160"/>
    </row>
    <row r="124" spans="1:33" x14ac:dyDescent="0.2">
      <c r="C124" s="226"/>
      <c r="D124" s="199"/>
      <c r="E124" s="199"/>
      <c r="F124" s="199"/>
      <c r="G124" s="199"/>
      <c r="H124" s="199"/>
      <c r="I124" s="199"/>
      <c r="J124" s="199"/>
      <c r="L124" s="160"/>
    </row>
    <row r="125" spans="1:33" x14ac:dyDescent="0.2">
      <c r="C125" s="226"/>
      <c r="D125" s="199"/>
      <c r="E125" s="199"/>
      <c r="F125" s="199"/>
      <c r="G125" s="199"/>
      <c r="H125" s="199"/>
      <c r="I125" s="199"/>
      <c r="J125" s="199"/>
      <c r="L125" s="160"/>
    </row>
    <row r="126" spans="1:33" x14ac:dyDescent="0.2">
      <c r="C126" s="226"/>
      <c r="D126" s="199"/>
      <c r="E126" s="199"/>
      <c r="F126" s="199"/>
      <c r="G126" s="199"/>
      <c r="H126" s="199"/>
      <c r="I126" s="199"/>
      <c r="J126" s="199"/>
    </row>
    <row r="127" spans="1:33" x14ac:dyDescent="0.2">
      <c r="C127" s="226"/>
      <c r="D127" s="199"/>
      <c r="E127" s="199"/>
      <c r="F127" s="199"/>
      <c r="G127" s="199"/>
      <c r="H127" s="199"/>
      <c r="I127" s="199"/>
      <c r="J127" s="199"/>
    </row>
    <row r="128" spans="1:33" x14ac:dyDescent="0.2">
      <c r="C128" s="226"/>
      <c r="D128" s="199"/>
      <c r="E128" s="199"/>
      <c r="F128" s="199"/>
      <c r="G128" s="199"/>
      <c r="H128" s="199"/>
      <c r="I128" s="199"/>
      <c r="J128" s="199"/>
      <c r="N128" s="129"/>
      <c r="O128" s="129"/>
      <c r="P128" s="129"/>
      <c r="Q128" s="129"/>
      <c r="R128" s="129"/>
      <c r="S128" s="129"/>
    </row>
    <row r="129" spans="3:20" x14ac:dyDescent="0.2">
      <c r="C129" s="226"/>
      <c r="D129" s="199"/>
      <c r="E129" s="199"/>
      <c r="F129" s="199"/>
      <c r="G129" s="199"/>
      <c r="H129" s="199"/>
      <c r="I129" s="199"/>
      <c r="J129" s="199"/>
      <c r="N129" s="193"/>
      <c r="O129" s="129"/>
      <c r="P129" s="129"/>
      <c r="Q129" s="129"/>
      <c r="R129" s="129"/>
      <c r="S129" s="129"/>
    </row>
    <row r="130" spans="3:20" x14ac:dyDescent="0.2">
      <c r="C130" s="226"/>
      <c r="D130" s="199"/>
      <c r="E130" s="199"/>
      <c r="F130" s="199"/>
      <c r="G130" s="199"/>
      <c r="H130" s="199"/>
      <c r="I130" s="199"/>
      <c r="J130" s="199"/>
      <c r="N130" s="129"/>
      <c r="O130" s="129"/>
      <c r="P130" s="129"/>
      <c r="Q130" s="129"/>
      <c r="R130" s="129"/>
      <c r="S130" s="129"/>
    </row>
    <row r="131" spans="3:20" x14ac:dyDescent="0.2">
      <c r="C131" s="226"/>
      <c r="D131" s="199"/>
      <c r="E131" s="199"/>
      <c r="F131" s="199"/>
      <c r="G131" s="199"/>
      <c r="H131" s="199"/>
      <c r="I131" s="199"/>
      <c r="J131" s="199"/>
      <c r="T131" s="129"/>
    </row>
    <row r="132" spans="3:20" x14ac:dyDescent="0.2">
      <c r="C132" s="226"/>
      <c r="D132" s="199"/>
      <c r="E132" s="199"/>
      <c r="F132" s="199"/>
      <c r="G132" s="199"/>
      <c r="H132" s="199"/>
      <c r="I132" s="199"/>
      <c r="J132" s="199"/>
      <c r="N132" s="129"/>
      <c r="O132" s="129"/>
      <c r="P132" s="129"/>
      <c r="Q132" s="129"/>
      <c r="R132" s="129"/>
      <c r="S132" s="129"/>
    </row>
    <row r="133" spans="3:20" x14ac:dyDescent="0.2">
      <c r="C133" s="226"/>
      <c r="D133" s="199"/>
      <c r="E133" s="199"/>
      <c r="F133" s="199"/>
      <c r="G133" s="199"/>
      <c r="H133" s="199"/>
      <c r="I133" s="199"/>
      <c r="J133" s="199"/>
      <c r="N133" s="129"/>
      <c r="O133" s="129"/>
      <c r="P133" s="129"/>
      <c r="Q133" s="129"/>
      <c r="R133" s="129"/>
      <c r="S133" s="129"/>
    </row>
    <row r="134" spans="3:20" x14ac:dyDescent="0.2">
      <c r="C134" s="226"/>
      <c r="D134" s="199"/>
      <c r="E134" s="199"/>
      <c r="F134" s="199"/>
      <c r="G134" s="199"/>
      <c r="H134" s="199"/>
      <c r="I134" s="199"/>
      <c r="J134" s="199"/>
      <c r="N134" s="129"/>
      <c r="O134" s="129"/>
      <c r="P134" s="129"/>
      <c r="Q134" s="129"/>
      <c r="R134" s="129"/>
      <c r="S134" s="129"/>
    </row>
    <row r="135" spans="3:20" x14ac:dyDescent="0.2">
      <c r="C135" s="226"/>
      <c r="D135" s="199"/>
      <c r="E135" s="199"/>
      <c r="F135" s="199"/>
      <c r="G135" s="199"/>
      <c r="H135" s="199"/>
      <c r="I135" s="199"/>
      <c r="J135" s="199"/>
      <c r="N135" s="129"/>
      <c r="O135" s="129"/>
      <c r="P135" s="129"/>
      <c r="Q135" s="129"/>
      <c r="R135" s="129"/>
      <c r="S135" s="129"/>
    </row>
    <row r="136" spans="3:20" x14ac:dyDescent="0.2">
      <c r="C136" s="226"/>
      <c r="D136" s="199"/>
      <c r="E136" s="199"/>
      <c r="F136" s="199"/>
      <c r="G136" s="199"/>
      <c r="H136" s="199"/>
      <c r="I136" s="199"/>
      <c r="J136" s="199"/>
      <c r="N136" s="129"/>
      <c r="O136" s="129"/>
      <c r="P136" s="129"/>
      <c r="Q136" s="129"/>
      <c r="R136" s="129"/>
      <c r="S136" s="129"/>
    </row>
    <row r="137" spans="3:20" x14ac:dyDescent="0.2">
      <c r="C137" s="226"/>
      <c r="D137" s="199"/>
      <c r="E137" s="199"/>
      <c r="F137" s="199"/>
      <c r="G137" s="199"/>
      <c r="H137" s="199"/>
      <c r="I137" s="199"/>
      <c r="J137" s="199"/>
      <c r="N137" s="129"/>
      <c r="O137" s="129"/>
      <c r="P137" s="129"/>
      <c r="Q137" s="129"/>
      <c r="R137" s="129"/>
      <c r="S137" s="129"/>
    </row>
    <row r="138" spans="3:20" x14ac:dyDescent="0.2">
      <c r="C138" s="226"/>
      <c r="D138" s="199"/>
      <c r="E138" s="199"/>
      <c r="F138" s="199"/>
      <c r="G138" s="199"/>
      <c r="H138" s="199"/>
      <c r="I138" s="199"/>
      <c r="J138" s="199"/>
      <c r="N138" s="129"/>
      <c r="O138" s="129"/>
      <c r="P138" s="129"/>
      <c r="Q138" s="129"/>
      <c r="R138" s="129"/>
      <c r="S138" s="129"/>
    </row>
    <row r="139" spans="3:20" x14ac:dyDescent="0.2">
      <c r="C139" s="226"/>
      <c r="D139" s="199"/>
      <c r="E139" s="199"/>
      <c r="F139" s="199"/>
      <c r="G139" s="199"/>
      <c r="H139" s="199"/>
      <c r="I139" s="199"/>
      <c r="J139" s="199"/>
      <c r="N139" s="129"/>
      <c r="O139" s="129"/>
      <c r="P139" s="129"/>
      <c r="Q139" s="129"/>
      <c r="R139" s="129"/>
      <c r="S139" s="129"/>
    </row>
    <row r="140" spans="3:20" x14ac:dyDescent="0.2">
      <c r="C140" s="226"/>
      <c r="D140" s="199"/>
      <c r="E140" s="199"/>
      <c r="F140" s="199"/>
      <c r="G140" s="199"/>
      <c r="H140" s="199"/>
      <c r="I140" s="199"/>
      <c r="J140" s="199"/>
      <c r="N140" s="129"/>
      <c r="O140" s="129"/>
      <c r="P140" s="129"/>
      <c r="Q140" s="129"/>
      <c r="R140" s="129"/>
      <c r="S140" s="129"/>
    </row>
    <row r="141" spans="3:20" x14ac:dyDescent="0.2">
      <c r="C141" s="226"/>
      <c r="D141" s="199"/>
      <c r="E141" s="199"/>
      <c r="F141" s="199"/>
      <c r="G141" s="199"/>
      <c r="H141" s="199"/>
      <c r="I141" s="199"/>
      <c r="J141" s="199"/>
      <c r="N141" s="129"/>
      <c r="O141" s="129"/>
      <c r="P141" s="129"/>
      <c r="Q141" s="129"/>
      <c r="R141" s="129"/>
      <c r="S141" s="129"/>
    </row>
    <row r="142" spans="3:20" x14ac:dyDescent="0.2">
      <c r="C142" s="226"/>
      <c r="D142" s="199"/>
      <c r="E142" s="199"/>
      <c r="F142" s="199"/>
      <c r="G142" s="199"/>
      <c r="H142" s="199"/>
      <c r="I142" s="199"/>
      <c r="J142" s="199"/>
      <c r="N142" s="129"/>
      <c r="O142" s="129"/>
      <c r="P142" s="129"/>
      <c r="Q142" s="129"/>
      <c r="R142" s="129"/>
      <c r="S142" s="129"/>
    </row>
    <row r="143" spans="3:20" x14ac:dyDescent="0.2">
      <c r="C143" s="226"/>
      <c r="D143" s="199"/>
      <c r="E143" s="199"/>
      <c r="F143" s="199"/>
      <c r="G143" s="199"/>
      <c r="H143" s="199"/>
      <c r="I143" s="199"/>
      <c r="J143" s="199"/>
      <c r="N143" s="129"/>
      <c r="O143" s="129"/>
      <c r="P143" s="129"/>
      <c r="Q143" s="129"/>
      <c r="R143" s="129"/>
      <c r="S143" s="129"/>
    </row>
    <row r="144" spans="3:20" x14ac:dyDescent="0.2">
      <c r="C144" s="226"/>
      <c r="D144" s="199"/>
      <c r="E144" s="199"/>
      <c r="F144" s="199"/>
      <c r="G144" s="199"/>
      <c r="H144" s="199"/>
      <c r="I144" s="199"/>
      <c r="J144" s="199"/>
      <c r="N144" s="129"/>
      <c r="O144" s="129"/>
      <c r="P144" s="129"/>
      <c r="Q144" s="129"/>
      <c r="R144" s="129"/>
      <c r="S144" s="129"/>
    </row>
    <row r="145" spans="3:10" x14ac:dyDescent="0.2">
      <c r="C145" s="226"/>
      <c r="D145" s="199"/>
      <c r="E145" s="199"/>
      <c r="F145" s="199"/>
      <c r="G145" s="199"/>
      <c r="H145" s="199"/>
      <c r="I145" s="199"/>
      <c r="J145" s="199"/>
    </row>
    <row r="146" spans="3:10" x14ac:dyDescent="0.2">
      <c r="C146" s="226"/>
      <c r="D146" s="199"/>
      <c r="E146" s="199"/>
      <c r="F146" s="199"/>
      <c r="G146" s="199"/>
      <c r="H146" s="199"/>
      <c r="I146" s="199"/>
      <c r="J146" s="199"/>
    </row>
    <row r="147" spans="3:10" x14ac:dyDescent="0.2">
      <c r="C147" s="226"/>
      <c r="D147" s="199"/>
      <c r="E147" s="199"/>
      <c r="F147" s="199"/>
      <c r="G147" s="199"/>
      <c r="H147" s="199"/>
      <c r="I147" s="199"/>
      <c r="J147" s="199"/>
    </row>
    <row r="148" spans="3:10" x14ac:dyDescent="0.2">
      <c r="C148" s="226"/>
      <c r="D148" s="199"/>
      <c r="E148" s="199"/>
      <c r="F148" s="199"/>
      <c r="G148" s="199"/>
      <c r="H148" s="199"/>
      <c r="I148" s="199"/>
      <c r="J148" s="199"/>
    </row>
    <row r="149" spans="3:10" x14ac:dyDescent="0.2">
      <c r="C149" s="226"/>
      <c r="D149" s="199"/>
      <c r="E149" s="199"/>
      <c r="F149" s="199"/>
      <c r="G149" s="199"/>
      <c r="H149" s="199"/>
      <c r="I149" s="199"/>
      <c r="J149" s="199"/>
    </row>
    <row r="150" spans="3:10" x14ac:dyDescent="0.2">
      <c r="C150" s="226"/>
      <c r="D150" s="199"/>
      <c r="E150" s="199"/>
      <c r="F150" s="199"/>
      <c r="G150" s="199"/>
      <c r="H150" s="199"/>
      <c r="I150" s="199"/>
      <c r="J150" s="199"/>
    </row>
    <row r="151" spans="3:10" x14ac:dyDescent="0.2">
      <c r="C151" s="226"/>
      <c r="D151" s="199"/>
      <c r="E151" s="199"/>
      <c r="F151" s="199"/>
      <c r="G151" s="199"/>
      <c r="H151" s="199"/>
      <c r="I151" s="199"/>
      <c r="J151" s="199"/>
    </row>
    <row r="152" spans="3:10" x14ac:dyDescent="0.2">
      <c r="C152" s="226"/>
      <c r="D152" s="199"/>
      <c r="E152" s="199"/>
      <c r="F152" s="199"/>
      <c r="G152" s="199"/>
      <c r="H152" s="199"/>
      <c r="I152" s="199"/>
      <c r="J152" s="199"/>
    </row>
    <row r="153" spans="3:10" x14ac:dyDescent="0.2">
      <c r="C153" s="226"/>
      <c r="D153" s="199"/>
      <c r="E153" s="199"/>
      <c r="F153" s="199"/>
      <c r="G153" s="199"/>
      <c r="H153" s="199"/>
      <c r="I153" s="199"/>
      <c r="J153" s="199"/>
    </row>
    <row r="154" spans="3:10" x14ac:dyDescent="0.2">
      <c r="C154" s="226"/>
      <c r="D154" s="199"/>
      <c r="E154" s="199"/>
      <c r="F154" s="199"/>
      <c r="G154" s="199"/>
      <c r="H154" s="199"/>
      <c r="I154" s="199"/>
      <c r="J154" s="199"/>
    </row>
    <row r="155" spans="3:10" x14ac:dyDescent="0.2">
      <c r="C155" s="226"/>
      <c r="D155" s="199"/>
      <c r="E155" s="199"/>
      <c r="F155" s="199"/>
      <c r="G155" s="199"/>
      <c r="H155" s="199"/>
      <c r="I155" s="199"/>
      <c r="J155" s="199"/>
    </row>
    <row r="156" spans="3:10" x14ac:dyDescent="0.2">
      <c r="C156" s="226"/>
      <c r="D156" s="199"/>
      <c r="E156" s="199"/>
      <c r="F156" s="199"/>
      <c r="G156" s="199"/>
      <c r="H156" s="199"/>
      <c r="I156" s="199"/>
      <c r="J156" s="199"/>
    </row>
    <row r="157" spans="3:10" x14ac:dyDescent="0.2">
      <c r="C157" s="226"/>
      <c r="D157" s="199"/>
      <c r="E157" s="199"/>
      <c r="F157" s="199"/>
      <c r="G157" s="199"/>
      <c r="H157" s="199"/>
      <c r="I157" s="199"/>
      <c r="J157" s="199"/>
    </row>
    <row r="158" spans="3:10" x14ac:dyDescent="0.2">
      <c r="C158" s="226"/>
      <c r="D158" s="199"/>
      <c r="E158" s="199"/>
      <c r="F158" s="199"/>
      <c r="G158" s="199"/>
      <c r="H158" s="199"/>
      <c r="I158" s="199"/>
      <c r="J158" s="199"/>
    </row>
    <row r="159" spans="3:10" x14ac:dyDescent="0.2">
      <c r="C159" s="226"/>
      <c r="D159" s="199"/>
      <c r="E159" s="199"/>
      <c r="F159" s="199"/>
      <c r="G159" s="199"/>
      <c r="H159" s="199"/>
      <c r="I159" s="199"/>
      <c r="J159" s="199"/>
    </row>
    <row r="160" spans="3:10" x14ac:dyDescent="0.2">
      <c r="C160" s="226"/>
      <c r="D160" s="199"/>
      <c r="E160" s="199"/>
      <c r="F160" s="199"/>
      <c r="G160" s="199"/>
      <c r="H160" s="199"/>
      <c r="I160" s="199"/>
      <c r="J160" s="199"/>
    </row>
    <row r="161" spans="3:10" x14ac:dyDescent="0.2">
      <c r="C161" s="226"/>
      <c r="D161" s="199"/>
      <c r="E161" s="199"/>
      <c r="F161" s="199"/>
      <c r="G161" s="199"/>
      <c r="H161" s="199"/>
      <c r="I161" s="199"/>
      <c r="J161" s="199"/>
    </row>
    <row r="162" spans="3:10" x14ac:dyDescent="0.2">
      <c r="C162" s="226"/>
      <c r="D162" s="199"/>
      <c r="E162" s="199"/>
      <c r="F162" s="199"/>
      <c r="G162" s="199"/>
      <c r="H162" s="199"/>
      <c r="I162" s="199"/>
      <c r="J162" s="199"/>
    </row>
    <row r="163" spans="3:10" x14ac:dyDescent="0.2">
      <c r="C163" s="226"/>
      <c r="D163" s="199"/>
      <c r="E163" s="199"/>
      <c r="F163" s="199"/>
      <c r="G163" s="199"/>
      <c r="H163" s="199"/>
      <c r="I163" s="199"/>
      <c r="J163" s="199"/>
    </row>
    <row r="164" spans="3:10" x14ac:dyDescent="0.2">
      <c r="C164" s="226"/>
      <c r="D164" s="199"/>
      <c r="E164" s="199"/>
      <c r="F164" s="199"/>
      <c r="G164" s="199"/>
      <c r="H164" s="199"/>
      <c r="I164" s="199"/>
      <c r="J164" s="199"/>
    </row>
    <row r="165" spans="3:10" x14ac:dyDescent="0.2">
      <c r="C165" s="226"/>
      <c r="D165" s="199"/>
      <c r="E165" s="199"/>
      <c r="F165" s="199"/>
      <c r="G165" s="199"/>
      <c r="H165" s="199"/>
      <c r="I165" s="199"/>
      <c r="J165" s="199"/>
    </row>
    <row r="166" spans="3:10" x14ac:dyDescent="0.2">
      <c r="C166" s="226"/>
      <c r="D166" s="199"/>
      <c r="E166" s="199"/>
      <c r="F166" s="199"/>
      <c r="G166" s="199"/>
      <c r="H166" s="199"/>
      <c r="I166" s="199"/>
      <c r="J166" s="199"/>
    </row>
    <row r="167" spans="3:10" x14ac:dyDescent="0.2">
      <c r="C167" s="226"/>
      <c r="D167" s="199"/>
      <c r="E167" s="199"/>
      <c r="F167" s="199"/>
      <c r="G167" s="199"/>
      <c r="H167" s="199"/>
      <c r="I167" s="199"/>
      <c r="J167" s="199"/>
    </row>
    <row r="168" spans="3:10" x14ac:dyDescent="0.2">
      <c r="C168" s="226"/>
      <c r="D168" s="199"/>
      <c r="E168" s="199"/>
      <c r="F168" s="199"/>
      <c r="G168" s="199"/>
      <c r="H168" s="199"/>
      <c r="I168" s="199"/>
      <c r="J168" s="199"/>
    </row>
    <row r="169" spans="3:10" x14ac:dyDescent="0.2">
      <c r="C169" s="226"/>
      <c r="D169" s="199"/>
      <c r="E169" s="199"/>
      <c r="F169" s="199"/>
      <c r="G169" s="199"/>
      <c r="H169" s="199"/>
      <c r="I169" s="199"/>
      <c r="J169" s="199"/>
    </row>
    <row r="170" spans="3:10" x14ac:dyDescent="0.2">
      <c r="C170" s="226"/>
      <c r="D170" s="199"/>
      <c r="E170" s="199"/>
      <c r="F170" s="199"/>
      <c r="G170" s="199"/>
      <c r="H170" s="199"/>
      <c r="I170" s="199"/>
      <c r="J170" s="199"/>
    </row>
    <row r="171" spans="3:10" x14ac:dyDescent="0.2">
      <c r="C171" s="226"/>
      <c r="D171" s="199"/>
      <c r="E171" s="199"/>
      <c r="F171" s="199"/>
      <c r="G171" s="199"/>
      <c r="H171" s="199"/>
      <c r="I171" s="199"/>
      <c r="J171" s="199"/>
    </row>
    <row r="172" spans="3:10" x14ac:dyDescent="0.2">
      <c r="C172" s="226"/>
      <c r="D172" s="199"/>
      <c r="E172" s="199"/>
      <c r="F172" s="199"/>
      <c r="G172" s="199"/>
      <c r="H172" s="199"/>
      <c r="I172" s="199"/>
      <c r="J172" s="199"/>
    </row>
    <row r="173" spans="3:10" x14ac:dyDescent="0.2">
      <c r="C173" s="226"/>
      <c r="D173" s="199"/>
      <c r="E173" s="199"/>
      <c r="F173" s="199"/>
      <c r="G173" s="199"/>
      <c r="H173" s="199"/>
      <c r="I173" s="199"/>
      <c r="J173" s="199"/>
    </row>
    <row r="174" spans="3:10" x14ac:dyDescent="0.2">
      <c r="C174" s="226"/>
      <c r="D174" s="199"/>
      <c r="E174" s="199"/>
      <c r="F174" s="199"/>
      <c r="G174" s="199"/>
      <c r="H174" s="199"/>
      <c r="I174" s="199"/>
      <c r="J174" s="199"/>
    </row>
    <row r="175" spans="3:10" x14ac:dyDescent="0.2">
      <c r="C175" s="226"/>
      <c r="D175" s="199"/>
      <c r="E175" s="199"/>
      <c r="F175" s="199"/>
      <c r="G175" s="199"/>
      <c r="H175" s="199"/>
      <c r="I175" s="199"/>
      <c r="J175" s="199"/>
    </row>
    <row r="176" spans="3:10" x14ac:dyDescent="0.2">
      <c r="C176" s="226"/>
      <c r="D176" s="199"/>
      <c r="E176" s="199"/>
      <c r="F176" s="199"/>
      <c r="G176" s="199"/>
      <c r="H176" s="199"/>
      <c r="I176" s="199"/>
      <c r="J176" s="199"/>
    </row>
    <row r="177" spans="3:10" x14ac:dyDescent="0.2">
      <c r="C177" s="226"/>
      <c r="D177" s="199"/>
      <c r="E177" s="199"/>
      <c r="F177" s="199"/>
      <c r="G177" s="199"/>
      <c r="H177" s="199"/>
      <c r="I177" s="199"/>
      <c r="J177" s="199"/>
    </row>
    <row r="178" spans="3:10" x14ac:dyDescent="0.2">
      <c r="C178" s="226"/>
      <c r="D178" s="199"/>
      <c r="E178" s="199"/>
      <c r="F178" s="199"/>
      <c r="G178" s="199"/>
      <c r="H178" s="199"/>
      <c r="I178" s="199"/>
      <c r="J178" s="199"/>
    </row>
    <row r="179" spans="3:10" x14ac:dyDescent="0.2">
      <c r="C179" s="226"/>
      <c r="D179" s="199"/>
      <c r="E179" s="199"/>
      <c r="F179" s="199"/>
      <c r="G179" s="199"/>
      <c r="H179" s="199"/>
      <c r="I179" s="199"/>
      <c r="J179" s="199"/>
    </row>
    <row r="180" spans="3:10" x14ac:dyDescent="0.2">
      <c r="C180" s="226"/>
      <c r="D180" s="199"/>
      <c r="E180" s="199"/>
      <c r="F180" s="199"/>
      <c r="G180" s="199"/>
      <c r="H180" s="199"/>
      <c r="I180" s="199"/>
      <c r="J180" s="199"/>
    </row>
    <row r="181" spans="3:10" x14ac:dyDescent="0.2">
      <c r="C181" s="226"/>
      <c r="D181" s="199"/>
      <c r="E181" s="199"/>
      <c r="F181" s="199"/>
      <c r="G181" s="199"/>
      <c r="H181" s="199"/>
      <c r="I181" s="199"/>
      <c r="J181" s="199"/>
    </row>
    <row r="182" spans="3:10" x14ac:dyDescent="0.2">
      <c r="C182" s="226"/>
      <c r="D182" s="199"/>
      <c r="E182" s="199"/>
      <c r="F182" s="199"/>
      <c r="G182" s="199"/>
      <c r="H182" s="199"/>
      <c r="I182" s="199"/>
      <c r="J182" s="199"/>
    </row>
    <row r="183" spans="3:10" x14ac:dyDescent="0.2">
      <c r="C183" s="226"/>
      <c r="D183" s="199"/>
      <c r="E183" s="199"/>
      <c r="F183" s="199"/>
      <c r="G183" s="199"/>
      <c r="H183" s="199"/>
      <c r="I183" s="199"/>
      <c r="J183" s="199"/>
    </row>
    <row r="184" spans="3:10" x14ac:dyDescent="0.2">
      <c r="C184" s="226"/>
      <c r="D184" s="199"/>
      <c r="E184" s="199"/>
      <c r="F184" s="199"/>
      <c r="G184" s="199"/>
      <c r="H184" s="199"/>
      <c r="I184" s="199"/>
      <c r="J184" s="199"/>
    </row>
    <row r="185" spans="3:10" x14ac:dyDescent="0.2">
      <c r="C185" s="226"/>
      <c r="D185" s="199"/>
      <c r="E185" s="199"/>
      <c r="F185" s="199"/>
      <c r="G185" s="199"/>
      <c r="H185" s="199"/>
      <c r="I185" s="199"/>
      <c r="J185" s="199"/>
    </row>
    <row r="186" spans="3:10" x14ac:dyDescent="0.2">
      <c r="C186" s="226"/>
      <c r="D186" s="199"/>
      <c r="E186" s="199"/>
      <c r="F186" s="199"/>
      <c r="G186" s="199"/>
      <c r="H186" s="199"/>
      <c r="I186" s="199"/>
      <c r="J186" s="199"/>
    </row>
    <row r="187" spans="3:10" x14ac:dyDescent="0.2">
      <c r="C187" s="226"/>
      <c r="D187" s="199"/>
      <c r="E187" s="199"/>
      <c r="F187" s="199"/>
      <c r="G187" s="199"/>
      <c r="H187" s="199"/>
      <c r="I187" s="199"/>
      <c r="J187" s="199"/>
    </row>
    <row r="188" spans="3:10" x14ac:dyDescent="0.2">
      <c r="C188" s="226"/>
      <c r="D188" s="199"/>
      <c r="E188" s="199"/>
      <c r="F188" s="199"/>
      <c r="G188" s="199"/>
      <c r="H188" s="199"/>
      <c r="I188" s="199"/>
      <c r="J188" s="199"/>
    </row>
    <row r="189" spans="3:10" x14ac:dyDescent="0.2">
      <c r="C189" s="226"/>
      <c r="D189" s="199"/>
      <c r="E189" s="199"/>
      <c r="F189" s="199"/>
      <c r="G189" s="199"/>
      <c r="H189" s="199"/>
      <c r="I189" s="199"/>
      <c r="J189" s="199"/>
    </row>
    <row r="190" spans="3:10" x14ac:dyDescent="0.2">
      <c r="C190" s="226"/>
      <c r="D190" s="199"/>
      <c r="E190" s="199"/>
      <c r="F190" s="199"/>
      <c r="G190" s="199"/>
      <c r="H190" s="199"/>
      <c r="I190" s="199"/>
      <c r="J190" s="199"/>
    </row>
    <row r="191" spans="3:10" x14ac:dyDescent="0.2">
      <c r="C191" s="226"/>
      <c r="D191" s="199"/>
      <c r="E191" s="199"/>
      <c r="F191" s="199"/>
      <c r="G191" s="199"/>
      <c r="H191" s="199"/>
      <c r="I191" s="199"/>
      <c r="J191" s="199"/>
    </row>
    <row r="192" spans="3:10" x14ac:dyDescent="0.2">
      <c r="C192" s="226"/>
      <c r="D192" s="199"/>
      <c r="E192" s="199"/>
      <c r="F192" s="199"/>
      <c r="G192" s="199"/>
      <c r="H192" s="199"/>
      <c r="I192" s="199"/>
      <c r="J192" s="199"/>
    </row>
    <row r="193" spans="3:28" x14ac:dyDescent="0.2">
      <c r="C193" s="226"/>
      <c r="D193" s="199"/>
      <c r="E193" s="199"/>
      <c r="F193" s="199"/>
      <c r="G193" s="199"/>
      <c r="H193" s="199"/>
      <c r="I193" s="199"/>
      <c r="J193" s="199"/>
    </row>
    <row r="194" spans="3:28" x14ac:dyDescent="0.2">
      <c r="C194" s="226"/>
      <c r="D194" s="199"/>
      <c r="E194" s="199"/>
      <c r="F194" s="199"/>
      <c r="G194" s="199"/>
      <c r="H194" s="199"/>
      <c r="I194" s="199"/>
      <c r="J194" s="199"/>
    </row>
    <row r="195" spans="3:28" x14ac:dyDescent="0.2">
      <c r="C195" s="226"/>
      <c r="D195" s="199"/>
    </row>
    <row r="196" spans="3:28" x14ac:dyDescent="0.2">
      <c r="C196" s="226"/>
      <c r="D196" s="199"/>
      <c r="AA196" s="226"/>
      <c r="AB196" s="199"/>
    </row>
    <row r="197" spans="3:28" x14ac:dyDescent="0.2">
      <c r="C197" s="226"/>
      <c r="D197" s="199"/>
      <c r="AA197" s="226"/>
      <c r="AB197" s="199"/>
    </row>
    <row r="198" spans="3:28" x14ac:dyDescent="0.2">
      <c r="C198" s="226"/>
      <c r="D198" s="199"/>
      <c r="AA198" s="226"/>
      <c r="AB198" s="199"/>
    </row>
    <row r="199" spans="3:28" x14ac:dyDescent="0.2">
      <c r="C199" s="226"/>
      <c r="D199" s="199"/>
      <c r="AA199" s="226"/>
      <c r="AB199" s="199"/>
    </row>
    <row r="200" spans="3:28" x14ac:dyDescent="0.2">
      <c r="C200" s="226"/>
      <c r="D200" s="199"/>
      <c r="AA200" s="226"/>
      <c r="AB200" s="199"/>
    </row>
    <row r="201" spans="3:28" x14ac:dyDescent="0.2">
      <c r="C201" s="226"/>
      <c r="D201" s="199"/>
      <c r="AA201" s="226"/>
      <c r="AB201" s="199"/>
    </row>
    <row r="202" spans="3:28" x14ac:dyDescent="0.2">
      <c r="C202" s="226"/>
      <c r="D202" s="199"/>
      <c r="AA202" s="226"/>
      <c r="AB202" s="199"/>
    </row>
    <row r="203" spans="3:28" x14ac:dyDescent="0.2">
      <c r="C203" s="226"/>
      <c r="D203" s="199"/>
      <c r="AA203" s="226"/>
      <c r="AB203" s="199"/>
    </row>
    <row r="204" spans="3:28" x14ac:dyDescent="0.2">
      <c r="C204" s="226"/>
      <c r="D204" s="199"/>
      <c r="AA204" s="226"/>
      <c r="AB204" s="199"/>
    </row>
    <row r="205" spans="3:28" x14ac:dyDescent="0.2">
      <c r="C205" s="226"/>
      <c r="D205" s="199"/>
      <c r="AA205" s="226"/>
      <c r="AB205" s="199"/>
    </row>
    <row r="206" spans="3:28" x14ac:dyDescent="0.2">
      <c r="AA206" s="226"/>
      <c r="AB206" s="199"/>
    </row>
    <row r="207" spans="3:28" x14ac:dyDescent="0.2">
      <c r="AA207" s="226"/>
      <c r="AB207" s="199"/>
    </row>
    <row r="208" spans="3:28" x14ac:dyDescent="0.2">
      <c r="AA208" s="226"/>
      <c r="AB208" s="199"/>
    </row>
    <row r="209" spans="27:28" x14ac:dyDescent="0.2">
      <c r="AA209" s="226"/>
      <c r="AB209" s="199"/>
    </row>
    <row r="210" spans="27:28" x14ac:dyDescent="0.2">
      <c r="AA210" s="226"/>
      <c r="AB210" s="199"/>
    </row>
    <row r="211" spans="27:28" x14ac:dyDescent="0.2">
      <c r="AA211" s="226"/>
      <c r="AB211" s="199"/>
    </row>
    <row r="212" spans="27:28" x14ac:dyDescent="0.2">
      <c r="AA212" s="226"/>
      <c r="AB212" s="199"/>
    </row>
    <row r="213" spans="27:28" x14ac:dyDescent="0.2">
      <c r="AA213" s="226"/>
      <c r="AB213" s="199"/>
    </row>
    <row r="214" spans="27:28" x14ac:dyDescent="0.2">
      <c r="AA214" s="226"/>
      <c r="AB214" s="199"/>
    </row>
    <row r="215" spans="27:28" x14ac:dyDescent="0.2">
      <c r="AA215" s="226"/>
      <c r="AB215" s="199"/>
    </row>
    <row r="216" spans="27:28" x14ac:dyDescent="0.2">
      <c r="AA216" s="226"/>
      <c r="AB216" s="199"/>
    </row>
    <row r="217" spans="27:28" x14ac:dyDescent="0.2">
      <c r="AA217" s="226"/>
      <c r="AB217" s="199"/>
    </row>
    <row r="218" spans="27:28" x14ac:dyDescent="0.2">
      <c r="AA218" s="226"/>
      <c r="AB218" s="199"/>
    </row>
    <row r="219" spans="27:28" x14ac:dyDescent="0.2">
      <c r="AA219" s="226"/>
      <c r="AB219" s="199"/>
    </row>
    <row r="220" spans="27:28" x14ac:dyDescent="0.2">
      <c r="AA220" s="226"/>
      <c r="AB220" s="199"/>
    </row>
    <row r="221" spans="27:28" x14ac:dyDescent="0.2">
      <c r="AA221" s="226"/>
      <c r="AB221" s="199"/>
    </row>
    <row r="222" spans="27:28" x14ac:dyDescent="0.2">
      <c r="AA222" s="226"/>
      <c r="AB222" s="199"/>
    </row>
    <row r="223" spans="27:28" x14ac:dyDescent="0.2">
      <c r="AA223" s="226"/>
      <c r="AB223" s="199"/>
    </row>
    <row r="224" spans="27:28" x14ac:dyDescent="0.2">
      <c r="AA224" s="226"/>
      <c r="AB224" s="199"/>
    </row>
    <row r="225" spans="27:28" x14ac:dyDescent="0.2">
      <c r="AA225" s="226"/>
      <c r="AB225" s="199"/>
    </row>
    <row r="226" spans="27:28" x14ac:dyDescent="0.2">
      <c r="AA226" s="226"/>
      <c r="AB226" s="199"/>
    </row>
    <row r="227" spans="27:28" x14ac:dyDescent="0.2">
      <c r="AA227" s="226"/>
      <c r="AB227" s="199"/>
    </row>
    <row r="228" spans="27:28" x14ac:dyDescent="0.2">
      <c r="AA228" s="226"/>
      <c r="AB228" s="199"/>
    </row>
    <row r="229" spans="27:28" x14ac:dyDescent="0.2">
      <c r="AA229" s="226"/>
      <c r="AB229" s="199"/>
    </row>
    <row r="230" spans="27:28" x14ac:dyDescent="0.2">
      <c r="AA230" s="226"/>
      <c r="AB230" s="199"/>
    </row>
    <row r="231" spans="27:28" x14ac:dyDescent="0.2">
      <c r="AA231" s="226"/>
      <c r="AB231" s="199"/>
    </row>
    <row r="232" spans="27:28" x14ac:dyDescent="0.2">
      <c r="AA232" s="226"/>
      <c r="AB232" s="199"/>
    </row>
    <row r="233" spans="27:28" x14ac:dyDescent="0.2">
      <c r="AA233" s="226"/>
      <c r="AB233" s="199"/>
    </row>
    <row r="234" spans="27:28" x14ac:dyDescent="0.2">
      <c r="AA234" s="226"/>
      <c r="AB234" s="199"/>
    </row>
    <row r="235" spans="27:28" x14ac:dyDescent="0.2">
      <c r="AA235" s="226"/>
      <c r="AB235" s="199"/>
    </row>
    <row r="236" spans="27:28" x14ac:dyDescent="0.2">
      <c r="AA236" s="226"/>
      <c r="AB236" s="199"/>
    </row>
    <row r="237" spans="27:28" x14ac:dyDescent="0.2">
      <c r="AA237" s="226"/>
      <c r="AB237" s="199"/>
    </row>
    <row r="238" spans="27:28" x14ac:dyDescent="0.2">
      <c r="AA238" s="226"/>
      <c r="AB238" s="199"/>
    </row>
    <row r="239" spans="27:28" x14ac:dyDescent="0.2">
      <c r="AA239" s="226"/>
      <c r="AB239" s="199"/>
    </row>
    <row r="240" spans="27:28" x14ac:dyDescent="0.2">
      <c r="AA240" s="226"/>
      <c r="AB240" s="199"/>
    </row>
    <row r="241" spans="27:28" x14ac:dyDescent="0.2">
      <c r="AA241" s="226"/>
      <c r="AB241" s="199"/>
    </row>
    <row r="242" spans="27:28" x14ac:dyDescent="0.2">
      <c r="AA242" s="226"/>
      <c r="AB242" s="199"/>
    </row>
    <row r="243" spans="27:28" x14ac:dyDescent="0.2">
      <c r="AA243" s="226"/>
      <c r="AB243" s="199"/>
    </row>
    <row r="244" spans="27:28" x14ac:dyDescent="0.2">
      <c r="AA244" s="226"/>
      <c r="AB244" s="199"/>
    </row>
    <row r="245" spans="27:28" x14ac:dyDescent="0.2">
      <c r="AA245" s="226"/>
      <c r="AB245" s="199"/>
    </row>
    <row r="246" spans="27:28" x14ac:dyDescent="0.2">
      <c r="AA246" s="226"/>
      <c r="AB246" s="199"/>
    </row>
    <row r="247" spans="27:28" x14ac:dyDescent="0.2">
      <c r="AA247" s="226"/>
      <c r="AB247" s="199"/>
    </row>
    <row r="248" spans="27:28" x14ac:dyDescent="0.2">
      <c r="AA248" s="226"/>
      <c r="AB248" s="199"/>
    </row>
    <row r="249" spans="27:28" x14ac:dyDescent="0.2">
      <c r="AA249" s="226"/>
      <c r="AB249" s="199"/>
    </row>
    <row r="250" spans="27:28" x14ac:dyDescent="0.2">
      <c r="AA250" s="226"/>
      <c r="AB250" s="199"/>
    </row>
    <row r="251" spans="27:28" x14ac:dyDescent="0.2">
      <c r="AA251" s="226"/>
      <c r="AB251" s="199"/>
    </row>
    <row r="252" spans="27:28" x14ac:dyDescent="0.2">
      <c r="AA252" s="226"/>
      <c r="AB252" s="199"/>
    </row>
    <row r="253" spans="27:28" x14ac:dyDescent="0.2">
      <c r="AA253" s="226"/>
      <c r="AB253" s="199"/>
    </row>
    <row r="254" spans="27:28" x14ac:dyDescent="0.2">
      <c r="AA254" s="226"/>
      <c r="AB254" s="199"/>
    </row>
    <row r="255" spans="27:28" x14ac:dyDescent="0.2">
      <c r="AA255" s="226"/>
      <c r="AB255" s="199"/>
    </row>
    <row r="256" spans="27:28" x14ac:dyDescent="0.2">
      <c r="AA256" s="226"/>
      <c r="AB256" s="199"/>
    </row>
    <row r="257" spans="27:28" x14ac:dyDescent="0.2">
      <c r="AA257" s="226"/>
      <c r="AB257" s="199"/>
    </row>
    <row r="258" spans="27:28" x14ac:dyDescent="0.2">
      <c r="AA258" s="226"/>
      <c r="AB258" s="199"/>
    </row>
    <row r="259" spans="27:28" x14ac:dyDescent="0.2">
      <c r="AA259" s="226"/>
      <c r="AB259" s="199"/>
    </row>
    <row r="260" spans="27:28" x14ac:dyDescent="0.2">
      <c r="AA260" s="226"/>
      <c r="AB260" s="199"/>
    </row>
    <row r="261" spans="27:28" x14ac:dyDescent="0.2">
      <c r="AA261" s="226"/>
      <c r="AB261" s="199"/>
    </row>
    <row r="262" spans="27:28" x14ac:dyDescent="0.2">
      <c r="AA262" s="226"/>
      <c r="AB262" s="199"/>
    </row>
    <row r="263" spans="27:28" x14ac:dyDescent="0.2">
      <c r="AA263" s="226"/>
      <c r="AB263" s="199"/>
    </row>
    <row r="264" spans="27:28" x14ac:dyDescent="0.2">
      <c r="AA264" s="226"/>
      <c r="AB264" s="199"/>
    </row>
    <row r="265" spans="27:28" x14ac:dyDescent="0.2">
      <c r="AA265" s="226"/>
      <c r="AB265" s="199"/>
    </row>
    <row r="266" spans="27:28" x14ac:dyDescent="0.2">
      <c r="AA266" s="226"/>
      <c r="AB266" s="199"/>
    </row>
    <row r="267" spans="27:28" x14ac:dyDescent="0.2">
      <c r="AA267" s="226"/>
      <c r="AB267" s="199"/>
    </row>
    <row r="268" spans="27:28" x14ac:dyDescent="0.2">
      <c r="AA268" s="226"/>
      <c r="AB268" s="199"/>
    </row>
    <row r="269" spans="27:28" x14ac:dyDescent="0.2">
      <c r="AA269" s="226"/>
      <c r="AB269" s="199"/>
    </row>
    <row r="270" spans="27:28" x14ac:dyDescent="0.2">
      <c r="AA270" s="226"/>
      <c r="AB270" s="199"/>
    </row>
    <row r="271" spans="27:28" x14ac:dyDescent="0.2">
      <c r="AA271" s="226"/>
      <c r="AB271" s="199"/>
    </row>
    <row r="272" spans="27:28" x14ac:dyDescent="0.2">
      <c r="AA272" s="226"/>
      <c r="AB272" s="199"/>
    </row>
    <row r="273" spans="27:28" x14ac:dyDescent="0.2">
      <c r="AA273" s="226"/>
      <c r="AB273" s="199"/>
    </row>
    <row r="274" spans="27:28" x14ac:dyDescent="0.2">
      <c r="AA274" s="226"/>
      <c r="AB274" s="199"/>
    </row>
    <row r="275" spans="27:28" x14ac:dyDescent="0.2">
      <c r="AA275" s="226"/>
      <c r="AB275" s="199"/>
    </row>
    <row r="276" spans="27:28" x14ac:dyDescent="0.2">
      <c r="AA276" s="226"/>
      <c r="AB276" s="199"/>
    </row>
    <row r="277" spans="27:28" x14ac:dyDescent="0.2">
      <c r="AA277" s="226"/>
      <c r="AB277" s="199"/>
    </row>
    <row r="278" spans="27:28" x14ac:dyDescent="0.2">
      <c r="AA278" s="226"/>
      <c r="AB278" s="199"/>
    </row>
    <row r="279" spans="27:28" x14ac:dyDescent="0.2">
      <c r="AA279" s="226"/>
      <c r="AB279" s="199"/>
    </row>
    <row r="280" spans="27:28" x14ac:dyDescent="0.2">
      <c r="AA280" s="226"/>
      <c r="AB280" s="199"/>
    </row>
    <row r="281" spans="27:28" x14ac:dyDescent="0.2">
      <c r="AA281" s="226"/>
      <c r="AB281" s="199"/>
    </row>
    <row r="282" spans="27:28" x14ac:dyDescent="0.2">
      <c r="AA282" s="226"/>
      <c r="AB282" s="199"/>
    </row>
    <row r="283" spans="27:28" x14ac:dyDescent="0.2">
      <c r="AA283" s="226"/>
      <c r="AB283" s="199"/>
    </row>
    <row r="284" spans="27:28" x14ac:dyDescent="0.2">
      <c r="AA284" s="226"/>
      <c r="AB284" s="199"/>
    </row>
    <row r="285" spans="27:28" x14ac:dyDescent="0.2">
      <c r="AA285" s="226"/>
      <c r="AB285" s="199"/>
    </row>
    <row r="286" spans="27:28" x14ac:dyDescent="0.2">
      <c r="AA286" s="226"/>
      <c r="AB286" s="199"/>
    </row>
    <row r="287" spans="27:28" x14ac:dyDescent="0.2">
      <c r="AA287" s="226"/>
      <c r="AB287" s="199"/>
    </row>
    <row r="288" spans="27:28" x14ac:dyDescent="0.2">
      <c r="AA288" s="226"/>
      <c r="AB288" s="199"/>
    </row>
    <row r="289" spans="27:28" x14ac:dyDescent="0.2">
      <c r="AA289" s="226"/>
      <c r="AB289" s="199"/>
    </row>
    <row r="290" spans="27:28" x14ac:dyDescent="0.2">
      <c r="AA290" s="226"/>
      <c r="AB290" s="199"/>
    </row>
    <row r="291" spans="27:28" x14ac:dyDescent="0.2">
      <c r="AA291" s="226"/>
      <c r="AB291" s="199"/>
    </row>
    <row r="292" spans="27:28" x14ac:dyDescent="0.2">
      <c r="AA292" s="226"/>
      <c r="AB292" s="199"/>
    </row>
    <row r="293" spans="27:28" x14ac:dyDescent="0.2">
      <c r="AA293" s="226"/>
      <c r="AB293" s="199"/>
    </row>
    <row r="294" spans="27:28" x14ac:dyDescent="0.2">
      <c r="AA294" s="226"/>
      <c r="AB294" s="199"/>
    </row>
    <row r="295" spans="27:28" x14ac:dyDescent="0.2">
      <c r="AA295" s="226"/>
      <c r="AB295" s="199"/>
    </row>
    <row r="296" spans="27:28" x14ac:dyDescent="0.2">
      <c r="AA296" s="226"/>
      <c r="AB296" s="199"/>
    </row>
    <row r="297" spans="27:28" x14ac:dyDescent="0.2">
      <c r="AA297" s="226"/>
      <c r="AB297" s="199"/>
    </row>
    <row r="298" spans="27:28" x14ac:dyDescent="0.2">
      <c r="AA298" s="226"/>
      <c r="AB298" s="199"/>
    </row>
    <row r="299" spans="27:28" x14ac:dyDescent="0.2">
      <c r="AA299" s="226"/>
      <c r="AB299" s="199"/>
    </row>
    <row r="300" spans="27:28" x14ac:dyDescent="0.2">
      <c r="AA300" s="226"/>
      <c r="AB300" s="199"/>
    </row>
    <row r="301" spans="27:28" x14ac:dyDescent="0.2">
      <c r="AA301" s="226"/>
      <c r="AB301" s="199"/>
    </row>
    <row r="302" spans="27:28" x14ac:dyDescent="0.2">
      <c r="AA302" s="226"/>
      <c r="AB302" s="199"/>
    </row>
    <row r="303" spans="27:28" x14ac:dyDescent="0.2">
      <c r="AA303" s="226"/>
      <c r="AB303" s="199"/>
    </row>
    <row r="304" spans="27:28" x14ac:dyDescent="0.2">
      <c r="AA304" s="226"/>
      <c r="AB304" s="199"/>
    </row>
    <row r="305" spans="27:28" x14ac:dyDescent="0.2">
      <c r="AA305" s="226"/>
      <c r="AB305" s="199"/>
    </row>
    <row r="306" spans="27:28" x14ac:dyDescent="0.2">
      <c r="AA306" s="226"/>
      <c r="AB306" s="199"/>
    </row>
    <row r="307" spans="27:28" x14ac:dyDescent="0.2">
      <c r="AA307" s="226"/>
      <c r="AB307" s="199"/>
    </row>
    <row r="308" spans="27:28" x14ac:dyDescent="0.2">
      <c r="AA308" s="226"/>
      <c r="AB308" s="199"/>
    </row>
    <row r="309" spans="27:28" x14ac:dyDescent="0.2">
      <c r="AA309" s="226"/>
      <c r="AB309" s="199"/>
    </row>
    <row r="310" spans="27:28" x14ac:dyDescent="0.2">
      <c r="AA310" s="226"/>
      <c r="AB310" s="199"/>
    </row>
    <row r="311" spans="27:28" x14ac:dyDescent="0.2">
      <c r="AA311" s="226"/>
      <c r="AB311" s="199"/>
    </row>
    <row r="312" spans="27:28" x14ac:dyDescent="0.2">
      <c r="AA312" s="226"/>
      <c r="AB312" s="199"/>
    </row>
    <row r="313" spans="27:28" x14ac:dyDescent="0.2">
      <c r="AA313" s="226"/>
      <c r="AB313" s="199"/>
    </row>
    <row r="314" spans="27:28" x14ac:dyDescent="0.2">
      <c r="AA314" s="226"/>
      <c r="AB314" s="199"/>
    </row>
    <row r="315" spans="27:28" x14ac:dyDescent="0.2">
      <c r="AA315" s="226"/>
      <c r="AB315" s="199"/>
    </row>
    <row r="316" spans="27:28" x14ac:dyDescent="0.2">
      <c r="AA316" s="226"/>
      <c r="AB316" s="199"/>
    </row>
    <row r="317" spans="27:28" x14ac:dyDescent="0.2">
      <c r="AA317" s="226"/>
      <c r="AB317" s="199"/>
    </row>
    <row r="318" spans="27:28" x14ac:dyDescent="0.2">
      <c r="AA318" s="226"/>
      <c r="AB318" s="199"/>
    </row>
    <row r="319" spans="27:28" x14ac:dyDescent="0.2">
      <c r="AA319" s="226"/>
      <c r="AB319" s="199"/>
    </row>
    <row r="320" spans="27:28" x14ac:dyDescent="0.2">
      <c r="AA320" s="226"/>
      <c r="AB320" s="199"/>
    </row>
    <row r="321" spans="27:28" x14ac:dyDescent="0.2">
      <c r="AA321" s="226"/>
      <c r="AB321" s="199"/>
    </row>
    <row r="322" spans="27:28" x14ac:dyDescent="0.2">
      <c r="AA322" s="226"/>
      <c r="AB322" s="199"/>
    </row>
    <row r="323" spans="27:28" x14ac:dyDescent="0.2">
      <c r="AA323" s="226"/>
      <c r="AB323" s="199"/>
    </row>
    <row r="324" spans="27:28" x14ac:dyDescent="0.2">
      <c r="AA324" s="226"/>
      <c r="AB324" s="199"/>
    </row>
    <row r="325" spans="27:28" x14ac:dyDescent="0.2">
      <c r="AA325" s="226"/>
      <c r="AB325" s="199"/>
    </row>
    <row r="326" spans="27:28" x14ac:dyDescent="0.2">
      <c r="AA326" s="226"/>
      <c r="AB326" s="199"/>
    </row>
    <row r="327" spans="27:28" x14ac:dyDescent="0.2">
      <c r="AA327" s="226"/>
      <c r="AB327" s="199"/>
    </row>
    <row r="328" spans="27:28" x14ac:dyDescent="0.2">
      <c r="AA328" s="226"/>
      <c r="AB328" s="199"/>
    </row>
    <row r="329" spans="27:28" x14ac:dyDescent="0.2">
      <c r="AA329" s="226"/>
      <c r="AB329" s="199"/>
    </row>
    <row r="330" spans="27:28" x14ac:dyDescent="0.2">
      <c r="AA330" s="226"/>
      <c r="AB330" s="199"/>
    </row>
    <row r="331" spans="27:28" x14ac:dyDescent="0.2">
      <c r="AA331" s="226"/>
      <c r="AB331" s="199"/>
    </row>
    <row r="332" spans="27:28" x14ac:dyDescent="0.2">
      <c r="AA332" s="226"/>
      <c r="AB332" s="199"/>
    </row>
    <row r="333" spans="27:28" x14ac:dyDescent="0.2">
      <c r="AA333" s="226"/>
      <c r="AB333" s="199"/>
    </row>
    <row r="334" spans="27:28" x14ac:dyDescent="0.2">
      <c r="AA334" s="226"/>
      <c r="AB334" s="199"/>
    </row>
    <row r="335" spans="27:28" x14ac:dyDescent="0.2">
      <c r="AA335" s="226"/>
      <c r="AB335" s="199"/>
    </row>
    <row r="336" spans="27:28" x14ac:dyDescent="0.2">
      <c r="AA336" s="226"/>
      <c r="AB336" s="199"/>
    </row>
    <row r="337" spans="27:28" x14ac:dyDescent="0.2">
      <c r="AA337" s="226"/>
      <c r="AB337" s="199"/>
    </row>
    <row r="338" spans="27:28" x14ac:dyDescent="0.2">
      <c r="AA338" s="226"/>
      <c r="AB338" s="199"/>
    </row>
    <row r="339" spans="27:28" x14ac:dyDescent="0.2">
      <c r="AA339" s="226"/>
      <c r="AB339" s="199"/>
    </row>
    <row r="340" spans="27:28" x14ac:dyDescent="0.2">
      <c r="AA340" s="226"/>
      <c r="AB340" s="199"/>
    </row>
    <row r="341" spans="27:28" x14ac:dyDescent="0.2">
      <c r="AA341" s="226"/>
      <c r="AB341" s="199"/>
    </row>
    <row r="342" spans="27:28" x14ac:dyDescent="0.2">
      <c r="AA342" s="226"/>
      <c r="AB342" s="199"/>
    </row>
    <row r="343" spans="27:28" x14ac:dyDescent="0.2">
      <c r="AA343" s="226"/>
      <c r="AB343" s="199"/>
    </row>
    <row r="344" spans="27:28" x14ac:dyDescent="0.2">
      <c r="AA344" s="226"/>
      <c r="AB344" s="199"/>
    </row>
    <row r="345" spans="27:28" x14ac:dyDescent="0.2">
      <c r="AA345" s="226"/>
      <c r="AB345" s="199"/>
    </row>
    <row r="346" spans="27:28" x14ac:dyDescent="0.2">
      <c r="AA346" s="226"/>
      <c r="AB346" s="199"/>
    </row>
    <row r="347" spans="27:28" x14ac:dyDescent="0.2">
      <c r="AA347" s="226"/>
      <c r="AB347" s="199"/>
    </row>
  </sheetData>
  <scenarios current="0">
    <scenario name="solve_piece2_kvalue_maxsize_of_trend" count="1" user="Michael Smit" comment="Created by Michael Smit on 12/12/2019">
      <inputCells r="D68" undone="1" val="935.697667161446" numFmtId="1"/>
    </scenario>
  </scenarios>
  <mergeCells count="1">
    <mergeCell ref="G2:H2"/>
  </mergeCells>
  <phoneticPr fontId="19" type="noConversion"/>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4466D-62CF-41BD-936B-F43F42FE907B}">
  <sheetPr codeName="Sheet18"/>
  <dimension ref="A1:AH350"/>
  <sheetViews>
    <sheetView zoomScale="115" zoomScaleNormal="115" workbookViewId="0">
      <selection activeCell="A11" sqref="A11"/>
    </sheetView>
  </sheetViews>
  <sheetFormatPr defaultRowHeight="11.25" x14ac:dyDescent="0.2"/>
  <cols>
    <col min="1" max="1" width="27.7109375" style="138" customWidth="1"/>
    <col min="2" max="2" width="14.42578125" style="36" customWidth="1"/>
    <col min="3" max="3" width="6.85546875" style="36" customWidth="1"/>
    <col min="4" max="4" width="8.7109375" style="36" customWidth="1"/>
    <col min="5" max="9" width="6.85546875" style="36" customWidth="1"/>
    <col min="10" max="10" width="6.28515625" style="36" customWidth="1"/>
    <col min="11" max="12" width="6.85546875" style="36" customWidth="1"/>
    <col min="13" max="14" width="6.85546875" style="139" customWidth="1"/>
    <col min="15" max="20" width="6.85546875" style="36" customWidth="1"/>
    <col min="21" max="21" width="8.140625" style="36" customWidth="1"/>
    <col min="22" max="16384" width="9.140625" style="36"/>
  </cols>
  <sheetData>
    <row r="1" spans="1:19" x14ac:dyDescent="0.2">
      <c r="M1" s="129"/>
      <c r="N1" s="129"/>
      <c r="O1" s="129"/>
      <c r="P1" s="129"/>
      <c r="Q1" s="129"/>
      <c r="R1" s="129"/>
      <c r="S1" s="129"/>
    </row>
    <row r="2" spans="1:19" x14ac:dyDescent="0.2">
      <c r="A2" s="327" t="s">
        <v>194</v>
      </c>
      <c r="B2" s="127"/>
      <c r="C2" s="131"/>
      <c r="D2" s="350" t="s">
        <v>305</v>
      </c>
      <c r="E2" s="131"/>
      <c r="F2" s="352"/>
      <c r="G2" s="471" t="s">
        <v>304</v>
      </c>
      <c r="H2" s="472"/>
      <c r="J2" s="390" t="s">
        <v>324</v>
      </c>
      <c r="L2" s="129"/>
      <c r="M2" s="129"/>
      <c r="N2" s="129"/>
      <c r="O2" s="129"/>
      <c r="P2" s="129"/>
      <c r="Q2" s="129"/>
      <c r="R2" s="129"/>
      <c r="S2" s="129"/>
    </row>
    <row r="3" spans="1:19" x14ac:dyDescent="0.2">
      <c r="A3" s="327"/>
      <c r="B3" s="143" t="s">
        <v>16</v>
      </c>
      <c r="C3" s="340" t="s">
        <v>306</v>
      </c>
      <c r="D3" s="353" t="s">
        <v>296</v>
      </c>
      <c r="E3" s="374" t="s">
        <v>297</v>
      </c>
      <c r="F3" s="375" t="s">
        <v>298</v>
      </c>
      <c r="G3" s="359" t="str">
        <f>F3</f>
        <v>cumpas</v>
      </c>
      <c r="H3" s="375" t="s">
        <v>297</v>
      </c>
      <c r="L3" s="392" t="s">
        <v>112</v>
      </c>
      <c r="M3" s="392" t="s">
        <v>325</v>
      </c>
      <c r="N3" s="129"/>
      <c r="O3" s="129"/>
      <c r="P3" s="129"/>
      <c r="Q3" s="129"/>
      <c r="R3" s="129"/>
      <c r="S3" s="129"/>
    </row>
    <row r="4" spans="1:19" ht="12.75" x14ac:dyDescent="0.25">
      <c r="B4" s="361" t="str">
        <f>"+"&amp;C4</f>
        <v>+1180</v>
      </c>
      <c r="C4" s="131">
        <v>1180</v>
      </c>
      <c r="D4" s="360">
        <f>data!J5</f>
        <v>10.603333333333333</v>
      </c>
      <c r="E4" s="363">
        <f t="shared" ref="E4:E15" si="0">D4/D$16</f>
        <v>3.5400101270330574E-2</v>
      </c>
      <c r="F4" s="376">
        <f>1-D4/D$16</f>
        <v>0.96459989872966945</v>
      </c>
      <c r="G4" s="362">
        <f t="shared" ref="G4:G14" si="1">IF($C4&gt;=bp_1,($C4/k_1)^n_1,0)+IF(AND($C4&gt;=bp_2,$C4&lt;bp_1),($C4/k_2)^n_2,0)+IF(AND($C4&lt;bp_2,$C4&gt;=bp_3),($C4/k_3)^n_3,0)+IF($C4&lt;bp_3,($C4/k_4)^n_4,0)</f>
        <v>0.96499824473673679</v>
      </c>
      <c r="H4" s="377">
        <f>1-G4</f>
        <v>3.5001755263263212E-2</v>
      </c>
      <c r="I4" s="387" t="s">
        <v>322</v>
      </c>
      <c r="J4" s="390" t="s">
        <v>323</v>
      </c>
      <c r="K4" s="390" t="s">
        <v>326</v>
      </c>
      <c r="L4" s="390" t="s">
        <v>327</v>
      </c>
      <c r="M4" s="392" t="s">
        <v>328</v>
      </c>
      <c r="N4" s="392"/>
      <c r="O4" s="129"/>
      <c r="P4" s="129"/>
      <c r="Q4" s="129"/>
      <c r="R4" s="129"/>
      <c r="S4" s="129"/>
    </row>
    <row r="5" spans="1:19" x14ac:dyDescent="0.2">
      <c r="A5" s="387"/>
      <c r="B5" s="143" t="str">
        <f>C4&amp;" -"&amp;C5</f>
        <v>1180 -600</v>
      </c>
      <c r="C5" s="139">
        <v>600</v>
      </c>
      <c r="D5" s="360">
        <f>data!J6</f>
        <v>23.303333333333331</v>
      </c>
      <c r="E5" s="363">
        <f t="shared" si="0"/>
        <v>7.7800096818887457E-2</v>
      </c>
      <c r="F5" s="376">
        <f t="shared" ref="F5:F15" si="2">F4-D5/D$16</f>
        <v>0.886799801910782</v>
      </c>
      <c r="G5" s="362">
        <f t="shared" si="1"/>
        <v>0.88716601920006899</v>
      </c>
      <c r="H5" s="377">
        <f t="shared" ref="H5:H15" si="3">G4-G5</f>
        <v>7.7832225536667798E-2</v>
      </c>
      <c r="I5" s="162">
        <v>1</v>
      </c>
      <c r="J5" s="36">
        <f>C5</f>
        <v>600</v>
      </c>
      <c r="K5" s="186">
        <f>INDEX($G$4:$G$14,MATCH(J5,$C$4:$C$14,0))</f>
        <v>0.88716601920006899</v>
      </c>
      <c r="L5" s="338">
        <f>(LOG(F$4)-LOG(F$5))/(LOG($C$4)-LOG(bp_1))</f>
        <v>0.12433707978529741</v>
      </c>
      <c r="M5" s="199">
        <v>1571.5558220666189</v>
      </c>
      <c r="N5" s="199"/>
      <c r="O5" s="129"/>
      <c r="P5" s="129"/>
      <c r="Q5" s="129"/>
      <c r="R5" s="129"/>
      <c r="S5" s="129"/>
    </row>
    <row r="6" spans="1:19" x14ac:dyDescent="0.2">
      <c r="B6" s="143" t="str">
        <f t="shared" ref="B6:B15" si="4">C5&amp;" -"&amp;C6</f>
        <v>600 -425</v>
      </c>
      <c r="C6" s="139">
        <v>425</v>
      </c>
      <c r="D6" s="360">
        <f>data!J7</f>
        <v>21.433333333333337</v>
      </c>
      <c r="E6" s="363">
        <f t="shared" si="0"/>
        <v>7.1556947868036971E-2</v>
      </c>
      <c r="F6" s="376">
        <f t="shared" si="2"/>
        <v>0.81524285404274499</v>
      </c>
      <c r="G6" s="362">
        <f t="shared" si="1"/>
        <v>0.81604513086772223</v>
      </c>
      <c r="H6" s="377">
        <f t="shared" si="3"/>
        <v>7.1120888332346754E-2</v>
      </c>
      <c r="I6" s="162">
        <v>2</v>
      </c>
      <c r="J6" s="36">
        <f>C6</f>
        <v>425</v>
      </c>
      <c r="K6" s="186">
        <f t="shared" ref="K6:K8" si="5">INDEX($G$4:$G$14,MATCH(J6,$C$4:$C$14,0))</f>
        <v>0.81604513086772223</v>
      </c>
      <c r="L6" s="338">
        <f>(LOG(F$5)-LOG(F$6))/(LOG(bp_1)-LOG(bp_2))</f>
        <v>0.24397716752317</v>
      </c>
      <c r="M6" s="199">
        <v>977.79977187224597</v>
      </c>
      <c r="N6" s="199"/>
      <c r="O6" s="129"/>
      <c r="P6" s="129"/>
      <c r="Q6" s="129"/>
      <c r="R6" s="129"/>
      <c r="S6" s="129"/>
    </row>
    <row r="7" spans="1:19" x14ac:dyDescent="0.2">
      <c r="B7" s="143" t="str">
        <f t="shared" si="4"/>
        <v>425 -300</v>
      </c>
      <c r="C7" s="129">
        <v>300</v>
      </c>
      <c r="D7" s="360">
        <f>data!J8</f>
        <v>35.303333333333335</v>
      </c>
      <c r="E7" s="363">
        <f t="shared" si="0"/>
        <v>0.11786308473878375</v>
      </c>
      <c r="F7" s="376">
        <f t="shared" si="2"/>
        <v>0.69737976930396128</v>
      </c>
      <c r="G7" s="362">
        <f t="shared" si="1"/>
        <v>0.6986175216130841</v>
      </c>
      <c r="H7" s="377">
        <f t="shared" si="3"/>
        <v>0.11742760925463813</v>
      </c>
      <c r="I7" s="162">
        <v>3</v>
      </c>
      <c r="J7" s="36">
        <f>C7</f>
        <v>300</v>
      </c>
      <c r="K7" s="186">
        <f t="shared" si="5"/>
        <v>0.6986175216130841</v>
      </c>
      <c r="L7" s="338">
        <f>(LOG(F6)-LOG(F7))/(LOG($J$6)-LOG($J$7))</f>
        <v>0.44832880551562548</v>
      </c>
      <c r="M7" s="199">
        <v>667.64563141883866</v>
      </c>
      <c r="N7" s="199"/>
      <c r="O7" s="129"/>
      <c r="P7" s="129"/>
      <c r="Q7" s="129"/>
      <c r="R7" s="129"/>
      <c r="S7" s="129"/>
    </row>
    <row r="8" spans="1:19" x14ac:dyDescent="0.2">
      <c r="B8" s="143" t="str">
        <f t="shared" si="4"/>
        <v>300 -212</v>
      </c>
      <c r="C8" s="129">
        <v>212</v>
      </c>
      <c r="D8" s="360">
        <f>data!J9</f>
        <v>37.611666666666672</v>
      </c>
      <c r="E8" s="363">
        <f t="shared" si="0"/>
        <v>0.12556964560948602</v>
      </c>
      <c r="F8" s="376">
        <f t="shared" si="2"/>
        <v>0.57181012369447526</v>
      </c>
      <c r="G8" s="362">
        <f t="shared" si="1"/>
        <v>0.57348294243749631</v>
      </c>
      <c r="H8" s="377">
        <f t="shared" si="3"/>
        <v>0.12513457917558779</v>
      </c>
      <c r="I8" s="162">
        <v>4</v>
      </c>
      <c r="J8" s="36">
        <f>C8</f>
        <v>212</v>
      </c>
      <c r="K8" s="186">
        <f t="shared" si="5"/>
        <v>0.57348294243749631</v>
      </c>
      <c r="L8" s="338">
        <f>(LOG(F7)-LOG(F14))/(LOG($J$7)-LOG($C$14))</f>
        <v>0.54053417930204462</v>
      </c>
      <c r="M8" s="199">
        <v>593.03207620653052</v>
      </c>
      <c r="N8" s="199"/>
      <c r="O8" s="129"/>
      <c r="P8" s="129"/>
      <c r="Q8" s="129"/>
      <c r="R8" s="129"/>
      <c r="S8" s="129"/>
    </row>
    <row r="9" spans="1:19" x14ac:dyDescent="0.2">
      <c r="B9" s="143" t="str">
        <f t="shared" si="4"/>
        <v>212 -180</v>
      </c>
      <c r="C9" s="129">
        <v>180</v>
      </c>
      <c r="D9" s="360">
        <f>data!J10</f>
        <v>12.778333333333334</v>
      </c>
      <c r="E9" s="363">
        <f t="shared" si="0"/>
        <v>4.2661517830811777E-2</v>
      </c>
      <c r="F9" s="376">
        <f t="shared" si="2"/>
        <v>0.52914860586366352</v>
      </c>
      <c r="G9" s="362">
        <f t="shared" si="1"/>
        <v>0.52493838663665759</v>
      </c>
      <c r="H9" s="377">
        <f t="shared" si="3"/>
        <v>4.8544555800838718E-2</v>
      </c>
      <c r="I9" s="162"/>
      <c r="M9" s="129"/>
      <c r="N9" s="129"/>
      <c r="O9" s="129"/>
      <c r="P9" s="129"/>
      <c r="Q9" s="129"/>
      <c r="R9" s="129"/>
      <c r="S9" s="129"/>
    </row>
    <row r="10" spans="1:19" x14ac:dyDescent="0.2">
      <c r="B10" s="143" t="str">
        <f t="shared" si="4"/>
        <v>180 -150</v>
      </c>
      <c r="C10" s="129">
        <v>150</v>
      </c>
      <c r="D10" s="360">
        <f>data!J11</f>
        <v>15.020000000000001</v>
      </c>
      <c r="E10" s="363">
        <f t="shared" si="0"/>
        <v>5.0145506546403512E-2</v>
      </c>
      <c r="F10" s="376">
        <f t="shared" si="2"/>
        <v>0.47900309931726004</v>
      </c>
      <c r="G10" s="362">
        <f t="shared" si="1"/>
        <v>0.47567262920368636</v>
      </c>
      <c r="H10" s="377">
        <f t="shared" si="3"/>
        <v>4.9265757432971236E-2</v>
      </c>
      <c r="I10" s="162"/>
      <c r="M10" s="129"/>
      <c r="N10" s="129"/>
      <c r="O10" s="129"/>
      <c r="P10" s="129"/>
      <c r="Q10" s="129"/>
      <c r="R10" s="129"/>
      <c r="S10" s="129"/>
    </row>
    <row r="11" spans="1:19" x14ac:dyDescent="0.2">
      <c r="B11" s="143" t="str">
        <f t="shared" si="4"/>
        <v>150 -106</v>
      </c>
      <c r="C11" s="129">
        <v>106</v>
      </c>
      <c r="D11" s="360">
        <f>data!J12</f>
        <v>24.594999999999999</v>
      </c>
      <c r="E11" s="363">
        <f t="shared" si="0"/>
        <v>8.2112432324154078E-2</v>
      </c>
      <c r="F11" s="376">
        <f t="shared" si="2"/>
        <v>0.39689066699310593</v>
      </c>
      <c r="G11" s="362">
        <f t="shared" si="1"/>
        <v>0.39427887000856526</v>
      </c>
      <c r="H11" s="377">
        <f t="shared" si="3"/>
        <v>8.1393759195121096E-2</v>
      </c>
      <c r="I11" s="162"/>
      <c r="M11" s="129"/>
      <c r="N11" s="129"/>
      <c r="O11" s="129"/>
      <c r="P11" s="129"/>
      <c r="Q11" s="129"/>
      <c r="R11" s="129"/>
      <c r="S11" s="129"/>
    </row>
    <row r="12" spans="1:19" x14ac:dyDescent="0.2">
      <c r="B12" s="143" t="str">
        <f t="shared" si="4"/>
        <v>106 -75</v>
      </c>
      <c r="C12" s="139">
        <v>75</v>
      </c>
      <c r="D12" s="360">
        <f>data!J13</f>
        <v>18.613333333333333</v>
      </c>
      <c r="E12" s="363">
        <f t="shared" si="0"/>
        <v>6.2142145706861336E-2</v>
      </c>
      <c r="F12" s="376">
        <f t="shared" si="2"/>
        <v>0.3347485212862446</v>
      </c>
      <c r="G12" s="362">
        <f t="shared" si="1"/>
        <v>0.32703268546975733</v>
      </c>
      <c r="H12" s="377">
        <f t="shared" si="3"/>
        <v>6.7246184538807929E-2</v>
      </c>
      <c r="I12" s="162"/>
      <c r="M12" s="129"/>
      <c r="N12" s="129"/>
      <c r="O12" s="129"/>
      <c r="P12" s="129"/>
      <c r="Q12" s="129"/>
      <c r="R12" s="129"/>
      <c r="S12" s="129"/>
    </row>
    <row r="13" spans="1:19" x14ac:dyDescent="0.2">
      <c r="B13" s="143" t="str">
        <f t="shared" si="4"/>
        <v>75 -53</v>
      </c>
      <c r="C13" s="139">
        <v>53</v>
      </c>
      <c r="D13" s="360">
        <f>data!J14</f>
        <v>19.510000000000002</v>
      </c>
      <c r="E13" s="363">
        <f t="shared" si="0"/>
        <v>6.5135741193098035E-2</v>
      </c>
      <c r="F13" s="376">
        <f t="shared" si="2"/>
        <v>0.2696127800931466</v>
      </c>
      <c r="G13" s="362">
        <f t="shared" si="1"/>
        <v>0.27107314940265059</v>
      </c>
      <c r="H13" s="377">
        <f t="shared" si="3"/>
        <v>5.5959536067106741E-2</v>
      </c>
      <c r="I13" s="162"/>
      <c r="M13" s="129"/>
      <c r="N13" s="129"/>
      <c r="O13" s="129"/>
      <c r="P13" s="129"/>
      <c r="Q13" s="129"/>
      <c r="R13" s="129"/>
      <c r="S13" s="129"/>
    </row>
    <row r="14" spans="1:19" x14ac:dyDescent="0.2">
      <c r="B14" s="143" t="str">
        <f t="shared" si="4"/>
        <v>53 -38</v>
      </c>
      <c r="C14" s="139">
        <v>38</v>
      </c>
      <c r="D14" s="360">
        <f>data!J15</f>
        <v>12.386666666666668</v>
      </c>
      <c r="E14" s="363">
        <f t="shared" si="0"/>
        <v>4.1353906419537387E-2</v>
      </c>
      <c r="F14" s="376">
        <f t="shared" si="2"/>
        <v>0.2282588736736092</v>
      </c>
      <c r="G14" s="362">
        <f t="shared" si="1"/>
        <v>0.22645582139243564</v>
      </c>
      <c r="H14" s="377">
        <f t="shared" si="3"/>
        <v>4.4617328010214952E-2</v>
      </c>
      <c r="I14" s="162"/>
      <c r="M14" s="129"/>
      <c r="N14" s="129"/>
      <c r="O14" s="129"/>
      <c r="P14" s="129"/>
      <c r="Q14" s="129"/>
      <c r="R14" s="129"/>
      <c r="S14" s="129"/>
    </row>
    <row r="15" spans="1:19" x14ac:dyDescent="0.2">
      <c r="B15" s="144" t="str">
        <f t="shared" si="4"/>
        <v>38 -0</v>
      </c>
      <c r="C15" s="132">
        <v>0</v>
      </c>
      <c r="D15" s="353">
        <f>data!J16</f>
        <v>68.36999999999999</v>
      </c>
      <c r="E15" s="367">
        <f t="shared" si="0"/>
        <v>0.228258873673609</v>
      </c>
      <c r="F15" s="378">
        <f t="shared" si="2"/>
        <v>0</v>
      </c>
      <c r="G15" s="364"/>
      <c r="H15" s="379">
        <f t="shared" si="3"/>
        <v>0.22645582139243564</v>
      </c>
      <c r="I15" s="354"/>
      <c r="J15" s="354"/>
      <c r="M15" s="129"/>
      <c r="N15" s="129"/>
      <c r="O15" s="129"/>
      <c r="P15" s="129"/>
      <c r="Q15" s="129"/>
      <c r="R15" s="129"/>
      <c r="S15" s="129"/>
    </row>
    <row r="16" spans="1:19" x14ac:dyDescent="0.2">
      <c r="C16" s="36" t="s">
        <v>77</v>
      </c>
      <c r="D16" s="160">
        <f>data!J17</f>
        <v>299.52833333333336</v>
      </c>
    </row>
    <row r="18" spans="1:14" x14ac:dyDescent="0.2">
      <c r="A18" s="327" t="s">
        <v>303</v>
      </c>
    </row>
    <row r="19" spans="1:14" ht="15" x14ac:dyDescent="0.25">
      <c r="A19" s="324" t="s">
        <v>316</v>
      </c>
      <c r="B19"/>
      <c r="D19" s="160"/>
      <c r="E19" s="160"/>
      <c r="G19" s="160"/>
    </row>
    <row r="20" spans="1:14" ht="15" x14ac:dyDescent="0.25">
      <c r="B20"/>
      <c r="C20" s="383"/>
      <c r="D20" s="129"/>
      <c r="E20" s="384"/>
      <c r="F20" s="129"/>
      <c r="G20" s="164"/>
      <c r="K20" s="164"/>
      <c r="L20" s="164"/>
    </row>
    <row r="21" spans="1:14" ht="12.75" x14ac:dyDescent="0.2">
      <c r="B21" s="386"/>
      <c r="C21" s="383"/>
      <c r="D21" s="129"/>
      <c r="E21" s="384"/>
      <c r="F21" s="129"/>
      <c r="G21" s="164"/>
      <c r="K21" s="164"/>
      <c r="L21" s="164"/>
    </row>
    <row r="22" spans="1:14" ht="12.75" x14ac:dyDescent="0.2">
      <c r="B22" s="385"/>
      <c r="C22" s="383"/>
      <c r="D22" s="129"/>
      <c r="E22" s="129"/>
      <c r="F22" s="129"/>
    </row>
    <row r="23" spans="1:14" x14ac:dyDescent="0.2">
      <c r="C23" s="160"/>
      <c r="D23" s="160"/>
      <c r="E23" s="160"/>
      <c r="F23" s="160"/>
      <c r="G23" s="160"/>
      <c r="I23" s="160"/>
      <c r="J23" s="185"/>
    </row>
    <row r="24" spans="1:14" x14ac:dyDescent="0.2">
      <c r="A24" s="286" t="s">
        <v>265</v>
      </c>
      <c r="C24" s="369" t="s">
        <v>310</v>
      </c>
      <c r="D24" s="369"/>
      <c r="E24" s="340"/>
      <c r="F24" s="340"/>
    </row>
    <row r="25" spans="1:14" x14ac:dyDescent="0.2">
      <c r="B25" s="351"/>
      <c r="C25" s="324" t="s">
        <v>298</v>
      </c>
      <c r="D25" s="337" t="s">
        <v>307</v>
      </c>
      <c r="E25" s="393"/>
      <c r="F25" s="394"/>
    </row>
    <row r="26" spans="1:14" x14ac:dyDescent="0.2">
      <c r="A26" s="141" t="s">
        <v>91</v>
      </c>
      <c r="B26" s="386"/>
      <c r="C26" s="370">
        <f t="shared" ref="C26:C36" si="6">(G4-F4)^2</f>
        <v>1.5867954134649375E-7</v>
      </c>
      <c r="D26" s="370">
        <f t="shared" ref="D26:D37" si="7">(H4-E4)^2</f>
        <v>1.5867954134651034E-7</v>
      </c>
      <c r="E26" s="139"/>
      <c r="F26" s="139"/>
    </row>
    <row r="27" spans="1:14" x14ac:dyDescent="0.2">
      <c r="B27" s="386"/>
      <c r="C27" s="371">
        <f t="shared" si="6"/>
        <v>1.3411510297270744E-7</v>
      </c>
      <c r="D27" s="371">
        <f t="shared" si="7"/>
        <v>1.0322545062088276E-9</v>
      </c>
      <c r="E27" s="139"/>
      <c r="F27" s="139"/>
    </row>
    <row r="28" spans="1:14" x14ac:dyDescent="0.2">
      <c r="B28" s="129"/>
      <c r="C28" s="371">
        <f t="shared" si="6"/>
        <v>6.4364810389556716E-7</v>
      </c>
      <c r="D28" s="371">
        <f t="shared" si="7"/>
        <v>1.9014791866636758E-7</v>
      </c>
      <c r="E28" s="348"/>
      <c r="F28" s="348"/>
    </row>
    <row r="29" spans="1:14" x14ac:dyDescent="0.2">
      <c r="A29" s="395"/>
      <c r="B29" s="129"/>
      <c r="C29" s="371">
        <f t="shared" si="6"/>
        <v>1.5320307787388712E-6</v>
      </c>
      <c r="D29" s="371">
        <f t="shared" si="7"/>
        <v>1.8963889729185962E-7</v>
      </c>
      <c r="E29" s="348"/>
      <c r="F29" s="348"/>
    </row>
    <row r="30" spans="1:14" x14ac:dyDescent="0.2">
      <c r="A30" s="395"/>
      <c r="B30" s="129"/>
      <c r="C30" s="371">
        <f t="shared" si="6"/>
        <v>2.7983225470025387E-6</v>
      </c>
      <c r="D30" s="371">
        <f t="shared" si="7"/>
        <v>1.8928280190492697E-7</v>
      </c>
      <c r="E30" s="348"/>
      <c r="F30" s="348"/>
    </row>
    <row r="31" spans="1:14" x14ac:dyDescent="0.2">
      <c r="A31" s="395"/>
      <c r="B31" s="129"/>
      <c r="C31" s="371">
        <f t="shared" si="6"/>
        <v>1.7725945939450404E-5</v>
      </c>
      <c r="D31" s="371">
        <f t="shared" si="7"/>
        <v>3.4610135756778719E-5</v>
      </c>
      <c r="E31" s="348"/>
      <c r="F31" s="348"/>
    </row>
    <row r="32" spans="1:14" x14ac:dyDescent="0.2">
      <c r="B32" s="129"/>
      <c r="C32" s="371">
        <f t="shared" si="6"/>
        <v>1.1092031177407483E-5</v>
      </c>
      <c r="D32" s="371">
        <f t="shared" si="7"/>
        <v>7.7395850258487662E-7</v>
      </c>
      <c r="E32" s="348"/>
      <c r="F32" s="348"/>
      <c r="M32" s="323"/>
      <c r="N32" s="323"/>
    </row>
    <row r="33" spans="1:21" x14ac:dyDescent="0.2">
      <c r="B33" s="129"/>
      <c r="C33" s="371">
        <f t="shared" si="6"/>
        <v>6.8214834884557411E-6</v>
      </c>
      <c r="D33" s="371">
        <f t="shared" si="7"/>
        <v>5.1649106639405682E-7</v>
      </c>
      <c r="E33" s="348"/>
      <c r="F33" s="348"/>
      <c r="M33" s="322"/>
      <c r="N33" s="322"/>
      <c r="O33" s="162"/>
      <c r="P33" s="162"/>
      <c r="Q33" s="162"/>
      <c r="R33" s="162"/>
      <c r="S33" s="162"/>
    </row>
    <row r="34" spans="1:21" x14ac:dyDescent="0.2">
      <c r="B34" s="129"/>
      <c r="C34" s="371">
        <f t="shared" si="6"/>
        <v>5.9534122346987789E-5</v>
      </c>
      <c r="D34" s="371">
        <f t="shared" si="7"/>
        <v>2.6051212398018744E-5</v>
      </c>
      <c r="E34" s="348"/>
      <c r="F34" s="348"/>
      <c r="M34" s="322"/>
      <c r="N34" s="322"/>
      <c r="O34" s="162"/>
      <c r="P34" s="162"/>
      <c r="Q34" s="162"/>
      <c r="R34" s="162"/>
      <c r="S34" s="162"/>
    </row>
    <row r="35" spans="1:21" x14ac:dyDescent="0.2">
      <c r="B35" s="129"/>
      <c r="C35" s="371">
        <f t="shared" si="6"/>
        <v>2.1326785201411749E-6</v>
      </c>
      <c r="D35" s="371">
        <f t="shared" si="7"/>
        <v>8.4202740514268887E-5</v>
      </c>
      <c r="E35" s="348"/>
      <c r="F35" s="348"/>
      <c r="M35" s="322"/>
      <c r="N35" s="322"/>
      <c r="O35" s="162"/>
      <c r="P35" s="162"/>
      <c r="Q35" s="162"/>
      <c r="R35" s="162"/>
      <c r="S35" s="162"/>
    </row>
    <row r="36" spans="1:21" x14ac:dyDescent="0.2">
      <c r="B36" s="129"/>
      <c r="C36" s="371">
        <f t="shared" si="6"/>
        <v>3.2509975286451645E-6</v>
      </c>
      <c r="D36" s="371">
        <f t="shared" si="7"/>
        <v>1.0649920478500488E-5</v>
      </c>
      <c r="E36" s="348"/>
      <c r="F36" s="348"/>
      <c r="M36" s="322"/>
      <c r="N36" s="322"/>
      <c r="O36" s="162"/>
      <c r="P36" s="162"/>
      <c r="Q36" s="162"/>
      <c r="R36" s="162"/>
      <c r="S36" s="162"/>
    </row>
    <row r="37" spans="1:21" x14ac:dyDescent="0.2">
      <c r="B37" s="129"/>
      <c r="C37" s="371"/>
      <c r="D37" s="371">
        <f t="shared" si="7"/>
        <v>3.2509975286444635E-6</v>
      </c>
      <c r="E37" s="348"/>
      <c r="F37" s="348"/>
      <c r="M37" s="322"/>
      <c r="N37" s="322"/>
      <c r="O37" s="162"/>
      <c r="P37" s="162"/>
      <c r="Q37" s="162"/>
      <c r="R37" s="162"/>
      <c r="S37" s="162"/>
    </row>
    <row r="38" spans="1:21" x14ac:dyDescent="0.2">
      <c r="B38" s="129"/>
      <c r="C38" s="372"/>
      <c r="D38" s="372"/>
      <c r="E38" s="348"/>
      <c r="F38" s="348"/>
      <c r="M38" s="322"/>
      <c r="N38" s="322"/>
      <c r="O38" s="162"/>
      <c r="P38" s="162"/>
      <c r="Q38" s="162"/>
      <c r="R38" s="162"/>
      <c r="S38" s="162"/>
    </row>
    <row r="39" spans="1:21" x14ac:dyDescent="0.2">
      <c r="B39" s="324" t="s">
        <v>314</v>
      </c>
      <c r="C39" s="373">
        <f>SUM(C26:C36)</f>
        <v>1.0582405507504394E-4</v>
      </c>
      <c r="D39" s="373">
        <f>SUM(D26:D37)</f>
        <v>1.6078423765890612E-4</v>
      </c>
      <c r="E39" s="161"/>
      <c r="M39" s="322"/>
      <c r="N39" s="322"/>
      <c r="O39" s="162"/>
      <c r="P39" s="162"/>
      <c r="Q39" s="162"/>
      <c r="R39" s="162"/>
      <c r="S39" s="162"/>
    </row>
    <row r="40" spans="1:21" x14ac:dyDescent="0.2">
      <c r="A40" s="208" t="s">
        <v>108</v>
      </c>
      <c r="B40" s="340" t="s">
        <v>214</v>
      </c>
      <c r="C40" s="365">
        <f>C39/COUNT(C26:C36)</f>
        <v>9.6203686431858129E-6</v>
      </c>
      <c r="D40" s="365">
        <f>D39/COUNT(D26:D37)</f>
        <v>1.339868647157551E-5</v>
      </c>
      <c r="E40" s="139"/>
      <c r="F40" s="139"/>
      <c r="K40" s="139"/>
      <c r="M40" s="322"/>
      <c r="N40" s="322"/>
      <c r="O40" s="162"/>
      <c r="P40" s="162"/>
      <c r="Q40" s="162"/>
      <c r="R40" s="162"/>
      <c r="S40" s="162"/>
    </row>
    <row r="41" spans="1:21" x14ac:dyDescent="0.2">
      <c r="A41" s="208" t="s">
        <v>109</v>
      </c>
      <c r="B41" s="173" t="s">
        <v>46</v>
      </c>
      <c r="C41" s="366">
        <f>SQRT(C40)</f>
        <v>3.1016719109515458E-3</v>
      </c>
      <c r="D41" s="366">
        <f>SQRT(D40)</f>
        <v>3.6604216248371595E-3</v>
      </c>
      <c r="M41" s="322"/>
      <c r="N41" s="322"/>
      <c r="O41" s="162"/>
      <c r="P41" s="162"/>
      <c r="Q41" s="162"/>
      <c r="R41" s="162"/>
      <c r="S41" s="162"/>
    </row>
    <row r="42" spans="1:21" ht="12.75" x14ac:dyDescent="0.2">
      <c r="A42" s="327" t="s">
        <v>167</v>
      </c>
      <c r="B42" s="324" t="s">
        <v>315</v>
      </c>
      <c r="C42" s="346">
        <f>RSQ(G4:G14,F4:F14)</f>
        <v>0.99989058289625465</v>
      </c>
      <c r="D42" s="346">
        <f>RSQ(H4:H15,E4:E15)</f>
        <v>0.99509675900419681</v>
      </c>
      <c r="E42" s="341"/>
      <c r="F42" s="341"/>
      <c r="O42" s="160"/>
      <c r="P42" s="160"/>
      <c r="Q42" s="160"/>
      <c r="R42" s="160"/>
      <c r="S42" s="160"/>
      <c r="T42" s="160"/>
      <c r="U42" s="184"/>
    </row>
    <row r="43" spans="1:21" x14ac:dyDescent="0.2">
      <c r="A43" s="387" t="s">
        <v>319</v>
      </c>
      <c r="C43" s="180">
        <f>1-(1-C42)*((COUNT(C26:C37)/((COUNT(C26:C37)-(COUNT(L5:M8)+1)))))</f>
        <v>0.99939820592940065</v>
      </c>
      <c r="D43" s="180">
        <f>1-(1-D42)*((COUNT(D26:D37)/((COUNT(D26:D37)-(COUNT(M5:N8)+1)))))</f>
        <v>0.99159444400719454</v>
      </c>
      <c r="E43" s="339"/>
      <c r="F43" s="339"/>
      <c r="G43" s="366"/>
      <c r="H43" s="324"/>
      <c r="O43" s="160"/>
      <c r="P43" s="160"/>
      <c r="Q43" s="160"/>
      <c r="R43" s="160"/>
      <c r="S43" s="160"/>
      <c r="T43" s="160"/>
      <c r="U43" s="184"/>
    </row>
    <row r="44" spans="1:21" x14ac:dyDescent="0.2">
      <c r="A44" s="387"/>
      <c r="D44" s="339"/>
      <c r="E44" s="339"/>
      <c r="F44" s="339"/>
      <c r="G44" s="366"/>
      <c r="H44" s="324"/>
      <c r="O44" s="160"/>
      <c r="P44" s="160"/>
      <c r="Q44" s="160"/>
      <c r="R44" s="160"/>
      <c r="S44" s="160"/>
      <c r="T44" s="160"/>
      <c r="U44" s="184"/>
    </row>
    <row r="45" spans="1:21" x14ac:dyDescent="0.2">
      <c r="A45" s="387"/>
      <c r="D45" s="339"/>
      <c r="E45" s="339"/>
      <c r="F45" s="339"/>
      <c r="G45" s="366"/>
      <c r="H45" s="324"/>
      <c r="O45" s="160"/>
      <c r="P45" s="160"/>
      <c r="Q45" s="160"/>
      <c r="R45" s="160"/>
      <c r="S45" s="160"/>
      <c r="T45" s="160"/>
      <c r="U45" s="184"/>
    </row>
    <row r="46" spans="1:21" ht="15" x14ac:dyDescent="0.25">
      <c r="A46" s="387"/>
      <c r="B46"/>
      <c r="D46" s="339"/>
      <c r="E46" s="339"/>
      <c r="F46" s="339"/>
      <c r="G46" s="366"/>
      <c r="H46" s="324"/>
      <c r="O46" s="160"/>
      <c r="P46" s="160"/>
      <c r="Q46" s="160"/>
      <c r="R46" s="160"/>
      <c r="S46" s="160"/>
      <c r="T46" s="160"/>
      <c r="U46" s="184"/>
    </row>
    <row r="47" spans="1:21" x14ac:dyDescent="0.2">
      <c r="E47" s="193"/>
      <c r="O47" s="160"/>
      <c r="P47" s="160"/>
      <c r="Q47" s="160"/>
      <c r="R47" s="160"/>
      <c r="S47" s="160"/>
      <c r="T47" s="160"/>
      <c r="U47" s="184"/>
    </row>
    <row r="48" spans="1:21" x14ac:dyDescent="0.2">
      <c r="B48" s="161"/>
      <c r="C48" s="161"/>
      <c r="D48" s="167"/>
      <c r="E48" s="167"/>
      <c r="F48" s="167"/>
      <c r="G48" s="167"/>
      <c r="H48" s="167"/>
      <c r="I48" s="167"/>
      <c r="J48" s="139"/>
      <c r="O48" s="160"/>
      <c r="P48" s="160"/>
      <c r="Q48" s="160"/>
      <c r="R48" s="160"/>
      <c r="S48" s="160"/>
      <c r="T48" s="160"/>
      <c r="U48" s="184"/>
    </row>
    <row r="49" spans="1:21" x14ac:dyDescent="0.2">
      <c r="O49" s="160"/>
      <c r="P49" s="160"/>
      <c r="Q49" s="160"/>
      <c r="R49" s="160"/>
      <c r="S49" s="160"/>
      <c r="T49" s="160"/>
      <c r="U49" s="184"/>
    </row>
    <row r="50" spans="1:21" ht="12.75" x14ac:dyDescent="0.2">
      <c r="A50" s="138" t="s">
        <v>209</v>
      </c>
      <c r="B50" s="380" t="s">
        <v>84</v>
      </c>
      <c r="C50" s="129"/>
      <c r="D50" s="351" t="s">
        <v>309</v>
      </c>
      <c r="E50" s="129"/>
      <c r="F50" s="129"/>
      <c r="G50" s="129"/>
      <c r="H50" s="129"/>
      <c r="I50" s="129"/>
      <c r="O50" s="160"/>
      <c r="P50" s="160"/>
      <c r="Q50" s="160"/>
      <c r="R50" s="160"/>
      <c r="S50" s="160"/>
      <c r="T50" s="160"/>
      <c r="U50" s="184"/>
    </row>
    <row r="51" spans="1:21" x14ac:dyDescent="0.2">
      <c r="C51" s="130">
        <v>1</v>
      </c>
      <c r="D51" s="193">
        <f t="shared" ref="D51:D63" si="8">IF($C51&gt;=e_y1,k_1*$C51^(1/n_1),0)+IF(AND($C51&lt;e_y1,$C51&gt;=e_y2),k_2*$C51^(1/n_2),0)+IF(AND($C51&lt;e_y2,$C51&gt;=e_y3),k_3*$C51^(1/n_3),0)+IF($C51&lt;e_y3,k_4*$C51^(1/n_4),0)</f>
        <v>1571.5558220666189</v>
      </c>
      <c r="E51" s="193"/>
      <c r="F51" s="193"/>
      <c r="G51" s="193"/>
      <c r="H51" s="193"/>
      <c r="I51" s="193"/>
      <c r="O51" s="160"/>
      <c r="P51" s="160"/>
      <c r="Q51" s="160"/>
      <c r="R51" s="160"/>
      <c r="S51" s="160"/>
      <c r="T51" s="160"/>
      <c r="U51" s="184"/>
    </row>
    <row r="52" spans="1:21" x14ac:dyDescent="0.2">
      <c r="A52" s="138" t="s">
        <v>80</v>
      </c>
      <c r="C52" s="130">
        <v>0.95</v>
      </c>
      <c r="D52" s="193">
        <f t="shared" si="8"/>
        <v>1040.3237107957832</v>
      </c>
      <c r="E52" s="193"/>
      <c r="F52" s="193"/>
      <c r="G52" s="193"/>
      <c r="H52" s="193"/>
      <c r="I52" s="193"/>
      <c r="O52" s="160"/>
      <c r="P52" s="160"/>
      <c r="Q52" s="160"/>
      <c r="R52" s="160"/>
      <c r="S52" s="160"/>
      <c r="T52" s="160"/>
      <c r="U52" s="184"/>
    </row>
    <row r="53" spans="1:21" x14ac:dyDescent="0.2">
      <c r="C53" s="130">
        <v>0.9</v>
      </c>
      <c r="D53" s="193">
        <f t="shared" si="8"/>
        <v>673.46989761681311</v>
      </c>
      <c r="E53" s="193"/>
      <c r="F53" s="193"/>
      <c r="G53" s="193"/>
      <c r="H53" s="193"/>
      <c r="I53" s="193"/>
      <c r="M53" s="340" t="s">
        <v>301</v>
      </c>
      <c r="N53" s="340"/>
      <c r="O53" s="160"/>
      <c r="P53" s="160"/>
      <c r="Q53" s="160"/>
      <c r="R53" s="160"/>
      <c r="S53" s="160"/>
      <c r="T53" s="160"/>
      <c r="U53" s="184"/>
    </row>
    <row r="54" spans="1:21" x14ac:dyDescent="0.2">
      <c r="C54" s="130">
        <v>0.84</v>
      </c>
      <c r="D54" s="193">
        <f t="shared" si="8"/>
        <v>478.50898242007929</v>
      </c>
      <c r="E54" s="193"/>
      <c r="F54" s="193"/>
      <c r="G54" s="193"/>
      <c r="H54" s="193"/>
      <c r="I54" s="193"/>
      <c r="M54" s="340" t="s">
        <v>302</v>
      </c>
      <c r="N54" s="340"/>
      <c r="O54" s="160"/>
      <c r="P54" s="160"/>
      <c r="Q54" s="160"/>
      <c r="R54" s="160"/>
      <c r="S54" s="160"/>
      <c r="T54" s="160"/>
      <c r="U54" s="184"/>
    </row>
    <row r="55" spans="1:21" x14ac:dyDescent="0.2">
      <c r="C55" s="130">
        <v>0.8</v>
      </c>
      <c r="D55" s="193">
        <f t="shared" si="8"/>
        <v>405.8706675220684</v>
      </c>
      <c r="E55" s="193"/>
      <c r="F55" s="193"/>
      <c r="G55" s="193"/>
      <c r="H55" s="193"/>
      <c r="I55" s="193"/>
      <c r="O55" s="160"/>
      <c r="P55" s="160"/>
      <c r="Q55" s="160"/>
      <c r="R55" s="160"/>
      <c r="S55" s="160"/>
      <c r="T55" s="160"/>
      <c r="U55" s="184"/>
    </row>
    <row r="56" spans="1:21" x14ac:dyDescent="0.2">
      <c r="A56" s="36"/>
      <c r="B56" s="138" t="s">
        <v>156</v>
      </c>
      <c r="C56" s="130">
        <v>0.75</v>
      </c>
      <c r="D56" s="193">
        <f t="shared" si="8"/>
        <v>351.45476455360404</v>
      </c>
      <c r="E56" s="193"/>
      <c r="F56" s="193"/>
      <c r="G56" s="193"/>
      <c r="H56" s="193"/>
      <c r="I56" s="193"/>
      <c r="O56" s="160"/>
      <c r="P56" s="160"/>
      <c r="Q56" s="160"/>
      <c r="R56" s="160"/>
      <c r="S56" s="160"/>
      <c r="T56" s="160"/>
      <c r="U56" s="184"/>
    </row>
    <row r="57" spans="1:21" x14ac:dyDescent="0.2">
      <c r="A57" s="36"/>
      <c r="B57" s="138" t="s">
        <v>47</v>
      </c>
      <c r="C57" s="130">
        <v>0.5</v>
      </c>
      <c r="D57" s="193">
        <f t="shared" si="8"/>
        <v>164.50008945257795</v>
      </c>
      <c r="E57" s="193"/>
      <c r="F57" s="193"/>
      <c r="G57" s="193"/>
      <c r="H57" s="193"/>
      <c r="I57" s="193"/>
      <c r="O57" s="160"/>
      <c r="P57" s="160"/>
      <c r="Q57" s="160"/>
      <c r="R57" s="160"/>
      <c r="S57" s="160"/>
      <c r="T57" s="160"/>
      <c r="U57" s="184"/>
    </row>
    <row r="58" spans="1:21" x14ac:dyDescent="0.2">
      <c r="A58" s="36"/>
      <c r="B58" s="138"/>
      <c r="C58" s="130">
        <v>0.4</v>
      </c>
      <c r="D58" s="193">
        <f t="shared" si="8"/>
        <v>108.86305170008605</v>
      </c>
      <c r="E58" s="193"/>
      <c r="F58" s="193"/>
      <c r="G58" s="193"/>
      <c r="H58" s="193"/>
      <c r="I58" s="193"/>
      <c r="O58" s="160"/>
      <c r="P58" s="160"/>
      <c r="Q58" s="160"/>
      <c r="R58" s="160"/>
      <c r="S58" s="160"/>
      <c r="T58" s="160"/>
      <c r="U58" s="184"/>
    </row>
    <row r="59" spans="1:21" x14ac:dyDescent="0.2">
      <c r="A59" s="36"/>
      <c r="B59" s="138" t="s">
        <v>155</v>
      </c>
      <c r="C59" s="130">
        <v>0.25</v>
      </c>
      <c r="D59" s="193">
        <f t="shared" si="8"/>
        <v>45.630380742646508</v>
      </c>
      <c r="E59" s="193"/>
      <c r="F59" s="193"/>
      <c r="G59" s="193"/>
      <c r="H59" s="193"/>
      <c r="I59" s="193"/>
      <c r="O59" s="160"/>
      <c r="P59" s="160"/>
      <c r="Q59" s="160"/>
      <c r="R59" s="160"/>
      <c r="S59" s="160"/>
      <c r="T59" s="160"/>
      <c r="U59" s="184"/>
    </row>
    <row r="60" spans="1:21" x14ac:dyDescent="0.2">
      <c r="A60" s="36"/>
      <c r="B60" s="138"/>
      <c r="C60" s="130">
        <v>0.16</v>
      </c>
      <c r="D60" s="193">
        <f t="shared" si="8"/>
        <v>19.984018573269029</v>
      </c>
      <c r="E60" s="193"/>
      <c r="F60" s="193"/>
      <c r="G60" s="193"/>
      <c r="H60" s="193"/>
      <c r="I60" s="193"/>
      <c r="L60" s="259"/>
      <c r="O60" s="160"/>
      <c r="P60" s="160"/>
      <c r="Q60" s="160"/>
      <c r="R60" s="160"/>
      <c r="S60" s="160"/>
      <c r="T60" s="160"/>
      <c r="U60" s="184"/>
    </row>
    <row r="61" spans="1:21" x14ac:dyDescent="0.2">
      <c r="A61" s="36"/>
      <c r="B61" s="138"/>
      <c r="C61" s="130">
        <v>0.1</v>
      </c>
      <c r="D61" s="193">
        <f t="shared" si="8"/>
        <v>8.3763808016201793</v>
      </c>
      <c r="E61" s="193"/>
      <c r="F61" s="193"/>
      <c r="G61" s="193"/>
      <c r="H61" s="193"/>
      <c r="I61" s="193"/>
    </row>
    <row r="62" spans="1:21" x14ac:dyDescent="0.2">
      <c r="A62" s="36"/>
      <c r="B62" s="138"/>
      <c r="C62" s="130">
        <v>0.05</v>
      </c>
      <c r="D62" s="193">
        <f t="shared" si="8"/>
        <v>2.3235090418203628</v>
      </c>
      <c r="E62" s="193"/>
      <c r="F62" s="193"/>
      <c r="G62" s="193"/>
      <c r="H62" s="193"/>
      <c r="I62" s="193"/>
    </row>
    <row r="63" spans="1:21" x14ac:dyDescent="0.2">
      <c r="A63" s="36"/>
      <c r="B63" s="138"/>
      <c r="C63" s="130">
        <v>0.01</v>
      </c>
      <c r="D63" s="193">
        <f t="shared" si="8"/>
        <v>0.11831359238200087</v>
      </c>
      <c r="E63" s="193"/>
      <c r="F63" s="193"/>
      <c r="G63" s="193"/>
      <c r="H63" s="193"/>
      <c r="I63" s="193"/>
    </row>
    <row r="64" spans="1:21" x14ac:dyDescent="0.2">
      <c r="A64" s="36"/>
      <c r="B64" s="138" t="s">
        <v>158</v>
      </c>
      <c r="C64" s="129" t="s">
        <v>157</v>
      </c>
      <c r="D64" s="193">
        <f>D56-D59</f>
        <v>305.82438381095756</v>
      </c>
      <c r="F64" s="193"/>
      <c r="G64" s="193"/>
      <c r="H64" s="193"/>
      <c r="I64" s="193"/>
    </row>
    <row r="65" spans="1:23" x14ac:dyDescent="0.2">
      <c r="C65" s="129"/>
      <c r="D65" s="129"/>
      <c r="F65" s="129"/>
      <c r="G65" s="129"/>
      <c r="H65" s="129"/>
      <c r="I65" s="129"/>
      <c r="L65" s="260"/>
    </row>
    <row r="66" spans="1:23" x14ac:dyDescent="0.2">
      <c r="B66" s="286" t="s">
        <v>291</v>
      </c>
      <c r="C66" s="342" t="s">
        <v>290</v>
      </c>
      <c r="D66" s="204">
        <f>D68-D67</f>
        <v>37.253999941026329</v>
      </c>
      <c r="F66" s="204"/>
      <c r="G66" s="204"/>
      <c r="H66" s="204"/>
      <c r="I66" s="204"/>
    </row>
    <row r="67" spans="1:23" x14ac:dyDescent="0.2">
      <c r="B67" s="226">
        <v>0.1</v>
      </c>
      <c r="C67" s="342" t="s">
        <v>288</v>
      </c>
      <c r="D67" s="193">
        <f>IF($B67&gt;=e_y1,k_1*$B67^(1/n_1),0)+IF(AND($B67&lt;e_y1,$B67&gt;=e_y2),k_2*$B67^(1/n_2),0)+IF(AND($B67&lt;e_y2,$B67&gt;=e_y3),k_3*$B67^(1/n_3),0)+IF($B67&lt;e_y3,k_4*$B67^(1/n_4),0)</f>
        <v>8.3763808016201793</v>
      </c>
      <c r="E67" s="343"/>
      <c r="F67" s="343"/>
      <c r="G67" s="343"/>
      <c r="H67" s="343"/>
      <c r="I67" s="343"/>
    </row>
    <row r="68" spans="1:23" x14ac:dyDescent="0.2">
      <c r="B68" s="226">
        <v>0.25</v>
      </c>
      <c r="C68" s="342" t="s">
        <v>155</v>
      </c>
      <c r="D68" s="193">
        <f>IF($B68&gt;=e_y1,k_1*$B68^(1/n_1),0)+IF(AND($B68&lt;e_y1,$B68&gt;=e_y2),k_2*$B68^(1/n_2),0)+IF(AND($B68&lt;e_y2,$B68&gt;=e_y3),k_3*$B68^(1/n_3),0)+IF($B68&lt;e_y3,k_4*$B68^(1/n_4),0)</f>
        <v>45.630380742646508</v>
      </c>
      <c r="E68" s="193"/>
      <c r="F68" s="193"/>
      <c r="G68" s="193"/>
      <c r="H68" s="193"/>
      <c r="I68" s="193"/>
    </row>
    <row r="69" spans="1:23" x14ac:dyDescent="0.2">
      <c r="B69" s="226">
        <v>0.5</v>
      </c>
      <c r="C69" s="342" t="s">
        <v>47</v>
      </c>
      <c r="D69" s="193">
        <f>IF($B69&gt;=e_y1,k_1*$B69^(1/n_1),0)+IF(AND($B69&lt;e_y1,$B69&gt;=e_y2),k_2*$B69^(1/n_2),0)+IF(AND($B69&lt;e_y2,$B69&gt;=e_y3),k_3*$B69^(1/n_3),0)+IF($B69&lt;e_y3,k_4*$B69^(1/n_4),0)</f>
        <v>164.50008945257795</v>
      </c>
      <c r="E69" s="193"/>
      <c r="F69" s="193"/>
      <c r="G69" s="193"/>
      <c r="H69" s="193"/>
      <c r="I69" s="193"/>
    </row>
    <row r="70" spans="1:23" x14ac:dyDescent="0.2">
      <c r="B70" s="226">
        <v>0.75</v>
      </c>
      <c r="C70" s="342" t="s">
        <v>156</v>
      </c>
      <c r="D70" s="193">
        <f>IF($B70&gt;=e_y1,k_1*$B70^(1/n_1),0)+IF(AND($B70&lt;e_y1,$B70&gt;=e_y2),k_2*$B70^(1/n_2),0)+IF(AND($B70&lt;e_y2,$B70&gt;=e_y3),k_3*$B70^(1/n_3),0)+IF($B70&lt;e_y3,k_4*$B70^(1/n_4),0)</f>
        <v>351.45476455360404</v>
      </c>
      <c r="E70" s="193"/>
      <c r="F70" s="193"/>
      <c r="G70" s="193"/>
      <c r="H70" s="193"/>
      <c r="I70" s="193"/>
    </row>
    <row r="71" spans="1:23" x14ac:dyDescent="0.2">
      <c r="B71" s="226">
        <v>0.9</v>
      </c>
      <c r="C71" s="342" t="s">
        <v>289</v>
      </c>
      <c r="D71" s="193">
        <f>IF($B71&gt;=G$5,M$5*$B71^(1/L$5),IF(AND($B71&gt;=G$6,$B71&lt;G$5),M$6*$B71^(1/L$6),M$7*$B71^(1/L$7)))</f>
        <v>673.46989761681311</v>
      </c>
      <c r="E71" s="193"/>
      <c r="F71" s="193"/>
      <c r="G71" s="193"/>
      <c r="H71" s="193"/>
      <c r="I71" s="193"/>
    </row>
    <row r="72" spans="1:23" x14ac:dyDescent="0.2">
      <c r="C72" s="342" t="s">
        <v>290</v>
      </c>
      <c r="D72" s="193">
        <f>D71-D70</f>
        <v>322.01513306320908</v>
      </c>
      <c r="E72" s="193"/>
      <c r="F72" s="193"/>
      <c r="G72" s="193"/>
      <c r="H72" s="193"/>
      <c r="I72" s="193"/>
    </row>
    <row r="74" spans="1:23" x14ac:dyDescent="0.2">
      <c r="A74" s="208"/>
      <c r="B74" s="139"/>
      <c r="C74" s="139"/>
      <c r="D74" s="139"/>
      <c r="E74" s="139"/>
      <c r="F74" s="139"/>
      <c r="G74" s="139"/>
      <c r="H74" s="139"/>
      <c r="I74" s="139"/>
      <c r="J74" s="139"/>
      <c r="K74" s="139"/>
    </row>
    <row r="75" spans="1:23" x14ac:dyDescent="0.2">
      <c r="A75" s="208"/>
      <c r="B75" s="139"/>
      <c r="C75" s="139"/>
      <c r="D75" s="199"/>
      <c r="E75" s="139"/>
      <c r="F75" s="139"/>
      <c r="G75" s="139"/>
      <c r="H75" s="139"/>
      <c r="I75" s="139"/>
      <c r="J75" s="139"/>
      <c r="K75" s="139"/>
    </row>
    <row r="76" spans="1:23" x14ac:dyDescent="0.2">
      <c r="A76" s="344"/>
      <c r="B76" s="139"/>
      <c r="C76" s="338"/>
      <c r="D76" s="318"/>
      <c r="E76" s="338"/>
      <c r="F76" s="338"/>
      <c r="G76" s="338"/>
      <c r="H76" s="338"/>
      <c r="I76" s="338"/>
      <c r="J76" s="139"/>
      <c r="K76" s="139"/>
    </row>
    <row r="77" spans="1:23" x14ac:dyDescent="0.2">
      <c r="A77" s="344"/>
      <c r="B77" s="139"/>
      <c r="C77" s="338"/>
      <c r="D77" s="318"/>
      <c r="E77" s="338"/>
      <c r="F77" s="338"/>
      <c r="G77" s="338"/>
      <c r="H77" s="338"/>
      <c r="I77" s="338"/>
      <c r="J77" s="139"/>
      <c r="K77" s="139"/>
    </row>
    <row r="78" spans="1:23" x14ac:dyDescent="0.2">
      <c r="A78" s="344"/>
      <c r="B78" s="139"/>
      <c r="C78" s="150"/>
      <c r="D78" s="200"/>
      <c r="E78" s="150"/>
      <c r="F78" s="150"/>
      <c r="G78" s="150"/>
      <c r="H78" s="150"/>
      <c r="I78" s="150"/>
      <c r="J78" s="139"/>
      <c r="K78" s="139"/>
      <c r="O78" s="139"/>
      <c r="P78" s="139"/>
      <c r="Q78" s="139"/>
      <c r="R78" s="139"/>
    </row>
    <row r="79" spans="1:23" x14ac:dyDescent="0.2">
      <c r="A79" s="344"/>
      <c r="B79" s="139"/>
      <c r="C79" s="150"/>
      <c r="D79" s="200"/>
      <c r="E79" s="150"/>
      <c r="F79" s="150"/>
      <c r="G79" s="150"/>
      <c r="H79" s="150"/>
      <c r="I79" s="150"/>
      <c r="J79" s="139"/>
      <c r="K79" s="139"/>
      <c r="O79" s="139"/>
      <c r="P79" s="139"/>
      <c r="Q79" s="139"/>
      <c r="R79" s="139"/>
    </row>
    <row r="80" spans="1:23" x14ac:dyDescent="0.2">
      <c r="A80" s="344"/>
      <c r="B80" s="139"/>
      <c r="C80" s="199"/>
      <c r="D80" s="200"/>
      <c r="E80" s="199"/>
      <c r="F80" s="199"/>
      <c r="G80" s="199"/>
      <c r="H80" s="199"/>
      <c r="I80" s="199"/>
      <c r="J80" s="139"/>
      <c r="K80" s="139"/>
      <c r="M80" s="317"/>
      <c r="N80" s="317"/>
      <c r="O80" s="139"/>
      <c r="P80" s="139"/>
      <c r="Q80" s="139"/>
      <c r="R80" s="139"/>
      <c r="T80" s="139"/>
      <c r="U80" s="139"/>
      <c r="V80" s="139"/>
      <c r="W80" s="139"/>
    </row>
    <row r="81" spans="1:27" x14ac:dyDescent="0.2">
      <c r="A81" s="345"/>
      <c r="B81" s="129"/>
      <c r="C81" s="150"/>
      <c r="D81" s="200"/>
      <c r="E81" s="150"/>
      <c r="F81" s="150"/>
      <c r="G81" s="150"/>
      <c r="H81" s="150"/>
      <c r="I81" s="150"/>
      <c r="J81" s="139"/>
      <c r="K81" s="139"/>
      <c r="O81" s="139"/>
      <c r="P81" s="139"/>
      <c r="Q81" s="129"/>
      <c r="R81" s="129"/>
      <c r="S81" s="161"/>
      <c r="T81" s="129"/>
      <c r="U81" s="129"/>
      <c r="V81" s="129"/>
      <c r="W81" s="129"/>
      <c r="X81" s="161"/>
      <c r="Y81" s="161"/>
      <c r="Z81" s="161"/>
      <c r="AA81" s="161"/>
    </row>
    <row r="82" spans="1:27" x14ac:dyDescent="0.2">
      <c r="A82" s="344"/>
      <c r="B82" s="139"/>
      <c r="C82" s="139"/>
      <c r="D82" s="139"/>
      <c r="E82" s="139"/>
      <c r="F82" s="139"/>
      <c r="G82" s="139"/>
      <c r="H82" s="139"/>
      <c r="I82" s="139"/>
      <c r="J82" s="139"/>
      <c r="K82" s="139"/>
      <c r="Q82" s="161"/>
      <c r="R82" s="273"/>
      <c r="S82" s="161"/>
      <c r="T82" s="161"/>
      <c r="U82" s="161"/>
      <c r="V82" s="161"/>
      <c r="W82" s="161"/>
      <c r="X82" s="161"/>
      <c r="Y82" s="161"/>
      <c r="Z82" s="161"/>
      <c r="AA82" s="161"/>
    </row>
    <row r="83" spans="1:27" x14ac:dyDescent="0.2">
      <c r="A83" s="344"/>
      <c r="B83" s="139"/>
      <c r="C83" s="282"/>
      <c r="D83" s="139"/>
      <c r="E83" s="139"/>
      <c r="F83" s="139"/>
      <c r="G83" s="139"/>
      <c r="H83" s="139"/>
      <c r="I83" s="139"/>
      <c r="J83" s="139"/>
      <c r="K83" s="139"/>
      <c r="Q83" s="161"/>
      <c r="R83" s="161"/>
      <c r="S83" s="161"/>
      <c r="T83" s="161"/>
      <c r="U83" s="161"/>
      <c r="V83" s="161"/>
      <c r="W83" s="161"/>
      <c r="X83" s="161"/>
      <c r="Y83" s="161"/>
      <c r="Z83" s="161"/>
      <c r="AA83" s="161"/>
    </row>
    <row r="84" spans="1:27" x14ac:dyDescent="0.2">
      <c r="A84" s="344"/>
      <c r="B84" s="139"/>
      <c r="C84" s="139"/>
      <c r="D84" s="139"/>
      <c r="E84" s="139"/>
      <c r="F84" s="139"/>
      <c r="G84" s="139"/>
      <c r="H84" s="139"/>
      <c r="I84" s="139"/>
      <c r="J84" s="139"/>
      <c r="K84" s="139"/>
      <c r="Q84" s="161"/>
      <c r="R84" s="161"/>
      <c r="S84" s="161"/>
      <c r="T84" s="161"/>
      <c r="U84" s="161"/>
      <c r="V84" s="161"/>
      <c r="W84" s="161"/>
      <c r="X84" s="161"/>
      <c r="Y84" s="161"/>
      <c r="Z84" s="161"/>
      <c r="AA84" s="161"/>
    </row>
    <row r="85" spans="1:27" x14ac:dyDescent="0.2">
      <c r="A85" s="344"/>
      <c r="B85" s="139"/>
      <c r="C85" s="139"/>
      <c r="D85" s="139"/>
      <c r="E85" s="139"/>
      <c r="F85" s="139"/>
      <c r="G85" s="139"/>
      <c r="H85" s="139"/>
      <c r="I85" s="139"/>
      <c r="J85" s="139"/>
      <c r="K85" s="139"/>
      <c r="Q85" s="161"/>
      <c r="R85" s="161"/>
      <c r="S85" s="161"/>
      <c r="T85" s="161"/>
      <c r="U85" s="161"/>
      <c r="V85" s="161"/>
      <c r="W85" s="161"/>
      <c r="X85" s="161"/>
      <c r="Y85" s="161"/>
      <c r="Z85" s="161"/>
      <c r="AA85" s="161"/>
    </row>
    <row r="86" spans="1:27" x14ac:dyDescent="0.2">
      <c r="A86" s="208"/>
      <c r="B86" s="139"/>
      <c r="C86" s="139"/>
      <c r="D86" s="139"/>
      <c r="E86" s="139"/>
      <c r="F86" s="139"/>
      <c r="G86" s="139"/>
      <c r="H86" s="139"/>
      <c r="I86" s="139"/>
      <c r="J86" s="139"/>
      <c r="K86" s="139"/>
      <c r="Q86" s="161"/>
      <c r="R86" s="161"/>
      <c r="S86" s="161"/>
      <c r="T86" s="161"/>
      <c r="U86" s="161"/>
      <c r="V86" s="161"/>
      <c r="W86" s="161"/>
      <c r="X86" s="161"/>
      <c r="Y86" s="161"/>
      <c r="Z86" s="161"/>
      <c r="AA86" s="161"/>
    </row>
    <row r="87" spans="1:27" x14ac:dyDescent="0.2">
      <c r="A87" s="208"/>
      <c r="B87" s="139"/>
      <c r="C87" s="139"/>
      <c r="D87" s="139"/>
      <c r="E87" s="139"/>
      <c r="F87" s="139"/>
      <c r="G87" s="139"/>
      <c r="H87" s="139"/>
      <c r="I87" s="139"/>
      <c r="J87" s="139"/>
      <c r="K87" s="139"/>
      <c r="Q87" s="274"/>
      <c r="R87" s="161"/>
      <c r="S87" s="161"/>
      <c r="T87" s="161"/>
      <c r="U87" s="161"/>
      <c r="V87" s="161"/>
      <c r="W87" s="161"/>
      <c r="X87" s="161"/>
      <c r="Y87" s="161"/>
      <c r="Z87" s="161"/>
      <c r="AA87" s="161"/>
    </row>
    <row r="88" spans="1:27" x14ac:dyDescent="0.2">
      <c r="A88" s="208"/>
      <c r="B88" s="139"/>
      <c r="C88" s="139"/>
      <c r="D88" s="139"/>
      <c r="E88" s="139"/>
      <c r="F88" s="139"/>
      <c r="G88" s="139"/>
      <c r="H88" s="139"/>
      <c r="I88" s="139"/>
      <c r="J88" s="139"/>
      <c r="K88" s="139"/>
      <c r="O88" s="139"/>
      <c r="P88" s="130"/>
      <c r="Q88" s="193"/>
      <c r="R88" s="193"/>
      <c r="S88" s="193"/>
      <c r="T88" s="193"/>
      <c r="U88" s="193"/>
      <c r="V88" s="193"/>
      <c r="W88" s="161"/>
      <c r="X88" s="161"/>
      <c r="Y88" s="161"/>
      <c r="Z88" s="161"/>
      <c r="AA88" s="161"/>
    </row>
    <row r="89" spans="1:27" x14ac:dyDescent="0.2">
      <c r="A89" s="208"/>
      <c r="B89" s="139"/>
      <c r="C89" s="139"/>
      <c r="D89" s="139"/>
      <c r="E89" s="139"/>
      <c r="F89" s="139"/>
      <c r="G89" s="139"/>
      <c r="H89" s="139"/>
      <c r="I89" s="139"/>
      <c r="J89" s="139"/>
      <c r="K89" s="139"/>
      <c r="O89" s="139"/>
      <c r="P89" s="130"/>
      <c r="Q89" s="193"/>
      <c r="R89" s="193"/>
      <c r="S89" s="193"/>
      <c r="T89" s="193"/>
      <c r="U89" s="193"/>
      <c r="V89" s="193"/>
      <c r="W89" s="161"/>
      <c r="X89" s="161"/>
      <c r="Y89" s="161"/>
      <c r="Z89" s="161"/>
      <c r="AA89" s="161"/>
    </row>
    <row r="90" spans="1:27" x14ac:dyDescent="0.2">
      <c r="A90" s="208"/>
      <c r="B90" s="139"/>
      <c r="C90" s="139"/>
      <c r="D90" s="139"/>
      <c r="E90" s="139"/>
      <c r="F90" s="139"/>
      <c r="G90" s="139"/>
      <c r="H90" s="139"/>
      <c r="I90" s="139"/>
      <c r="J90" s="139"/>
      <c r="K90" s="139"/>
      <c r="O90" s="139"/>
      <c r="P90" s="130"/>
      <c r="Q90" s="193"/>
      <c r="R90" s="193"/>
      <c r="S90" s="193"/>
      <c r="T90" s="193"/>
      <c r="U90" s="193"/>
      <c r="V90" s="193"/>
      <c r="W90" s="161"/>
      <c r="X90" s="161"/>
      <c r="Y90" s="161"/>
      <c r="Z90" s="161"/>
      <c r="AA90" s="161"/>
    </row>
    <row r="91" spans="1:27" x14ac:dyDescent="0.2">
      <c r="O91" s="139"/>
      <c r="P91" s="130"/>
      <c r="Q91" s="193"/>
      <c r="R91" s="193"/>
      <c r="S91" s="193"/>
      <c r="T91" s="193"/>
      <c r="U91" s="193"/>
      <c r="V91" s="193"/>
      <c r="W91" s="161"/>
      <c r="X91" s="161"/>
      <c r="Y91" s="161"/>
      <c r="Z91" s="161"/>
      <c r="AA91" s="161"/>
    </row>
    <row r="92" spans="1:27" x14ac:dyDescent="0.2">
      <c r="O92" s="139"/>
      <c r="P92" s="130"/>
      <c r="Q92" s="193"/>
      <c r="R92" s="193"/>
      <c r="S92" s="193"/>
      <c r="T92" s="193"/>
      <c r="U92" s="193"/>
      <c r="V92" s="193"/>
      <c r="W92" s="161"/>
      <c r="X92" s="161"/>
      <c r="Y92" s="161"/>
      <c r="Z92" s="161"/>
      <c r="AA92" s="161"/>
    </row>
    <row r="93" spans="1:27" x14ac:dyDescent="0.2">
      <c r="L93" s="318"/>
      <c r="O93" s="139"/>
      <c r="P93" s="130"/>
      <c r="Q93" s="193"/>
      <c r="R93" s="193"/>
      <c r="S93" s="193"/>
      <c r="T93" s="193"/>
      <c r="U93" s="193"/>
      <c r="V93" s="193"/>
      <c r="W93" s="161"/>
      <c r="X93" s="161"/>
      <c r="Y93" s="161"/>
      <c r="Z93" s="161"/>
      <c r="AA93" s="161"/>
    </row>
    <row r="94" spans="1:27" x14ac:dyDescent="0.2">
      <c r="L94" s="318"/>
      <c r="O94" s="139"/>
      <c r="P94" s="130"/>
      <c r="Q94" s="193"/>
      <c r="R94" s="193"/>
      <c r="S94" s="193"/>
      <c r="T94" s="193"/>
      <c r="U94" s="193"/>
      <c r="V94" s="193"/>
      <c r="W94" s="161"/>
      <c r="X94" s="161"/>
      <c r="Y94" s="161"/>
      <c r="Z94" s="161"/>
      <c r="AA94" s="161"/>
    </row>
    <row r="95" spans="1:27" x14ac:dyDescent="0.2">
      <c r="L95" s="200"/>
      <c r="O95" s="139"/>
      <c r="P95" s="130"/>
      <c r="Q95" s="193"/>
      <c r="R95" s="193"/>
      <c r="S95" s="193"/>
      <c r="T95" s="193"/>
      <c r="U95" s="193"/>
      <c r="V95" s="193"/>
      <c r="W95" s="161"/>
      <c r="X95" s="161"/>
      <c r="Y95" s="161"/>
      <c r="Z95" s="161"/>
      <c r="AA95" s="161"/>
    </row>
    <row r="96" spans="1:27" x14ac:dyDescent="0.2">
      <c r="L96" s="200"/>
      <c r="O96" s="139"/>
      <c r="P96" s="139"/>
      <c r="Q96" s="193"/>
      <c r="R96" s="193"/>
      <c r="S96" s="193"/>
      <c r="T96" s="193"/>
      <c r="U96" s="193"/>
      <c r="V96" s="193"/>
      <c r="W96" s="161"/>
      <c r="X96" s="161"/>
      <c r="Y96" s="161"/>
      <c r="Z96" s="161"/>
      <c r="AA96" s="161"/>
    </row>
    <row r="97" spans="1:34" x14ac:dyDescent="0.2">
      <c r="L97" s="200"/>
      <c r="O97" s="139"/>
      <c r="P97" s="130"/>
      <c r="Q97" s="193"/>
      <c r="R97" s="193"/>
      <c r="S97" s="193"/>
      <c r="T97" s="193"/>
      <c r="U97" s="193"/>
      <c r="V97" s="193"/>
      <c r="W97" s="161"/>
      <c r="X97" s="161"/>
      <c r="Y97" s="161"/>
      <c r="Z97" s="161"/>
      <c r="AA97" s="161"/>
    </row>
    <row r="98" spans="1:34" x14ac:dyDescent="0.2">
      <c r="C98" s="226"/>
      <c r="D98" s="199"/>
      <c r="E98" s="199"/>
      <c r="F98" s="199"/>
      <c r="G98" s="199"/>
      <c r="H98" s="199"/>
      <c r="I98" s="199"/>
      <c r="J98" s="199"/>
      <c r="K98" s="160"/>
      <c r="L98" s="200"/>
      <c r="O98" s="139"/>
      <c r="P98" s="130"/>
      <c r="Q98" s="193"/>
      <c r="R98" s="193"/>
      <c r="S98" s="193"/>
      <c r="T98" s="193"/>
      <c r="U98" s="193"/>
      <c r="V98" s="193"/>
      <c r="W98" s="161"/>
      <c r="X98" s="161"/>
      <c r="Y98" s="161"/>
      <c r="Z98" s="161"/>
      <c r="AA98" s="161"/>
    </row>
    <row r="99" spans="1:34" x14ac:dyDescent="0.2">
      <c r="C99" s="226"/>
      <c r="D99" s="199"/>
      <c r="E99" s="199"/>
      <c r="F99" s="199"/>
      <c r="G99" s="199"/>
      <c r="H99" s="199"/>
      <c r="I99" s="199"/>
      <c r="J99" s="199"/>
      <c r="K99" s="160"/>
      <c r="Q99" s="193"/>
      <c r="R99" s="193"/>
      <c r="S99" s="193"/>
      <c r="T99" s="193"/>
      <c r="U99" s="193"/>
      <c r="V99" s="193"/>
      <c r="W99" s="161"/>
      <c r="X99" s="161"/>
      <c r="Y99" s="161"/>
      <c r="Z99" s="161"/>
      <c r="AA99" s="161"/>
    </row>
    <row r="100" spans="1:34" x14ac:dyDescent="0.2">
      <c r="C100" s="226"/>
      <c r="D100" s="199"/>
      <c r="E100" s="199"/>
      <c r="F100" s="199"/>
      <c r="G100" s="199"/>
      <c r="H100" s="199"/>
      <c r="I100" s="199"/>
      <c r="J100" s="199"/>
      <c r="K100" s="160"/>
      <c r="L100" s="139"/>
      <c r="P100" s="130"/>
      <c r="Q100" s="193"/>
      <c r="R100" s="193"/>
      <c r="S100" s="193"/>
      <c r="T100" s="193"/>
      <c r="U100" s="193"/>
      <c r="V100" s="193"/>
      <c r="W100" s="161"/>
      <c r="X100" s="161"/>
      <c r="Y100" s="161"/>
      <c r="Z100" s="161"/>
      <c r="AA100" s="161"/>
    </row>
    <row r="101" spans="1:34" x14ac:dyDescent="0.2">
      <c r="C101" s="226"/>
      <c r="D101" s="199"/>
      <c r="E101" s="199"/>
      <c r="F101" s="199"/>
      <c r="G101" s="199"/>
      <c r="H101" s="199"/>
      <c r="I101" s="199"/>
      <c r="J101" s="199"/>
      <c r="K101" s="160"/>
      <c r="L101" s="139"/>
      <c r="P101" s="130"/>
      <c r="Q101" s="199"/>
      <c r="R101" s="199"/>
      <c r="S101" s="199"/>
      <c r="T101" s="199"/>
      <c r="U101" s="199"/>
      <c r="V101" s="199"/>
    </row>
    <row r="102" spans="1:34" x14ac:dyDescent="0.2">
      <c r="C102" s="226"/>
      <c r="D102" s="199"/>
      <c r="E102" s="199"/>
      <c r="F102" s="199"/>
      <c r="G102" s="199"/>
      <c r="H102" s="199"/>
      <c r="I102" s="199"/>
      <c r="J102" s="199"/>
      <c r="K102" s="160"/>
    </row>
    <row r="103" spans="1:34" x14ac:dyDescent="0.2">
      <c r="C103" s="226"/>
      <c r="D103" s="199"/>
      <c r="E103" s="199"/>
      <c r="F103" s="199"/>
      <c r="G103" s="199"/>
      <c r="H103" s="199"/>
      <c r="I103" s="199"/>
      <c r="J103" s="199"/>
      <c r="K103" s="160"/>
      <c r="L103" s="139"/>
    </row>
    <row r="104" spans="1:34" x14ac:dyDescent="0.2">
      <c r="C104" s="226"/>
      <c r="D104" s="199"/>
      <c r="E104" s="199"/>
      <c r="F104" s="199"/>
      <c r="G104" s="199"/>
      <c r="H104" s="199"/>
      <c r="I104" s="199"/>
      <c r="J104" s="199"/>
      <c r="K104" s="160"/>
      <c r="L104" s="139"/>
    </row>
    <row r="105" spans="1:34" x14ac:dyDescent="0.2">
      <c r="C105" s="226"/>
      <c r="D105" s="199"/>
      <c r="E105" s="199"/>
      <c r="F105" s="199"/>
      <c r="G105" s="199"/>
      <c r="H105" s="199"/>
      <c r="I105" s="199"/>
      <c r="J105" s="199"/>
      <c r="K105" s="160"/>
      <c r="L105" s="139"/>
    </row>
    <row r="106" spans="1:34" x14ac:dyDescent="0.2">
      <c r="C106" s="226"/>
      <c r="D106" s="199"/>
      <c r="E106" s="199"/>
      <c r="F106" s="199"/>
      <c r="G106" s="199"/>
      <c r="H106" s="199"/>
      <c r="I106" s="199"/>
      <c r="J106" s="199"/>
      <c r="K106" s="160"/>
    </row>
    <row r="107" spans="1:34" x14ac:dyDescent="0.2">
      <c r="C107" s="226"/>
      <c r="D107" s="199"/>
      <c r="E107" s="199"/>
      <c r="F107" s="199"/>
      <c r="G107" s="199"/>
      <c r="H107" s="199"/>
      <c r="I107" s="199"/>
      <c r="J107" s="199"/>
      <c r="K107" s="160"/>
    </row>
    <row r="108" spans="1:34" x14ac:dyDescent="0.2">
      <c r="C108" s="226"/>
      <c r="D108" s="199"/>
      <c r="E108" s="199"/>
      <c r="F108" s="199"/>
      <c r="G108" s="199"/>
      <c r="H108" s="199"/>
      <c r="I108" s="199"/>
      <c r="J108" s="199"/>
      <c r="K108" s="160"/>
    </row>
    <row r="109" spans="1:34" x14ac:dyDescent="0.2">
      <c r="C109" s="226"/>
      <c r="D109" s="199"/>
      <c r="E109" s="199"/>
      <c r="F109" s="199"/>
      <c r="G109" s="199"/>
      <c r="H109" s="199"/>
      <c r="I109" s="199"/>
      <c r="J109" s="199"/>
      <c r="K109" s="160"/>
    </row>
    <row r="110" spans="1:34" x14ac:dyDescent="0.2">
      <c r="C110" s="226"/>
      <c r="D110" s="199"/>
      <c r="E110" s="199"/>
      <c r="F110" s="199"/>
      <c r="G110" s="199"/>
      <c r="H110" s="199"/>
      <c r="I110" s="199"/>
      <c r="J110" s="199"/>
      <c r="K110" s="160"/>
    </row>
    <row r="111" spans="1:34" x14ac:dyDescent="0.2">
      <c r="C111" s="226"/>
      <c r="D111" s="199"/>
      <c r="E111" s="199"/>
      <c r="F111" s="199"/>
      <c r="G111" s="199"/>
      <c r="H111" s="199"/>
      <c r="I111" s="199"/>
      <c r="J111" s="199"/>
      <c r="K111" s="160"/>
    </row>
    <row r="112" spans="1:34" s="139" customFormat="1" x14ac:dyDescent="0.2">
      <c r="A112" s="138"/>
      <c r="B112" s="36"/>
      <c r="C112" s="226"/>
      <c r="D112" s="199"/>
      <c r="E112" s="199"/>
      <c r="F112" s="199"/>
      <c r="G112" s="199"/>
      <c r="H112" s="199"/>
      <c r="I112" s="199"/>
      <c r="J112" s="199"/>
      <c r="K112" s="36"/>
      <c r="L112" s="36"/>
      <c r="O112" s="36"/>
      <c r="P112" s="36"/>
      <c r="Q112" s="36"/>
      <c r="R112" s="36"/>
      <c r="S112" s="36"/>
      <c r="T112" s="36"/>
      <c r="U112" s="36"/>
      <c r="V112" s="36"/>
      <c r="W112" s="36"/>
      <c r="X112" s="36"/>
      <c r="Y112" s="36"/>
      <c r="Z112" s="36"/>
      <c r="AA112" s="36"/>
      <c r="AB112" s="36"/>
      <c r="AC112" s="36"/>
      <c r="AD112" s="36"/>
      <c r="AE112" s="36"/>
      <c r="AF112" s="36"/>
      <c r="AG112" s="36"/>
      <c r="AH112" s="36"/>
    </row>
    <row r="113" spans="1:34" s="139" customFormat="1" x14ac:dyDescent="0.2">
      <c r="A113" s="138"/>
      <c r="B113" s="36"/>
      <c r="C113" s="226"/>
      <c r="D113" s="199"/>
      <c r="E113" s="199"/>
      <c r="F113" s="199"/>
      <c r="G113" s="199"/>
      <c r="H113" s="199"/>
      <c r="I113" s="199"/>
      <c r="J113" s="199"/>
      <c r="K113" s="36"/>
      <c r="L113" s="36"/>
      <c r="O113" s="36"/>
      <c r="P113" s="36"/>
      <c r="Q113" s="36"/>
      <c r="R113" s="36"/>
      <c r="S113" s="36"/>
      <c r="T113" s="36"/>
      <c r="U113" s="36"/>
      <c r="V113" s="36"/>
      <c r="W113" s="36"/>
      <c r="X113" s="36"/>
      <c r="Y113" s="36"/>
      <c r="Z113" s="36"/>
      <c r="AA113" s="36"/>
      <c r="AB113" s="36"/>
      <c r="AC113" s="36"/>
      <c r="AD113" s="36"/>
      <c r="AE113" s="36"/>
      <c r="AF113" s="36"/>
      <c r="AG113" s="36"/>
      <c r="AH113" s="36"/>
    </row>
    <row r="114" spans="1:34" s="139" customFormat="1" x14ac:dyDescent="0.2">
      <c r="A114" s="138"/>
      <c r="B114" s="36"/>
      <c r="C114" s="226"/>
      <c r="D114" s="199"/>
      <c r="E114" s="199"/>
      <c r="F114" s="199"/>
      <c r="G114" s="199"/>
      <c r="H114" s="199"/>
      <c r="I114" s="199"/>
      <c r="J114" s="199"/>
      <c r="K114" s="36"/>
      <c r="L114" s="36"/>
      <c r="O114" s="36"/>
      <c r="P114" s="36"/>
      <c r="Q114" s="36"/>
      <c r="R114" s="36"/>
      <c r="S114" s="36"/>
      <c r="T114" s="36"/>
      <c r="U114" s="36"/>
      <c r="V114" s="36"/>
      <c r="W114" s="36"/>
      <c r="X114" s="36"/>
      <c r="Y114" s="36"/>
      <c r="Z114" s="36"/>
      <c r="AA114" s="36"/>
      <c r="AB114" s="36"/>
      <c r="AC114" s="36"/>
      <c r="AD114" s="36"/>
      <c r="AE114" s="36"/>
      <c r="AF114" s="36"/>
      <c r="AG114" s="36"/>
      <c r="AH114" s="36"/>
    </row>
    <row r="115" spans="1:34" s="139" customFormat="1" x14ac:dyDescent="0.2">
      <c r="A115" s="138"/>
      <c r="B115" s="36"/>
      <c r="C115" s="268"/>
      <c r="D115" s="199"/>
      <c r="E115" s="199"/>
      <c r="F115" s="199"/>
      <c r="G115" s="199"/>
      <c r="H115" s="199"/>
      <c r="I115" s="199"/>
      <c r="J115" s="199"/>
      <c r="K115" s="36"/>
      <c r="L115" s="160"/>
      <c r="O115" s="36"/>
      <c r="P115" s="36"/>
      <c r="Q115" s="36"/>
      <c r="R115" s="36"/>
      <c r="S115" s="36"/>
      <c r="T115" s="36"/>
      <c r="U115" s="36"/>
      <c r="V115" s="36"/>
      <c r="W115" s="36"/>
      <c r="X115" s="36"/>
      <c r="Y115" s="36"/>
      <c r="Z115" s="36"/>
      <c r="AA115" s="36"/>
      <c r="AB115" s="36"/>
      <c r="AC115" s="36"/>
      <c r="AD115" s="36"/>
      <c r="AE115" s="36"/>
      <c r="AF115" s="36"/>
      <c r="AG115" s="36"/>
      <c r="AH115" s="36"/>
    </row>
    <row r="116" spans="1:34" s="139" customFormat="1" x14ac:dyDescent="0.2">
      <c r="A116" s="138"/>
      <c r="B116" s="36"/>
      <c r="C116" s="226"/>
      <c r="D116" s="199"/>
      <c r="E116" s="199"/>
      <c r="F116" s="199"/>
      <c r="G116" s="199"/>
      <c r="H116" s="199"/>
      <c r="I116" s="199"/>
      <c r="J116" s="199"/>
      <c r="K116" s="36"/>
      <c r="L116" s="160"/>
      <c r="O116" s="36"/>
      <c r="P116" s="36"/>
      <c r="Q116" s="36"/>
      <c r="R116" s="36"/>
      <c r="S116" s="36"/>
      <c r="T116" s="36"/>
      <c r="U116" s="36"/>
      <c r="V116" s="36"/>
      <c r="W116" s="36"/>
      <c r="X116" s="36"/>
      <c r="Y116" s="36"/>
      <c r="Z116" s="36"/>
      <c r="AA116" s="36"/>
      <c r="AB116" s="36"/>
      <c r="AC116" s="36"/>
      <c r="AD116" s="36"/>
      <c r="AE116" s="36"/>
      <c r="AF116" s="36"/>
      <c r="AG116" s="36"/>
      <c r="AH116" s="36"/>
    </row>
    <row r="117" spans="1:34" s="139" customFormat="1" x14ac:dyDescent="0.2">
      <c r="A117" s="138"/>
      <c r="B117" s="36"/>
      <c r="C117" s="226"/>
      <c r="D117" s="199"/>
      <c r="E117" s="199"/>
      <c r="F117" s="199"/>
      <c r="G117" s="199"/>
      <c r="H117" s="199"/>
      <c r="I117" s="199"/>
      <c r="J117" s="199"/>
      <c r="K117" s="36"/>
      <c r="L117" s="160"/>
      <c r="O117" s="36"/>
      <c r="P117" s="36"/>
      <c r="Q117" s="36"/>
      <c r="R117" s="36"/>
      <c r="S117" s="36"/>
      <c r="T117" s="36"/>
      <c r="U117" s="36"/>
      <c r="V117" s="36"/>
      <c r="W117" s="36"/>
      <c r="X117" s="36"/>
      <c r="Y117" s="36"/>
      <c r="Z117" s="36"/>
      <c r="AA117" s="36"/>
      <c r="AB117" s="36"/>
      <c r="AC117" s="36"/>
      <c r="AD117" s="36"/>
      <c r="AE117" s="36"/>
      <c r="AF117" s="36"/>
      <c r="AG117" s="36"/>
      <c r="AH117" s="36"/>
    </row>
    <row r="118" spans="1:34" s="139" customFormat="1" x14ac:dyDescent="0.2">
      <c r="A118" s="138"/>
      <c r="B118" s="36"/>
      <c r="C118" s="226"/>
      <c r="D118" s="199"/>
      <c r="E118" s="199"/>
      <c r="F118" s="199"/>
      <c r="G118" s="199"/>
      <c r="H118" s="199"/>
      <c r="I118" s="199"/>
      <c r="J118" s="199"/>
      <c r="K118" s="36"/>
      <c r="L118" s="160"/>
      <c r="O118" s="36"/>
      <c r="P118" s="36"/>
      <c r="Q118" s="36"/>
      <c r="R118" s="36"/>
      <c r="S118" s="36"/>
      <c r="T118" s="36"/>
      <c r="U118" s="36"/>
      <c r="V118" s="36"/>
      <c r="W118" s="36"/>
      <c r="X118" s="36"/>
      <c r="Y118" s="36"/>
      <c r="Z118" s="36"/>
      <c r="AA118" s="36"/>
      <c r="AB118" s="36"/>
      <c r="AC118" s="36"/>
      <c r="AD118" s="36"/>
      <c r="AE118" s="36"/>
      <c r="AF118" s="36"/>
      <c r="AG118" s="36"/>
      <c r="AH118" s="36"/>
    </row>
    <row r="119" spans="1:34" x14ac:dyDescent="0.2">
      <c r="C119" s="226"/>
      <c r="D119" s="199"/>
      <c r="E119" s="199"/>
      <c r="F119" s="199"/>
      <c r="G119" s="199"/>
      <c r="H119" s="199"/>
      <c r="I119" s="199"/>
      <c r="J119" s="199"/>
      <c r="L119" s="160"/>
    </row>
    <row r="120" spans="1:34" s="139" customFormat="1" x14ac:dyDescent="0.2">
      <c r="A120" s="138"/>
      <c r="B120" s="36"/>
      <c r="C120" s="226"/>
      <c r="D120" s="199"/>
      <c r="E120" s="199"/>
      <c r="F120" s="199"/>
      <c r="G120" s="199"/>
      <c r="H120" s="199"/>
      <c r="I120" s="199"/>
      <c r="J120" s="199"/>
      <c r="K120" s="36"/>
      <c r="L120" s="160"/>
      <c r="O120" s="36"/>
      <c r="P120" s="36"/>
      <c r="Q120" s="36"/>
      <c r="R120" s="36"/>
      <c r="S120" s="36"/>
      <c r="T120" s="36"/>
      <c r="U120" s="36"/>
      <c r="V120" s="36"/>
      <c r="W120" s="36"/>
      <c r="X120" s="36"/>
      <c r="Y120" s="36"/>
      <c r="Z120" s="36"/>
      <c r="AA120" s="36"/>
      <c r="AB120" s="36"/>
      <c r="AC120" s="36"/>
      <c r="AD120" s="36"/>
      <c r="AE120" s="36"/>
      <c r="AF120" s="36"/>
      <c r="AG120" s="36"/>
      <c r="AH120" s="36"/>
    </row>
    <row r="121" spans="1:34" s="139" customFormat="1" x14ac:dyDescent="0.2">
      <c r="A121" s="138"/>
      <c r="B121" s="36"/>
      <c r="C121" s="226"/>
      <c r="D121" s="199"/>
      <c r="E121" s="199"/>
      <c r="F121" s="199"/>
      <c r="G121" s="199"/>
      <c r="H121" s="199"/>
      <c r="I121" s="199"/>
      <c r="J121" s="199"/>
      <c r="K121" s="36"/>
      <c r="L121" s="160"/>
      <c r="O121" s="36"/>
      <c r="P121" s="36"/>
      <c r="Q121" s="36"/>
      <c r="R121" s="36"/>
      <c r="S121" s="36"/>
      <c r="T121" s="36"/>
      <c r="U121" s="36"/>
      <c r="V121" s="36"/>
      <c r="W121" s="36"/>
      <c r="X121" s="36"/>
      <c r="Y121" s="36"/>
      <c r="Z121" s="36"/>
      <c r="AA121" s="36"/>
      <c r="AB121" s="36"/>
      <c r="AC121" s="36"/>
      <c r="AD121" s="36"/>
      <c r="AE121" s="36"/>
      <c r="AF121" s="36"/>
      <c r="AG121" s="36"/>
      <c r="AH121" s="36"/>
    </row>
    <row r="122" spans="1:34" x14ac:dyDescent="0.2">
      <c r="C122" s="226"/>
      <c r="D122" s="199"/>
      <c r="E122" s="199"/>
      <c r="F122" s="199"/>
      <c r="G122" s="199"/>
      <c r="H122" s="199"/>
      <c r="I122" s="199"/>
      <c r="J122" s="199"/>
      <c r="L122" s="160"/>
    </row>
    <row r="123" spans="1:34" s="139" customFormat="1" x14ac:dyDescent="0.2">
      <c r="A123" s="138"/>
      <c r="B123" s="36"/>
      <c r="C123" s="226"/>
      <c r="D123" s="199"/>
      <c r="E123" s="199"/>
      <c r="F123" s="199"/>
      <c r="G123" s="199"/>
      <c r="H123" s="199"/>
      <c r="I123" s="199"/>
      <c r="J123" s="199"/>
      <c r="K123" s="36"/>
      <c r="L123" s="160"/>
      <c r="O123" s="36"/>
      <c r="P123" s="36"/>
      <c r="Q123" s="36"/>
      <c r="R123" s="36"/>
      <c r="S123" s="36"/>
      <c r="T123" s="36"/>
      <c r="U123" s="36"/>
      <c r="V123" s="36"/>
      <c r="W123" s="36"/>
      <c r="X123" s="36"/>
      <c r="Y123" s="36"/>
      <c r="Z123" s="36"/>
      <c r="AA123" s="36"/>
      <c r="AB123" s="36"/>
      <c r="AC123" s="36"/>
      <c r="AD123" s="36"/>
      <c r="AE123" s="36"/>
      <c r="AF123" s="36"/>
      <c r="AG123" s="36"/>
      <c r="AH123" s="36"/>
    </row>
    <row r="124" spans="1:34" s="139" customFormat="1" x14ac:dyDescent="0.2">
      <c r="A124" s="138"/>
      <c r="B124" s="36"/>
      <c r="C124" s="226"/>
      <c r="D124" s="199"/>
      <c r="E124" s="199"/>
      <c r="F124" s="199"/>
      <c r="G124" s="199"/>
      <c r="H124" s="199"/>
      <c r="I124" s="199"/>
      <c r="J124" s="199"/>
      <c r="K124" s="36"/>
      <c r="L124" s="160"/>
      <c r="O124" s="36"/>
      <c r="P124" s="36"/>
      <c r="Q124" s="36"/>
      <c r="R124" s="36"/>
      <c r="S124" s="36"/>
      <c r="T124" s="36"/>
      <c r="U124" s="36"/>
      <c r="V124" s="36"/>
      <c r="W124" s="36"/>
      <c r="X124" s="36"/>
      <c r="Y124" s="36"/>
      <c r="Z124" s="36"/>
      <c r="AA124" s="36"/>
      <c r="AB124" s="36"/>
      <c r="AC124" s="36"/>
      <c r="AD124" s="36"/>
      <c r="AE124" s="36"/>
      <c r="AF124" s="36"/>
      <c r="AG124" s="36"/>
      <c r="AH124" s="36"/>
    </row>
    <row r="125" spans="1:34" s="139" customFormat="1" x14ac:dyDescent="0.2">
      <c r="A125" s="138"/>
      <c r="B125" s="36"/>
      <c r="C125" s="226"/>
      <c r="D125" s="199"/>
      <c r="E125" s="199"/>
      <c r="F125" s="199"/>
      <c r="G125" s="199"/>
      <c r="H125" s="199"/>
      <c r="I125" s="199"/>
      <c r="J125" s="199"/>
      <c r="K125" s="36"/>
      <c r="L125" s="160"/>
      <c r="O125" s="36"/>
      <c r="P125" s="36"/>
      <c r="Q125" s="36"/>
      <c r="R125" s="36"/>
      <c r="S125" s="36"/>
      <c r="T125" s="36"/>
      <c r="U125" s="36"/>
      <c r="V125" s="36"/>
      <c r="W125" s="36"/>
      <c r="X125" s="36"/>
      <c r="Y125" s="36"/>
      <c r="Z125" s="36"/>
      <c r="AA125" s="36"/>
      <c r="AB125" s="36"/>
      <c r="AC125" s="36"/>
      <c r="AD125" s="36"/>
      <c r="AE125" s="36"/>
      <c r="AF125" s="36"/>
      <c r="AG125" s="36"/>
      <c r="AH125" s="36"/>
    </row>
    <row r="126" spans="1:34" x14ac:dyDescent="0.2">
      <c r="C126" s="226"/>
      <c r="D126" s="199"/>
      <c r="E126" s="199"/>
      <c r="F126" s="199"/>
      <c r="G126" s="199"/>
      <c r="H126" s="199"/>
      <c r="I126" s="199"/>
      <c r="J126" s="199"/>
      <c r="L126" s="160"/>
    </row>
    <row r="127" spans="1:34" x14ac:dyDescent="0.2">
      <c r="C127" s="226"/>
      <c r="D127" s="199"/>
      <c r="E127" s="199"/>
      <c r="F127" s="199"/>
      <c r="G127" s="199"/>
      <c r="H127" s="199"/>
      <c r="I127" s="199"/>
      <c r="J127" s="199"/>
      <c r="L127" s="160"/>
    </row>
    <row r="128" spans="1:34" x14ac:dyDescent="0.2">
      <c r="C128" s="226"/>
      <c r="D128" s="199"/>
      <c r="E128" s="199"/>
      <c r="F128" s="199"/>
      <c r="G128" s="199"/>
      <c r="H128" s="199"/>
      <c r="I128" s="199"/>
      <c r="J128" s="199"/>
      <c r="L128" s="160"/>
    </row>
    <row r="129" spans="3:21" x14ac:dyDescent="0.2">
      <c r="C129" s="226"/>
      <c r="D129" s="199"/>
      <c r="E129" s="199"/>
      <c r="F129" s="199"/>
      <c r="G129" s="199"/>
      <c r="H129" s="199"/>
      <c r="I129" s="199"/>
      <c r="J129" s="199"/>
    </row>
    <row r="130" spans="3:21" x14ac:dyDescent="0.2">
      <c r="C130" s="226"/>
      <c r="D130" s="199"/>
      <c r="E130" s="199"/>
      <c r="F130" s="199"/>
      <c r="G130" s="199"/>
      <c r="H130" s="199"/>
      <c r="I130" s="199"/>
      <c r="J130" s="199"/>
    </row>
    <row r="131" spans="3:21" x14ac:dyDescent="0.2">
      <c r="C131" s="226"/>
      <c r="D131" s="199"/>
      <c r="E131" s="199"/>
      <c r="F131" s="199"/>
      <c r="G131" s="199"/>
      <c r="H131" s="199"/>
      <c r="I131" s="199"/>
      <c r="J131" s="199"/>
      <c r="O131" s="129"/>
      <c r="P131" s="129"/>
      <c r="Q131" s="129"/>
      <c r="R131" s="129"/>
      <c r="S131" s="129"/>
      <c r="T131" s="129"/>
    </row>
    <row r="132" spans="3:21" x14ac:dyDescent="0.2">
      <c r="C132" s="226"/>
      <c r="D132" s="199"/>
      <c r="E132" s="199"/>
      <c r="F132" s="199"/>
      <c r="G132" s="199"/>
      <c r="H132" s="199"/>
      <c r="I132" s="199"/>
      <c r="J132" s="199"/>
      <c r="O132" s="193"/>
      <c r="P132" s="129"/>
      <c r="Q132" s="129"/>
      <c r="R132" s="129"/>
      <c r="S132" s="129"/>
      <c r="T132" s="129"/>
    </row>
    <row r="133" spans="3:21" x14ac:dyDescent="0.2">
      <c r="C133" s="226"/>
      <c r="D133" s="199"/>
      <c r="E133" s="199"/>
      <c r="F133" s="199"/>
      <c r="G133" s="199"/>
      <c r="H133" s="199"/>
      <c r="I133" s="199"/>
      <c r="J133" s="199"/>
      <c r="O133" s="129"/>
      <c r="P133" s="129"/>
      <c r="Q133" s="129"/>
      <c r="R133" s="129"/>
      <c r="S133" s="129"/>
      <c r="T133" s="129"/>
    </row>
    <row r="134" spans="3:21" x14ac:dyDescent="0.2">
      <c r="C134" s="226"/>
      <c r="D134" s="199"/>
      <c r="E134" s="199"/>
      <c r="F134" s="199"/>
      <c r="G134" s="199"/>
      <c r="H134" s="199"/>
      <c r="I134" s="199"/>
      <c r="J134" s="199"/>
      <c r="U134" s="129"/>
    </row>
    <row r="135" spans="3:21" x14ac:dyDescent="0.2">
      <c r="C135" s="226"/>
      <c r="D135" s="199"/>
      <c r="E135" s="199"/>
      <c r="F135" s="199"/>
      <c r="G135" s="199"/>
      <c r="H135" s="199"/>
      <c r="I135" s="199"/>
      <c r="J135" s="199"/>
      <c r="O135" s="129"/>
      <c r="P135" s="129"/>
      <c r="Q135" s="129"/>
      <c r="R135" s="129"/>
      <c r="S135" s="129"/>
      <c r="T135" s="129"/>
    </row>
    <row r="136" spans="3:21" x14ac:dyDescent="0.2">
      <c r="C136" s="226"/>
      <c r="D136" s="199"/>
      <c r="E136" s="199"/>
      <c r="F136" s="199"/>
      <c r="G136" s="199"/>
      <c r="H136" s="199"/>
      <c r="I136" s="199"/>
      <c r="J136" s="199"/>
      <c r="O136" s="129"/>
      <c r="P136" s="129"/>
      <c r="Q136" s="129"/>
      <c r="R136" s="129"/>
      <c r="S136" s="129"/>
      <c r="T136" s="129"/>
    </row>
    <row r="137" spans="3:21" x14ac:dyDescent="0.2">
      <c r="C137" s="226"/>
      <c r="D137" s="199"/>
      <c r="E137" s="199"/>
      <c r="F137" s="199"/>
      <c r="G137" s="199"/>
      <c r="H137" s="199"/>
      <c r="I137" s="199"/>
      <c r="J137" s="199"/>
      <c r="O137" s="129"/>
      <c r="P137" s="129"/>
      <c r="Q137" s="129"/>
      <c r="R137" s="129"/>
      <c r="S137" s="129"/>
      <c r="T137" s="129"/>
    </row>
    <row r="138" spans="3:21" x14ac:dyDescent="0.2">
      <c r="C138" s="226"/>
      <c r="D138" s="199"/>
      <c r="E138" s="199"/>
      <c r="F138" s="199"/>
      <c r="G138" s="199"/>
      <c r="H138" s="199"/>
      <c r="I138" s="199"/>
      <c r="J138" s="199"/>
      <c r="O138" s="129"/>
      <c r="P138" s="129"/>
      <c r="Q138" s="129"/>
      <c r="R138" s="129"/>
      <c r="S138" s="129"/>
      <c r="T138" s="129"/>
    </row>
    <row r="139" spans="3:21" x14ac:dyDescent="0.2">
      <c r="C139" s="226"/>
      <c r="D139" s="199"/>
      <c r="E139" s="199"/>
      <c r="F139" s="199"/>
      <c r="G139" s="199"/>
      <c r="H139" s="199"/>
      <c r="I139" s="199"/>
      <c r="J139" s="199"/>
      <c r="O139" s="129"/>
      <c r="P139" s="129"/>
      <c r="Q139" s="129"/>
      <c r="R139" s="129"/>
      <c r="S139" s="129"/>
      <c r="T139" s="129"/>
    </row>
    <row r="140" spans="3:21" x14ac:dyDescent="0.2">
      <c r="C140" s="226"/>
      <c r="D140" s="199"/>
      <c r="E140" s="199"/>
      <c r="F140" s="199"/>
      <c r="G140" s="199"/>
      <c r="H140" s="199"/>
      <c r="I140" s="199"/>
      <c r="J140" s="199"/>
      <c r="O140" s="129"/>
      <c r="P140" s="129"/>
      <c r="Q140" s="129"/>
      <c r="R140" s="129"/>
      <c r="S140" s="129"/>
      <c r="T140" s="129"/>
    </row>
    <row r="141" spans="3:21" x14ac:dyDescent="0.2">
      <c r="C141" s="226"/>
      <c r="D141" s="199"/>
      <c r="E141" s="199"/>
      <c r="F141" s="199"/>
      <c r="G141" s="199"/>
      <c r="H141" s="199"/>
      <c r="I141" s="199"/>
      <c r="J141" s="199"/>
      <c r="O141" s="129"/>
      <c r="P141" s="129"/>
      <c r="Q141" s="129"/>
      <c r="R141" s="129"/>
      <c r="S141" s="129"/>
      <c r="T141" s="129"/>
    </row>
    <row r="142" spans="3:21" x14ac:dyDescent="0.2">
      <c r="C142" s="226"/>
      <c r="D142" s="199"/>
      <c r="E142" s="199"/>
      <c r="F142" s="199"/>
      <c r="G142" s="199"/>
      <c r="H142" s="199"/>
      <c r="I142" s="199"/>
      <c r="J142" s="199"/>
      <c r="O142" s="129"/>
      <c r="P142" s="129"/>
      <c r="Q142" s="129"/>
      <c r="R142" s="129"/>
      <c r="S142" s="129"/>
      <c r="T142" s="129"/>
    </row>
    <row r="143" spans="3:21" x14ac:dyDescent="0.2">
      <c r="C143" s="226"/>
      <c r="D143" s="199"/>
      <c r="E143" s="199"/>
      <c r="F143" s="199"/>
      <c r="G143" s="199"/>
      <c r="H143" s="199"/>
      <c r="I143" s="199"/>
      <c r="J143" s="199"/>
      <c r="O143" s="129"/>
      <c r="P143" s="129"/>
      <c r="Q143" s="129"/>
      <c r="R143" s="129"/>
      <c r="S143" s="129"/>
      <c r="T143" s="129"/>
    </row>
    <row r="144" spans="3:21" x14ac:dyDescent="0.2">
      <c r="C144" s="226"/>
      <c r="D144" s="199"/>
      <c r="E144" s="199"/>
      <c r="F144" s="199"/>
      <c r="G144" s="199"/>
      <c r="H144" s="199"/>
      <c r="I144" s="199"/>
      <c r="J144" s="199"/>
      <c r="O144" s="129"/>
      <c r="P144" s="129"/>
      <c r="Q144" s="129"/>
      <c r="R144" s="129"/>
      <c r="S144" s="129"/>
      <c r="T144" s="129"/>
    </row>
    <row r="145" spans="3:20" x14ac:dyDescent="0.2">
      <c r="C145" s="226"/>
      <c r="D145" s="199"/>
      <c r="E145" s="199"/>
      <c r="F145" s="199"/>
      <c r="G145" s="199"/>
      <c r="H145" s="199"/>
      <c r="I145" s="199"/>
      <c r="J145" s="199"/>
      <c r="O145" s="129"/>
      <c r="P145" s="129"/>
      <c r="Q145" s="129"/>
      <c r="R145" s="129"/>
      <c r="S145" s="129"/>
      <c r="T145" s="129"/>
    </row>
    <row r="146" spans="3:20" x14ac:dyDescent="0.2">
      <c r="C146" s="226"/>
      <c r="D146" s="199"/>
      <c r="E146" s="199"/>
      <c r="F146" s="199"/>
      <c r="G146" s="199"/>
      <c r="H146" s="199"/>
      <c r="I146" s="199"/>
      <c r="J146" s="199"/>
      <c r="O146" s="129"/>
      <c r="P146" s="129"/>
      <c r="Q146" s="129"/>
      <c r="R146" s="129"/>
      <c r="S146" s="129"/>
      <c r="T146" s="129"/>
    </row>
    <row r="147" spans="3:20" x14ac:dyDescent="0.2">
      <c r="C147" s="226"/>
      <c r="D147" s="199"/>
      <c r="E147" s="199"/>
      <c r="F147" s="199"/>
      <c r="G147" s="199"/>
      <c r="H147" s="199"/>
      <c r="I147" s="199"/>
      <c r="J147" s="199"/>
      <c r="O147" s="129"/>
      <c r="P147" s="129"/>
      <c r="Q147" s="129"/>
      <c r="R147" s="129"/>
      <c r="S147" s="129"/>
      <c r="T147" s="129"/>
    </row>
    <row r="148" spans="3:20" x14ac:dyDescent="0.2">
      <c r="C148" s="226"/>
      <c r="D148" s="199"/>
      <c r="E148" s="199"/>
      <c r="F148" s="199"/>
      <c r="G148" s="199"/>
      <c r="H148" s="199"/>
      <c r="I148" s="199"/>
      <c r="J148" s="199"/>
    </row>
    <row r="149" spans="3:20" x14ac:dyDescent="0.2">
      <c r="C149" s="226"/>
      <c r="D149" s="199"/>
      <c r="E149" s="199"/>
      <c r="F149" s="199"/>
      <c r="G149" s="199"/>
      <c r="H149" s="199"/>
      <c r="I149" s="199"/>
      <c r="J149" s="199"/>
    </row>
    <row r="150" spans="3:20" x14ac:dyDescent="0.2">
      <c r="C150" s="226"/>
      <c r="D150" s="199"/>
      <c r="E150" s="199"/>
      <c r="F150" s="199"/>
      <c r="G150" s="199"/>
      <c r="H150" s="199"/>
      <c r="I150" s="199"/>
      <c r="J150" s="199"/>
    </row>
    <row r="151" spans="3:20" x14ac:dyDescent="0.2">
      <c r="C151" s="226"/>
      <c r="D151" s="199"/>
      <c r="E151" s="199"/>
      <c r="F151" s="199"/>
      <c r="G151" s="199"/>
      <c r="H151" s="199"/>
      <c r="I151" s="199"/>
      <c r="J151" s="199"/>
    </row>
    <row r="152" spans="3:20" x14ac:dyDescent="0.2">
      <c r="C152" s="226"/>
      <c r="D152" s="199"/>
      <c r="E152" s="199"/>
      <c r="F152" s="199"/>
      <c r="G152" s="199"/>
      <c r="H152" s="199"/>
      <c r="I152" s="199"/>
      <c r="J152" s="199"/>
    </row>
    <row r="153" spans="3:20" x14ac:dyDescent="0.2">
      <c r="C153" s="226"/>
      <c r="D153" s="199"/>
      <c r="E153" s="199"/>
      <c r="F153" s="199"/>
      <c r="G153" s="199"/>
      <c r="H153" s="199"/>
      <c r="I153" s="199"/>
      <c r="J153" s="199"/>
    </row>
    <row r="154" spans="3:20" x14ac:dyDescent="0.2">
      <c r="C154" s="226"/>
      <c r="D154" s="199"/>
      <c r="E154" s="199"/>
      <c r="F154" s="199"/>
      <c r="G154" s="199"/>
      <c r="H154" s="199"/>
      <c r="I154" s="199"/>
      <c r="J154" s="199"/>
    </row>
    <row r="155" spans="3:20" x14ac:dyDescent="0.2">
      <c r="C155" s="226"/>
      <c r="D155" s="199"/>
      <c r="E155" s="199"/>
      <c r="F155" s="199"/>
      <c r="G155" s="199"/>
      <c r="H155" s="199"/>
      <c r="I155" s="199"/>
      <c r="J155" s="199"/>
    </row>
    <row r="156" spans="3:20" x14ac:dyDescent="0.2">
      <c r="C156" s="226"/>
      <c r="D156" s="199"/>
      <c r="E156" s="199"/>
      <c r="F156" s="199"/>
      <c r="G156" s="199"/>
      <c r="H156" s="199"/>
      <c r="I156" s="199"/>
      <c r="J156" s="199"/>
    </row>
    <row r="157" spans="3:20" x14ac:dyDescent="0.2">
      <c r="C157" s="226"/>
      <c r="D157" s="199"/>
      <c r="E157" s="199"/>
      <c r="F157" s="199"/>
      <c r="G157" s="199"/>
      <c r="H157" s="199"/>
      <c r="I157" s="199"/>
      <c r="J157" s="199"/>
    </row>
    <row r="158" spans="3:20" x14ac:dyDescent="0.2">
      <c r="C158" s="226"/>
      <c r="D158" s="199"/>
      <c r="E158" s="199"/>
      <c r="F158" s="199"/>
      <c r="G158" s="199"/>
      <c r="H158" s="199"/>
      <c r="I158" s="199"/>
      <c r="J158" s="199"/>
    </row>
    <row r="159" spans="3:20" x14ac:dyDescent="0.2">
      <c r="C159" s="226"/>
      <c r="D159" s="199"/>
      <c r="E159" s="199"/>
      <c r="F159" s="199"/>
      <c r="G159" s="199"/>
      <c r="H159" s="199"/>
      <c r="I159" s="199"/>
      <c r="J159" s="199"/>
    </row>
    <row r="160" spans="3:20" x14ac:dyDescent="0.2">
      <c r="C160" s="226"/>
      <c r="D160" s="199"/>
      <c r="E160" s="199"/>
      <c r="F160" s="199"/>
      <c r="G160" s="199"/>
      <c r="H160" s="199"/>
      <c r="I160" s="199"/>
      <c r="J160" s="199"/>
    </row>
    <row r="161" spans="3:10" x14ac:dyDescent="0.2">
      <c r="C161" s="226"/>
      <c r="D161" s="199"/>
      <c r="E161" s="199"/>
      <c r="F161" s="199"/>
      <c r="G161" s="199"/>
      <c r="H161" s="199"/>
      <c r="I161" s="199"/>
      <c r="J161" s="199"/>
    </row>
    <row r="162" spans="3:10" x14ac:dyDescent="0.2">
      <c r="C162" s="226"/>
      <c r="D162" s="199"/>
      <c r="E162" s="199"/>
      <c r="F162" s="199"/>
      <c r="G162" s="199"/>
      <c r="H162" s="199"/>
      <c r="I162" s="199"/>
      <c r="J162" s="199"/>
    </row>
    <row r="163" spans="3:10" x14ac:dyDescent="0.2">
      <c r="C163" s="226"/>
      <c r="D163" s="199"/>
      <c r="E163" s="199"/>
      <c r="F163" s="199"/>
      <c r="G163" s="199"/>
      <c r="H163" s="199"/>
      <c r="I163" s="199"/>
      <c r="J163" s="199"/>
    </row>
    <row r="164" spans="3:10" x14ac:dyDescent="0.2">
      <c r="C164" s="226"/>
      <c r="D164" s="199"/>
      <c r="E164" s="199"/>
      <c r="F164" s="199"/>
      <c r="G164" s="199"/>
      <c r="H164" s="199"/>
      <c r="I164" s="199"/>
      <c r="J164" s="199"/>
    </row>
    <row r="165" spans="3:10" x14ac:dyDescent="0.2">
      <c r="C165" s="226"/>
      <c r="D165" s="199"/>
      <c r="E165" s="199"/>
      <c r="F165" s="199"/>
      <c r="G165" s="199"/>
      <c r="H165" s="199"/>
      <c r="I165" s="199"/>
      <c r="J165" s="199"/>
    </row>
    <row r="166" spans="3:10" x14ac:dyDescent="0.2">
      <c r="C166" s="226"/>
      <c r="D166" s="199"/>
      <c r="E166" s="199"/>
      <c r="F166" s="199"/>
      <c r="G166" s="199"/>
      <c r="H166" s="199"/>
      <c r="I166" s="199"/>
      <c r="J166" s="199"/>
    </row>
    <row r="167" spans="3:10" x14ac:dyDescent="0.2">
      <c r="C167" s="226"/>
      <c r="D167" s="199"/>
      <c r="E167" s="199"/>
      <c r="F167" s="199"/>
      <c r="G167" s="199"/>
      <c r="H167" s="199"/>
      <c r="I167" s="199"/>
      <c r="J167" s="199"/>
    </row>
    <row r="168" spans="3:10" x14ac:dyDescent="0.2">
      <c r="C168" s="226"/>
      <c r="D168" s="199"/>
      <c r="E168" s="199"/>
      <c r="F168" s="199"/>
      <c r="G168" s="199"/>
      <c r="H168" s="199"/>
      <c r="I168" s="199"/>
      <c r="J168" s="199"/>
    </row>
    <row r="169" spans="3:10" x14ac:dyDescent="0.2">
      <c r="C169" s="226"/>
      <c r="D169" s="199"/>
      <c r="E169" s="199"/>
      <c r="F169" s="199"/>
      <c r="G169" s="199"/>
      <c r="H169" s="199"/>
      <c r="I169" s="199"/>
      <c r="J169" s="199"/>
    </row>
    <row r="170" spans="3:10" x14ac:dyDescent="0.2">
      <c r="C170" s="226"/>
      <c r="D170" s="199"/>
      <c r="E170" s="199"/>
      <c r="F170" s="199"/>
      <c r="G170" s="199"/>
      <c r="H170" s="199"/>
      <c r="I170" s="199"/>
      <c r="J170" s="199"/>
    </row>
    <row r="171" spans="3:10" x14ac:dyDescent="0.2">
      <c r="C171" s="226"/>
      <c r="D171" s="199"/>
      <c r="E171" s="199"/>
      <c r="F171" s="199"/>
      <c r="G171" s="199"/>
      <c r="H171" s="199"/>
      <c r="I171" s="199"/>
      <c r="J171" s="199"/>
    </row>
    <row r="172" spans="3:10" x14ac:dyDescent="0.2">
      <c r="C172" s="226"/>
      <c r="D172" s="199"/>
      <c r="E172" s="199"/>
      <c r="F172" s="199"/>
      <c r="G172" s="199"/>
      <c r="H172" s="199"/>
      <c r="I172" s="199"/>
      <c r="J172" s="199"/>
    </row>
    <row r="173" spans="3:10" x14ac:dyDescent="0.2">
      <c r="C173" s="226"/>
      <c r="D173" s="199"/>
      <c r="E173" s="199"/>
      <c r="F173" s="199"/>
      <c r="G173" s="199"/>
      <c r="H173" s="199"/>
      <c r="I173" s="199"/>
      <c r="J173" s="199"/>
    </row>
    <row r="174" spans="3:10" x14ac:dyDescent="0.2">
      <c r="C174" s="226"/>
      <c r="D174" s="199"/>
      <c r="E174" s="199"/>
      <c r="F174" s="199"/>
      <c r="G174" s="199"/>
      <c r="H174" s="199"/>
      <c r="I174" s="199"/>
      <c r="J174" s="199"/>
    </row>
    <row r="175" spans="3:10" x14ac:dyDescent="0.2">
      <c r="C175" s="226"/>
      <c r="D175" s="199"/>
      <c r="E175" s="199"/>
      <c r="F175" s="199"/>
      <c r="G175" s="199"/>
      <c r="H175" s="199"/>
      <c r="I175" s="199"/>
      <c r="J175" s="199"/>
    </row>
    <row r="176" spans="3:10" x14ac:dyDescent="0.2">
      <c r="C176" s="226"/>
      <c r="D176" s="199"/>
      <c r="E176" s="199"/>
      <c r="F176" s="199"/>
      <c r="G176" s="199"/>
      <c r="H176" s="199"/>
      <c r="I176" s="199"/>
      <c r="J176" s="199"/>
    </row>
    <row r="177" spans="3:10" x14ac:dyDescent="0.2">
      <c r="C177" s="226"/>
      <c r="D177" s="199"/>
      <c r="E177" s="199"/>
      <c r="F177" s="199"/>
      <c r="G177" s="199"/>
      <c r="H177" s="199"/>
      <c r="I177" s="199"/>
      <c r="J177" s="199"/>
    </row>
    <row r="178" spans="3:10" x14ac:dyDescent="0.2">
      <c r="C178" s="226"/>
      <c r="D178" s="199"/>
      <c r="E178" s="199"/>
      <c r="F178" s="199"/>
      <c r="G178" s="199"/>
      <c r="H178" s="199"/>
      <c r="I178" s="199"/>
      <c r="J178" s="199"/>
    </row>
    <row r="179" spans="3:10" x14ac:dyDescent="0.2">
      <c r="C179" s="226"/>
      <c r="D179" s="199"/>
      <c r="E179" s="199"/>
      <c r="F179" s="199"/>
      <c r="G179" s="199"/>
      <c r="H179" s="199"/>
      <c r="I179" s="199"/>
      <c r="J179" s="199"/>
    </row>
    <row r="180" spans="3:10" x14ac:dyDescent="0.2">
      <c r="C180" s="226"/>
      <c r="D180" s="199"/>
      <c r="E180" s="199"/>
      <c r="F180" s="199"/>
      <c r="G180" s="199"/>
      <c r="H180" s="199"/>
      <c r="I180" s="199"/>
      <c r="J180" s="199"/>
    </row>
    <row r="181" spans="3:10" x14ac:dyDescent="0.2">
      <c r="C181" s="226"/>
      <c r="D181" s="199"/>
      <c r="E181" s="199"/>
      <c r="F181" s="199"/>
      <c r="G181" s="199"/>
      <c r="H181" s="199"/>
      <c r="I181" s="199"/>
      <c r="J181" s="199"/>
    </row>
    <row r="182" spans="3:10" x14ac:dyDescent="0.2">
      <c r="C182" s="226"/>
      <c r="D182" s="199"/>
      <c r="E182" s="199"/>
      <c r="F182" s="199"/>
      <c r="G182" s="199"/>
      <c r="H182" s="199"/>
      <c r="I182" s="199"/>
      <c r="J182" s="199"/>
    </row>
    <row r="183" spans="3:10" x14ac:dyDescent="0.2">
      <c r="C183" s="226"/>
      <c r="D183" s="199"/>
      <c r="E183" s="199"/>
      <c r="F183" s="199"/>
      <c r="G183" s="199"/>
      <c r="H183" s="199"/>
      <c r="I183" s="199"/>
      <c r="J183" s="199"/>
    </row>
    <row r="184" spans="3:10" x14ac:dyDescent="0.2">
      <c r="C184" s="226"/>
      <c r="D184" s="199"/>
      <c r="E184" s="199"/>
      <c r="F184" s="199"/>
      <c r="G184" s="199"/>
      <c r="H184" s="199"/>
      <c r="I184" s="199"/>
      <c r="J184" s="199"/>
    </row>
    <row r="185" spans="3:10" x14ac:dyDescent="0.2">
      <c r="C185" s="226"/>
      <c r="D185" s="199"/>
      <c r="E185" s="199"/>
      <c r="F185" s="199"/>
      <c r="G185" s="199"/>
      <c r="H185" s="199"/>
      <c r="I185" s="199"/>
      <c r="J185" s="199"/>
    </row>
    <row r="186" spans="3:10" x14ac:dyDescent="0.2">
      <c r="C186" s="226"/>
      <c r="D186" s="199"/>
      <c r="E186" s="199"/>
      <c r="F186" s="199"/>
      <c r="G186" s="199"/>
      <c r="H186" s="199"/>
      <c r="I186" s="199"/>
      <c r="J186" s="199"/>
    </row>
    <row r="187" spans="3:10" x14ac:dyDescent="0.2">
      <c r="C187" s="226"/>
      <c r="D187" s="199"/>
      <c r="E187" s="199"/>
      <c r="F187" s="199"/>
      <c r="G187" s="199"/>
      <c r="H187" s="199"/>
      <c r="I187" s="199"/>
      <c r="J187" s="199"/>
    </row>
    <row r="188" spans="3:10" x14ac:dyDescent="0.2">
      <c r="C188" s="226"/>
      <c r="D188" s="199"/>
      <c r="E188" s="199"/>
      <c r="F188" s="199"/>
      <c r="G188" s="199"/>
      <c r="H188" s="199"/>
      <c r="I188" s="199"/>
      <c r="J188" s="199"/>
    </row>
    <row r="189" spans="3:10" x14ac:dyDescent="0.2">
      <c r="C189" s="226"/>
      <c r="D189" s="199"/>
      <c r="E189" s="199"/>
      <c r="F189" s="199"/>
      <c r="G189" s="199"/>
      <c r="H189" s="199"/>
      <c r="I189" s="199"/>
      <c r="J189" s="199"/>
    </row>
    <row r="190" spans="3:10" x14ac:dyDescent="0.2">
      <c r="C190" s="226"/>
      <c r="D190" s="199"/>
      <c r="E190" s="199"/>
      <c r="F190" s="199"/>
      <c r="G190" s="199"/>
      <c r="H190" s="199"/>
      <c r="I190" s="199"/>
      <c r="J190" s="199"/>
    </row>
    <row r="191" spans="3:10" x14ac:dyDescent="0.2">
      <c r="C191" s="226"/>
      <c r="D191" s="199"/>
      <c r="E191" s="199"/>
      <c r="F191" s="199"/>
      <c r="G191" s="199"/>
      <c r="H191" s="199"/>
      <c r="I191" s="199"/>
      <c r="J191" s="199"/>
    </row>
    <row r="192" spans="3:10" x14ac:dyDescent="0.2">
      <c r="C192" s="226"/>
      <c r="D192" s="199"/>
      <c r="E192" s="199"/>
      <c r="F192" s="199"/>
      <c r="G192" s="199"/>
      <c r="H192" s="199"/>
      <c r="I192" s="199"/>
      <c r="J192" s="199"/>
    </row>
    <row r="193" spans="3:29" x14ac:dyDescent="0.2">
      <c r="C193" s="226"/>
      <c r="D193" s="199"/>
      <c r="E193" s="199"/>
      <c r="F193" s="199"/>
      <c r="G193" s="199"/>
      <c r="H193" s="199"/>
      <c r="I193" s="199"/>
      <c r="J193" s="199"/>
    </row>
    <row r="194" spans="3:29" x14ac:dyDescent="0.2">
      <c r="C194" s="226"/>
      <c r="D194" s="199"/>
      <c r="E194" s="199"/>
      <c r="F194" s="199"/>
      <c r="G194" s="199"/>
      <c r="H194" s="199"/>
      <c r="I194" s="199"/>
      <c r="J194" s="199"/>
    </row>
    <row r="195" spans="3:29" x14ac:dyDescent="0.2">
      <c r="C195" s="226"/>
      <c r="D195" s="199"/>
      <c r="E195" s="199"/>
      <c r="F195" s="199"/>
      <c r="G195" s="199"/>
      <c r="H195" s="199"/>
      <c r="I195" s="199"/>
      <c r="J195" s="199"/>
    </row>
    <row r="196" spans="3:29" x14ac:dyDescent="0.2">
      <c r="C196" s="226"/>
      <c r="D196" s="199"/>
      <c r="E196" s="199"/>
      <c r="F196" s="199"/>
      <c r="G196" s="199"/>
      <c r="H196" s="199"/>
      <c r="I196" s="199"/>
      <c r="J196" s="199"/>
    </row>
    <row r="197" spans="3:29" x14ac:dyDescent="0.2">
      <c r="C197" s="226"/>
      <c r="D197" s="199"/>
      <c r="E197" s="199"/>
      <c r="F197" s="199"/>
      <c r="G197" s="199"/>
      <c r="H197" s="199"/>
      <c r="I197" s="199"/>
      <c r="J197" s="199"/>
    </row>
    <row r="198" spans="3:29" x14ac:dyDescent="0.2">
      <c r="C198" s="226"/>
      <c r="D198" s="199"/>
    </row>
    <row r="199" spans="3:29" x14ac:dyDescent="0.2">
      <c r="C199" s="226"/>
      <c r="D199" s="199"/>
      <c r="AB199" s="226"/>
      <c r="AC199" s="199"/>
    </row>
    <row r="200" spans="3:29" x14ac:dyDescent="0.2">
      <c r="C200" s="226"/>
      <c r="D200" s="199"/>
      <c r="AB200" s="226"/>
      <c r="AC200" s="199"/>
    </row>
    <row r="201" spans="3:29" x14ac:dyDescent="0.2">
      <c r="C201" s="226"/>
      <c r="D201" s="199"/>
      <c r="AB201" s="226"/>
      <c r="AC201" s="199"/>
    </row>
    <row r="202" spans="3:29" x14ac:dyDescent="0.2">
      <c r="C202" s="226"/>
      <c r="D202" s="199"/>
      <c r="AB202" s="226"/>
      <c r="AC202" s="199"/>
    </row>
    <row r="203" spans="3:29" x14ac:dyDescent="0.2">
      <c r="C203" s="226"/>
      <c r="D203" s="199"/>
      <c r="AB203" s="226"/>
      <c r="AC203" s="199"/>
    </row>
    <row r="204" spans="3:29" x14ac:dyDescent="0.2">
      <c r="C204" s="226"/>
      <c r="D204" s="199"/>
      <c r="AB204" s="226"/>
      <c r="AC204" s="199"/>
    </row>
    <row r="205" spans="3:29" x14ac:dyDescent="0.2">
      <c r="C205" s="226"/>
      <c r="D205" s="199"/>
      <c r="AB205" s="226"/>
      <c r="AC205" s="199"/>
    </row>
    <row r="206" spans="3:29" x14ac:dyDescent="0.2">
      <c r="C206" s="226"/>
      <c r="D206" s="199"/>
      <c r="AB206" s="226"/>
      <c r="AC206" s="199"/>
    </row>
    <row r="207" spans="3:29" x14ac:dyDescent="0.2">
      <c r="C207" s="226"/>
      <c r="D207" s="199"/>
      <c r="AB207" s="226"/>
      <c r="AC207" s="199"/>
    </row>
    <row r="208" spans="3:29" x14ac:dyDescent="0.2">
      <c r="C208" s="226"/>
      <c r="D208" s="199"/>
      <c r="AB208" s="226"/>
      <c r="AC208" s="199"/>
    </row>
    <row r="209" spans="28:29" x14ac:dyDescent="0.2">
      <c r="AB209" s="226"/>
      <c r="AC209" s="199"/>
    </row>
    <row r="210" spans="28:29" x14ac:dyDescent="0.2">
      <c r="AB210" s="226"/>
      <c r="AC210" s="199"/>
    </row>
    <row r="211" spans="28:29" x14ac:dyDescent="0.2">
      <c r="AB211" s="226"/>
      <c r="AC211" s="199"/>
    </row>
    <row r="212" spans="28:29" x14ac:dyDescent="0.2">
      <c r="AB212" s="226"/>
      <c r="AC212" s="199"/>
    </row>
    <row r="213" spans="28:29" x14ac:dyDescent="0.2">
      <c r="AB213" s="226"/>
      <c r="AC213" s="199"/>
    </row>
    <row r="214" spans="28:29" x14ac:dyDescent="0.2">
      <c r="AB214" s="226"/>
      <c r="AC214" s="199"/>
    </row>
    <row r="215" spans="28:29" x14ac:dyDescent="0.2">
      <c r="AB215" s="226"/>
      <c r="AC215" s="199"/>
    </row>
    <row r="216" spans="28:29" x14ac:dyDescent="0.2">
      <c r="AB216" s="226"/>
      <c r="AC216" s="199"/>
    </row>
    <row r="217" spans="28:29" x14ac:dyDescent="0.2">
      <c r="AB217" s="226"/>
      <c r="AC217" s="199"/>
    </row>
    <row r="218" spans="28:29" x14ac:dyDescent="0.2">
      <c r="AB218" s="226"/>
      <c r="AC218" s="199"/>
    </row>
    <row r="219" spans="28:29" x14ac:dyDescent="0.2">
      <c r="AB219" s="226"/>
      <c r="AC219" s="199"/>
    </row>
    <row r="220" spans="28:29" x14ac:dyDescent="0.2">
      <c r="AB220" s="226"/>
      <c r="AC220" s="199"/>
    </row>
    <row r="221" spans="28:29" x14ac:dyDescent="0.2">
      <c r="AB221" s="226"/>
      <c r="AC221" s="199"/>
    </row>
    <row r="222" spans="28:29" x14ac:dyDescent="0.2">
      <c r="AB222" s="226"/>
      <c r="AC222" s="199"/>
    </row>
    <row r="223" spans="28:29" x14ac:dyDescent="0.2">
      <c r="AB223" s="226"/>
      <c r="AC223" s="199"/>
    </row>
    <row r="224" spans="28:29" x14ac:dyDescent="0.2">
      <c r="AB224" s="226"/>
      <c r="AC224" s="199"/>
    </row>
    <row r="225" spans="28:29" x14ac:dyDescent="0.2">
      <c r="AB225" s="226"/>
      <c r="AC225" s="199"/>
    </row>
    <row r="226" spans="28:29" x14ac:dyDescent="0.2">
      <c r="AB226" s="226"/>
      <c r="AC226" s="199"/>
    </row>
    <row r="227" spans="28:29" x14ac:dyDescent="0.2">
      <c r="AB227" s="226"/>
      <c r="AC227" s="199"/>
    </row>
    <row r="228" spans="28:29" x14ac:dyDescent="0.2">
      <c r="AB228" s="226"/>
      <c r="AC228" s="199"/>
    </row>
    <row r="229" spans="28:29" x14ac:dyDescent="0.2">
      <c r="AB229" s="226"/>
      <c r="AC229" s="199"/>
    </row>
    <row r="230" spans="28:29" x14ac:dyDescent="0.2">
      <c r="AB230" s="226"/>
      <c r="AC230" s="199"/>
    </row>
    <row r="231" spans="28:29" x14ac:dyDescent="0.2">
      <c r="AB231" s="226"/>
      <c r="AC231" s="199"/>
    </row>
    <row r="232" spans="28:29" x14ac:dyDescent="0.2">
      <c r="AB232" s="226"/>
      <c r="AC232" s="199"/>
    </row>
    <row r="233" spans="28:29" x14ac:dyDescent="0.2">
      <c r="AB233" s="226"/>
      <c r="AC233" s="199"/>
    </row>
    <row r="234" spans="28:29" x14ac:dyDescent="0.2">
      <c r="AB234" s="226"/>
      <c r="AC234" s="199"/>
    </row>
    <row r="235" spans="28:29" x14ac:dyDescent="0.2">
      <c r="AB235" s="226"/>
      <c r="AC235" s="199"/>
    </row>
    <row r="236" spans="28:29" x14ac:dyDescent="0.2">
      <c r="AB236" s="226"/>
      <c r="AC236" s="199"/>
    </row>
    <row r="237" spans="28:29" x14ac:dyDescent="0.2">
      <c r="AB237" s="226"/>
      <c r="AC237" s="199"/>
    </row>
    <row r="238" spans="28:29" x14ac:dyDescent="0.2">
      <c r="AB238" s="226"/>
      <c r="AC238" s="199"/>
    </row>
    <row r="239" spans="28:29" x14ac:dyDescent="0.2">
      <c r="AB239" s="226"/>
      <c r="AC239" s="199"/>
    </row>
    <row r="240" spans="28:29" x14ac:dyDescent="0.2">
      <c r="AB240" s="226"/>
      <c r="AC240" s="199"/>
    </row>
    <row r="241" spans="28:29" x14ac:dyDescent="0.2">
      <c r="AB241" s="226"/>
      <c r="AC241" s="199"/>
    </row>
    <row r="242" spans="28:29" x14ac:dyDescent="0.2">
      <c r="AB242" s="226"/>
      <c r="AC242" s="199"/>
    </row>
    <row r="243" spans="28:29" x14ac:dyDescent="0.2">
      <c r="AB243" s="226"/>
      <c r="AC243" s="199"/>
    </row>
    <row r="244" spans="28:29" x14ac:dyDescent="0.2">
      <c r="AB244" s="226"/>
      <c r="AC244" s="199"/>
    </row>
    <row r="245" spans="28:29" x14ac:dyDescent="0.2">
      <c r="AB245" s="226"/>
      <c r="AC245" s="199"/>
    </row>
    <row r="246" spans="28:29" x14ac:dyDescent="0.2">
      <c r="AB246" s="226"/>
      <c r="AC246" s="199"/>
    </row>
    <row r="247" spans="28:29" x14ac:dyDescent="0.2">
      <c r="AB247" s="226"/>
      <c r="AC247" s="199"/>
    </row>
    <row r="248" spans="28:29" x14ac:dyDescent="0.2">
      <c r="AB248" s="226"/>
      <c r="AC248" s="199"/>
    </row>
    <row r="249" spans="28:29" x14ac:dyDescent="0.2">
      <c r="AB249" s="226"/>
      <c r="AC249" s="199"/>
    </row>
    <row r="250" spans="28:29" x14ac:dyDescent="0.2">
      <c r="AB250" s="226"/>
      <c r="AC250" s="199"/>
    </row>
    <row r="251" spans="28:29" x14ac:dyDescent="0.2">
      <c r="AB251" s="226"/>
      <c r="AC251" s="199"/>
    </row>
    <row r="252" spans="28:29" x14ac:dyDescent="0.2">
      <c r="AB252" s="226"/>
      <c r="AC252" s="199"/>
    </row>
    <row r="253" spans="28:29" x14ac:dyDescent="0.2">
      <c r="AB253" s="226"/>
      <c r="AC253" s="199"/>
    </row>
    <row r="254" spans="28:29" x14ac:dyDescent="0.2">
      <c r="AB254" s="226"/>
      <c r="AC254" s="199"/>
    </row>
    <row r="255" spans="28:29" x14ac:dyDescent="0.2">
      <c r="AB255" s="226"/>
      <c r="AC255" s="199"/>
    </row>
    <row r="256" spans="28:29" x14ac:dyDescent="0.2">
      <c r="AB256" s="226"/>
      <c r="AC256" s="199"/>
    </row>
    <row r="257" spans="28:29" x14ac:dyDescent="0.2">
      <c r="AB257" s="226"/>
      <c r="AC257" s="199"/>
    </row>
    <row r="258" spans="28:29" x14ac:dyDescent="0.2">
      <c r="AB258" s="226"/>
      <c r="AC258" s="199"/>
    </row>
    <row r="259" spans="28:29" x14ac:dyDescent="0.2">
      <c r="AB259" s="226"/>
      <c r="AC259" s="199"/>
    </row>
    <row r="260" spans="28:29" x14ac:dyDescent="0.2">
      <c r="AB260" s="226"/>
      <c r="AC260" s="199"/>
    </row>
    <row r="261" spans="28:29" x14ac:dyDescent="0.2">
      <c r="AB261" s="226"/>
      <c r="AC261" s="199"/>
    </row>
    <row r="262" spans="28:29" x14ac:dyDescent="0.2">
      <c r="AB262" s="226"/>
      <c r="AC262" s="199"/>
    </row>
    <row r="263" spans="28:29" x14ac:dyDescent="0.2">
      <c r="AB263" s="226"/>
      <c r="AC263" s="199"/>
    </row>
    <row r="264" spans="28:29" x14ac:dyDescent="0.2">
      <c r="AB264" s="226"/>
      <c r="AC264" s="199"/>
    </row>
    <row r="265" spans="28:29" x14ac:dyDescent="0.2">
      <c r="AB265" s="226"/>
      <c r="AC265" s="199"/>
    </row>
    <row r="266" spans="28:29" x14ac:dyDescent="0.2">
      <c r="AB266" s="226"/>
      <c r="AC266" s="199"/>
    </row>
    <row r="267" spans="28:29" x14ac:dyDescent="0.2">
      <c r="AB267" s="226"/>
      <c r="AC267" s="199"/>
    </row>
    <row r="268" spans="28:29" x14ac:dyDescent="0.2">
      <c r="AB268" s="226"/>
      <c r="AC268" s="199"/>
    </row>
    <row r="269" spans="28:29" x14ac:dyDescent="0.2">
      <c r="AB269" s="226"/>
      <c r="AC269" s="199"/>
    </row>
    <row r="270" spans="28:29" x14ac:dyDescent="0.2">
      <c r="AB270" s="226"/>
      <c r="AC270" s="199"/>
    </row>
    <row r="271" spans="28:29" x14ac:dyDescent="0.2">
      <c r="AB271" s="226"/>
      <c r="AC271" s="199"/>
    </row>
    <row r="272" spans="28:29" x14ac:dyDescent="0.2">
      <c r="AB272" s="226"/>
      <c r="AC272" s="199"/>
    </row>
    <row r="273" spans="28:29" x14ac:dyDescent="0.2">
      <c r="AB273" s="226"/>
      <c r="AC273" s="199"/>
    </row>
    <row r="274" spans="28:29" x14ac:dyDescent="0.2">
      <c r="AB274" s="226"/>
      <c r="AC274" s="199"/>
    </row>
    <row r="275" spans="28:29" x14ac:dyDescent="0.2">
      <c r="AB275" s="226"/>
      <c r="AC275" s="199"/>
    </row>
    <row r="276" spans="28:29" x14ac:dyDescent="0.2">
      <c r="AB276" s="226"/>
      <c r="AC276" s="199"/>
    </row>
    <row r="277" spans="28:29" x14ac:dyDescent="0.2">
      <c r="AB277" s="226"/>
      <c r="AC277" s="199"/>
    </row>
    <row r="278" spans="28:29" x14ac:dyDescent="0.2">
      <c r="AB278" s="226"/>
      <c r="AC278" s="199"/>
    </row>
    <row r="279" spans="28:29" x14ac:dyDescent="0.2">
      <c r="AB279" s="226"/>
      <c r="AC279" s="199"/>
    </row>
    <row r="280" spans="28:29" x14ac:dyDescent="0.2">
      <c r="AB280" s="226"/>
      <c r="AC280" s="199"/>
    </row>
    <row r="281" spans="28:29" x14ac:dyDescent="0.2">
      <c r="AB281" s="226"/>
      <c r="AC281" s="199"/>
    </row>
    <row r="282" spans="28:29" x14ac:dyDescent="0.2">
      <c r="AB282" s="226"/>
      <c r="AC282" s="199"/>
    </row>
    <row r="283" spans="28:29" x14ac:dyDescent="0.2">
      <c r="AB283" s="226"/>
      <c r="AC283" s="199"/>
    </row>
    <row r="284" spans="28:29" x14ac:dyDescent="0.2">
      <c r="AB284" s="226"/>
      <c r="AC284" s="199"/>
    </row>
    <row r="285" spans="28:29" x14ac:dyDescent="0.2">
      <c r="AB285" s="226"/>
      <c r="AC285" s="199"/>
    </row>
    <row r="286" spans="28:29" x14ac:dyDescent="0.2">
      <c r="AB286" s="226"/>
      <c r="AC286" s="199"/>
    </row>
    <row r="287" spans="28:29" x14ac:dyDescent="0.2">
      <c r="AB287" s="226"/>
      <c r="AC287" s="199"/>
    </row>
    <row r="288" spans="28:29" x14ac:dyDescent="0.2">
      <c r="AB288" s="226"/>
      <c r="AC288" s="199"/>
    </row>
    <row r="289" spans="28:29" x14ac:dyDescent="0.2">
      <c r="AB289" s="226"/>
      <c r="AC289" s="199"/>
    </row>
    <row r="290" spans="28:29" x14ac:dyDescent="0.2">
      <c r="AB290" s="226"/>
      <c r="AC290" s="199"/>
    </row>
    <row r="291" spans="28:29" x14ac:dyDescent="0.2">
      <c r="AB291" s="226"/>
      <c r="AC291" s="199"/>
    </row>
    <row r="292" spans="28:29" x14ac:dyDescent="0.2">
      <c r="AB292" s="226"/>
      <c r="AC292" s="199"/>
    </row>
    <row r="293" spans="28:29" x14ac:dyDescent="0.2">
      <c r="AB293" s="226"/>
      <c r="AC293" s="199"/>
    </row>
    <row r="294" spans="28:29" x14ac:dyDescent="0.2">
      <c r="AB294" s="226"/>
      <c r="AC294" s="199"/>
    </row>
    <row r="295" spans="28:29" x14ac:dyDescent="0.2">
      <c r="AB295" s="226"/>
      <c r="AC295" s="199"/>
    </row>
    <row r="296" spans="28:29" x14ac:dyDescent="0.2">
      <c r="AB296" s="226"/>
      <c r="AC296" s="199"/>
    </row>
    <row r="297" spans="28:29" x14ac:dyDescent="0.2">
      <c r="AB297" s="226"/>
      <c r="AC297" s="199"/>
    </row>
    <row r="298" spans="28:29" x14ac:dyDescent="0.2">
      <c r="AB298" s="226"/>
      <c r="AC298" s="199"/>
    </row>
    <row r="299" spans="28:29" x14ac:dyDescent="0.2">
      <c r="AB299" s="226"/>
      <c r="AC299" s="199"/>
    </row>
    <row r="300" spans="28:29" x14ac:dyDescent="0.2">
      <c r="AB300" s="226"/>
      <c r="AC300" s="199"/>
    </row>
    <row r="301" spans="28:29" x14ac:dyDescent="0.2">
      <c r="AB301" s="226"/>
      <c r="AC301" s="199"/>
    </row>
    <row r="302" spans="28:29" x14ac:dyDescent="0.2">
      <c r="AB302" s="226"/>
      <c r="AC302" s="199"/>
    </row>
    <row r="303" spans="28:29" x14ac:dyDescent="0.2">
      <c r="AB303" s="226"/>
      <c r="AC303" s="199"/>
    </row>
    <row r="304" spans="28:29" x14ac:dyDescent="0.2">
      <c r="AB304" s="226"/>
      <c r="AC304" s="199"/>
    </row>
    <row r="305" spans="28:29" x14ac:dyDescent="0.2">
      <c r="AB305" s="226"/>
      <c r="AC305" s="199"/>
    </row>
    <row r="306" spans="28:29" x14ac:dyDescent="0.2">
      <c r="AB306" s="226"/>
      <c r="AC306" s="199"/>
    </row>
    <row r="307" spans="28:29" x14ac:dyDescent="0.2">
      <c r="AB307" s="226"/>
      <c r="AC307" s="199"/>
    </row>
    <row r="308" spans="28:29" x14ac:dyDescent="0.2">
      <c r="AB308" s="226"/>
      <c r="AC308" s="199"/>
    </row>
    <row r="309" spans="28:29" x14ac:dyDescent="0.2">
      <c r="AB309" s="226"/>
      <c r="AC309" s="199"/>
    </row>
    <row r="310" spans="28:29" x14ac:dyDescent="0.2">
      <c r="AB310" s="226"/>
      <c r="AC310" s="199"/>
    </row>
    <row r="311" spans="28:29" x14ac:dyDescent="0.2">
      <c r="AB311" s="226"/>
      <c r="AC311" s="199"/>
    </row>
    <row r="312" spans="28:29" x14ac:dyDescent="0.2">
      <c r="AB312" s="226"/>
      <c r="AC312" s="199"/>
    </row>
    <row r="313" spans="28:29" x14ac:dyDescent="0.2">
      <c r="AB313" s="226"/>
      <c r="AC313" s="199"/>
    </row>
    <row r="314" spans="28:29" x14ac:dyDescent="0.2">
      <c r="AB314" s="226"/>
      <c r="AC314" s="199"/>
    </row>
    <row r="315" spans="28:29" x14ac:dyDescent="0.2">
      <c r="AB315" s="226"/>
      <c r="AC315" s="199"/>
    </row>
    <row r="316" spans="28:29" x14ac:dyDescent="0.2">
      <c r="AB316" s="226"/>
      <c r="AC316" s="199"/>
    </row>
    <row r="317" spans="28:29" x14ac:dyDescent="0.2">
      <c r="AB317" s="226"/>
      <c r="AC317" s="199"/>
    </row>
    <row r="318" spans="28:29" x14ac:dyDescent="0.2">
      <c r="AB318" s="226"/>
      <c r="AC318" s="199"/>
    </row>
    <row r="319" spans="28:29" x14ac:dyDescent="0.2">
      <c r="AB319" s="226"/>
      <c r="AC319" s="199"/>
    </row>
    <row r="320" spans="28:29" x14ac:dyDescent="0.2">
      <c r="AB320" s="226"/>
      <c r="AC320" s="199"/>
    </row>
    <row r="321" spans="28:29" x14ac:dyDescent="0.2">
      <c r="AB321" s="226"/>
      <c r="AC321" s="199"/>
    </row>
    <row r="322" spans="28:29" x14ac:dyDescent="0.2">
      <c r="AB322" s="226"/>
      <c r="AC322" s="199"/>
    </row>
    <row r="323" spans="28:29" x14ac:dyDescent="0.2">
      <c r="AB323" s="226"/>
      <c r="AC323" s="199"/>
    </row>
    <row r="324" spans="28:29" x14ac:dyDescent="0.2">
      <c r="AB324" s="226"/>
      <c r="AC324" s="199"/>
    </row>
    <row r="325" spans="28:29" x14ac:dyDescent="0.2">
      <c r="AB325" s="226"/>
      <c r="AC325" s="199"/>
    </row>
    <row r="326" spans="28:29" x14ac:dyDescent="0.2">
      <c r="AB326" s="226"/>
      <c r="AC326" s="199"/>
    </row>
    <row r="327" spans="28:29" x14ac:dyDescent="0.2">
      <c r="AB327" s="226"/>
      <c r="AC327" s="199"/>
    </row>
    <row r="328" spans="28:29" x14ac:dyDescent="0.2">
      <c r="AB328" s="226"/>
      <c r="AC328" s="199"/>
    </row>
    <row r="329" spans="28:29" x14ac:dyDescent="0.2">
      <c r="AB329" s="226"/>
      <c r="AC329" s="199"/>
    </row>
    <row r="330" spans="28:29" x14ac:dyDescent="0.2">
      <c r="AB330" s="226"/>
      <c r="AC330" s="199"/>
    </row>
    <row r="331" spans="28:29" x14ac:dyDescent="0.2">
      <c r="AB331" s="226"/>
      <c r="AC331" s="199"/>
    </row>
    <row r="332" spans="28:29" x14ac:dyDescent="0.2">
      <c r="AB332" s="226"/>
      <c r="AC332" s="199"/>
    </row>
    <row r="333" spans="28:29" x14ac:dyDescent="0.2">
      <c r="AB333" s="226"/>
      <c r="AC333" s="199"/>
    </row>
    <row r="334" spans="28:29" x14ac:dyDescent="0.2">
      <c r="AB334" s="226"/>
      <c r="AC334" s="199"/>
    </row>
    <row r="335" spans="28:29" x14ac:dyDescent="0.2">
      <c r="AB335" s="226"/>
      <c r="AC335" s="199"/>
    </row>
    <row r="336" spans="28:29" x14ac:dyDescent="0.2">
      <c r="AB336" s="226"/>
      <c r="AC336" s="199"/>
    </row>
    <row r="337" spans="28:29" x14ac:dyDescent="0.2">
      <c r="AB337" s="226"/>
      <c r="AC337" s="199"/>
    </row>
    <row r="338" spans="28:29" x14ac:dyDescent="0.2">
      <c r="AB338" s="226"/>
      <c r="AC338" s="199"/>
    </row>
    <row r="339" spans="28:29" x14ac:dyDescent="0.2">
      <c r="AB339" s="226"/>
      <c r="AC339" s="199"/>
    </row>
    <row r="340" spans="28:29" x14ac:dyDescent="0.2">
      <c r="AB340" s="226"/>
      <c r="AC340" s="199"/>
    </row>
    <row r="341" spans="28:29" x14ac:dyDescent="0.2">
      <c r="AB341" s="226"/>
      <c r="AC341" s="199"/>
    </row>
    <row r="342" spans="28:29" x14ac:dyDescent="0.2">
      <c r="AB342" s="226"/>
      <c r="AC342" s="199"/>
    </row>
    <row r="343" spans="28:29" x14ac:dyDescent="0.2">
      <c r="AB343" s="226"/>
      <c r="AC343" s="199"/>
    </row>
    <row r="344" spans="28:29" x14ac:dyDescent="0.2">
      <c r="AB344" s="226"/>
      <c r="AC344" s="199"/>
    </row>
    <row r="345" spans="28:29" x14ac:dyDescent="0.2">
      <c r="AB345" s="226"/>
      <c r="AC345" s="199"/>
    </row>
    <row r="346" spans="28:29" x14ac:dyDescent="0.2">
      <c r="AB346" s="226"/>
      <c r="AC346" s="199"/>
    </row>
    <row r="347" spans="28:29" x14ac:dyDescent="0.2">
      <c r="AB347" s="226"/>
      <c r="AC347" s="199"/>
    </row>
    <row r="348" spans="28:29" x14ac:dyDescent="0.2">
      <c r="AB348" s="226"/>
      <c r="AC348" s="199"/>
    </row>
    <row r="349" spans="28:29" x14ac:dyDescent="0.2">
      <c r="AB349" s="226"/>
      <c r="AC349" s="199"/>
    </row>
    <row r="350" spans="28:29" x14ac:dyDescent="0.2">
      <c r="AB350" s="226"/>
      <c r="AC350" s="199"/>
    </row>
  </sheetData>
  <scenarios current="0">
    <scenario name="solve_piece2_kvalue_maxsize_of_trend" count="1" user="Michael Smit" comment="Created by Michael Smit on 12/12/2019">
      <inputCells r="D68" undone="1" val="935.697667161446" numFmtId="1"/>
    </scenario>
  </scenarios>
  <mergeCells count="1">
    <mergeCell ref="G2:H2"/>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56CD-7CF9-4382-9AFC-59C80178E92D}">
  <sheetPr codeName="Sheet19"/>
  <dimension ref="A1:AJ350"/>
  <sheetViews>
    <sheetView topLeftCell="A19" zoomScale="85" zoomScaleNormal="85" workbookViewId="0">
      <selection activeCell="O18" sqref="O18"/>
    </sheetView>
  </sheetViews>
  <sheetFormatPr defaultRowHeight="11.25" x14ac:dyDescent="0.2"/>
  <cols>
    <col min="1" max="1" width="27.7109375" style="138" customWidth="1"/>
    <col min="2" max="2" width="14.42578125" style="36" customWidth="1"/>
    <col min="3" max="3" width="6.85546875" style="36" customWidth="1"/>
    <col min="4" max="4" width="8.7109375" style="36" customWidth="1"/>
    <col min="5" max="9" width="6.85546875" style="36" customWidth="1"/>
    <col min="10" max="10" width="6.28515625" style="36" customWidth="1"/>
    <col min="11" max="12" width="6.85546875" style="36" customWidth="1"/>
    <col min="13" max="16" width="6.85546875" style="139" customWidth="1"/>
    <col min="17" max="22" width="6.85546875" style="36" customWidth="1"/>
    <col min="23" max="23" width="8.140625" style="36" customWidth="1"/>
    <col min="24" max="16384" width="9.140625" style="36"/>
  </cols>
  <sheetData>
    <row r="1" spans="1:21" x14ac:dyDescent="0.2">
      <c r="M1" s="129"/>
      <c r="N1" s="129"/>
      <c r="O1" s="129"/>
      <c r="P1" s="129"/>
      <c r="Q1" s="129"/>
      <c r="R1" s="129"/>
      <c r="S1" s="129"/>
      <c r="T1" s="129"/>
      <c r="U1" s="129"/>
    </row>
    <row r="2" spans="1:21" x14ac:dyDescent="0.2">
      <c r="A2" s="327" t="s">
        <v>194</v>
      </c>
      <c r="B2" s="127"/>
      <c r="C2" s="131"/>
      <c r="D2" s="350" t="s">
        <v>305</v>
      </c>
      <c r="E2" s="131"/>
      <c r="F2" s="382"/>
      <c r="G2" s="473" t="s">
        <v>304</v>
      </c>
      <c r="H2" s="474"/>
      <c r="I2" s="411"/>
      <c r="J2" s="412"/>
      <c r="M2" s="404" t="s">
        <v>308</v>
      </c>
      <c r="N2" s="36"/>
      <c r="O2" s="36"/>
      <c r="P2" s="129"/>
      <c r="Q2" s="129"/>
      <c r="R2" s="129"/>
      <c r="S2" s="129"/>
      <c r="T2" s="129"/>
      <c r="U2" s="129"/>
    </row>
    <row r="3" spans="1:21" ht="12.75" x14ac:dyDescent="0.25">
      <c r="A3" s="327"/>
      <c r="B3" s="143" t="s">
        <v>16</v>
      </c>
      <c r="C3" s="340" t="s">
        <v>306</v>
      </c>
      <c r="D3" s="353" t="s">
        <v>296</v>
      </c>
      <c r="E3" s="374" t="s">
        <v>297</v>
      </c>
      <c r="F3" s="375" t="s">
        <v>298</v>
      </c>
      <c r="G3" s="413" t="s">
        <v>326</v>
      </c>
      <c r="H3" s="414" t="s">
        <v>297</v>
      </c>
      <c r="I3" s="415" t="s">
        <v>80</v>
      </c>
      <c r="J3" s="416" t="s">
        <v>344</v>
      </c>
      <c r="M3" s="403" t="s">
        <v>338</v>
      </c>
      <c r="N3" s="36"/>
      <c r="O3" s="392" t="s">
        <v>112</v>
      </c>
      <c r="P3" s="392" t="s">
        <v>325</v>
      </c>
      <c r="Q3" s="129"/>
      <c r="R3" s="129"/>
      <c r="S3" s="129"/>
      <c r="T3" s="129"/>
      <c r="U3" s="129"/>
    </row>
    <row r="4" spans="1:21" ht="12.75" x14ac:dyDescent="0.25">
      <c r="B4" s="361" t="str">
        <f>"+"&amp;C4</f>
        <v>+1180</v>
      </c>
      <c r="C4" s="131">
        <v>1180</v>
      </c>
      <c r="D4" s="360">
        <f>data!J5</f>
        <v>10.603333333333333</v>
      </c>
      <c r="E4" s="363">
        <f t="shared" ref="E4:E15" si="0">D4/D$16</f>
        <v>3.5400101270330574E-2</v>
      </c>
      <c r="F4" s="376">
        <f>1-D4/D$16</f>
        <v>0.96459989872966945</v>
      </c>
      <c r="G4" s="396">
        <f t="shared" ref="G4:G14" si="1">IF($C4&gt;=bp_1,($C4/k_1)^n_1,0)+IF(AND($C4&gt;=bp_2,$C4&lt;bp_1),($C4/k_2)^n_2,0)+IF(AND($C4&lt;bp_2,$C4&gt;=bp_3),($C4/k_3)^n_3,0)+IF(AND($C4&lt;bp_3,$C4&gt;=bp_4),($C4/k_4)^n_4,0)+IF($C4&lt;bp_4,($C4/k_5)^n_5,0)</f>
        <v>0.96451875324977387</v>
      </c>
      <c r="H4" s="377">
        <f>1-G4</f>
        <v>3.5481246750226125E-2</v>
      </c>
      <c r="I4" s="37">
        <v>1</v>
      </c>
      <c r="J4" s="252">
        <f t="shared" ref="J4:J15" si="2">IF($I4&gt;=e_y1,k_1*$I4^(1/n_1),0)+IF(AND($I4&lt;e_y1,$I4&gt;=e_y2),k_2*$I4^(1/n_2),0)+IF(AND($I4&lt;e_y2,$I4&gt;=e_y3),k_3*$I4^(1/n_3),0)+IF(AND($I4&lt;e_y3,$I4&gt;=e_y4),k_4*$I4^(1/n_4),0)+IF($I4&lt;e_y4,k_5*$I4^(1/n_5),0)</f>
        <v>1577.8503001690206</v>
      </c>
      <c r="L4" s="387" t="s">
        <v>322</v>
      </c>
      <c r="M4" s="390" t="s">
        <v>323</v>
      </c>
      <c r="N4" s="390" t="s">
        <v>326</v>
      </c>
      <c r="O4" s="390" t="s">
        <v>327</v>
      </c>
      <c r="P4" s="392" t="s">
        <v>328</v>
      </c>
      <c r="Q4" s="129"/>
      <c r="R4" s="129"/>
      <c r="S4" s="129"/>
      <c r="T4" s="129"/>
      <c r="U4" s="129"/>
    </row>
    <row r="5" spans="1:21" x14ac:dyDescent="0.2">
      <c r="A5" s="387"/>
      <c r="B5" s="143" t="str">
        <f>C4&amp;" -"&amp;C5</f>
        <v>1180 -600</v>
      </c>
      <c r="C5" s="400">
        <v>600</v>
      </c>
      <c r="D5" s="360">
        <f>data!J6</f>
        <v>23.303333333333331</v>
      </c>
      <c r="E5" s="363">
        <f t="shared" si="0"/>
        <v>7.7800096818887457E-2</v>
      </c>
      <c r="F5" s="376">
        <f t="shared" ref="F5:F15" si="3">F4-D5/D$16</f>
        <v>0.886799801910782</v>
      </c>
      <c r="G5" s="396">
        <f t="shared" si="1"/>
        <v>0.88672520124413046</v>
      </c>
      <c r="H5" s="377">
        <f t="shared" ref="H5:H15" si="4">G4-G5</f>
        <v>7.7793552005643418E-2</v>
      </c>
      <c r="I5" s="37">
        <v>0.95</v>
      </c>
      <c r="J5" s="252">
        <f t="shared" si="2"/>
        <v>1044.4904700830239</v>
      </c>
      <c r="L5" s="162">
        <v>1</v>
      </c>
      <c r="M5" s="36">
        <f>C5</f>
        <v>600</v>
      </c>
      <c r="N5" s="186">
        <f>INDEX($G$4:$G$14,MATCH(M5,$C$4:$C$14,0))</f>
        <v>0.88672520124413046</v>
      </c>
      <c r="O5" s="338">
        <f>(LOG(F$4)-LOG(F$5))/(LOG($C$4)-LOG(bp_1))</f>
        <v>0.12433707978529741</v>
      </c>
      <c r="P5" s="199">
        <v>1577.8503001690206</v>
      </c>
      <c r="Q5" s="129"/>
      <c r="R5" s="129"/>
      <c r="S5" s="129"/>
      <c r="T5" s="129"/>
      <c r="U5" s="129"/>
    </row>
    <row r="6" spans="1:21" x14ac:dyDescent="0.2">
      <c r="B6" s="143" t="str">
        <f t="shared" ref="B6:B15" si="5">C5&amp;" -"&amp;C6</f>
        <v>600 -425</v>
      </c>
      <c r="C6" s="248">
        <v>425</v>
      </c>
      <c r="D6" s="360">
        <f>data!J7</f>
        <v>21.433333333333337</v>
      </c>
      <c r="E6" s="363">
        <f t="shared" si="0"/>
        <v>7.1556947868036971E-2</v>
      </c>
      <c r="F6" s="376">
        <f t="shared" si="3"/>
        <v>0.81524285404274499</v>
      </c>
      <c r="G6" s="396">
        <f t="shared" si="1"/>
        <v>0.8127629053211094</v>
      </c>
      <c r="H6" s="377">
        <f t="shared" si="4"/>
        <v>7.396229592302106E-2</v>
      </c>
      <c r="I6" s="37">
        <v>0.9</v>
      </c>
      <c r="J6" s="252">
        <f t="shared" si="2"/>
        <v>676.16731470098716</v>
      </c>
      <c r="L6" s="162">
        <v>2</v>
      </c>
      <c r="M6" s="36">
        <f>C6</f>
        <v>425</v>
      </c>
      <c r="N6" s="186">
        <f t="shared" ref="N6:N9" si="6">INDEX($G$4:$G$14,MATCH(M6,$C$4:$C$14,0))</f>
        <v>0.8127629053211094</v>
      </c>
      <c r="O6" s="338">
        <f>(LOG(F$5)-LOG(F$6))/(LOG(bp_1)-LOG(bp_2))</f>
        <v>0.24397716752317</v>
      </c>
      <c r="P6" s="199">
        <v>994.08604858773242</v>
      </c>
      <c r="Q6" s="397"/>
      <c r="R6" s="129"/>
      <c r="S6" s="129"/>
      <c r="T6" s="129"/>
      <c r="U6" s="129"/>
    </row>
    <row r="7" spans="1:21" x14ac:dyDescent="0.2">
      <c r="B7" s="143" t="str">
        <f t="shared" si="5"/>
        <v>425 -300</v>
      </c>
      <c r="C7" s="401">
        <v>300</v>
      </c>
      <c r="D7" s="360">
        <f>data!J8</f>
        <v>35.303333333333335</v>
      </c>
      <c r="E7" s="363">
        <f t="shared" si="0"/>
        <v>0.11786308473878375</v>
      </c>
      <c r="F7" s="376">
        <f t="shared" si="3"/>
        <v>0.69737976930396128</v>
      </c>
      <c r="G7" s="396">
        <f t="shared" si="1"/>
        <v>0.69115584703936339</v>
      </c>
      <c r="H7" s="377">
        <f t="shared" si="4"/>
        <v>0.12160705828174601</v>
      </c>
      <c r="I7" s="37">
        <v>0.84</v>
      </c>
      <c r="J7" s="252">
        <f t="shared" si="2"/>
        <v>486.47904942430586</v>
      </c>
      <c r="L7" s="162">
        <v>3</v>
      </c>
      <c r="M7" s="36">
        <f>C7</f>
        <v>300</v>
      </c>
      <c r="N7" s="186">
        <f t="shared" si="6"/>
        <v>0.69115584703936339</v>
      </c>
      <c r="O7" s="338">
        <f>(LOG(F6)-LOG(F7))/(LOG($M$6)-LOG($M$7))</f>
        <v>0.44832880551562548</v>
      </c>
      <c r="P7" s="199">
        <v>683.82968114791379</v>
      </c>
      <c r="Q7" s="129"/>
      <c r="R7" s="129"/>
      <c r="S7" s="129"/>
      <c r="T7" s="129"/>
      <c r="U7" s="129"/>
    </row>
    <row r="8" spans="1:21" x14ac:dyDescent="0.2">
      <c r="B8" s="143" t="str">
        <f t="shared" si="5"/>
        <v>300 -212</v>
      </c>
      <c r="C8" s="401">
        <v>212</v>
      </c>
      <c r="D8" s="360">
        <f>data!J9</f>
        <v>37.611666666666672</v>
      </c>
      <c r="E8" s="363">
        <f t="shared" si="0"/>
        <v>0.12556964560948602</v>
      </c>
      <c r="F8" s="376">
        <f t="shared" si="3"/>
        <v>0.57181012369447526</v>
      </c>
      <c r="G8" s="396">
        <f t="shared" si="1"/>
        <v>0.56983112255768642</v>
      </c>
      <c r="H8" s="377">
        <f t="shared" si="4"/>
        <v>0.12132472448167697</v>
      </c>
      <c r="I8" s="37">
        <v>0.8</v>
      </c>
      <c r="J8" s="252">
        <f t="shared" si="2"/>
        <v>415.70916680617341</v>
      </c>
      <c r="L8" s="162">
        <v>4</v>
      </c>
      <c r="M8" s="36">
        <f>C8</f>
        <v>212</v>
      </c>
      <c r="N8" s="186">
        <f t="shared" si="6"/>
        <v>0.56983112255768642</v>
      </c>
      <c r="O8" s="338">
        <f>(LOG(F7)-LOG(F8))/(LOG(M7)-LOG(M8))</f>
        <v>0.57178949654444855</v>
      </c>
      <c r="P8" s="199">
        <v>566.90496407795763</v>
      </c>
      <c r="Q8" s="129"/>
      <c r="R8" s="129"/>
      <c r="S8" s="129"/>
      <c r="T8" s="129"/>
      <c r="U8" s="129"/>
    </row>
    <row r="9" spans="1:21" x14ac:dyDescent="0.2">
      <c r="B9" s="143" t="str">
        <f t="shared" si="5"/>
        <v>212 -180</v>
      </c>
      <c r="C9" s="402">
        <v>180</v>
      </c>
      <c r="D9" s="360">
        <f>data!J10</f>
        <v>12.778333333333334</v>
      </c>
      <c r="E9" s="363">
        <f t="shared" si="0"/>
        <v>4.2661517830811777E-2</v>
      </c>
      <c r="F9" s="376">
        <f t="shared" si="3"/>
        <v>0.52914860586366352</v>
      </c>
      <c r="G9" s="396">
        <f t="shared" si="1"/>
        <v>0.52332855208792151</v>
      </c>
      <c r="H9" s="377">
        <f t="shared" si="4"/>
        <v>4.6502570469764914E-2</v>
      </c>
      <c r="I9" s="37">
        <v>0.75</v>
      </c>
      <c r="J9" s="252">
        <f t="shared" si="2"/>
        <v>359.97419629910684</v>
      </c>
      <c r="L9" s="162">
        <v>5</v>
      </c>
      <c r="M9" s="36">
        <f>C9</f>
        <v>180</v>
      </c>
      <c r="N9" s="186">
        <f t="shared" si="6"/>
        <v>0.52332855208792151</v>
      </c>
      <c r="O9" s="338">
        <f>(LOG(F8)-LOG(F14))/(LOG(M8)-LOG(C14))</f>
        <v>0.53422136566025713</v>
      </c>
      <c r="P9" s="199">
        <v>604.91440341727991</v>
      </c>
      <c r="Q9" s="129"/>
      <c r="R9" s="129"/>
      <c r="S9" s="129"/>
      <c r="T9" s="129"/>
      <c r="U9" s="129"/>
    </row>
    <row r="10" spans="1:21" x14ac:dyDescent="0.2">
      <c r="B10" s="143" t="str">
        <f t="shared" si="5"/>
        <v>180 -150</v>
      </c>
      <c r="C10" s="129">
        <v>150</v>
      </c>
      <c r="D10" s="360">
        <f>data!J11</f>
        <v>15.020000000000001</v>
      </c>
      <c r="E10" s="363">
        <f t="shared" si="0"/>
        <v>5.0145506546403512E-2</v>
      </c>
      <c r="F10" s="376">
        <f t="shared" si="3"/>
        <v>0.47900309931726004</v>
      </c>
      <c r="G10" s="396">
        <f t="shared" si="1"/>
        <v>0.47475999489476545</v>
      </c>
      <c r="H10" s="377">
        <f t="shared" si="4"/>
        <v>4.8568557193156059E-2</v>
      </c>
      <c r="I10" s="37">
        <v>0.5</v>
      </c>
      <c r="J10" s="252">
        <f t="shared" si="2"/>
        <v>165.27262827601763</v>
      </c>
      <c r="M10" s="129"/>
      <c r="N10" s="129"/>
      <c r="O10" s="129"/>
      <c r="P10" s="129"/>
      <c r="Q10" s="129"/>
      <c r="R10" s="129"/>
      <c r="S10" s="129"/>
      <c r="T10" s="129"/>
      <c r="U10" s="129"/>
    </row>
    <row r="11" spans="1:21" ht="12.75" x14ac:dyDescent="0.25">
      <c r="B11" s="143" t="str">
        <f t="shared" si="5"/>
        <v>150 -106</v>
      </c>
      <c r="C11" s="129">
        <v>106</v>
      </c>
      <c r="D11" s="360">
        <f>data!J12</f>
        <v>24.594999999999999</v>
      </c>
      <c r="E11" s="363">
        <f t="shared" si="0"/>
        <v>8.2112432324154078E-2</v>
      </c>
      <c r="F11" s="376">
        <f t="shared" si="3"/>
        <v>0.39689066699310593</v>
      </c>
      <c r="G11" s="396">
        <f t="shared" si="1"/>
        <v>0.39438586164403566</v>
      </c>
      <c r="H11" s="377">
        <f t="shared" si="4"/>
        <v>8.0374133250729785E-2</v>
      </c>
      <c r="I11" s="37">
        <v>0.4</v>
      </c>
      <c r="J11" s="252">
        <f t="shared" si="2"/>
        <v>108.84204881420033</v>
      </c>
      <c r="M11" s="127"/>
      <c r="N11" s="131"/>
      <c r="O11" s="405" t="s">
        <v>327</v>
      </c>
      <c r="P11" s="406" t="s">
        <v>328</v>
      </c>
      <c r="Q11" s="129"/>
      <c r="R11" s="129"/>
      <c r="S11" s="129"/>
      <c r="T11" s="129"/>
      <c r="U11" s="129"/>
    </row>
    <row r="12" spans="1:21" x14ac:dyDescent="0.2">
      <c r="B12" s="143" t="str">
        <f t="shared" si="5"/>
        <v>106 -75</v>
      </c>
      <c r="C12" s="139">
        <v>75</v>
      </c>
      <c r="D12" s="360">
        <f>data!J13</f>
        <v>18.613333333333333</v>
      </c>
      <c r="E12" s="363">
        <f t="shared" si="0"/>
        <v>6.2142145706861336E-2</v>
      </c>
      <c r="F12" s="376">
        <f t="shared" si="3"/>
        <v>0.3347485212862446</v>
      </c>
      <c r="G12" s="396">
        <f t="shared" si="1"/>
        <v>0.32783661819773385</v>
      </c>
      <c r="H12" s="377">
        <f t="shared" si="4"/>
        <v>6.6549243446301809E-2</v>
      </c>
      <c r="I12" s="37">
        <v>0.25</v>
      </c>
      <c r="J12" s="252">
        <f t="shared" si="2"/>
        <v>45.155217834051697</v>
      </c>
      <c r="M12" s="407" t="s">
        <v>339</v>
      </c>
      <c r="O12" s="343">
        <f>n_1</f>
        <v>0.12433707978529741</v>
      </c>
      <c r="P12" s="252">
        <f>k_1</f>
        <v>1577.8503001690206</v>
      </c>
      <c r="Q12" s="129"/>
      <c r="R12" s="129"/>
      <c r="S12" s="129"/>
      <c r="T12" s="129"/>
      <c r="U12" s="129"/>
    </row>
    <row r="13" spans="1:21" x14ac:dyDescent="0.2">
      <c r="B13" s="143" t="str">
        <f t="shared" si="5"/>
        <v>75 -53</v>
      </c>
      <c r="C13" s="139">
        <v>53</v>
      </c>
      <c r="D13" s="360">
        <f>data!J14</f>
        <v>19.510000000000002</v>
      </c>
      <c r="E13" s="363">
        <f t="shared" si="0"/>
        <v>6.5135741193098035E-2</v>
      </c>
      <c r="F13" s="376">
        <f t="shared" si="3"/>
        <v>0.2696127800931466</v>
      </c>
      <c r="G13" s="396">
        <f t="shared" si="1"/>
        <v>0.27233576656988373</v>
      </c>
      <c r="H13" s="377">
        <f t="shared" si="4"/>
        <v>5.5500851627850123E-2</v>
      </c>
      <c r="I13" s="37">
        <v>0.16</v>
      </c>
      <c r="J13" s="252">
        <f t="shared" si="2"/>
        <v>19.583913894509777</v>
      </c>
      <c r="M13" s="407" t="s">
        <v>340</v>
      </c>
      <c r="O13" s="343">
        <f>n_2</f>
        <v>0.24397716752317</v>
      </c>
      <c r="P13" s="252">
        <f>k_2</f>
        <v>994.08604858773242</v>
      </c>
      <c r="Q13" s="129"/>
      <c r="R13" s="129"/>
      <c r="S13" s="129"/>
      <c r="T13" s="129"/>
      <c r="U13" s="129"/>
    </row>
    <row r="14" spans="1:21" x14ac:dyDescent="0.2">
      <c r="B14" s="143" t="str">
        <f t="shared" si="5"/>
        <v>53 -38</v>
      </c>
      <c r="C14" s="139">
        <v>38</v>
      </c>
      <c r="D14" s="360">
        <f>data!J15</f>
        <v>12.386666666666668</v>
      </c>
      <c r="E14" s="363">
        <f t="shared" si="0"/>
        <v>4.1353906419537387E-2</v>
      </c>
      <c r="F14" s="376">
        <f t="shared" si="3"/>
        <v>0.2282588736736092</v>
      </c>
      <c r="G14" s="396">
        <f t="shared" si="1"/>
        <v>0.22798896274130076</v>
      </c>
      <c r="H14" s="377">
        <f t="shared" si="4"/>
        <v>4.434680382858297E-2</v>
      </c>
      <c r="I14" s="37">
        <v>0.1</v>
      </c>
      <c r="J14" s="252">
        <f t="shared" si="2"/>
        <v>8.1247634309004955</v>
      </c>
      <c r="M14" s="407" t="s">
        <v>341</v>
      </c>
      <c r="O14" s="343">
        <f>n_3</f>
        <v>0.44832880551562548</v>
      </c>
      <c r="P14" s="252">
        <f>k_3</f>
        <v>683.82968114791379</v>
      </c>
      <c r="Q14" s="129"/>
      <c r="R14" s="129"/>
      <c r="S14" s="129"/>
      <c r="T14" s="129"/>
      <c r="U14" s="129"/>
    </row>
    <row r="15" spans="1:21" x14ac:dyDescent="0.2">
      <c r="B15" s="144" t="str">
        <f t="shared" si="5"/>
        <v>38 -0</v>
      </c>
      <c r="C15" s="132">
        <v>0</v>
      </c>
      <c r="D15" s="353">
        <f>data!J16</f>
        <v>68.36999999999999</v>
      </c>
      <c r="E15" s="367">
        <f t="shared" si="0"/>
        <v>0.228258873673609</v>
      </c>
      <c r="F15" s="378">
        <f t="shared" si="3"/>
        <v>0</v>
      </c>
      <c r="G15" s="364"/>
      <c r="H15" s="379">
        <f t="shared" si="4"/>
        <v>0.22798896274130076</v>
      </c>
      <c r="I15" s="410">
        <v>0.05</v>
      </c>
      <c r="J15" s="256">
        <f t="shared" si="2"/>
        <v>2.2198198600662398</v>
      </c>
      <c r="M15" s="408" t="s">
        <v>342</v>
      </c>
      <c r="O15" s="343">
        <f>n_4</f>
        <v>0.57178949654444855</v>
      </c>
      <c r="P15" s="252">
        <f>k_4</f>
        <v>566.90496407795763</v>
      </c>
      <c r="Q15" s="129"/>
      <c r="R15" s="129"/>
      <c r="S15" s="129"/>
      <c r="T15" s="129"/>
      <c r="U15" s="129"/>
    </row>
    <row r="16" spans="1:21" x14ac:dyDescent="0.2">
      <c r="C16" s="36" t="s">
        <v>77</v>
      </c>
      <c r="D16" s="160">
        <f>data!J17</f>
        <v>299.52833333333336</v>
      </c>
      <c r="M16" s="409" t="s">
        <v>343</v>
      </c>
      <c r="N16" s="132"/>
      <c r="O16" s="262">
        <f>n_5</f>
        <v>0.53422136566025713</v>
      </c>
      <c r="P16" s="272">
        <f>k_5</f>
        <v>604.91440341727991</v>
      </c>
    </row>
    <row r="18" spans="1:16" ht="15" x14ac:dyDescent="0.25">
      <c r="A18" s="327" t="s">
        <v>303</v>
      </c>
      <c r="D18"/>
      <c r="F18"/>
    </row>
    <row r="19" spans="1:16" ht="15" x14ac:dyDescent="0.25">
      <c r="A19" s="324" t="s">
        <v>316</v>
      </c>
      <c r="B19"/>
      <c r="D19" s="160"/>
      <c r="E19" s="160"/>
      <c r="G19"/>
    </row>
    <row r="20" spans="1:16" ht="15" x14ac:dyDescent="0.25">
      <c r="B20"/>
      <c r="C20" s="383"/>
      <c r="D20" s="129"/>
      <c r="E20" s="384"/>
      <c r="F20" s="129"/>
      <c r="G20" s="164"/>
      <c r="K20" s="164"/>
      <c r="L20" s="164"/>
    </row>
    <row r="21" spans="1:16" ht="12.75" x14ac:dyDescent="0.2">
      <c r="B21" s="386"/>
      <c r="C21" s="383"/>
      <c r="D21" s="129"/>
      <c r="E21" s="384"/>
      <c r="F21" s="129"/>
      <c r="G21" s="164"/>
      <c r="K21" s="164"/>
      <c r="L21" s="164"/>
    </row>
    <row r="22" spans="1:16" ht="12.75" x14ac:dyDescent="0.2">
      <c r="B22" s="385"/>
      <c r="C22" s="383"/>
      <c r="D22" s="129"/>
      <c r="E22" s="129"/>
      <c r="F22" s="129"/>
    </row>
    <row r="23" spans="1:16" x14ac:dyDescent="0.2">
      <c r="C23" s="160"/>
      <c r="D23" s="160"/>
      <c r="E23" s="160"/>
      <c r="F23" s="160"/>
      <c r="G23" s="160"/>
      <c r="I23" s="160"/>
      <c r="J23" s="185"/>
    </row>
    <row r="24" spans="1:16" x14ac:dyDescent="0.2">
      <c r="A24" s="286" t="s">
        <v>265</v>
      </c>
      <c r="C24" s="369" t="s">
        <v>310</v>
      </c>
      <c r="D24" s="369"/>
      <c r="E24" s="340"/>
      <c r="F24" s="340"/>
    </row>
    <row r="25" spans="1:16" x14ac:dyDescent="0.2">
      <c r="B25" s="351"/>
      <c r="C25" s="324" t="s">
        <v>298</v>
      </c>
      <c r="D25" s="337" t="s">
        <v>307</v>
      </c>
      <c r="E25" s="393"/>
      <c r="F25" s="394"/>
    </row>
    <row r="26" spans="1:16" x14ac:dyDescent="0.2">
      <c r="A26" s="141" t="s">
        <v>91</v>
      </c>
      <c r="B26" s="386"/>
      <c r="C26" s="370">
        <f t="shared" ref="C26:C36" si="7">(G4-F4)^2</f>
        <v>6.5845889074827465E-9</v>
      </c>
      <c r="D26" s="370">
        <f t="shared" ref="D26:D37" si="8">(H4-E4)^2</f>
        <v>6.5845889074793683E-9</v>
      </c>
      <c r="E26" s="139"/>
      <c r="F26" s="139"/>
    </row>
    <row r="27" spans="1:16" x14ac:dyDescent="0.2">
      <c r="B27" s="386"/>
      <c r="C27" s="371">
        <f t="shared" si="7"/>
        <v>5.565259464855314E-9</v>
      </c>
      <c r="D27" s="371">
        <f t="shared" si="8"/>
        <v>4.2834580399345316E-11</v>
      </c>
      <c r="E27" s="139"/>
      <c r="F27" s="139"/>
    </row>
    <row r="28" spans="1:16" x14ac:dyDescent="0.2">
      <c r="B28" s="129"/>
      <c r="C28" s="371">
        <f t="shared" si="7"/>
        <v>6.1501456619420177E-6</v>
      </c>
      <c r="D28" s="371">
        <f t="shared" si="8"/>
        <v>5.7856992656157368E-6</v>
      </c>
      <c r="E28" s="348"/>
      <c r="F28" s="348"/>
    </row>
    <row r="29" spans="1:16" x14ac:dyDescent="0.2">
      <c r="A29" s="395"/>
      <c r="B29" s="129"/>
      <c r="C29" s="371">
        <f t="shared" si="7"/>
        <v>3.8737208355757356E-5</v>
      </c>
      <c r="D29" s="371">
        <f t="shared" si="8"/>
        <v>1.4017337890401349E-5</v>
      </c>
      <c r="E29" s="348"/>
      <c r="F29" s="348"/>
    </row>
    <row r="30" spans="1:16" x14ac:dyDescent="0.2">
      <c r="A30" s="395"/>
      <c r="B30" s="129"/>
      <c r="C30" s="371">
        <f t="shared" si="7"/>
        <v>3.9164454994115143E-6</v>
      </c>
      <c r="D30" s="371">
        <f t="shared" si="8"/>
        <v>1.801935538131969E-5</v>
      </c>
      <c r="E30" s="348"/>
      <c r="F30" s="348"/>
    </row>
    <row r="31" spans="1:16" x14ac:dyDescent="0.2">
      <c r="A31" s="395"/>
      <c r="B31" s="129"/>
      <c r="C31" s="371">
        <f t="shared" si="7"/>
        <v>3.3873025952528916E-5</v>
      </c>
      <c r="D31" s="371">
        <f t="shared" si="8"/>
        <v>1.4753685375208865E-5</v>
      </c>
      <c r="E31" s="348"/>
    </row>
    <row r="32" spans="1:16" x14ac:dyDescent="0.2">
      <c r="B32" s="129"/>
      <c r="C32" s="371">
        <f t="shared" si="7"/>
        <v>1.800393514019317E-5</v>
      </c>
      <c r="D32" s="371">
        <f t="shared" si="8"/>
        <v>2.4867692627075611E-6</v>
      </c>
      <c r="E32" s="348"/>
      <c r="M32" s="323"/>
      <c r="N32" s="323"/>
      <c r="O32" s="323"/>
      <c r="P32" s="323"/>
    </row>
    <row r="33" spans="1:23" ht="15" x14ac:dyDescent="0.25">
      <c r="B33" s="129"/>
      <c r="C33" s="371">
        <f t="shared" si="7"/>
        <v>6.2740498367310448E-6</v>
      </c>
      <c r="D33" s="371">
        <f t="shared" si="8"/>
        <v>3.0216836686677562E-6</v>
      </c>
      <c r="E33" s="348"/>
      <c r="H33"/>
      <c r="M33" s="322"/>
      <c r="N33" s="322"/>
      <c r="O33" s="322"/>
      <c r="P33" s="322"/>
      <c r="Q33" s="162"/>
      <c r="R33" s="162"/>
      <c r="S33" s="162"/>
      <c r="T33" s="162"/>
      <c r="U33" s="162"/>
    </row>
    <row r="34" spans="1:23" x14ac:dyDescent="0.2">
      <c r="B34" s="129"/>
      <c r="C34" s="371">
        <f t="shared" si="7"/>
        <v>4.777440430496446E-5</v>
      </c>
      <c r="D34" s="371">
        <f t="shared" si="8"/>
        <v>1.9422510484981324E-5</v>
      </c>
      <c r="E34" s="348"/>
      <c r="M34" s="322"/>
      <c r="N34" s="322"/>
      <c r="O34" s="322"/>
      <c r="P34" s="322"/>
      <c r="Q34" s="162"/>
      <c r="R34" s="162"/>
      <c r="S34" s="162"/>
      <c r="T34" s="162"/>
      <c r="U34" s="162"/>
    </row>
    <row r="35" spans="1:23" x14ac:dyDescent="0.2">
      <c r="B35" s="129"/>
      <c r="C35" s="371">
        <f t="shared" si="7"/>
        <v>7.4146553524933028E-6</v>
      </c>
      <c r="D35" s="371">
        <f t="shared" si="8"/>
        <v>9.2831096934523091E-5</v>
      </c>
      <c r="E35" s="348"/>
      <c r="M35" s="322"/>
      <c r="N35" s="322"/>
      <c r="O35" s="322"/>
      <c r="P35" s="322"/>
      <c r="Q35" s="162"/>
      <c r="R35" s="162"/>
      <c r="S35" s="162"/>
      <c r="T35" s="162"/>
      <c r="U35" s="162"/>
    </row>
    <row r="36" spans="1:23" x14ac:dyDescent="0.2">
      <c r="B36" s="129"/>
      <c r="C36" s="371">
        <f t="shared" si="7"/>
        <v>7.2851911379609651E-8</v>
      </c>
      <c r="D36" s="371">
        <f t="shared" si="8"/>
        <v>8.9574349010717668E-6</v>
      </c>
      <c r="E36" s="348"/>
      <c r="M36" s="322"/>
      <c r="N36" s="322"/>
      <c r="O36" s="322"/>
      <c r="P36" s="322"/>
      <c r="Q36" s="162"/>
      <c r="R36" s="162"/>
      <c r="S36" s="162"/>
      <c r="T36" s="162"/>
      <c r="U36" s="162"/>
    </row>
    <row r="37" spans="1:23" x14ac:dyDescent="0.2">
      <c r="B37" s="129"/>
      <c r="C37" s="371"/>
      <c r="D37" s="371">
        <f t="shared" si="8"/>
        <v>7.2851911379504778E-8</v>
      </c>
      <c r="E37" s="348"/>
      <c r="M37" s="322"/>
      <c r="N37" s="322"/>
      <c r="O37" s="322"/>
      <c r="P37" s="322"/>
      <c r="Q37" s="162"/>
      <c r="R37" s="162"/>
      <c r="S37" s="162"/>
      <c r="T37" s="162"/>
      <c r="U37" s="162"/>
    </row>
    <row r="38" spans="1:23" x14ac:dyDescent="0.2">
      <c r="B38" s="129"/>
      <c r="C38" s="372"/>
      <c r="D38" s="372"/>
      <c r="E38" s="348"/>
      <c r="M38" s="322"/>
      <c r="N38" s="322"/>
      <c r="O38" s="322"/>
      <c r="P38" s="322"/>
      <c r="Q38" s="162"/>
      <c r="R38" s="162"/>
      <c r="S38" s="162"/>
      <c r="T38" s="162"/>
      <c r="U38" s="162"/>
    </row>
    <row r="39" spans="1:23" x14ac:dyDescent="0.2">
      <c r="B39" s="324" t="s">
        <v>314</v>
      </c>
      <c r="C39" s="373">
        <f>SUM(C26:C36)</f>
        <v>1.6222887186377372E-4</v>
      </c>
      <c r="D39" s="373">
        <f>SUM(D26:D37)</f>
        <v>1.7937505249936451E-4</v>
      </c>
      <c r="E39" s="161"/>
      <c r="M39" s="322"/>
      <c r="N39" s="322"/>
      <c r="O39" s="322"/>
      <c r="P39" s="322"/>
      <c r="Q39" s="162"/>
      <c r="R39" s="162"/>
      <c r="S39" s="162"/>
      <c r="T39" s="162"/>
      <c r="U39" s="162"/>
    </row>
    <row r="40" spans="1:23" x14ac:dyDescent="0.2">
      <c r="A40" s="208" t="s">
        <v>108</v>
      </c>
      <c r="B40" s="340" t="s">
        <v>214</v>
      </c>
      <c r="C40" s="365">
        <f>C39/COUNT(C26:C36)</f>
        <v>1.4748079260343065E-5</v>
      </c>
      <c r="D40" s="365">
        <f>D39/COUNT(D26:D37)</f>
        <v>1.4947921041613709E-5</v>
      </c>
      <c r="E40" s="139"/>
      <c r="K40" s="139"/>
      <c r="M40" s="322"/>
      <c r="N40" s="322"/>
      <c r="O40" s="322"/>
      <c r="P40" s="322"/>
      <c r="Q40" s="162"/>
      <c r="R40" s="162"/>
      <c r="S40" s="162"/>
      <c r="T40" s="162"/>
      <c r="U40" s="162"/>
    </row>
    <row r="41" spans="1:23" x14ac:dyDescent="0.2">
      <c r="A41" s="208" t="s">
        <v>109</v>
      </c>
      <c r="B41" s="173" t="s">
        <v>46</v>
      </c>
      <c r="C41" s="366">
        <f>SQRT(C40)</f>
        <v>3.8403228067889119E-3</v>
      </c>
      <c r="D41" s="366">
        <f>SQRT(D40)</f>
        <v>3.8662541356736637E-3</v>
      </c>
      <c r="M41" s="322"/>
      <c r="N41" s="322"/>
      <c r="O41" s="322"/>
      <c r="P41" s="322"/>
      <c r="Q41" s="162"/>
      <c r="R41" s="162"/>
      <c r="S41" s="162"/>
      <c r="T41" s="162"/>
      <c r="U41" s="162"/>
    </row>
    <row r="42" spans="1:23" ht="12.75" x14ac:dyDescent="0.2">
      <c r="A42" s="327" t="s">
        <v>167</v>
      </c>
      <c r="B42" s="324" t="s">
        <v>315</v>
      </c>
      <c r="C42" s="399">
        <f>RSQ(G4:G14,F4:F14)</f>
        <v>0.99985572521355925</v>
      </c>
      <c r="D42" s="399">
        <f>RSQ(H4:H15,E4:E15)</f>
        <v>0.99435736739070979</v>
      </c>
      <c r="E42" s="341"/>
      <c r="Q42" s="160"/>
      <c r="R42" s="160"/>
      <c r="S42" s="160"/>
      <c r="T42" s="160"/>
      <c r="U42" s="160"/>
      <c r="V42" s="160"/>
      <c r="W42" s="184"/>
    </row>
    <row r="43" spans="1:23" x14ac:dyDescent="0.2">
      <c r="A43" s="387" t="s">
        <v>319</v>
      </c>
      <c r="C43" s="399">
        <f>1-(1-C42)*((COUNT(C26:C37)/((COUNT(C26:C37)-(COUNT(M5:P9)+1)))))</f>
        <v>1.0001587022650849</v>
      </c>
      <c r="D43" s="399">
        <f>1-(1-D42)*((COUNT(D26:D37)/((COUNT(D26:D37)-(COUNT(N5:P9)+1)))))</f>
        <v>1.0169278978278706</v>
      </c>
      <c r="E43" s="339"/>
      <c r="F43" s="339"/>
      <c r="G43" s="366"/>
      <c r="H43" s="324"/>
      <c r="Q43" s="160"/>
      <c r="R43" s="160"/>
      <c r="S43" s="160"/>
      <c r="T43" s="160"/>
      <c r="U43" s="160"/>
      <c r="V43" s="160"/>
      <c r="W43" s="184"/>
    </row>
    <row r="44" spans="1:23" x14ac:dyDescent="0.2">
      <c r="A44" s="387"/>
      <c r="D44" s="339"/>
      <c r="E44" s="339"/>
      <c r="F44" s="339"/>
      <c r="G44" s="366"/>
      <c r="H44" s="324"/>
      <c r="Q44" s="160"/>
      <c r="R44" s="160"/>
      <c r="S44" s="160"/>
      <c r="T44" s="160"/>
      <c r="U44" s="160"/>
      <c r="V44" s="160"/>
      <c r="W44" s="184"/>
    </row>
    <row r="45" spans="1:23" x14ac:dyDescent="0.2">
      <c r="A45" s="387"/>
      <c r="D45" s="339"/>
      <c r="E45" s="339"/>
      <c r="F45" s="339"/>
      <c r="G45" s="366"/>
      <c r="H45" s="324"/>
      <c r="Q45" s="160"/>
      <c r="R45" s="160"/>
      <c r="S45" s="160"/>
      <c r="T45" s="160"/>
      <c r="U45" s="160"/>
      <c r="V45" s="160"/>
      <c r="W45" s="184"/>
    </row>
    <row r="46" spans="1:23" ht="15" x14ac:dyDescent="0.25">
      <c r="A46" s="387"/>
      <c r="B46"/>
      <c r="D46" s="339"/>
      <c r="E46" s="339"/>
      <c r="F46" s="339"/>
      <c r="G46" s="366"/>
      <c r="H46" s="324"/>
      <c r="Q46" s="160"/>
      <c r="R46" s="160"/>
      <c r="S46" s="160"/>
      <c r="T46" s="160"/>
      <c r="U46" s="160"/>
      <c r="V46" s="160"/>
      <c r="W46" s="184"/>
    </row>
    <row r="47" spans="1:23" x14ac:dyDescent="0.2">
      <c r="E47" s="193"/>
      <c r="Q47" s="160"/>
      <c r="R47" s="160"/>
      <c r="S47" s="160"/>
      <c r="T47" s="160"/>
      <c r="U47" s="160"/>
      <c r="V47" s="160"/>
      <c r="W47" s="184"/>
    </row>
    <row r="48" spans="1:23" x14ac:dyDescent="0.2">
      <c r="B48" s="161"/>
      <c r="C48" s="161"/>
      <c r="D48" s="167"/>
      <c r="E48" s="167"/>
      <c r="F48" s="167"/>
      <c r="G48" s="167"/>
      <c r="H48" s="167"/>
      <c r="I48" s="167"/>
      <c r="J48" s="139"/>
      <c r="Q48" s="160"/>
      <c r="R48" s="160"/>
      <c r="S48" s="160"/>
      <c r="T48" s="160"/>
      <c r="U48" s="160"/>
      <c r="V48" s="160"/>
      <c r="W48" s="184"/>
    </row>
    <row r="49" spans="1:23" x14ac:dyDescent="0.2">
      <c r="Q49" s="160"/>
      <c r="R49" s="160"/>
      <c r="S49" s="160"/>
      <c r="T49" s="160"/>
      <c r="U49" s="160"/>
      <c r="V49" s="160"/>
      <c r="W49" s="184"/>
    </row>
    <row r="50" spans="1:23" ht="12.75" x14ac:dyDescent="0.2">
      <c r="B50" s="380"/>
      <c r="C50" s="129"/>
      <c r="D50" s="351"/>
      <c r="E50" s="129"/>
      <c r="F50" s="129"/>
      <c r="G50" s="129"/>
      <c r="H50" s="129"/>
      <c r="I50" s="129"/>
      <c r="Q50" s="160"/>
      <c r="R50" s="160"/>
      <c r="S50" s="160"/>
      <c r="T50" s="160"/>
      <c r="U50" s="160"/>
      <c r="V50" s="160"/>
      <c r="W50" s="184"/>
    </row>
    <row r="51" spans="1:23" x14ac:dyDescent="0.2">
      <c r="E51" s="193"/>
      <c r="F51" s="193"/>
      <c r="G51" s="193"/>
      <c r="H51" s="193"/>
      <c r="I51" s="193"/>
      <c r="Q51" s="160"/>
      <c r="R51" s="160"/>
      <c r="S51" s="160"/>
      <c r="T51" s="160"/>
      <c r="U51" s="160"/>
      <c r="V51" s="160"/>
      <c r="W51" s="184"/>
    </row>
    <row r="52" spans="1:23" x14ac:dyDescent="0.2">
      <c r="E52" s="193"/>
      <c r="F52" s="193"/>
      <c r="G52" s="193"/>
      <c r="H52" s="193"/>
      <c r="I52" s="193"/>
      <c r="Q52" s="160"/>
      <c r="R52" s="160"/>
      <c r="S52" s="160"/>
      <c r="T52" s="160"/>
      <c r="U52" s="160"/>
      <c r="V52" s="160"/>
      <c r="W52" s="184"/>
    </row>
    <row r="53" spans="1:23" x14ac:dyDescent="0.2">
      <c r="E53" s="193"/>
      <c r="F53" s="193"/>
      <c r="G53" s="193"/>
      <c r="H53" s="193"/>
      <c r="I53" s="193"/>
      <c r="M53" s="340"/>
      <c r="N53" s="340"/>
      <c r="O53" s="340"/>
      <c r="P53" s="340"/>
      <c r="Q53" s="160"/>
      <c r="R53" s="160"/>
      <c r="S53" s="160"/>
      <c r="T53" s="160"/>
      <c r="U53" s="160"/>
      <c r="V53" s="160"/>
      <c r="W53" s="184"/>
    </row>
    <row r="54" spans="1:23" x14ac:dyDescent="0.2">
      <c r="E54" s="193"/>
      <c r="F54" s="193"/>
      <c r="G54" s="193"/>
      <c r="H54" s="193"/>
      <c r="I54" s="193"/>
      <c r="M54" s="340"/>
      <c r="N54" s="340"/>
      <c r="O54" s="340"/>
      <c r="P54" s="340"/>
      <c r="Q54" s="160"/>
      <c r="R54" s="160"/>
      <c r="S54" s="160"/>
      <c r="T54" s="160"/>
      <c r="U54" s="160"/>
      <c r="V54" s="160"/>
      <c r="W54" s="184"/>
    </row>
    <row r="55" spans="1:23" x14ac:dyDescent="0.2">
      <c r="E55" s="193"/>
      <c r="F55" s="193"/>
      <c r="G55" s="193"/>
      <c r="H55" s="193"/>
      <c r="I55" s="193"/>
      <c r="Q55" s="160"/>
      <c r="R55" s="160"/>
      <c r="S55" s="160"/>
      <c r="T55" s="160"/>
      <c r="U55" s="160"/>
      <c r="V55" s="160"/>
      <c r="W55" s="184"/>
    </row>
    <row r="56" spans="1:23" x14ac:dyDescent="0.2">
      <c r="A56" s="36"/>
      <c r="E56" s="193"/>
      <c r="F56" s="193"/>
      <c r="G56" s="193"/>
      <c r="H56" s="193"/>
      <c r="I56" s="193"/>
      <c r="Q56" s="160"/>
      <c r="R56" s="160"/>
      <c r="S56" s="160"/>
      <c r="T56" s="160"/>
      <c r="U56" s="160"/>
      <c r="V56" s="160"/>
      <c r="W56" s="184"/>
    </row>
    <row r="57" spans="1:23" x14ac:dyDescent="0.2">
      <c r="A57" s="36"/>
      <c r="E57" s="193"/>
      <c r="F57" s="193"/>
      <c r="G57" s="193"/>
      <c r="H57" s="193"/>
      <c r="I57" s="193"/>
      <c r="Q57" s="160"/>
      <c r="R57" s="160"/>
      <c r="S57" s="160"/>
      <c r="T57" s="160"/>
      <c r="U57" s="160"/>
      <c r="V57" s="160"/>
      <c r="W57" s="184"/>
    </row>
    <row r="58" spans="1:23" x14ac:dyDescent="0.2">
      <c r="A58" s="36"/>
      <c r="E58" s="193"/>
      <c r="F58" s="193"/>
      <c r="G58" s="193"/>
      <c r="H58" s="193"/>
      <c r="I58" s="193"/>
      <c r="Q58" s="160"/>
      <c r="R58" s="160"/>
      <c r="S58" s="160"/>
      <c r="T58" s="160"/>
      <c r="U58" s="160"/>
      <c r="V58" s="160"/>
      <c r="W58" s="184"/>
    </row>
    <row r="59" spans="1:23" x14ac:dyDescent="0.2">
      <c r="A59" s="36"/>
      <c r="E59" s="193"/>
      <c r="F59" s="193"/>
      <c r="G59" s="193"/>
      <c r="H59" s="193"/>
      <c r="I59" s="193"/>
      <c r="Q59" s="160"/>
      <c r="R59" s="160"/>
      <c r="S59" s="160"/>
      <c r="T59" s="160"/>
      <c r="U59" s="160"/>
      <c r="V59" s="160"/>
      <c r="W59" s="184"/>
    </row>
    <row r="60" spans="1:23" x14ac:dyDescent="0.2">
      <c r="A60" s="36"/>
      <c r="E60" s="193"/>
      <c r="F60" s="193"/>
      <c r="G60" s="193"/>
      <c r="H60" s="193"/>
      <c r="I60" s="193"/>
      <c r="L60" s="259"/>
      <c r="Q60" s="160"/>
      <c r="R60" s="160"/>
      <c r="S60" s="160"/>
      <c r="T60" s="160"/>
      <c r="U60" s="160"/>
      <c r="V60" s="160"/>
      <c r="W60" s="184"/>
    </row>
    <row r="61" spans="1:23" x14ac:dyDescent="0.2">
      <c r="A61" s="36"/>
      <c r="E61" s="193"/>
      <c r="F61" s="193"/>
      <c r="G61" s="193"/>
      <c r="H61" s="193"/>
      <c r="I61" s="193"/>
    </row>
    <row r="62" spans="1:23" x14ac:dyDescent="0.2">
      <c r="A62" s="36"/>
      <c r="E62" s="193"/>
      <c r="F62" s="193"/>
      <c r="G62" s="193"/>
      <c r="H62" s="193"/>
      <c r="I62" s="193"/>
    </row>
    <row r="63" spans="1:23" x14ac:dyDescent="0.2">
      <c r="A63" s="36"/>
      <c r="B63" s="138"/>
      <c r="C63" s="130"/>
      <c r="D63" s="193"/>
      <c r="E63" s="193"/>
      <c r="F63" s="193"/>
      <c r="G63" s="193"/>
      <c r="H63" s="193"/>
      <c r="I63" s="193"/>
    </row>
    <row r="64" spans="1:23" x14ac:dyDescent="0.2">
      <c r="A64" s="36"/>
      <c r="B64" s="138"/>
      <c r="C64" s="129"/>
      <c r="D64" s="193"/>
      <c r="E64" s="193"/>
      <c r="G64" s="193"/>
      <c r="H64" s="193"/>
      <c r="I64" s="193"/>
    </row>
    <row r="65" spans="1:25" x14ac:dyDescent="0.2">
      <c r="C65" s="129"/>
      <c r="D65" s="193"/>
      <c r="E65" s="129"/>
      <c r="F65" s="129"/>
      <c r="G65" s="129"/>
      <c r="H65" s="129"/>
      <c r="I65" s="129"/>
      <c r="L65" s="260"/>
    </row>
    <row r="66" spans="1:25" x14ac:dyDescent="0.2">
      <c r="B66" s="286"/>
      <c r="C66" s="342"/>
      <c r="D66" s="204"/>
      <c r="E66" s="204"/>
      <c r="G66" s="204"/>
      <c r="H66" s="204"/>
      <c r="I66" s="204"/>
    </row>
    <row r="67" spans="1:25" x14ac:dyDescent="0.2">
      <c r="B67" s="226"/>
      <c r="C67" s="342"/>
      <c r="D67" s="193"/>
      <c r="E67" s="343"/>
      <c r="F67" s="343"/>
      <c r="G67" s="343"/>
      <c r="H67" s="343"/>
      <c r="I67" s="343"/>
    </row>
    <row r="68" spans="1:25" x14ac:dyDescent="0.2">
      <c r="B68" s="226"/>
      <c r="C68" s="342"/>
      <c r="D68" s="193"/>
      <c r="E68" s="193"/>
      <c r="F68" s="193"/>
      <c r="G68" s="193"/>
      <c r="H68" s="193"/>
      <c r="I68" s="193"/>
    </row>
    <row r="69" spans="1:25" x14ac:dyDescent="0.2">
      <c r="B69" s="226"/>
      <c r="C69" s="342"/>
      <c r="D69" s="193"/>
      <c r="E69" s="193"/>
      <c r="F69" s="193"/>
      <c r="G69" s="193"/>
      <c r="H69" s="193"/>
      <c r="I69" s="193"/>
    </row>
    <row r="70" spans="1:25" x14ac:dyDescent="0.2">
      <c r="B70" s="226"/>
      <c r="C70" s="342"/>
      <c r="D70" s="193"/>
      <c r="E70" s="193"/>
      <c r="F70" s="193"/>
      <c r="G70" s="193"/>
      <c r="H70" s="193"/>
      <c r="I70" s="193"/>
    </row>
    <row r="71" spans="1:25" x14ac:dyDescent="0.2">
      <c r="B71" s="226"/>
      <c r="C71" s="342"/>
      <c r="D71" s="193"/>
      <c r="E71" s="193"/>
      <c r="F71" s="193"/>
      <c r="G71" s="193"/>
      <c r="H71" s="193"/>
      <c r="I71" s="193"/>
    </row>
    <row r="72" spans="1:25" x14ac:dyDescent="0.2">
      <c r="C72" s="342"/>
      <c r="D72" s="193"/>
      <c r="E72" s="193"/>
      <c r="F72" s="193"/>
      <c r="G72" s="193"/>
      <c r="H72" s="193"/>
      <c r="I72" s="193"/>
    </row>
    <row r="74" spans="1:25" x14ac:dyDescent="0.2">
      <c r="A74" s="208"/>
      <c r="B74" s="139"/>
      <c r="C74" s="139"/>
      <c r="D74" s="139"/>
      <c r="E74" s="139"/>
      <c r="F74" s="139"/>
      <c r="G74" s="139"/>
      <c r="H74" s="139"/>
      <c r="I74" s="139"/>
      <c r="J74" s="139"/>
      <c r="K74" s="139"/>
    </row>
    <row r="75" spans="1:25" x14ac:dyDescent="0.2">
      <c r="A75" s="208"/>
      <c r="B75" s="139"/>
      <c r="C75" s="139"/>
      <c r="D75" s="199"/>
      <c r="E75" s="139"/>
      <c r="F75" s="139"/>
      <c r="G75" s="139"/>
      <c r="H75" s="139"/>
      <c r="I75" s="139"/>
      <c r="J75" s="139"/>
      <c r="K75" s="139"/>
    </row>
    <row r="76" spans="1:25" x14ac:dyDescent="0.2">
      <c r="A76" s="344"/>
      <c r="B76" s="139"/>
      <c r="C76" s="338"/>
      <c r="D76" s="318"/>
      <c r="E76" s="338"/>
      <c r="F76" s="338"/>
      <c r="G76" s="338"/>
      <c r="H76" s="338"/>
      <c r="I76" s="338"/>
      <c r="J76" s="139"/>
      <c r="K76" s="139"/>
    </row>
    <row r="77" spans="1:25" x14ac:dyDescent="0.2">
      <c r="A77" s="344"/>
      <c r="B77" s="139"/>
      <c r="C77" s="338"/>
      <c r="D77" s="318"/>
      <c r="E77" s="338"/>
      <c r="F77" s="338"/>
      <c r="G77" s="338"/>
      <c r="H77" s="338"/>
      <c r="I77" s="338"/>
      <c r="J77" s="139"/>
      <c r="K77" s="139"/>
    </row>
    <row r="78" spans="1:25" x14ac:dyDescent="0.2">
      <c r="A78" s="344"/>
      <c r="B78" s="139"/>
      <c r="C78" s="150"/>
      <c r="D78" s="200"/>
      <c r="E78" s="150"/>
      <c r="F78" s="150"/>
      <c r="G78" s="150"/>
      <c r="H78" s="150"/>
      <c r="I78" s="150"/>
      <c r="J78" s="139"/>
      <c r="K78" s="139"/>
      <c r="Q78" s="139"/>
      <c r="R78" s="139"/>
      <c r="S78" s="139"/>
      <c r="T78" s="139"/>
    </row>
    <row r="79" spans="1:25" x14ac:dyDescent="0.2">
      <c r="A79" s="344"/>
      <c r="B79" s="139"/>
      <c r="C79" s="150"/>
      <c r="D79" s="200"/>
      <c r="E79" s="150"/>
      <c r="F79" s="150"/>
      <c r="G79" s="150"/>
      <c r="H79" s="150"/>
      <c r="I79" s="150"/>
      <c r="J79" s="139"/>
      <c r="K79" s="139"/>
      <c r="Q79" s="139"/>
      <c r="R79" s="139"/>
      <c r="S79" s="139"/>
      <c r="T79" s="139"/>
    </row>
    <row r="80" spans="1:25" x14ac:dyDescent="0.2">
      <c r="A80" s="344"/>
      <c r="B80" s="139"/>
      <c r="C80" s="199"/>
      <c r="D80" s="200"/>
      <c r="E80" s="199"/>
      <c r="F80" s="199"/>
      <c r="G80" s="199"/>
      <c r="H80" s="199"/>
      <c r="I80" s="199"/>
      <c r="J80" s="139"/>
      <c r="K80" s="139"/>
      <c r="M80" s="317"/>
      <c r="N80" s="317"/>
      <c r="O80" s="317"/>
      <c r="P80" s="317"/>
      <c r="Q80" s="139"/>
      <c r="R80" s="139"/>
      <c r="S80" s="139"/>
      <c r="T80" s="139"/>
      <c r="V80" s="139"/>
      <c r="W80" s="139"/>
      <c r="X80" s="139"/>
      <c r="Y80" s="139"/>
    </row>
    <row r="81" spans="1:29" x14ac:dyDescent="0.2">
      <c r="A81" s="345"/>
      <c r="B81" s="129"/>
      <c r="C81" s="150"/>
      <c r="D81" s="200"/>
      <c r="E81" s="150"/>
      <c r="F81" s="150"/>
      <c r="G81" s="150"/>
      <c r="H81" s="150"/>
      <c r="I81" s="150"/>
      <c r="J81" s="139"/>
      <c r="K81" s="139"/>
      <c r="Q81" s="139"/>
      <c r="R81" s="139"/>
      <c r="S81" s="129"/>
      <c r="T81" s="129"/>
      <c r="U81" s="161"/>
      <c r="V81" s="129"/>
      <c r="W81" s="129"/>
      <c r="X81" s="129"/>
      <c r="Y81" s="129"/>
      <c r="Z81" s="161"/>
      <c r="AA81" s="161"/>
      <c r="AB81" s="161"/>
      <c r="AC81" s="161"/>
    </row>
    <row r="82" spans="1:29" x14ac:dyDescent="0.2">
      <c r="A82" s="344"/>
      <c r="B82" s="139"/>
      <c r="C82" s="139"/>
      <c r="D82" s="139"/>
      <c r="E82" s="139"/>
      <c r="F82" s="139"/>
      <c r="G82" s="139"/>
      <c r="H82" s="139"/>
      <c r="I82" s="139"/>
      <c r="J82" s="139"/>
      <c r="K82" s="139"/>
      <c r="S82" s="161"/>
      <c r="T82" s="273"/>
      <c r="U82" s="161"/>
      <c r="V82" s="161"/>
      <c r="W82" s="161"/>
      <c r="X82" s="161"/>
      <c r="Y82" s="161"/>
      <c r="Z82" s="161"/>
      <c r="AA82" s="161"/>
      <c r="AB82" s="161"/>
      <c r="AC82" s="161"/>
    </row>
    <row r="83" spans="1:29" x14ac:dyDescent="0.2">
      <c r="A83" s="344"/>
      <c r="B83" s="139"/>
      <c r="C83" s="282"/>
      <c r="D83" s="139"/>
      <c r="E83" s="139"/>
      <c r="F83" s="139"/>
      <c r="G83" s="139"/>
      <c r="H83" s="139"/>
      <c r="I83" s="139"/>
      <c r="J83" s="139"/>
      <c r="K83" s="139"/>
      <c r="S83" s="161"/>
      <c r="T83" s="161"/>
      <c r="U83" s="161"/>
      <c r="V83" s="161"/>
      <c r="W83" s="161"/>
      <c r="X83" s="161"/>
      <c r="Y83" s="161"/>
      <c r="Z83" s="161"/>
      <c r="AA83" s="161"/>
      <c r="AB83" s="161"/>
      <c r="AC83" s="161"/>
    </row>
    <row r="84" spans="1:29" x14ac:dyDescent="0.2">
      <c r="A84" s="344"/>
      <c r="B84" s="139"/>
      <c r="C84" s="139"/>
      <c r="D84" s="139"/>
      <c r="E84" s="139"/>
      <c r="F84" s="139"/>
      <c r="G84" s="139"/>
      <c r="H84" s="139"/>
      <c r="I84" s="139"/>
      <c r="J84" s="139"/>
      <c r="K84" s="139"/>
      <c r="S84" s="161"/>
      <c r="T84" s="161"/>
      <c r="U84" s="161"/>
      <c r="V84" s="161"/>
      <c r="W84" s="161"/>
      <c r="X84" s="161"/>
      <c r="Y84" s="161"/>
      <c r="Z84" s="161"/>
      <c r="AA84" s="161"/>
      <c r="AB84" s="161"/>
      <c r="AC84" s="161"/>
    </row>
    <row r="85" spans="1:29" x14ac:dyDescent="0.2">
      <c r="A85" s="344"/>
      <c r="B85" s="139"/>
      <c r="C85" s="139"/>
      <c r="D85" s="139"/>
      <c r="E85" s="139"/>
      <c r="F85" s="139"/>
      <c r="G85" s="139"/>
      <c r="H85" s="139"/>
      <c r="I85" s="139"/>
      <c r="J85" s="139"/>
      <c r="K85" s="139"/>
      <c r="S85" s="161"/>
      <c r="T85" s="161"/>
      <c r="U85" s="161"/>
      <c r="V85" s="161"/>
      <c r="W85" s="161"/>
      <c r="X85" s="161"/>
      <c r="Y85" s="161"/>
      <c r="Z85" s="161"/>
      <c r="AA85" s="161"/>
      <c r="AB85" s="161"/>
      <c r="AC85" s="161"/>
    </row>
    <row r="86" spans="1:29" x14ac:dyDescent="0.2">
      <c r="A86" s="208"/>
      <c r="B86" s="139"/>
      <c r="C86" s="139"/>
      <c r="D86" s="139"/>
      <c r="E86" s="139"/>
      <c r="F86" s="139"/>
      <c r="G86" s="139"/>
      <c r="H86" s="139"/>
      <c r="I86" s="139"/>
      <c r="J86" s="139"/>
      <c r="K86" s="139"/>
      <c r="S86" s="161"/>
      <c r="T86" s="161"/>
      <c r="U86" s="161"/>
      <c r="V86" s="161"/>
      <c r="W86" s="161"/>
      <c r="X86" s="161"/>
      <c r="Y86" s="161"/>
      <c r="Z86" s="161"/>
      <c r="AA86" s="161"/>
      <c r="AB86" s="161"/>
      <c r="AC86" s="161"/>
    </row>
    <row r="87" spans="1:29" x14ac:dyDescent="0.2">
      <c r="A87" s="208"/>
      <c r="B87" s="139"/>
      <c r="C87" s="139"/>
      <c r="D87" s="139"/>
      <c r="E87" s="139"/>
      <c r="F87" s="139"/>
      <c r="G87" s="139"/>
      <c r="H87" s="139"/>
      <c r="I87" s="139"/>
      <c r="J87" s="139"/>
      <c r="K87" s="139"/>
      <c r="S87" s="274"/>
      <c r="T87" s="161"/>
      <c r="U87" s="161"/>
      <c r="V87" s="161"/>
      <c r="W87" s="161"/>
      <c r="X87" s="161"/>
      <c r="Y87" s="161"/>
      <c r="Z87" s="161"/>
      <c r="AA87" s="161"/>
      <c r="AB87" s="161"/>
      <c r="AC87" s="161"/>
    </row>
    <row r="88" spans="1:29" x14ac:dyDescent="0.2">
      <c r="A88" s="208"/>
      <c r="B88" s="139"/>
      <c r="C88" s="139"/>
      <c r="D88" s="139"/>
      <c r="E88" s="139"/>
      <c r="F88" s="139"/>
      <c r="G88" s="139"/>
      <c r="H88" s="139"/>
      <c r="I88" s="139"/>
      <c r="J88" s="139"/>
      <c r="K88" s="139"/>
      <c r="Q88" s="139"/>
      <c r="R88" s="130"/>
      <c r="S88" s="193"/>
      <c r="T88" s="193"/>
      <c r="U88" s="193"/>
      <c r="V88" s="193"/>
      <c r="W88" s="193"/>
      <c r="X88" s="193"/>
      <c r="Y88" s="161"/>
      <c r="Z88" s="161"/>
      <c r="AA88" s="161"/>
      <c r="AB88" s="161"/>
      <c r="AC88" s="161"/>
    </row>
    <row r="89" spans="1:29" x14ac:dyDescent="0.2">
      <c r="A89" s="208"/>
      <c r="B89" s="139"/>
      <c r="C89" s="139"/>
      <c r="D89" s="139"/>
      <c r="E89" s="139"/>
      <c r="F89" s="139"/>
      <c r="G89" s="139"/>
      <c r="H89" s="139"/>
      <c r="I89" s="139"/>
      <c r="J89" s="139"/>
      <c r="K89" s="139"/>
      <c r="Q89" s="139"/>
      <c r="R89" s="130"/>
      <c r="S89" s="193"/>
      <c r="T89" s="193"/>
      <c r="U89" s="193"/>
      <c r="V89" s="193"/>
      <c r="W89" s="193"/>
      <c r="X89" s="193"/>
      <c r="Y89" s="161"/>
      <c r="Z89" s="161"/>
      <c r="AA89" s="161"/>
      <c r="AB89" s="161"/>
      <c r="AC89" s="161"/>
    </row>
    <row r="90" spans="1:29" x14ac:dyDescent="0.2">
      <c r="A90" s="208"/>
      <c r="B90" s="139"/>
      <c r="C90" s="139"/>
      <c r="D90" s="139"/>
      <c r="E90" s="139"/>
      <c r="F90" s="139"/>
      <c r="G90" s="139"/>
      <c r="H90" s="139"/>
      <c r="I90" s="139"/>
      <c r="J90" s="139"/>
      <c r="K90" s="139"/>
      <c r="Q90" s="139"/>
      <c r="R90" s="130"/>
      <c r="S90" s="193"/>
      <c r="T90" s="193"/>
      <c r="U90" s="193"/>
      <c r="V90" s="193"/>
      <c r="W90" s="193"/>
      <c r="X90" s="193"/>
      <c r="Y90" s="161"/>
      <c r="Z90" s="161"/>
      <c r="AA90" s="161"/>
      <c r="AB90" s="161"/>
      <c r="AC90" s="161"/>
    </row>
    <row r="91" spans="1:29" x14ac:dyDescent="0.2">
      <c r="Q91" s="139"/>
      <c r="R91" s="130"/>
      <c r="S91" s="193"/>
      <c r="T91" s="193"/>
      <c r="U91" s="193"/>
      <c r="V91" s="193"/>
      <c r="W91" s="193"/>
      <c r="X91" s="193"/>
      <c r="Y91" s="161"/>
      <c r="Z91" s="161"/>
      <c r="AA91" s="161"/>
      <c r="AB91" s="161"/>
      <c r="AC91" s="161"/>
    </row>
    <row r="92" spans="1:29" x14ac:dyDescent="0.2">
      <c r="Q92" s="139"/>
      <c r="R92" s="130"/>
      <c r="S92" s="193"/>
      <c r="T92" s="193"/>
      <c r="U92" s="193"/>
      <c r="V92" s="193"/>
      <c r="W92" s="193"/>
      <c r="X92" s="193"/>
      <c r="Y92" s="161"/>
      <c r="Z92" s="161"/>
      <c r="AA92" s="161"/>
      <c r="AB92" s="161"/>
      <c r="AC92" s="161"/>
    </row>
    <row r="93" spans="1:29" x14ac:dyDescent="0.2">
      <c r="L93" s="318"/>
      <c r="Q93" s="139"/>
      <c r="R93" s="130"/>
      <c r="S93" s="193"/>
      <c r="T93" s="193"/>
      <c r="U93" s="193"/>
      <c r="V93" s="193"/>
      <c r="W93" s="193"/>
      <c r="X93" s="193"/>
      <c r="Y93" s="161"/>
      <c r="Z93" s="161"/>
      <c r="AA93" s="161"/>
      <c r="AB93" s="161"/>
      <c r="AC93" s="161"/>
    </row>
    <row r="94" spans="1:29" x14ac:dyDescent="0.2">
      <c r="L94" s="318"/>
      <c r="Q94" s="139"/>
      <c r="R94" s="130"/>
      <c r="S94" s="193"/>
      <c r="T94" s="193"/>
      <c r="U94" s="193"/>
      <c r="V94" s="193"/>
      <c r="W94" s="193"/>
      <c r="X94" s="193"/>
      <c r="Y94" s="161"/>
      <c r="Z94" s="161"/>
      <c r="AA94" s="161"/>
      <c r="AB94" s="161"/>
      <c r="AC94" s="161"/>
    </row>
    <row r="95" spans="1:29" x14ac:dyDescent="0.2">
      <c r="L95" s="200"/>
      <c r="Q95" s="139"/>
      <c r="R95" s="130"/>
      <c r="S95" s="193"/>
      <c r="T95" s="193"/>
      <c r="U95" s="193"/>
      <c r="V95" s="193"/>
      <c r="W95" s="193"/>
      <c r="X95" s="193"/>
      <c r="Y95" s="161"/>
      <c r="Z95" s="161"/>
      <c r="AA95" s="161"/>
      <c r="AB95" s="161"/>
      <c r="AC95" s="161"/>
    </row>
    <row r="96" spans="1:29" x14ac:dyDescent="0.2">
      <c r="L96" s="200"/>
      <c r="Q96" s="139"/>
      <c r="R96" s="139"/>
      <c r="S96" s="193"/>
      <c r="T96" s="193"/>
      <c r="U96" s="193"/>
      <c r="V96" s="193"/>
      <c r="W96" s="193"/>
      <c r="X96" s="193"/>
      <c r="Y96" s="161"/>
      <c r="Z96" s="161"/>
      <c r="AA96" s="161"/>
      <c r="AB96" s="161"/>
      <c r="AC96" s="161"/>
    </row>
    <row r="97" spans="1:36" x14ac:dyDescent="0.2">
      <c r="L97" s="200"/>
      <c r="Q97" s="139"/>
      <c r="R97" s="130"/>
      <c r="S97" s="193"/>
      <c r="T97" s="193"/>
      <c r="U97" s="193"/>
      <c r="V97" s="193"/>
      <c r="W97" s="193"/>
      <c r="X97" s="193"/>
      <c r="Y97" s="161"/>
      <c r="Z97" s="161"/>
      <c r="AA97" s="161"/>
      <c r="AB97" s="161"/>
      <c r="AC97" s="161"/>
    </row>
    <row r="98" spans="1:36" x14ac:dyDescent="0.2">
      <c r="C98" s="226"/>
      <c r="D98" s="199"/>
      <c r="E98" s="199"/>
      <c r="F98" s="199"/>
      <c r="G98" s="199"/>
      <c r="H98" s="199"/>
      <c r="I98" s="199"/>
      <c r="J98" s="199"/>
      <c r="K98" s="160"/>
      <c r="L98" s="200"/>
      <c r="Q98" s="139"/>
      <c r="R98" s="130"/>
      <c r="S98" s="193"/>
      <c r="T98" s="193"/>
      <c r="U98" s="193"/>
      <c r="V98" s="193"/>
      <c r="W98" s="193"/>
      <c r="X98" s="193"/>
      <c r="Y98" s="161"/>
      <c r="Z98" s="161"/>
      <c r="AA98" s="161"/>
      <c r="AB98" s="161"/>
      <c r="AC98" s="161"/>
    </row>
    <row r="99" spans="1:36" x14ac:dyDescent="0.2">
      <c r="C99" s="226"/>
      <c r="D99" s="199"/>
      <c r="E99" s="199"/>
      <c r="F99" s="199"/>
      <c r="G99" s="199"/>
      <c r="H99" s="199"/>
      <c r="I99" s="199"/>
      <c r="J99" s="199"/>
      <c r="K99" s="160"/>
      <c r="S99" s="193"/>
      <c r="T99" s="193"/>
      <c r="U99" s="193"/>
      <c r="V99" s="193"/>
      <c r="W99" s="193"/>
      <c r="X99" s="193"/>
      <c r="Y99" s="161"/>
      <c r="Z99" s="161"/>
      <c r="AA99" s="161"/>
      <c r="AB99" s="161"/>
      <c r="AC99" s="161"/>
    </row>
    <row r="100" spans="1:36" x14ac:dyDescent="0.2">
      <c r="C100" s="226"/>
      <c r="D100" s="199"/>
      <c r="E100" s="199"/>
      <c r="F100" s="199"/>
      <c r="G100" s="199"/>
      <c r="H100" s="199"/>
      <c r="I100" s="199"/>
      <c r="J100" s="199"/>
      <c r="K100" s="160"/>
      <c r="L100" s="139"/>
      <c r="R100" s="130"/>
      <c r="S100" s="193"/>
      <c r="T100" s="193"/>
      <c r="U100" s="193"/>
      <c r="V100" s="193"/>
      <c r="W100" s="193"/>
      <c r="X100" s="193"/>
      <c r="Y100" s="161"/>
      <c r="Z100" s="161"/>
      <c r="AA100" s="161"/>
      <c r="AB100" s="161"/>
      <c r="AC100" s="161"/>
    </row>
    <row r="101" spans="1:36" x14ac:dyDescent="0.2">
      <c r="C101" s="226"/>
      <c r="D101" s="199"/>
      <c r="E101" s="199"/>
      <c r="F101" s="199"/>
      <c r="G101" s="199"/>
      <c r="H101" s="199"/>
      <c r="I101" s="199"/>
      <c r="J101" s="199"/>
      <c r="K101" s="160"/>
      <c r="L101" s="139"/>
      <c r="R101" s="130"/>
      <c r="S101" s="199"/>
      <c r="T101" s="199"/>
      <c r="U101" s="199"/>
      <c r="V101" s="199"/>
      <c r="W101" s="199"/>
      <c r="X101" s="199"/>
    </row>
    <row r="102" spans="1:36" x14ac:dyDescent="0.2">
      <c r="C102" s="226"/>
      <c r="D102" s="199"/>
      <c r="E102" s="199"/>
      <c r="F102" s="199"/>
      <c r="G102" s="199"/>
      <c r="H102" s="199"/>
      <c r="I102" s="199"/>
      <c r="J102" s="199"/>
      <c r="K102" s="160"/>
    </row>
    <row r="103" spans="1:36" x14ac:dyDescent="0.2">
      <c r="C103" s="226"/>
      <c r="D103" s="199"/>
      <c r="E103" s="199"/>
      <c r="F103" s="199"/>
      <c r="G103" s="199"/>
      <c r="H103" s="199"/>
      <c r="I103" s="199"/>
      <c r="J103" s="199"/>
      <c r="K103" s="160"/>
      <c r="L103" s="139"/>
    </row>
    <row r="104" spans="1:36" x14ac:dyDescent="0.2">
      <c r="C104" s="226"/>
      <c r="D104" s="199"/>
      <c r="E104" s="199"/>
      <c r="F104" s="199"/>
      <c r="G104" s="199"/>
      <c r="H104" s="199"/>
      <c r="I104" s="199"/>
      <c r="J104" s="199"/>
      <c r="K104" s="160"/>
      <c r="L104" s="139"/>
    </row>
    <row r="105" spans="1:36" x14ac:dyDescent="0.2">
      <c r="C105" s="226"/>
      <c r="D105" s="199"/>
      <c r="E105" s="199"/>
      <c r="F105" s="199"/>
      <c r="G105" s="199"/>
      <c r="H105" s="199"/>
      <c r="I105" s="199"/>
      <c r="J105" s="199"/>
      <c r="K105" s="160"/>
      <c r="L105" s="139"/>
    </row>
    <row r="106" spans="1:36" x14ac:dyDescent="0.2">
      <c r="C106" s="226"/>
      <c r="D106" s="199"/>
      <c r="E106" s="199"/>
      <c r="F106" s="199"/>
      <c r="G106" s="199"/>
      <c r="H106" s="199"/>
      <c r="I106" s="199"/>
      <c r="J106" s="199"/>
      <c r="K106" s="160"/>
    </row>
    <row r="107" spans="1:36" x14ac:dyDescent="0.2">
      <c r="C107" s="226"/>
      <c r="D107" s="199"/>
      <c r="E107" s="199"/>
      <c r="F107" s="199"/>
      <c r="G107" s="199"/>
      <c r="H107" s="199"/>
      <c r="I107" s="199"/>
      <c r="J107" s="199"/>
      <c r="K107" s="160"/>
    </row>
    <row r="108" spans="1:36" x14ac:dyDescent="0.2">
      <c r="C108" s="226"/>
      <c r="D108" s="199"/>
      <c r="E108" s="199"/>
      <c r="F108" s="199"/>
      <c r="G108" s="199"/>
      <c r="H108" s="199"/>
      <c r="I108" s="199"/>
      <c r="J108" s="199"/>
      <c r="K108" s="160"/>
    </row>
    <row r="109" spans="1:36" x14ac:dyDescent="0.2">
      <c r="C109" s="226"/>
      <c r="D109" s="199"/>
      <c r="E109" s="199"/>
      <c r="F109" s="199"/>
      <c r="G109" s="199"/>
      <c r="H109" s="199"/>
      <c r="I109" s="199"/>
      <c r="J109" s="199"/>
      <c r="K109" s="160"/>
    </row>
    <row r="110" spans="1:36" x14ac:dyDescent="0.2">
      <c r="C110" s="226"/>
      <c r="D110" s="199"/>
      <c r="E110" s="199"/>
      <c r="F110" s="199"/>
      <c r="G110" s="199"/>
      <c r="H110" s="199"/>
      <c r="I110" s="199"/>
      <c r="J110" s="199"/>
      <c r="K110" s="160"/>
    </row>
    <row r="111" spans="1:36" x14ac:dyDescent="0.2">
      <c r="C111" s="226"/>
      <c r="D111" s="199"/>
      <c r="E111" s="199"/>
      <c r="F111" s="199"/>
      <c r="G111" s="199"/>
      <c r="H111" s="199"/>
      <c r="I111" s="199"/>
      <c r="J111" s="199"/>
      <c r="K111" s="160"/>
    </row>
    <row r="112" spans="1:36" s="139" customFormat="1" x14ac:dyDescent="0.2">
      <c r="A112" s="138"/>
      <c r="B112" s="36"/>
      <c r="C112" s="226"/>
      <c r="D112" s="199"/>
      <c r="E112" s="199"/>
      <c r="F112" s="199"/>
      <c r="G112" s="199"/>
      <c r="H112" s="199"/>
      <c r="I112" s="199"/>
      <c r="J112" s="199"/>
      <c r="K112" s="36"/>
      <c r="L112" s="36"/>
      <c r="Q112" s="36"/>
      <c r="R112" s="36"/>
      <c r="S112" s="36"/>
      <c r="T112" s="36"/>
      <c r="U112" s="36"/>
      <c r="V112" s="36"/>
      <c r="W112" s="36"/>
      <c r="X112" s="36"/>
      <c r="Y112" s="36"/>
      <c r="Z112" s="36"/>
      <c r="AA112" s="36"/>
      <c r="AB112" s="36"/>
      <c r="AC112" s="36"/>
      <c r="AD112" s="36"/>
      <c r="AE112" s="36"/>
      <c r="AF112" s="36"/>
      <c r="AG112" s="36"/>
      <c r="AH112" s="36"/>
      <c r="AI112" s="36"/>
      <c r="AJ112" s="36"/>
    </row>
    <row r="113" spans="1:36" s="139" customFormat="1" x14ac:dyDescent="0.2">
      <c r="A113" s="138"/>
      <c r="B113" s="36"/>
      <c r="C113" s="226"/>
      <c r="D113" s="199"/>
      <c r="E113" s="199"/>
      <c r="F113" s="199"/>
      <c r="G113" s="199"/>
      <c r="H113" s="199"/>
      <c r="I113" s="199"/>
      <c r="J113" s="199"/>
      <c r="K113" s="36"/>
      <c r="L113" s="36"/>
      <c r="Q113" s="36"/>
      <c r="R113" s="36"/>
      <c r="S113" s="36"/>
      <c r="T113" s="36"/>
      <c r="U113" s="36"/>
      <c r="V113" s="36"/>
      <c r="W113" s="36"/>
      <c r="X113" s="36"/>
      <c r="Y113" s="36"/>
      <c r="Z113" s="36"/>
      <c r="AA113" s="36"/>
      <c r="AB113" s="36"/>
      <c r="AC113" s="36"/>
      <c r="AD113" s="36"/>
      <c r="AE113" s="36"/>
      <c r="AF113" s="36"/>
      <c r="AG113" s="36"/>
      <c r="AH113" s="36"/>
      <c r="AI113" s="36"/>
      <c r="AJ113" s="36"/>
    </row>
    <row r="114" spans="1:36" s="139" customFormat="1" x14ac:dyDescent="0.2">
      <c r="A114" s="138"/>
      <c r="B114" s="36"/>
      <c r="C114" s="226"/>
      <c r="D114" s="199"/>
      <c r="E114" s="199"/>
      <c r="F114" s="199"/>
      <c r="G114" s="199"/>
      <c r="H114" s="199"/>
      <c r="I114" s="199"/>
      <c r="J114" s="199"/>
      <c r="K114" s="36"/>
      <c r="L114" s="36"/>
      <c r="Q114" s="36"/>
      <c r="R114" s="36"/>
      <c r="S114" s="36"/>
      <c r="T114" s="36"/>
      <c r="U114" s="36"/>
      <c r="V114" s="36"/>
      <c r="W114" s="36"/>
      <c r="X114" s="36"/>
      <c r="Y114" s="36"/>
      <c r="Z114" s="36"/>
      <c r="AA114" s="36"/>
      <c r="AB114" s="36"/>
      <c r="AC114" s="36"/>
      <c r="AD114" s="36"/>
      <c r="AE114" s="36"/>
      <c r="AF114" s="36"/>
      <c r="AG114" s="36"/>
      <c r="AH114" s="36"/>
      <c r="AI114" s="36"/>
      <c r="AJ114" s="36"/>
    </row>
    <row r="115" spans="1:36" s="139" customFormat="1" x14ac:dyDescent="0.2">
      <c r="A115" s="138"/>
      <c r="B115" s="36"/>
      <c r="C115" s="313"/>
      <c r="D115" s="199"/>
      <c r="E115" s="199"/>
      <c r="F115" s="199"/>
      <c r="G115" s="199"/>
      <c r="H115" s="199"/>
      <c r="I115" s="199"/>
      <c r="J115" s="199"/>
      <c r="K115" s="36"/>
      <c r="L115" s="160"/>
      <c r="Q115" s="36"/>
      <c r="R115" s="36"/>
      <c r="S115" s="36"/>
      <c r="T115" s="36"/>
      <c r="U115" s="36"/>
      <c r="V115" s="36"/>
      <c r="W115" s="36"/>
      <c r="X115" s="36"/>
      <c r="Y115" s="36"/>
      <c r="Z115" s="36"/>
      <c r="AA115" s="36"/>
      <c r="AB115" s="36"/>
      <c r="AC115" s="36"/>
      <c r="AD115" s="36"/>
      <c r="AE115" s="36"/>
      <c r="AF115" s="36"/>
      <c r="AG115" s="36"/>
      <c r="AH115" s="36"/>
      <c r="AI115" s="36"/>
      <c r="AJ115" s="36"/>
    </row>
    <row r="116" spans="1:36" s="139" customFormat="1" x14ac:dyDescent="0.2">
      <c r="A116" s="138"/>
      <c r="B116" s="36"/>
      <c r="C116" s="226"/>
      <c r="D116" s="199"/>
      <c r="E116" s="199"/>
      <c r="F116" s="199"/>
      <c r="G116" s="199"/>
      <c r="H116" s="199"/>
      <c r="I116" s="199"/>
      <c r="J116" s="199"/>
      <c r="K116" s="36"/>
      <c r="L116" s="160"/>
      <c r="Q116" s="36"/>
      <c r="R116" s="36"/>
      <c r="S116" s="36"/>
      <c r="T116" s="36"/>
      <c r="U116" s="36"/>
      <c r="V116" s="36"/>
      <c r="W116" s="36"/>
      <c r="X116" s="36"/>
      <c r="Y116" s="36"/>
      <c r="Z116" s="36"/>
      <c r="AA116" s="36"/>
      <c r="AB116" s="36"/>
      <c r="AC116" s="36"/>
      <c r="AD116" s="36"/>
      <c r="AE116" s="36"/>
      <c r="AF116" s="36"/>
      <c r="AG116" s="36"/>
      <c r="AH116" s="36"/>
      <c r="AI116" s="36"/>
      <c r="AJ116" s="36"/>
    </row>
    <row r="117" spans="1:36" s="139" customFormat="1" x14ac:dyDescent="0.2">
      <c r="A117" s="138"/>
      <c r="B117" s="36"/>
      <c r="C117" s="226"/>
      <c r="D117" s="199"/>
      <c r="E117" s="199"/>
      <c r="F117" s="199"/>
      <c r="G117" s="199"/>
      <c r="H117" s="199"/>
      <c r="I117" s="199"/>
      <c r="J117" s="199"/>
      <c r="K117" s="36"/>
      <c r="L117" s="160"/>
      <c r="Q117" s="36"/>
      <c r="R117" s="36"/>
      <c r="S117" s="36"/>
      <c r="T117" s="36"/>
      <c r="U117" s="36"/>
      <c r="V117" s="36"/>
      <c r="W117" s="36"/>
      <c r="X117" s="36"/>
      <c r="Y117" s="36"/>
      <c r="Z117" s="36"/>
      <c r="AA117" s="36"/>
      <c r="AB117" s="36"/>
      <c r="AC117" s="36"/>
      <c r="AD117" s="36"/>
      <c r="AE117" s="36"/>
      <c r="AF117" s="36"/>
      <c r="AG117" s="36"/>
      <c r="AH117" s="36"/>
      <c r="AI117" s="36"/>
      <c r="AJ117" s="36"/>
    </row>
    <row r="118" spans="1:36" s="139" customFormat="1" x14ac:dyDescent="0.2">
      <c r="A118" s="138"/>
      <c r="B118" s="36"/>
      <c r="C118" s="226"/>
      <c r="D118" s="199"/>
      <c r="E118" s="199"/>
      <c r="F118" s="199"/>
      <c r="G118" s="199"/>
      <c r="H118" s="199"/>
      <c r="I118" s="199"/>
      <c r="J118" s="199"/>
      <c r="K118" s="36"/>
      <c r="L118" s="160"/>
      <c r="Q118" s="36"/>
      <c r="R118" s="36"/>
      <c r="S118" s="36"/>
      <c r="T118" s="36"/>
      <c r="U118" s="36"/>
      <c r="V118" s="36"/>
      <c r="W118" s="36"/>
      <c r="X118" s="36"/>
      <c r="Y118" s="36"/>
      <c r="Z118" s="36"/>
      <c r="AA118" s="36"/>
      <c r="AB118" s="36"/>
      <c r="AC118" s="36"/>
      <c r="AD118" s="36"/>
      <c r="AE118" s="36"/>
      <c r="AF118" s="36"/>
      <c r="AG118" s="36"/>
      <c r="AH118" s="36"/>
      <c r="AI118" s="36"/>
      <c r="AJ118" s="36"/>
    </row>
    <row r="119" spans="1:36" x14ac:dyDescent="0.2">
      <c r="C119" s="226"/>
      <c r="D119" s="199"/>
      <c r="E119" s="199"/>
      <c r="F119" s="199"/>
      <c r="G119" s="199"/>
      <c r="H119" s="199"/>
      <c r="I119" s="199"/>
      <c r="J119" s="199"/>
      <c r="L119" s="160"/>
    </row>
    <row r="120" spans="1:36" s="139" customFormat="1" x14ac:dyDescent="0.2">
      <c r="A120" s="138"/>
      <c r="B120" s="36"/>
      <c r="C120" s="226"/>
      <c r="D120" s="199"/>
      <c r="E120" s="199"/>
      <c r="F120" s="199"/>
      <c r="G120" s="199"/>
      <c r="H120" s="199"/>
      <c r="I120" s="199"/>
      <c r="J120" s="199"/>
      <c r="K120" s="36"/>
      <c r="L120" s="160"/>
      <c r="Q120" s="36"/>
      <c r="R120" s="36"/>
      <c r="S120" s="36"/>
      <c r="T120" s="36"/>
      <c r="U120" s="36"/>
      <c r="V120" s="36"/>
      <c r="W120" s="36"/>
      <c r="X120" s="36"/>
      <c r="Y120" s="36"/>
      <c r="Z120" s="36"/>
      <c r="AA120" s="36"/>
      <c r="AB120" s="36"/>
      <c r="AC120" s="36"/>
      <c r="AD120" s="36"/>
      <c r="AE120" s="36"/>
      <c r="AF120" s="36"/>
      <c r="AG120" s="36"/>
      <c r="AH120" s="36"/>
      <c r="AI120" s="36"/>
      <c r="AJ120" s="36"/>
    </row>
    <row r="121" spans="1:36" s="139" customFormat="1" x14ac:dyDescent="0.2">
      <c r="A121" s="138"/>
      <c r="B121" s="36"/>
      <c r="C121" s="226"/>
      <c r="D121" s="199"/>
      <c r="E121" s="199"/>
      <c r="F121" s="199"/>
      <c r="G121" s="199"/>
      <c r="H121" s="199"/>
      <c r="I121" s="199"/>
      <c r="J121" s="199"/>
      <c r="K121" s="36"/>
      <c r="L121" s="160"/>
      <c r="Q121" s="36"/>
      <c r="R121" s="36"/>
      <c r="S121" s="36"/>
      <c r="T121" s="36"/>
      <c r="U121" s="36"/>
      <c r="V121" s="36"/>
      <c r="W121" s="36"/>
      <c r="X121" s="36"/>
      <c r="Y121" s="36"/>
      <c r="Z121" s="36"/>
      <c r="AA121" s="36"/>
      <c r="AB121" s="36"/>
      <c r="AC121" s="36"/>
      <c r="AD121" s="36"/>
      <c r="AE121" s="36"/>
      <c r="AF121" s="36"/>
      <c r="AG121" s="36"/>
      <c r="AH121" s="36"/>
      <c r="AI121" s="36"/>
      <c r="AJ121" s="36"/>
    </row>
    <row r="122" spans="1:36" x14ac:dyDescent="0.2">
      <c r="C122" s="226"/>
      <c r="D122" s="199"/>
      <c r="E122" s="199"/>
      <c r="F122" s="199"/>
      <c r="G122" s="199"/>
      <c r="H122" s="199"/>
      <c r="I122" s="199"/>
      <c r="J122" s="199"/>
      <c r="L122" s="160"/>
    </row>
    <row r="123" spans="1:36" s="139" customFormat="1" x14ac:dyDescent="0.2">
      <c r="A123" s="138"/>
      <c r="B123" s="36"/>
      <c r="C123" s="226"/>
      <c r="D123" s="199"/>
      <c r="E123" s="199"/>
      <c r="F123" s="199"/>
      <c r="G123" s="199"/>
      <c r="H123" s="199"/>
      <c r="I123" s="199"/>
      <c r="J123" s="199"/>
      <c r="K123" s="36"/>
      <c r="L123" s="160"/>
      <c r="Q123" s="36"/>
      <c r="R123" s="36"/>
      <c r="S123" s="36"/>
      <c r="T123" s="36"/>
      <c r="U123" s="36"/>
      <c r="V123" s="36"/>
      <c r="W123" s="36"/>
      <c r="X123" s="36"/>
      <c r="Y123" s="36"/>
      <c r="Z123" s="36"/>
      <c r="AA123" s="36"/>
      <c r="AB123" s="36"/>
      <c r="AC123" s="36"/>
      <c r="AD123" s="36"/>
      <c r="AE123" s="36"/>
      <c r="AF123" s="36"/>
      <c r="AG123" s="36"/>
      <c r="AH123" s="36"/>
      <c r="AI123" s="36"/>
      <c r="AJ123" s="36"/>
    </row>
    <row r="124" spans="1:36" s="139" customFormat="1" x14ac:dyDescent="0.2">
      <c r="A124" s="138"/>
      <c r="B124" s="36"/>
      <c r="C124" s="226"/>
      <c r="D124" s="199"/>
      <c r="E124" s="199"/>
      <c r="F124" s="199"/>
      <c r="G124" s="199"/>
      <c r="H124" s="199"/>
      <c r="I124" s="199"/>
      <c r="J124" s="199"/>
      <c r="K124" s="36"/>
      <c r="L124" s="160"/>
      <c r="Q124" s="36"/>
      <c r="R124" s="36"/>
      <c r="S124" s="36"/>
      <c r="T124" s="36"/>
      <c r="U124" s="36"/>
      <c r="V124" s="36"/>
      <c r="W124" s="36"/>
      <c r="X124" s="36"/>
      <c r="Y124" s="36"/>
      <c r="Z124" s="36"/>
      <c r="AA124" s="36"/>
      <c r="AB124" s="36"/>
      <c r="AC124" s="36"/>
      <c r="AD124" s="36"/>
      <c r="AE124" s="36"/>
      <c r="AF124" s="36"/>
      <c r="AG124" s="36"/>
      <c r="AH124" s="36"/>
      <c r="AI124" s="36"/>
      <c r="AJ124" s="36"/>
    </row>
    <row r="125" spans="1:36" s="139" customFormat="1" x14ac:dyDescent="0.2">
      <c r="A125" s="138"/>
      <c r="B125" s="36"/>
      <c r="C125" s="226"/>
      <c r="D125" s="199"/>
      <c r="E125" s="199"/>
      <c r="F125" s="199"/>
      <c r="G125" s="199"/>
      <c r="H125" s="199"/>
      <c r="I125" s="199"/>
      <c r="J125" s="199"/>
      <c r="K125" s="36"/>
      <c r="L125" s="160"/>
      <c r="Q125" s="36"/>
      <c r="R125" s="36"/>
      <c r="S125" s="36"/>
      <c r="T125" s="36"/>
      <c r="U125" s="36"/>
      <c r="V125" s="36"/>
      <c r="W125" s="36"/>
      <c r="X125" s="36"/>
      <c r="Y125" s="36"/>
      <c r="Z125" s="36"/>
      <c r="AA125" s="36"/>
      <c r="AB125" s="36"/>
      <c r="AC125" s="36"/>
      <c r="AD125" s="36"/>
      <c r="AE125" s="36"/>
      <c r="AF125" s="36"/>
      <c r="AG125" s="36"/>
      <c r="AH125" s="36"/>
      <c r="AI125" s="36"/>
      <c r="AJ125" s="36"/>
    </row>
    <row r="126" spans="1:36" x14ac:dyDescent="0.2">
      <c r="C126" s="226"/>
      <c r="D126" s="199"/>
      <c r="E126" s="199"/>
      <c r="F126" s="199"/>
      <c r="G126" s="199"/>
      <c r="H126" s="199"/>
      <c r="I126" s="199"/>
      <c r="J126" s="199"/>
      <c r="L126" s="160"/>
    </row>
    <row r="127" spans="1:36" x14ac:dyDescent="0.2">
      <c r="C127" s="226"/>
      <c r="D127" s="199"/>
      <c r="E127" s="199"/>
      <c r="F127" s="199"/>
      <c r="G127" s="199"/>
      <c r="H127" s="199"/>
      <c r="I127" s="199"/>
      <c r="J127" s="199"/>
      <c r="L127" s="160"/>
    </row>
    <row r="128" spans="1:36" x14ac:dyDescent="0.2">
      <c r="C128" s="226"/>
      <c r="D128" s="199"/>
      <c r="E128" s="199"/>
      <c r="F128" s="199"/>
      <c r="G128" s="199"/>
      <c r="H128" s="199"/>
      <c r="I128" s="199"/>
      <c r="J128" s="199"/>
      <c r="L128" s="160"/>
    </row>
    <row r="129" spans="3:23" x14ac:dyDescent="0.2">
      <c r="C129" s="226"/>
      <c r="D129" s="199"/>
      <c r="E129" s="199"/>
      <c r="F129" s="199"/>
      <c r="G129" s="199"/>
      <c r="H129" s="199"/>
      <c r="I129" s="199"/>
      <c r="J129" s="199"/>
    </row>
    <row r="130" spans="3:23" x14ac:dyDescent="0.2">
      <c r="C130" s="226"/>
      <c r="D130" s="199"/>
      <c r="E130" s="199"/>
      <c r="F130" s="199"/>
      <c r="G130" s="199"/>
      <c r="H130" s="199"/>
      <c r="I130" s="199"/>
      <c r="J130" s="199"/>
    </row>
    <row r="131" spans="3:23" x14ac:dyDescent="0.2">
      <c r="C131" s="226"/>
      <c r="D131" s="199"/>
      <c r="E131" s="199"/>
      <c r="F131" s="199"/>
      <c r="G131" s="199"/>
      <c r="H131" s="199"/>
      <c r="I131" s="199"/>
      <c r="J131" s="199"/>
      <c r="Q131" s="129"/>
      <c r="R131" s="129"/>
      <c r="S131" s="129"/>
      <c r="T131" s="129"/>
      <c r="U131" s="129"/>
      <c r="V131" s="129"/>
    </row>
    <row r="132" spans="3:23" x14ac:dyDescent="0.2">
      <c r="C132" s="226"/>
      <c r="D132" s="199"/>
      <c r="E132" s="199"/>
      <c r="F132" s="199"/>
      <c r="G132" s="199"/>
      <c r="H132" s="199"/>
      <c r="I132" s="199"/>
      <c r="J132" s="199"/>
      <c r="Q132" s="193"/>
      <c r="R132" s="129"/>
      <c r="S132" s="129"/>
      <c r="T132" s="129"/>
      <c r="U132" s="129"/>
      <c r="V132" s="129"/>
    </row>
    <row r="133" spans="3:23" x14ac:dyDescent="0.2">
      <c r="C133" s="226"/>
      <c r="D133" s="199"/>
      <c r="E133" s="199"/>
      <c r="F133" s="199"/>
      <c r="G133" s="199"/>
      <c r="H133" s="199"/>
      <c r="I133" s="199"/>
      <c r="J133" s="199"/>
      <c r="Q133" s="129"/>
      <c r="R133" s="129"/>
      <c r="S133" s="129"/>
      <c r="T133" s="129"/>
      <c r="U133" s="129"/>
      <c r="V133" s="129"/>
    </row>
    <row r="134" spans="3:23" x14ac:dyDescent="0.2">
      <c r="C134" s="226"/>
      <c r="D134" s="199"/>
      <c r="E134" s="199"/>
      <c r="F134" s="199"/>
      <c r="G134" s="199"/>
      <c r="H134" s="199"/>
      <c r="I134" s="199"/>
      <c r="J134" s="199"/>
      <c r="W134" s="129"/>
    </row>
    <row r="135" spans="3:23" x14ac:dyDescent="0.2">
      <c r="C135" s="226"/>
      <c r="D135" s="199"/>
      <c r="E135" s="199"/>
      <c r="F135" s="199"/>
      <c r="G135" s="199"/>
      <c r="H135" s="199"/>
      <c r="I135" s="199"/>
      <c r="J135" s="199"/>
      <c r="Q135" s="129"/>
      <c r="R135" s="129"/>
      <c r="S135" s="129"/>
      <c r="T135" s="129"/>
      <c r="U135" s="129"/>
      <c r="V135" s="129"/>
    </row>
    <row r="136" spans="3:23" x14ac:dyDescent="0.2">
      <c r="C136" s="226"/>
      <c r="D136" s="199"/>
      <c r="E136" s="199"/>
      <c r="F136" s="199"/>
      <c r="G136" s="199"/>
      <c r="H136" s="199"/>
      <c r="I136" s="199"/>
      <c r="J136" s="199"/>
      <c r="Q136" s="129"/>
      <c r="R136" s="129"/>
      <c r="S136" s="129"/>
      <c r="T136" s="129"/>
      <c r="U136" s="129"/>
      <c r="V136" s="129"/>
    </row>
    <row r="137" spans="3:23" x14ac:dyDescent="0.2">
      <c r="C137" s="226"/>
      <c r="D137" s="199"/>
      <c r="E137" s="199"/>
      <c r="F137" s="199"/>
      <c r="G137" s="199"/>
      <c r="H137" s="199"/>
      <c r="I137" s="199"/>
      <c r="J137" s="199"/>
      <c r="Q137" s="129"/>
      <c r="R137" s="129"/>
      <c r="S137" s="129"/>
      <c r="T137" s="129"/>
      <c r="U137" s="129"/>
      <c r="V137" s="129"/>
    </row>
    <row r="138" spans="3:23" x14ac:dyDescent="0.2">
      <c r="C138" s="226"/>
      <c r="D138" s="199"/>
      <c r="E138" s="199"/>
      <c r="F138" s="199"/>
      <c r="G138" s="199"/>
      <c r="H138" s="199"/>
      <c r="I138" s="199"/>
      <c r="J138" s="199"/>
      <c r="Q138" s="129"/>
      <c r="R138" s="129"/>
      <c r="S138" s="129"/>
      <c r="T138" s="129"/>
      <c r="U138" s="129"/>
      <c r="V138" s="129"/>
    </row>
    <row r="139" spans="3:23" x14ac:dyDescent="0.2">
      <c r="C139" s="226"/>
      <c r="D139" s="199"/>
      <c r="E139" s="199"/>
      <c r="F139" s="199"/>
      <c r="G139" s="199"/>
      <c r="H139" s="199"/>
      <c r="I139" s="199"/>
      <c r="J139" s="199"/>
      <c r="Q139" s="129"/>
      <c r="R139" s="129"/>
      <c r="S139" s="129"/>
      <c r="T139" s="129"/>
      <c r="U139" s="129"/>
      <c r="V139" s="129"/>
    </row>
    <row r="140" spans="3:23" x14ac:dyDescent="0.2">
      <c r="C140" s="226"/>
      <c r="D140" s="199"/>
      <c r="E140" s="199"/>
      <c r="F140" s="199"/>
      <c r="G140" s="199"/>
      <c r="H140" s="199"/>
      <c r="I140" s="199"/>
      <c r="J140" s="199"/>
      <c r="Q140" s="129"/>
      <c r="R140" s="129"/>
      <c r="S140" s="129"/>
      <c r="T140" s="129"/>
      <c r="U140" s="129"/>
      <c r="V140" s="129"/>
    </row>
    <row r="141" spans="3:23" x14ac:dyDescent="0.2">
      <c r="C141" s="226"/>
      <c r="D141" s="199"/>
      <c r="E141" s="199"/>
      <c r="F141" s="199"/>
      <c r="G141" s="199"/>
      <c r="H141" s="199"/>
      <c r="I141" s="199"/>
      <c r="J141" s="199"/>
      <c r="Q141" s="129"/>
      <c r="R141" s="129"/>
      <c r="S141" s="129"/>
      <c r="T141" s="129"/>
      <c r="U141" s="129"/>
      <c r="V141" s="129"/>
    </row>
    <row r="142" spans="3:23" x14ac:dyDescent="0.2">
      <c r="C142" s="226"/>
      <c r="D142" s="199"/>
      <c r="E142" s="199"/>
      <c r="F142" s="199"/>
      <c r="G142" s="199"/>
      <c r="H142" s="199"/>
      <c r="I142" s="199"/>
      <c r="J142" s="199"/>
      <c r="Q142" s="129"/>
      <c r="R142" s="129"/>
      <c r="S142" s="129"/>
      <c r="T142" s="129"/>
      <c r="U142" s="129"/>
      <c r="V142" s="129"/>
    </row>
    <row r="143" spans="3:23" x14ac:dyDescent="0.2">
      <c r="C143" s="226"/>
      <c r="D143" s="199"/>
      <c r="E143" s="199"/>
      <c r="F143" s="199"/>
      <c r="G143" s="199"/>
      <c r="H143" s="199"/>
      <c r="I143" s="199"/>
      <c r="J143" s="199"/>
      <c r="Q143" s="129"/>
      <c r="R143" s="129"/>
      <c r="S143" s="129"/>
      <c r="T143" s="129"/>
      <c r="U143" s="129"/>
      <c r="V143" s="129"/>
    </row>
    <row r="144" spans="3:23" x14ac:dyDescent="0.2">
      <c r="C144" s="226"/>
      <c r="D144" s="199"/>
      <c r="E144" s="199"/>
      <c r="F144" s="199"/>
      <c r="G144" s="199"/>
      <c r="H144" s="199"/>
      <c r="I144" s="199"/>
      <c r="J144" s="199"/>
      <c r="Q144" s="129"/>
      <c r="R144" s="129"/>
      <c r="S144" s="129"/>
      <c r="T144" s="129"/>
      <c r="U144" s="129"/>
      <c r="V144" s="129"/>
    </row>
    <row r="145" spans="3:22" x14ac:dyDescent="0.2">
      <c r="C145" s="226"/>
      <c r="D145" s="199"/>
      <c r="E145" s="199"/>
      <c r="F145" s="199"/>
      <c r="G145" s="199"/>
      <c r="H145" s="199"/>
      <c r="I145" s="199"/>
      <c r="J145" s="199"/>
      <c r="Q145" s="129"/>
      <c r="R145" s="129"/>
      <c r="S145" s="129"/>
      <c r="T145" s="129"/>
      <c r="U145" s="129"/>
      <c r="V145" s="129"/>
    </row>
    <row r="146" spans="3:22" x14ac:dyDescent="0.2">
      <c r="C146" s="226"/>
      <c r="D146" s="199"/>
      <c r="E146" s="199"/>
      <c r="F146" s="199"/>
      <c r="G146" s="199"/>
      <c r="H146" s="199"/>
      <c r="I146" s="199"/>
      <c r="J146" s="199"/>
      <c r="Q146" s="129"/>
      <c r="R146" s="129"/>
      <c r="S146" s="129"/>
      <c r="T146" s="129"/>
      <c r="U146" s="129"/>
      <c r="V146" s="129"/>
    </row>
    <row r="147" spans="3:22" x14ac:dyDescent="0.2">
      <c r="C147" s="226"/>
      <c r="D147" s="199"/>
      <c r="E147" s="199"/>
      <c r="F147" s="199"/>
      <c r="G147" s="199"/>
      <c r="H147" s="199"/>
      <c r="I147" s="199"/>
      <c r="J147" s="199"/>
      <c r="Q147" s="129"/>
      <c r="R147" s="129"/>
      <c r="S147" s="129"/>
      <c r="T147" s="129"/>
      <c r="U147" s="129"/>
      <c r="V147" s="129"/>
    </row>
    <row r="148" spans="3:22" x14ac:dyDescent="0.2">
      <c r="C148" s="226"/>
      <c r="D148" s="199"/>
      <c r="E148" s="199"/>
      <c r="F148" s="199"/>
      <c r="G148" s="199"/>
      <c r="H148" s="199"/>
      <c r="I148" s="199"/>
      <c r="J148" s="199"/>
    </row>
    <row r="149" spans="3:22" x14ac:dyDescent="0.2">
      <c r="C149" s="226"/>
      <c r="D149" s="199"/>
      <c r="E149" s="199"/>
      <c r="F149" s="199"/>
      <c r="G149" s="199"/>
      <c r="H149" s="199"/>
      <c r="I149" s="199"/>
      <c r="J149" s="199"/>
    </row>
    <row r="150" spans="3:22" x14ac:dyDescent="0.2">
      <c r="C150" s="226"/>
      <c r="D150" s="199"/>
      <c r="E150" s="199"/>
      <c r="F150" s="199"/>
      <c r="G150" s="199"/>
      <c r="H150" s="199"/>
      <c r="I150" s="199"/>
      <c r="J150" s="199"/>
    </row>
    <row r="151" spans="3:22" x14ac:dyDescent="0.2">
      <c r="C151" s="226"/>
      <c r="D151" s="199"/>
      <c r="E151" s="199"/>
      <c r="F151" s="199"/>
      <c r="G151" s="199"/>
      <c r="H151" s="199"/>
      <c r="I151" s="199"/>
      <c r="J151" s="199"/>
    </row>
    <row r="152" spans="3:22" x14ac:dyDescent="0.2">
      <c r="C152" s="226"/>
      <c r="D152" s="199"/>
      <c r="E152" s="199"/>
      <c r="F152" s="199"/>
      <c r="G152" s="199"/>
      <c r="H152" s="199"/>
      <c r="I152" s="199"/>
      <c r="J152" s="199"/>
    </row>
    <row r="153" spans="3:22" x14ac:dyDescent="0.2">
      <c r="C153" s="226"/>
      <c r="D153" s="199"/>
      <c r="E153" s="199"/>
      <c r="F153" s="199"/>
      <c r="G153" s="199"/>
      <c r="H153" s="199"/>
      <c r="I153" s="199"/>
      <c r="J153" s="199"/>
    </row>
    <row r="154" spans="3:22" x14ac:dyDescent="0.2">
      <c r="C154" s="226"/>
      <c r="D154" s="199"/>
      <c r="E154" s="199"/>
      <c r="F154" s="199"/>
      <c r="G154" s="199"/>
      <c r="H154" s="199"/>
      <c r="I154" s="199"/>
      <c r="J154" s="199"/>
    </row>
    <row r="155" spans="3:22" x14ac:dyDescent="0.2">
      <c r="C155" s="226"/>
      <c r="D155" s="199"/>
      <c r="E155" s="199"/>
      <c r="F155" s="199"/>
      <c r="G155" s="199"/>
      <c r="H155" s="199"/>
      <c r="I155" s="199"/>
      <c r="J155" s="199"/>
    </row>
    <row r="156" spans="3:22" x14ac:dyDescent="0.2">
      <c r="C156" s="226"/>
      <c r="D156" s="199"/>
      <c r="E156" s="199"/>
      <c r="F156" s="199"/>
      <c r="G156" s="199"/>
      <c r="H156" s="199"/>
      <c r="I156" s="199"/>
      <c r="J156" s="199"/>
    </row>
    <row r="157" spans="3:22" x14ac:dyDescent="0.2">
      <c r="C157" s="226"/>
      <c r="D157" s="199"/>
      <c r="E157" s="199"/>
      <c r="F157" s="199"/>
      <c r="G157" s="199"/>
      <c r="H157" s="199"/>
      <c r="I157" s="199"/>
      <c r="J157" s="199"/>
    </row>
    <row r="158" spans="3:22" x14ac:dyDescent="0.2">
      <c r="C158" s="226"/>
      <c r="D158" s="199"/>
      <c r="E158" s="199"/>
      <c r="F158" s="199"/>
      <c r="G158" s="199"/>
      <c r="H158" s="199"/>
      <c r="I158" s="199"/>
      <c r="J158" s="199"/>
    </row>
    <row r="159" spans="3:22" x14ac:dyDescent="0.2">
      <c r="C159" s="226"/>
      <c r="D159" s="199"/>
      <c r="E159" s="199"/>
      <c r="F159" s="199"/>
      <c r="G159" s="199"/>
      <c r="H159" s="199"/>
      <c r="I159" s="199"/>
      <c r="J159" s="199"/>
    </row>
    <row r="160" spans="3:22" x14ac:dyDescent="0.2">
      <c r="C160" s="226"/>
      <c r="D160" s="199"/>
      <c r="E160" s="199"/>
      <c r="F160" s="199"/>
      <c r="G160" s="199"/>
      <c r="H160" s="199"/>
      <c r="I160" s="199"/>
      <c r="J160" s="199"/>
    </row>
    <row r="161" spans="3:10" x14ac:dyDescent="0.2">
      <c r="C161" s="226"/>
      <c r="D161" s="199"/>
      <c r="E161" s="199"/>
      <c r="F161" s="199"/>
      <c r="G161" s="199"/>
      <c r="H161" s="199"/>
      <c r="I161" s="199"/>
      <c r="J161" s="199"/>
    </row>
    <row r="162" spans="3:10" x14ac:dyDescent="0.2">
      <c r="C162" s="226"/>
      <c r="D162" s="199"/>
      <c r="E162" s="199"/>
      <c r="F162" s="199"/>
      <c r="G162" s="199"/>
      <c r="H162" s="199"/>
      <c r="I162" s="199"/>
      <c r="J162" s="199"/>
    </row>
    <row r="163" spans="3:10" x14ac:dyDescent="0.2">
      <c r="C163" s="226"/>
      <c r="D163" s="199"/>
      <c r="E163" s="199"/>
      <c r="F163" s="199"/>
      <c r="G163" s="199"/>
      <c r="H163" s="199"/>
      <c r="I163" s="199"/>
      <c r="J163" s="199"/>
    </row>
    <row r="164" spans="3:10" x14ac:dyDescent="0.2">
      <c r="C164" s="226"/>
      <c r="D164" s="199"/>
      <c r="E164" s="199"/>
      <c r="F164" s="199"/>
      <c r="G164" s="199"/>
      <c r="H164" s="199"/>
      <c r="I164" s="199"/>
      <c r="J164" s="199"/>
    </row>
    <row r="165" spans="3:10" x14ac:dyDescent="0.2">
      <c r="C165" s="226"/>
      <c r="D165" s="199"/>
      <c r="E165" s="199"/>
      <c r="F165" s="199"/>
      <c r="G165" s="199"/>
      <c r="H165" s="199"/>
      <c r="I165" s="199"/>
      <c r="J165" s="199"/>
    </row>
    <row r="166" spans="3:10" x14ac:dyDescent="0.2">
      <c r="C166" s="226"/>
      <c r="D166" s="199"/>
      <c r="E166" s="199"/>
      <c r="F166" s="199"/>
      <c r="G166" s="199"/>
      <c r="H166" s="199"/>
      <c r="I166" s="199"/>
      <c r="J166" s="199"/>
    </row>
    <row r="167" spans="3:10" x14ac:dyDescent="0.2">
      <c r="C167" s="226"/>
      <c r="D167" s="199"/>
      <c r="E167" s="199"/>
      <c r="F167" s="199"/>
      <c r="G167" s="199"/>
      <c r="H167" s="199"/>
      <c r="I167" s="199"/>
      <c r="J167" s="199"/>
    </row>
    <row r="168" spans="3:10" x14ac:dyDescent="0.2">
      <c r="C168" s="226"/>
      <c r="D168" s="199"/>
      <c r="E168" s="199"/>
      <c r="F168" s="199"/>
      <c r="G168" s="199"/>
      <c r="H168" s="199"/>
      <c r="I168" s="199"/>
      <c r="J168" s="199"/>
    </row>
    <row r="169" spans="3:10" x14ac:dyDescent="0.2">
      <c r="C169" s="226"/>
      <c r="D169" s="199"/>
      <c r="E169" s="199"/>
      <c r="F169" s="199"/>
      <c r="G169" s="199"/>
      <c r="H169" s="199"/>
      <c r="I169" s="199"/>
      <c r="J169" s="199"/>
    </row>
    <row r="170" spans="3:10" x14ac:dyDescent="0.2">
      <c r="C170" s="226"/>
      <c r="D170" s="199"/>
      <c r="E170" s="199"/>
      <c r="F170" s="199"/>
      <c r="G170" s="199"/>
      <c r="H170" s="199"/>
      <c r="I170" s="199"/>
      <c r="J170" s="199"/>
    </row>
    <row r="171" spans="3:10" x14ac:dyDescent="0.2">
      <c r="C171" s="226"/>
      <c r="D171" s="199"/>
      <c r="E171" s="199"/>
      <c r="F171" s="199"/>
      <c r="G171" s="199"/>
      <c r="H171" s="199"/>
      <c r="I171" s="199"/>
      <c r="J171" s="199"/>
    </row>
    <row r="172" spans="3:10" x14ac:dyDescent="0.2">
      <c r="C172" s="226"/>
      <c r="D172" s="199"/>
      <c r="E172" s="199"/>
      <c r="F172" s="199"/>
      <c r="G172" s="199"/>
      <c r="H172" s="199"/>
      <c r="I172" s="199"/>
      <c r="J172" s="199"/>
    </row>
    <row r="173" spans="3:10" x14ac:dyDescent="0.2">
      <c r="C173" s="226"/>
      <c r="D173" s="199"/>
      <c r="E173" s="199"/>
      <c r="F173" s="199"/>
      <c r="G173" s="199"/>
      <c r="H173" s="199"/>
      <c r="I173" s="199"/>
      <c r="J173" s="199"/>
    </row>
    <row r="174" spans="3:10" x14ac:dyDescent="0.2">
      <c r="C174" s="226"/>
      <c r="D174" s="199"/>
      <c r="E174" s="199"/>
      <c r="F174" s="199"/>
      <c r="G174" s="199"/>
      <c r="H174" s="199"/>
      <c r="I174" s="199"/>
      <c r="J174" s="199"/>
    </row>
    <row r="175" spans="3:10" x14ac:dyDescent="0.2">
      <c r="C175" s="226"/>
      <c r="D175" s="199"/>
      <c r="E175" s="199"/>
      <c r="F175" s="199"/>
      <c r="G175" s="199"/>
      <c r="H175" s="199"/>
      <c r="I175" s="199"/>
      <c r="J175" s="199"/>
    </row>
    <row r="176" spans="3:10" x14ac:dyDescent="0.2">
      <c r="C176" s="226"/>
      <c r="D176" s="199"/>
      <c r="E176" s="199"/>
      <c r="F176" s="199"/>
      <c r="G176" s="199"/>
      <c r="H176" s="199"/>
      <c r="I176" s="199"/>
      <c r="J176" s="199"/>
    </row>
    <row r="177" spans="3:10" x14ac:dyDescent="0.2">
      <c r="C177" s="226"/>
      <c r="D177" s="199"/>
      <c r="E177" s="199"/>
      <c r="F177" s="199"/>
      <c r="G177" s="199"/>
      <c r="H177" s="199"/>
      <c r="I177" s="199"/>
      <c r="J177" s="199"/>
    </row>
    <row r="178" spans="3:10" x14ac:dyDescent="0.2">
      <c r="C178" s="226"/>
      <c r="D178" s="199"/>
      <c r="E178" s="199"/>
      <c r="F178" s="199"/>
      <c r="G178" s="199"/>
      <c r="H178" s="199"/>
      <c r="I178" s="199"/>
      <c r="J178" s="199"/>
    </row>
    <row r="179" spans="3:10" x14ac:dyDescent="0.2">
      <c r="C179" s="226"/>
      <c r="D179" s="199"/>
      <c r="E179" s="199"/>
      <c r="F179" s="199"/>
      <c r="G179" s="199"/>
      <c r="H179" s="199"/>
      <c r="I179" s="199"/>
      <c r="J179" s="199"/>
    </row>
    <row r="180" spans="3:10" x14ac:dyDescent="0.2">
      <c r="C180" s="226"/>
      <c r="D180" s="199"/>
      <c r="E180" s="199"/>
      <c r="F180" s="199"/>
      <c r="G180" s="199"/>
      <c r="H180" s="199"/>
      <c r="I180" s="199"/>
      <c r="J180" s="199"/>
    </row>
    <row r="181" spans="3:10" x14ac:dyDescent="0.2">
      <c r="C181" s="226"/>
      <c r="D181" s="199"/>
      <c r="E181" s="199"/>
      <c r="F181" s="199"/>
      <c r="G181" s="199"/>
      <c r="H181" s="199"/>
      <c r="I181" s="199"/>
      <c r="J181" s="199"/>
    </row>
    <row r="182" spans="3:10" x14ac:dyDescent="0.2">
      <c r="C182" s="226"/>
      <c r="D182" s="199"/>
      <c r="E182" s="199"/>
      <c r="F182" s="199"/>
      <c r="G182" s="199"/>
      <c r="H182" s="199"/>
      <c r="I182" s="199"/>
      <c r="J182" s="199"/>
    </row>
    <row r="183" spans="3:10" x14ac:dyDescent="0.2">
      <c r="C183" s="226"/>
      <c r="D183" s="199"/>
      <c r="E183" s="199"/>
      <c r="F183" s="199"/>
      <c r="G183" s="199"/>
      <c r="H183" s="199"/>
      <c r="I183" s="199"/>
      <c r="J183" s="199"/>
    </row>
    <row r="184" spans="3:10" x14ac:dyDescent="0.2">
      <c r="C184" s="226"/>
      <c r="D184" s="199"/>
      <c r="E184" s="199"/>
      <c r="F184" s="199"/>
      <c r="G184" s="199"/>
      <c r="H184" s="199"/>
      <c r="I184" s="199"/>
      <c r="J184" s="199"/>
    </row>
    <row r="185" spans="3:10" x14ac:dyDescent="0.2">
      <c r="C185" s="226"/>
      <c r="D185" s="199"/>
      <c r="E185" s="199"/>
      <c r="F185" s="199"/>
      <c r="G185" s="199"/>
      <c r="H185" s="199"/>
      <c r="I185" s="199"/>
      <c r="J185" s="199"/>
    </row>
    <row r="186" spans="3:10" x14ac:dyDescent="0.2">
      <c r="C186" s="226"/>
      <c r="D186" s="199"/>
      <c r="E186" s="199"/>
      <c r="F186" s="199"/>
      <c r="G186" s="199"/>
      <c r="H186" s="199"/>
      <c r="I186" s="199"/>
      <c r="J186" s="199"/>
    </row>
    <row r="187" spans="3:10" x14ac:dyDescent="0.2">
      <c r="C187" s="226"/>
      <c r="D187" s="199"/>
      <c r="E187" s="199"/>
      <c r="F187" s="199"/>
      <c r="G187" s="199"/>
      <c r="H187" s="199"/>
      <c r="I187" s="199"/>
      <c r="J187" s="199"/>
    </row>
    <row r="188" spans="3:10" x14ac:dyDescent="0.2">
      <c r="C188" s="226"/>
      <c r="D188" s="199"/>
      <c r="E188" s="199"/>
      <c r="F188" s="199"/>
      <c r="G188" s="199"/>
      <c r="H188" s="199"/>
      <c r="I188" s="199"/>
      <c r="J188" s="199"/>
    </row>
    <row r="189" spans="3:10" x14ac:dyDescent="0.2">
      <c r="C189" s="226"/>
      <c r="D189" s="199"/>
      <c r="E189" s="199"/>
      <c r="F189" s="199"/>
      <c r="G189" s="199"/>
      <c r="H189" s="199"/>
      <c r="I189" s="199"/>
      <c r="J189" s="199"/>
    </row>
    <row r="190" spans="3:10" x14ac:dyDescent="0.2">
      <c r="C190" s="226"/>
      <c r="D190" s="199"/>
      <c r="E190" s="199"/>
      <c r="F190" s="199"/>
      <c r="G190" s="199"/>
      <c r="H190" s="199"/>
      <c r="I190" s="199"/>
      <c r="J190" s="199"/>
    </row>
    <row r="191" spans="3:10" x14ac:dyDescent="0.2">
      <c r="C191" s="226"/>
      <c r="D191" s="199"/>
      <c r="E191" s="199"/>
      <c r="F191" s="199"/>
      <c r="G191" s="199"/>
      <c r="H191" s="199"/>
      <c r="I191" s="199"/>
      <c r="J191" s="199"/>
    </row>
    <row r="192" spans="3:10" x14ac:dyDescent="0.2">
      <c r="C192" s="226"/>
      <c r="D192" s="199"/>
      <c r="E192" s="199"/>
      <c r="F192" s="199"/>
      <c r="G192" s="199"/>
      <c r="H192" s="199"/>
      <c r="I192" s="199"/>
      <c r="J192" s="199"/>
    </row>
    <row r="193" spans="3:31" x14ac:dyDescent="0.2">
      <c r="C193" s="226"/>
      <c r="D193" s="199"/>
      <c r="E193" s="199"/>
      <c r="F193" s="199"/>
      <c r="G193" s="199"/>
      <c r="H193" s="199"/>
      <c r="I193" s="199"/>
      <c r="J193" s="199"/>
    </row>
    <row r="194" spans="3:31" x14ac:dyDescent="0.2">
      <c r="C194" s="226"/>
      <c r="D194" s="199"/>
      <c r="E194" s="199"/>
      <c r="F194" s="199"/>
      <c r="G194" s="199"/>
      <c r="H194" s="199"/>
      <c r="I194" s="199"/>
      <c r="J194" s="199"/>
    </row>
    <row r="195" spans="3:31" x14ac:dyDescent="0.2">
      <c r="C195" s="226"/>
      <c r="D195" s="199"/>
      <c r="E195" s="199"/>
      <c r="F195" s="199"/>
      <c r="G195" s="199"/>
      <c r="H195" s="199"/>
      <c r="I195" s="199"/>
      <c r="J195" s="199"/>
    </row>
    <row r="196" spans="3:31" x14ac:dyDescent="0.2">
      <c r="C196" s="226"/>
      <c r="D196" s="199"/>
      <c r="E196" s="199"/>
      <c r="F196" s="199"/>
      <c r="G196" s="199"/>
      <c r="H196" s="199"/>
      <c r="I196" s="199"/>
      <c r="J196" s="199"/>
    </row>
    <row r="197" spans="3:31" x14ac:dyDescent="0.2">
      <c r="C197" s="226"/>
      <c r="D197" s="199"/>
      <c r="E197" s="199"/>
      <c r="F197" s="199"/>
      <c r="G197" s="199"/>
      <c r="H197" s="199"/>
      <c r="I197" s="199"/>
      <c r="J197" s="199"/>
    </row>
    <row r="198" spans="3:31" x14ac:dyDescent="0.2">
      <c r="C198" s="226"/>
      <c r="D198" s="199"/>
    </row>
    <row r="199" spans="3:31" x14ac:dyDescent="0.2">
      <c r="C199" s="226"/>
      <c r="D199" s="199"/>
      <c r="AD199" s="226"/>
      <c r="AE199" s="199"/>
    </row>
    <row r="200" spans="3:31" x14ac:dyDescent="0.2">
      <c r="C200" s="226"/>
      <c r="D200" s="199"/>
      <c r="AD200" s="226"/>
      <c r="AE200" s="199"/>
    </row>
    <row r="201" spans="3:31" x14ac:dyDescent="0.2">
      <c r="C201" s="226"/>
      <c r="D201" s="199"/>
      <c r="AD201" s="226"/>
      <c r="AE201" s="199"/>
    </row>
    <row r="202" spans="3:31" x14ac:dyDescent="0.2">
      <c r="C202" s="226"/>
      <c r="D202" s="199"/>
      <c r="AD202" s="226"/>
      <c r="AE202" s="199"/>
    </row>
    <row r="203" spans="3:31" x14ac:dyDescent="0.2">
      <c r="C203" s="226"/>
      <c r="D203" s="199"/>
      <c r="AD203" s="226"/>
      <c r="AE203" s="199"/>
    </row>
    <row r="204" spans="3:31" x14ac:dyDescent="0.2">
      <c r="C204" s="226"/>
      <c r="D204" s="199"/>
      <c r="AD204" s="226"/>
      <c r="AE204" s="199"/>
    </row>
    <row r="205" spans="3:31" x14ac:dyDescent="0.2">
      <c r="C205" s="226"/>
      <c r="D205" s="199"/>
      <c r="AD205" s="226"/>
      <c r="AE205" s="199"/>
    </row>
    <row r="206" spans="3:31" x14ac:dyDescent="0.2">
      <c r="C206" s="226"/>
      <c r="D206" s="199"/>
      <c r="AD206" s="226"/>
      <c r="AE206" s="199"/>
    </row>
    <row r="207" spans="3:31" x14ac:dyDescent="0.2">
      <c r="C207" s="226"/>
      <c r="D207" s="199"/>
      <c r="AD207" s="226"/>
      <c r="AE207" s="199"/>
    </row>
    <row r="208" spans="3:31" x14ac:dyDescent="0.2">
      <c r="C208" s="226"/>
      <c r="D208" s="199"/>
      <c r="AD208" s="226"/>
      <c r="AE208" s="199"/>
    </row>
    <row r="209" spans="30:31" x14ac:dyDescent="0.2">
      <c r="AD209" s="226"/>
      <c r="AE209" s="199"/>
    </row>
    <row r="210" spans="30:31" x14ac:dyDescent="0.2">
      <c r="AD210" s="226"/>
      <c r="AE210" s="199"/>
    </row>
    <row r="211" spans="30:31" x14ac:dyDescent="0.2">
      <c r="AD211" s="226"/>
      <c r="AE211" s="199"/>
    </row>
    <row r="212" spans="30:31" x14ac:dyDescent="0.2">
      <c r="AD212" s="226"/>
      <c r="AE212" s="199"/>
    </row>
    <row r="213" spans="30:31" x14ac:dyDescent="0.2">
      <c r="AD213" s="226"/>
      <c r="AE213" s="199"/>
    </row>
    <row r="214" spans="30:31" x14ac:dyDescent="0.2">
      <c r="AD214" s="226"/>
      <c r="AE214" s="199"/>
    </row>
    <row r="215" spans="30:31" x14ac:dyDescent="0.2">
      <c r="AD215" s="226"/>
      <c r="AE215" s="199"/>
    </row>
    <row r="216" spans="30:31" x14ac:dyDescent="0.2">
      <c r="AD216" s="226"/>
      <c r="AE216" s="199"/>
    </row>
    <row r="217" spans="30:31" x14ac:dyDescent="0.2">
      <c r="AD217" s="226"/>
      <c r="AE217" s="199"/>
    </row>
    <row r="218" spans="30:31" x14ac:dyDescent="0.2">
      <c r="AD218" s="226"/>
      <c r="AE218" s="199"/>
    </row>
    <row r="219" spans="30:31" x14ac:dyDescent="0.2">
      <c r="AD219" s="226"/>
      <c r="AE219" s="199"/>
    </row>
    <row r="220" spans="30:31" x14ac:dyDescent="0.2">
      <c r="AD220" s="226"/>
      <c r="AE220" s="199"/>
    </row>
    <row r="221" spans="30:31" x14ac:dyDescent="0.2">
      <c r="AD221" s="226"/>
      <c r="AE221" s="199"/>
    </row>
    <row r="222" spans="30:31" x14ac:dyDescent="0.2">
      <c r="AD222" s="226"/>
      <c r="AE222" s="199"/>
    </row>
    <row r="223" spans="30:31" x14ac:dyDescent="0.2">
      <c r="AD223" s="226"/>
      <c r="AE223" s="199"/>
    </row>
    <row r="224" spans="30:31" x14ac:dyDescent="0.2">
      <c r="AD224" s="226"/>
      <c r="AE224" s="199"/>
    </row>
    <row r="225" spans="30:31" x14ac:dyDescent="0.2">
      <c r="AD225" s="226"/>
      <c r="AE225" s="199"/>
    </row>
    <row r="226" spans="30:31" x14ac:dyDescent="0.2">
      <c r="AD226" s="226"/>
      <c r="AE226" s="199"/>
    </row>
    <row r="227" spans="30:31" x14ac:dyDescent="0.2">
      <c r="AD227" s="226"/>
      <c r="AE227" s="199"/>
    </row>
    <row r="228" spans="30:31" x14ac:dyDescent="0.2">
      <c r="AD228" s="226"/>
      <c r="AE228" s="199"/>
    </row>
    <row r="229" spans="30:31" x14ac:dyDescent="0.2">
      <c r="AD229" s="226"/>
      <c r="AE229" s="199"/>
    </row>
    <row r="230" spans="30:31" x14ac:dyDescent="0.2">
      <c r="AD230" s="226"/>
      <c r="AE230" s="199"/>
    </row>
    <row r="231" spans="30:31" x14ac:dyDescent="0.2">
      <c r="AD231" s="226"/>
      <c r="AE231" s="199"/>
    </row>
    <row r="232" spans="30:31" x14ac:dyDescent="0.2">
      <c r="AD232" s="226"/>
      <c r="AE232" s="199"/>
    </row>
    <row r="233" spans="30:31" x14ac:dyDescent="0.2">
      <c r="AD233" s="226"/>
      <c r="AE233" s="199"/>
    </row>
    <row r="234" spans="30:31" x14ac:dyDescent="0.2">
      <c r="AD234" s="226"/>
      <c r="AE234" s="199"/>
    </row>
    <row r="235" spans="30:31" x14ac:dyDescent="0.2">
      <c r="AD235" s="226"/>
      <c r="AE235" s="199"/>
    </row>
    <row r="236" spans="30:31" x14ac:dyDescent="0.2">
      <c r="AD236" s="226"/>
      <c r="AE236" s="199"/>
    </row>
    <row r="237" spans="30:31" x14ac:dyDescent="0.2">
      <c r="AD237" s="226"/>
      <c r="AE237" s="199"/>
    </row>
    <row r="238" spans="30:31" x14ac:dyDescent="0.2">
      <c r="AD238" s="226"/>
      <c r="AE238" s="199"/>
    </row>
    <row r="239" spans="30:31" x14ac:dyDescent="0.2">
      <c r="AD239" s="226"/>
      <c r="AE239" s="199"/>
    </row>
    <row r="240" spans="30:31" x14ac:dyDescent="0.2">
      <c r="AD240" s="226"/>
      <c r="AE240" s="199"/>
    </row>
    <row r="241" spans="30:31" x14ac:dyDescent="0.2">
      <c r="AD241" s="226"/>
      <c r="AE241" s="199"/>
    </row>
    <row r="242" spans="30:31" x14ac:dyDescent="0.2">
      <c r="AD242" s="226"/>
      <c r="AE242" s="199"/>
    </row>
    <row r="243" spans="30:31" x14ac:dyDescent="0.2">
      <c r="AD243" s="226"/>
      <c r="AE243" s="199"/>
    </row>
    <row r="244" spans="30:31" x14ac:dyDescent="0.2">
      <c r="AD244" s="226"/>
      <c r="AE244" s="199"/>
    </row>
    <row r="245" spans="30:31" x14ac:dyDescent="0.2">
      <c r="AD245" s="226"/>
      <c r="AE245" s="199"/>
    </row>
    <row r="246" spans="30:31" x14ac:dyDescent="0.2">
      <c r="AD246" s="226"/>
      <c r="AE246" s="199"/>
    </row>
    <row r="247" spans="30:31" x14ac:dyDescent="0.2">
      <c r="AD247" s="226"/>
      <c r="AE247" s="199"/>
    </row>
    <row r="248" spans="30:31" x14ac:dyDescent="0.2">
      <c r="AD248" s="226"/>
      <c r="AE248" s="199"/>
    </row>
    <row r="249" spans="30:31" x14ac:dyDescent="0.2">
      <c r="AD249" s="226"/>
      <c r="AE249" s="199"/>
    </row>
    <row r="250" spans="30:31" x14ac:dyDescent="0.2">
      <c r="AD250" s="226"/>
      <c r="AE250" s="199"/>
    </row>
    <row r="251" spans="30:31" x14ac:dyDescent="0.2">
      <c r="AD251" s="226"/>
      <c r="AE251" s="199"/>
    </row>
    <row r="252" spans="30:31" x14ac:dyDescent="0.2">
      <c r="AD252" s="226"/>
      <c r="AE252" s="199"/>
    </row>
    <row r="253" spans="30:31" x14ac:dyDescent="0.2">
      <c r="AD253" s="226"/>
      <c r="AE253" s="199"/>
    </row>
    <row r="254" spans="30:31" x14ac:dyDescent="0.2">
      <c r="AD254" s="226"/>
      <c r="AE254" s="199"/>
    </row>
    <row r="255" spans="30:31" x14ac:dyDescent="0.2">
      <c r="AD255" s="226"/>
      <c r="AE255" s="199"/>
    </row>
    <row r="256" spans="30:31" x14ac:dyDescent="0.2">
      <c r="AD256" s="226"/>
      <c r="AE256" s="199"/>
    </row>
    <row r="257" spans="30:31" x14ac:dyDescent="0.2">
      <c r="AD257" s="226"/>
      <c r="AE257" s="199"/>
    </row>
    <row r="258" spans="30:31" x14ac:dyDescent="0.2">
      <c r="AD258" s="226"/>
      <c r="AE258" s="199"/>
    </row>
    <row r="259" spans="30:31" x14ac:dyDescent="0.2">
      <c r="AD259" s="226"/>
      <c r="AE259" s="199"/>
    </row>
    <row r="260" spans="30:31" x14ac:dyDescent="0.2">
      <c r="AD260" s="226"/>
      <c r="AE260" s="199"/>
    </row>
    <row r="261" spans="30:31" x14ac:dyDescent="0.2">
      <c r="AD261" s="226"/>
      <c r="AE261" s="199"/>
    </row>
    <row r="262" spans="30:31" x14ac:dyDescent="0.2">
      <c r="AD262" s="226"/>
      <c r="AE262" s="199"/>
    </row>
    <row r="263" spans="30:31" x14ac:dyDescent="0.2">
      <c r="AD263" s="226"/>
      <c r="AE263" s="199"/>
    </row>
    <row r="264" spans="30:31" x14ac:dyDescent="0.2">
      <c r="AD264" s="226"/>
      <c r="AE264" s="199"/>
    </row>
    <row r="265" spans="30:31" x14ac:dyDescent="0.2">
      <c r="AD265" s="226"/>
      <c r="AE265" s="199"/>
    </row>
    <row r="266" spans="30:31" x14ac:dyDescent="0.2">
      <c r="AD266" s="226"/>
      <c r="AE266" s="199"/>
    </row>
    <row r="267" spans="30:31" x14ac:dyDescent="0.2">
      <c r="AD267" s="226"/>
      <c r="AE267" s="199"/>
    </row>
    <row r="268" spans="30:31" x14ac:dyDescent="0.2">
      <c r="AD268" s="226"/>
      <c r="AE268" s="199"/>
    </row>
    <row r="269" spans="30:31" x14ac:dyDescent="0.2">
      <c r="AD269" s="226"/>
      <c r="AE269" s="199"/>
    </row>
    <row r="270" spans="30:31" x14ac:dyDescent="0.2">
      <c r="AD270" s="226"/>
      <c r="AE270" s="199"/>
    </row>
    <row r="271" spans="30:31" x14ac:dyDescent="0.2">
      <c r="AD271" s="226"/>
      <c r="AE271" s="199"/>
    </row>
    <row r="272" spans="30:31" x14ac:dyDescent="0.2">
      <c r="AD272" s="226"/>
      <c r="AE272" s="199"/>
    </row>
    <row r="273" spans="30:31" x14ac:dyDescent="0.2">
      <c r="AD273" s="226"/>
      <c r="AE273" s="199"/>
    </row>
    <row r="274" spans="30:31" x14ac:dyDescent="0.2">
      <c r="AD274" s="226"/>
      <c r="AE274" s="199"/>
    </row>
    <row r="275" spans="30:31" x14ac:dyDescent="0.2">
      <c r="AD275" s="226"/>
      <c r="AE275" s="199"/>
    </row>
    <row r="276" spans="30:31" x14ac:dyDescent="0.2">
      <c r="AD276" s="226"/>
      <c r="AE276" s="199"/>
    </row>
    <row r="277" spans="30:31" x14ac:dyDescent="0.2">
      <c r="AD277" s="226"/>
      <c r="AE277" s="199"/>
    </row>
    <row r="278" spans="30:31" x14ac:dyDescent="0.2">
      <c r="AD278" s="226"/>
      <c r="AE278" s="199"/>
    </row>
    <row r="279" spans="30:31" x14ac:dyDescent="0.2">
      <c r="AD279" s="226"/>
      <c r="AE279" s="199"/>
    </row>
    <row r="280" spans="30:31" x14ac:dyDescent="0.2">
      <c r="AD280" s="226"/>
      <c r="AE280" s="199"/>
    </row>
    <row r="281" spans="30:31" x14ac:dyDescent="0.2">
      <c r="AD281" s="226"/>
      <c r="AE281" s="199"/>
    </row>
    <row r="282" spans="30:31" x14ac:dyDescent="0.2">
      <c r="AD282" s="226"/>
      <c r="AE282" s="199"/>
    </row>
    <row r="283" spans="30:31" x14ac:dyDescent="0.2">
      <c r="AD283" s="226"/>
      <c r="AE283" s="199"/>
    </row>
    <row r="284" spans="30:31" x14ac:dyDescent="0.2">
      <c r="AD284" s="226"/>
      <c r="AE284" s="199"/>
    </row>
    <row r="285" spans="30:31" x14ac:dyDescent="0.2">
      <c r="AD285" s="226"/>
      <c r="AE285" s="199"/>
    </row>
    <row r="286" spans="30:31" x14ac:dyDescent="0.2">
      <c r="AD286" s="226"/>
      <c r="AE286" s="199"/>
    </row>
    <row r="287" spans="30:31" x14ac:dyDescent="0.2">
      <c r="AD287" s="226"/>
      <c r="AE287" s="199"/>
    </row>
    <row r="288" spans="30:31" x14ac:dyDescent="0.2">
      <c r="AD288" s="226"/>
      <c r="AE288" s="199"/>
    </row>
    <row r="289" spans="30:31" x14ac:dyDescent="0.2">
      <c r="AD289" s="226"/>
      <c r="AE289" s="199"/>
    </row>
    <row r="290" spans="30:31" x14ac:dyDescent="0.2">
      <c r="AD290" s="226"/>
      <c r="AE290" s="199"/>
    </row>
    <row r="291" spans="30:31" x14ac:dyDescent="0.2">
      <c r="AD291" s="226"/>
      <c r="AE291" s="199"/>
    </row>
    <row r="292" spans="30:31" x14ac:dyDescent="0.2">
      <c r="AD292" s="226"/>
      <c r="AE292" s="199"/>
    </row>
    <row r="293" spans="30:31" x14ac:dyDescent="0.2">
      <c r="AD293" s="226"/>
      <c r="AE293" s="199"/>
    </row>
    <row r="294" spans="30:31" x14ac:dyDescent="0.2">
      <c r="AD294" s="226"/>
      <c r="AE294" s="199"/>
    </row>
    <row r="295" spans="30:31" x14ac:dyDescent="0.2">
      <c r="AD295" s="226"/>
      <c r="AE295" s="199"/>
    </row>
    <row r="296" spans="30:31" x14ac:dyDescent="0.2">
      <c r="AD296" s="226"/>
      <c r="AE296" s="199"/>
    </row>
    <row r="297" spans="30:31" x14ac:dyDescent="0.2">
      <c r="AD297" s="226"/>
      <c r="AE297" s="199"/>
    </row>
    <row r="298" spans="30:31" x14ac:dyDescent="0.2">
      <c r="AD298" s="226"/>
      <c r="AE298" s="199"/>
    </row>
    <row r="299" spans="30:31" x14ac:dyDescent="0.2">
      <c r="AD299" s="226"/>
      <c r="AE299" s="199"/>
    </row>
    <row r="300" spans="30:31" x14ac:dyDescent="0.2">
      <c r="AD300" s="226"/>
      <c r="AE300" s="199"/>
    </row>
    <row r="301" spans="30:31" x14ac:dyDescent="0.2">
      <c r="AD301" s="226"/>
      <c r="AE301" s="199"/>
    </row>
    <row r="302" spans="30:31" x14ac:dyDescent="0.2">
      <c r="AD302" s="226"/>
      <c r="AE302" s="199"/>
    </row>
    <row r="303" spans="30:31" x14ac:dyDescent="0.2">
      <c r="AD303" s="226"/>
      <c r="AE303" s="199"/>
    </row>
    <row r="304" spans="30:31" x14ac:dyDescent="0.2">
      <c r="AD304" s="226"/>
      <c r="AE304" s="199"/>
    </row>
    <row r="305" spans="30:31" x14ac:dyDescent="0.2">
      <c r="AD305" s="226"/>
      <c r="AE305" s="199"/>
    </row>
    <row r="306" spans="30:31" x14ac:dyDescent="0.2">
      <c r="AD306" s="226"/>
      <c r="AE306" s="199"/>
    </row>
    <row r="307" spans="30:31" x14ac:dyDescent="0.2">
      <c r="AD307" s="226"/>
      <c r="AE307" s="199"/>
    </row>
    <row r="308" spans="30:31" x14ac:dyDescent="0.2">
      <c r="AD308" s="226"/>
      <c r="AE308" s="199"/>
    </row>
    <row r="309" spans="30:31" x14ac:dyDescent="0.2">
      <c r="AD309" s="226"/>
      <c r="AE309" s="199"/>
    </row>
    <row r="310" spans="30:31" x14ac:dyDescent="0.2">
      <c r="AD310" s="226"/>
      <c r="AE310" s="199"/>
    </row>
    <row r="311" spans="30:31" x14ac:dyDescent="0.2">
      <c r="AD311" s="226"/>
      <c r="AE311" s="199"/>
    </row>
    <row r="312" spans="30:31" x14ac:dyDescent="0.2">
      <c r="AD312" s="226"/>
      <c r="AE312" s="199"/>
    </row>
    <row r="313" spans="30:31" x14ac:dyDescent="0.2">
      <c r="AD313" s="226"/>
      <c r="AE313" s="199"/>
    </row>
    <row r="314" spans="30:31" x14ac:dyDescent="0.2">
      <c r="AD314" s="226"/>
      <c r="AE314" s="199"/>
    </row>
    <row r="315" spans="30:31" x14ac:dyDescent="0.2">
      <c r="AD315" s="226"/>
      <c r="AE315" s="199"/>
    </row>
    <row r="316" spans="30:31" x14ac:dyDescent="0.2">
      <c r="AD316" s="226"/>
      <c r="AE316" s="199"/>
    </row>
    <row r="317" spans="30:31" x14ac:dyDescent="0.2">
      <c r="AD317" s="226"/>
      <c r="AE317" s="199"/>
    </row>
    <row r="318" spans="30:31" x14ac:dyDescent="0.2">
      <c r="AD318" s="226"/>
      <c r="AE318" s="199"/>
    </row>
    <row r="319" spans="30:31" x14ac:dyDescent="0.2">
      <c r="AD319" s="226"/>
      <c r="AE319" s="199"/>
    </row>
    <row r="320" spans="30:31" x14ac:dyDescent="0.2">
      <c r="AD320" s="226"/>
      <c r="AE320" s="199"/>
    </row>
    <row r="321" spans="30:31" x14ac:dyDescent="0.2">
      <c r="AD321" s="226"/>
      <c r="AE321" s="199"/>
    </row>
    <row r="322" spans="30:31" x14ac:dyDescent="0.2">
      <c r="AD322" s="226"/>
      <c r="AE322" s="199"/>
    </row>
    <row r="323" spans="30:31" x14ac:dyDescent="0.2">
      <c r="AD323" s="226"/>
      <c r="AE323" s="199"/>
    </row>
    <row r="324" spans="30:31" x14ac:dyDescent="0.2">
      <c r="AD324" s="226"/>
      <c r="AE324" s="199"/>
    </row>
    <row r="325" spans="30:31" x14ac:dyDescent="0.2">
      <c r="AD325" s="226"/>
      <c r="AE325" s="199"/>
    </row>
    <row r="326" spans="30:31" x14ac:dyDescent="0.2">
      <c r="AD326" s="226"/>
      <c r="AE326" s="199"/>
    </row>
    <row r="327" spans="30:31" x14ac:dyDescent="0.2">
      <c r="AD327" s="226"/>
      <c r="AE327" s="199"/>
    </row>
    <row r="328" spans="30:31" x14ac:dyDescent="0.2">
      <c r="AD328" s="226"/>
      <c r="AE328" s="199"/>
    </row>
    <row r="329" spans="30:31" x14ac:dyDescent="0.2">
      <c r="AD329" s="226"/>
      <c r="AE329" s="199"/>
    </row>
    <row r="330" spans="30:31" x14ac:dyDescent="0.2">
      <c r="AD330" s="226"/>
      <c r="AE330" s="199"/>
    </row>
    <row r="331" spans="30:31" x14ac:dyDescent="0.2">
      <c r="AD331" s="226"/>
      <c r="AE331" s="199"/>
    </row>
    <row r="332" spans="30:31" x14ac:dyDescent="0.2">
      <c r="AD332" s="226"/>
      <c r="AE332" s="199"/>
    </row>
    <row r="333" spans="30:31" x14ac:dyDescent="0.2">
      <c r="AD333" s="226"/>
      <c r="AE333" s="199"/>
    </row>
    <row r="334" spans="30:31" x14ac:dyDescent="0.2">
      <c r="AD334" s="226"/>
      <c r="AE334" s="199"/>
    </row>
    <row r="335" spans="30:31" x14ac:dyDescent="0.2">
      <c r="AD335" s="226"/>
      <c r="AE335" s="199"/>
    </row>
    <row r="336" spans="30:31" x14ac:dyDescent="0.2">
      <c r="AD336" s="226"/>
      <c r="AE336" s="199"/>
    </row>
    <row r="337" spans="30:31" x14ac:dyDescent="0.2">
      <c r="AD337" s="226"/>
      <c r="AE337" s="199"/>
    </row>
    <row r="338" spans="30:31" x14ac:dyDescent="0.2">
      <c r="AD338" s="226"/>
      <c r="AE338" s="199"/>
    </row>
    <row r="339" spans="30:31" x14ac:dyDescent="0.2">
      <c r="AD339" s="226"/>
      <c r="AE339" s="199"/>
    </row>
    <row r="340" spans="30:31" x14ac:dyDescent="0.2">
      <c r="AD340" s="226"/>
      <c r="AE340" s="199"/>
    </row>
    <row r="341" spans="30:31" x14ac:dyDescent="0.2">
      <c r="AD341" s="226"/>
      <c r="AE341" s="199"/>
    </row>
    <row r="342" spans="30:31" x14ac:dyDescent="0.2">
      <c r="AD342" s="226"/>
      <c r="AE342" s="199"/>
    </row>
    <row r="343" spans="30:31" x14ac:dyDescent="0.2">
      <c r="AD343" s="226"/>
      <c r="AE343" s="199"/>
    </row>
    <row r="344" spans="30:31" x14ac:dyDescent="0.2">
      <c r="AD344" s="226"/>
      <c r="AE344" s="199"/>
    </row>
    <row r="345" spans="30:31" x14ac:dyDescent="0.2">
      <c r="AD345" s="226"/>
      <c r="AE345" s="199"/>
    </row>
    <row r="346" spans="30:31" x14ac:dyDescent="0.2">
      <c r="AD346" s="226"/>
      <c r="AE346" s="199"/>
    </row>
    <row r="347" spans="30:31" x14ac:dyDescent="0.2">
      <c r="AD347" s="226"/>
      <c r="AE347" s="199"/>
    </row>
    <row r="348" spans="30:31" x14ac:dyDescent="0.2">
      <c r="AD348" s="226"/>
      <c r="AE348" s="199"/>
    </row>
    <row r="349" spans="30:31" x14ac:dyDescent="0.2">
      <c r="AD349" s="226"/>
      <c r="AE349" s="199"/>
    </row>
    <row r="350" spans="30:31" x14ac:dyDescent="0.2">
      <c r="AD350" s="226"/>
      <c r="AE350" s="199"/>
    </row>
  </sheetData>
  <scenarios current="0">
    <scenario name="solve_piece2_kvalue_maxsize_of_trend" count="1" user="Michael Smit" comment="Created by Michael Smit on 12/12/2019">
      <inputCells r="D68" undone="1" val="935.697667161446" numFmtId="1"/>
    </scenario>
  </scenarios>
  <mergeCells count="1">
    <mergeCell ref="G2:H2"/>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10B25-A5FF-4E38-A5E4-545EC07B5BAA}">
  <sheetPr codeName="Sheet20"/>
  <dimension ref="A2:M14"/>
  <sheetViews>
    <sheetView zoomScale="85" zoomScaleNormal="85" workbookViewId="0">
      <selection activeCell="G13" sqref="G13"/>
    </sheetView>
  </sheetViews>
  <sheetFormatPr defaultRowHeight="15" x14ac:dyDescent="0.25"/>
  <cols>
    <col min="1" max="1" width="24.85546875" bestFit="1" customWidth="1"/>
    <col min="2" max="2" width="12.140625" bestFit="1" customWidth="1"/>
    <col min="3" max="6" width="8.140625" bestFit="1" customWidth="1"/>
    <col min="7" max="8" width="7.5703125" bestFit="1" customWidth="1"/>
    <col min="9" max="11" width="7.7109375" bestFit="1" customWidth="1"/>
    <col min="12" max="13" width="10.5703125" customWidth="1"/>
  </cols>
  <sheetData>
    <row r="2" spans="1:13" x14ac:dyDescent="0.25">
      <c r="C2" s="55" t="s">
        <v>298</v>
      </c>
      <c r="H2" s="55" t="s">
        <v>307</v>
      </c>
    </row>
    <row r="3" spans="1:13" x14ac:dyDescent="0.25">
      <c r="C3" t="s">
        <v>334</v>
      </c>
      <c r="D3" t="s">
        <v>320</v>
      </c>
      <c r="E3" t="s">
        <v>321</v>
      </c>
      <c r="F3" t="s">
        <v>330</v>
      </c>
      <c r="H3" t="s">
        <v>334</v>
      </c>
      <c r="I3" t="s">
        <v>320</v>
      </c>
      <c r="J3" t="s">
        <v>321</v>
      </c>
      <c r="K3" t="s">
        <v>330</v>
      </c>
    </row>
    <row r="4" spans="1:13" x14ac:dyDescent="0.25">
      <c r="A4" s="138"/>
      <c r="B4" s="390" t="s">
        <v>331</v>
      </c>
      <c r="C4" s="398">
        <f>'PWGGS mean 2pc'!C39</f>
        <v>1.362366955699322E-3</v>
      </c>
      <c r="D4" s="398">
        <f>'PWGGS mean 3pc'!G39</f>
        <v>2.3401134583620546E-4</v>
      </c>
      <c r="E4" s="398">
        <f>'PWGGS mean 4pc'!C39</f>
        <v>1.0582405507504394E-4</v>
      </c>
      <c r="F4" s="398">
        <f>'PWGGS mean 5pc'!C39</f>
        <v>1.6222887186377372E-4</v>
      </c>
      <c r="H4" s="398">
        <f>'PWGGS mean 2pc'!D39</f>
        <v>9.8949624260863183E-4</v>
      </c>
      <c r="I4" s="398">
        <f>'PWGGS mean 3pc'!H39</f>
        <v>2.6943320461564704E-4</v>
      </c>
      <c r="J4" s="398">
        <f>'PWGGS mean 4pc'!D39</f>
        <v>1.6078423765890612E-4</v>
      </c>
      <c r="K4" s="398">
        <f>'PWGGS mean 5pc'!D39</f>
        <v>1.7937505249936451E-4</v>
      </c>
    </row>
    <row r="5" spans="1:13" x14ac:dyDescent="0.25">
      <c r="A5" s="327" t="s">
        <v>167</v>
      </c>
      <c r="B5" s="324" t="s">
        <v>315</v>
      </c>
      <c r="C5" s="398">
        <f>'PWGGS mean 2pc'!C42</f>
        <v>0.9993593882111389</v>
      </c>
      <c r="D5" s="398">
        <f>'PWGGS mean 3pc'!G42</f>
        <v>0.99988313198351941</v>
      </c>
      <c r="E5" s="398">
        <f>'PWGGS mean 4pc'!C42</f>
        <v>0.99989058289625465</v>
      </c>
      <c r="F5" s="398">
        <f>'PWGGS mean 5pc'!C42</f>
        <v>0.99985572521355925</v>
      </c>
      <c r="H5" s="398">
        <f>'PWGGS mean 2pc'!D42</f>
        <v>0.97731683315863704</v>
      </c>
      <c r="I5" s="398">
        <f>'PWGGS mean 3pc'!H42</f>
        <v>0.99172863993572258</v>
      </c>
      <c r="J5" s="398">
        <f>'PWGGS mean 4pc'!D42</f>
        <v>0.99509675900419681</v>
      </c>
      <c r="K5" s="398">
        <f>'PWGGS mean 5pc'!D42</f>
        <v>0.99435736739070979</v>
      </c>
    </row>
    <row r="6" spans="1:13" x14ac:dyDescent="0.25">
      <c r="A6" s="387" t="s">
        <v>332</v>
      </c>
      <c r="B6" s="389"/>
      <c r="C6" s="398">
        <f>'PWGGS mean 2pc'!C43</f>
        <v>0.99647663516126395</v>
      </c>
      <c r="D6" s="398">
        <f>'PWGGS mean 3pc'!G43</f>
        <v>0.99967861295467841</v>
      </c>
      <c r="E6" s="398">
        <f>'PWGGS mean 4pc'!C43</f>
        <v>0.99939820592940065</v>
      </c>
      <c r="F6" s="398">
        <f>'PWGGS mean 5pc'!C43</f>
        <v>1.0001587022650849</v>
      </c>
      <c r="H6" s="398">
        <f>'PWGGS mean 2pc'!D43</f>
        <v>0.94556039958072891</v>
      </c>
      <c r="I6" s="398">
        <f>'PWGGS mean 3pc'!H43</f>
        <v>0.98582052560409583</v>
      </c>
      <c r="J6" s="398">
        <f>'PWGGS mean 4pc'!D43</f>
        <v>0.99159444400719454</v>
      </c>
      <c r="K6" s="398">
        <f>'PWGGS mean 5pc'!D43</f>
        <v>1.0169278978278706</v>
      </c>
    </row>
    <row r="7" spans="1:13" x14ac:dyDescent="0.25">
      <c r="B7" s="389"/>
      <c r="C7" s="389"/>
      <c r="D7" s="389"/>
      <c r="E7" s="389"/>
      <c r="G7" s="389"/>
    </row>
    <row r="8" spans="1:13" x14ac:dyDescent="0.25">
      <c r="B8" s="389"/>
      <c r="C8" s="389"/>
      <c r="D8" s="389"/>
      <c r="E8" s="389"/>
      <c r="G8" s="389"/>
    </row>
    <row r="9" spans="1:13" x14ac:dyDescent="0.25">
      <c r="B9" s="389"/>
      <c r="C9" s="389"/>
      <c r="D9" s="389"/>
      <c r="E9" s="389"/>
      <c r="G9" s="389"/>
    </row>
    <row r="10" spans="1:13" x14ac:dyDescent="0.25">
      <c r="B10" s="389"/>
      <c r="C10" s="389" t="s">
        <v>337</v>
      </c>
      <c r="D10" s="389"/>
      <c r="E10" s="389"/>
      <c r="G10" s="389"/>
    </row>
    <row r="11" spans="1:13" x14ac:dyDescent="0.25">
      <c r="B11" s="389"/>
      <c r="C11" s="389"/>
      <c r="D11" s="389"/>
      <c r="E11" s="389"/>
      <c r="G11" s="389"/>
    </row>
    <row r="12" spans="1:13" x14ac:dyDescent="0.25">
      <c r="B12" s="389"/>
      <c r="C12" s="389"/>
      <c r="D12" s="389"/>
      <c r="E12" s="389"/>
      <c r="G12" s="389"/>
    </row>
    <row r="13" spans="1:13" x14ac:dyDescent="0.25">
      <c r="B13" s="389"/>
      <c r="C13" s="389"/>
      <c r="D13" s="389"/>
      <c r="E13" s="389"/>
      <c r="G13" s="389"/>
    </row>
    <row r="14" spans="1:13" x14ac:dyDescent="0.25">
      <c r="I14" s="388"/>
      <c r="J14" s="388"/>
      <c r="K14" s="388"/>
      <c r="L14" s="388"/>
      <c r="M14" s="388"/>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8805F-058A-43D1-9448-2B5DAD4D6A2C}">
  <sheetPr codeName="Sheet21"/>
  <dimension ref="A1:L12"/>
  <sheetViews>
    <sheetView workbookViewId="0">
      <selection activeCell="F19" sqref="F19"/>
    </sheetView>
  </sheetViews>
  <sheetFormatPr defaultRowHeight="15" x14ac:dyDescent="0.25"/>
  <sheetData>
    <row r="1" spans="1:12" x14ac:dyDescent="0.25">
      <c r="A1" s="138"/>
      <c r="B1" s="151"/>
      <c r="C1" s="152"/>
      <c r="D1" s="152"/>
      <c r="E1" s="152"/>
      <c r="F1" s="152"/>
      <c r="G1" s="152"/>
      <c r="H1" s="152"/>
      <c r="I1" s="152"/>
      <c r="J1" s="153"/>
      <c r="K1" s="36"/>
      <c r="L1" s="129"/>
    </row>
    <row r="2" spans="1:12" x14ac:dyDescent="0.25">
      <c r="A2" s="138" t="s">
        <v>114</v>
      </c>
      <c r="B2" s="154" t="s">
        <v>118</v>
      </c>
      <c r="C2" s="155" t="s">
        <v>115</v>
      </c>
      <c r="D2" s="155"/>
      <c r="E2" s="155"/>
      <c r="F2" s="155"/>
      <c r="G2" s="155"/>
      <c r="H2" s="155"/>
      <c r="I2" s="155"/>
      <c r="J2" s="156"/>
      <c r="K2" s="36"/>
      <c r="L2" s="129"/>
    </row>
    <row r="3" spans="1:12" x14ac:dyDescent="0.25">
      <c r="A3" s="138"/>
      <c r="B3" s="154"/>
      <c r="C3" s="155" t="s">
        <v>116</v>
      </c>
      <c r="D3" s="155"/>
      <c r="E3" s="155"/>
      <c r="F3" s="155"/>
      <c r="G3" s="155"/>
      <c r="H3" s="155"/>
      <c r="I3" s="155"/>
      <c r="J3" s="156"/>
      <c r="K3" s="36"/>
      <c r="L3" s="129"/>
    </row>
    <row r="4" spans="1:12" x14ac:dyDescent="0.25">
      <c r="A4" s="138"/>
      <c r="B4" s="154"/>
      <c r="C4" s="155" t="s">
        <v>124</v>
      </c>
      <c r="D4" s="155"/>
      <c r="E4" s="155"/>
      <c r="F4" s="155"/>
      <c r="G4" s="155"/>
      <c r="H4" s="155"/>
      <c r="I4" s="155"/>
      <c r="J4" s="156"/>
      <c r="K4" s="36"/>
      <c r="L4" s="129"/>
    </row>
    <row r="5" spans="1:12" x14ac:dyDescent="0.25">
      <c r="A5" s="138"/>
      <c r="B5" s="154" t="s">
        <v>119</v>
      </c>
      <c r="C5" s="155" t="s">
        <v>117</v>
      </c>
      <c r="D5" s="155"/>
      <c r="E5" s="155"/>
      <c r="F5" s="155"/>
      <c r="G5" s="155"/>
      <c r="H5" s="155"/>
      <c r="I5" s="155"/>
      <c r="J5" s="156"/>
      <c r="K5" s="36"/>
      <c r="L5" s="129"/>
    </row>
    <row r="6" spans="1:12" x14ac:dyDescent="0.25">
      <c r="A6" s="138"/>
      <c r="B6" s="154"/>
      <c r="C6" s="155"/>
      <c r="D6" s="155"/>
      <c r="E6" s="155"/>
      <c r="F6" s="155"/>
      <c r="G6" s="155"/>
      <c r="H6" s="155"/>
      <c r="I6" s="155"/>
      <c r="J6" s="156"/>
      <c r="K6" s="36"/>
      <c r="L6" s="129"/>
    </row>
    <row r="7" spans="1:12" x14ac:dyDescent="0.25">
      <c r="A7" s="138"/>
      <c r="B7" s="154" t="s">
        <v>120</v>
      </c>
      <c r="C7" s="155" t="s">
        <v>121</v>
      </c>
      <c r="D7" s="155"/>
      <c r="E7" s="155"/>
      <c r="F7" s="155"/>
      <c r="G7" s="155"/>
      <c r="H7" s="155"/>
      <c r="I7" s="155"/>
      <c r="J7" s="156"/>
      <c r="K7" s="36"/>
      <c r="L7" s="129"/>
    </row>
    <row r="8" spans="1:12" x14ac:dyDescent="0.25">
      <c r="A8" s="138"/>
      <c r="B8" s="154" t="s">
        <v>122</v>
      </c>
      <c r="C8" s="155" t="s">
        <v>123</v>
      </c>
      <c r="D8" s="155"/>
      <c r="E8" s="155"/>
      <c r="F8" s="155"/>
      <c r="G8" s="155"/>
      <c r="H8" s="155"/>
      <c r="I8" s="155"/>
      <c r="J8" s="156"/>
      <c r="K8" s="36"/>
      <c r="L8" s="129"/>
    </row>
    <row r="9" spans="1:12" x14ac:dyDescent="0.25">
      <c r="A9" s="138"/>
      <c r="B9" s="154"/>
      <c r="C9" s="155"/>
      <c r="D9" s="155"/>
      <c r="E9" s="155"/>
      <c r="F9" s="155"/>
      <c r="G9" s="155"/>
      <c r="H9" s="155"/>
      <c r="I9" s="155"/>
      <c r="J9" s="156"/>
      <c r="K9" s="36"/>
      <c r="L9" s="129"/>
    </row>
    <row r="10" spans="1:12" x14ac:dyDescent="0.25">
      <c r="A10" s="138"/>
      <c r="B10" s="293" t="s">
        <v>268</v>
      </c>
      <c r="C10" s="294" t="s">
        <v>270</v>
      </c>
      <c r="D10" s="155"/>
      <c r="E10" s="155"/>
      <c r="F10" s="155"/>
      <c r="G10" s="155"/>
      <c r="H10" s="155"/>
      <c r="I10" s="155"/>
      <c r="J10" s="156"/>
      <c r="K10" s="36"/>
      <c r="L10" s="129"/>
    </row>
    <row r="11" spans="1:12" x14ac:dyDescent="0.25">
      <c r="A11" s="138"/>
      <c r="B11" s="293" t="s">
        <v>269</v>
      </c>
      <c r="C11" s="294" t="s">
        <v>271</v>
      </c>
      <c r="D11" s="155"/>
      <c r="E11" s="155"/>
      <c r="F11" s="155"/>
      <c r="G11" s="155"/>
      <c r="H11" s="155"/>
      <c r="I11" s="155"/>
      <c r="J11" s="156"/>
      <c r="K11" s="36"/>
      <c r="L11" s="129"/>
    </row>
    <row r="12" spans="1:12" x14ac:dyDescent="0.25">
      <c r="A12" s="138"/>
      <c r="B12" s="154"/>
      <c r="C12" s="155"/>
      <c r="D12" s="155"/>
      <c r="E12" s="155"/>
      <c r="F12" s="155"/>
      <c r="G12" s="155"/>
      <c r="H12" s="155"/>
      <c r="I12" s="155"/>
      <c r="J12" s="156"/>
      <c r="K12" s="36"/>
      <c r="L12" s="12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72322-0146-4196-B65D-6D4C023538FE}">
  <sheetPr codeName="Sheet10"/>
  <dimension ref="A3:S64"/>
  <sheetViews>
    <sheetView workbookViewId="0">
      <selection activeCell="F14" sqref="F14"/>
    </sheetView>
  </sheetViews>
  <sheetFormatPr defaultRowHeight="11.25" x14ac:dyDescent="0.2"/>
  <cols>
    <col min="1" max="1" width="9.140625" style="36"/>
    <col min="2" max="2" width="18.140625" style="36" customWidth="1"/>
    <col min="3" max="5" width="9.140625" style="36"/>
    <col min="6" max="6" width="12" style="36" customWidth="1"/>
    <col min="7" max="8" width="11.7109375" style="36" bestFit="1" customWidth="1"/>
    <col min="9" max="9" width="9.140625" style="36"/>
    <col min="10" max="10" width="16.140625" style="36" customWidth="1"/>
    <col min="11" max="11" width="10.42578125" style="36" bestFit="1" customWidth="1"/>
    <col min="12" max="12" width="10" style="36" bestFit="1" customWidth="1"/>
    <col min="13" max="13" width="19.140625" style="36" customWidth="1"/>
    <col min="14" max="14" width="9.5703125" style="36" bestFit="1" customWidth="1"/>
    <col min="15" max="16384" width="9.140625" style="36"/>
  </cols>
  <sheetData>
    <row r="3" spans="1:19" x14ac:dyDescent="0.2">
      <c r="D3" s="36" t="s">
        <v>78</v>
      </c>
      <c r="E3" s="36" t="s">
        <v>146</v>
      </c>
      <c r="F3" s="36" t="s">
        <v>147</v>
      </c>
      <c r="G3" s="36" t="s">
        <v>148</v>
      </c>
      <c r="H3" s="36" t="s">
        <v>149</v>
      </c>
      <c r="I3" s="36" t="s">
        <v>150</v>
      </c>
      <c r="J3" s="36" t="s">
        <v>110</v>
      </c>
    </row>
    <row r="4" spans="1:19" x14ac:dyDescent="0.2">
      <c r="A4" s="36">
        <v>1</v>
      </c>
      <c r="B4" s="36" t="s">
        <v>226</v>
      </c>
      <c r="C4" s="36" t="s">
        <v>215</v>
      </c>
      <c r="D4" s="270">
        <v>406.24649859943986</v>
      </c>
      <c r="E4" s="275">
        <v>405.77098540145994</v>
      </c>
      <c r="F4" s="276">
        <v>413.08911159263278</v>
      </c>
      <c r="G4" s="276">
        <v>469.84339314845033</v>
      </c>
      <c r="H4" s="276">
        <v>405.77098540145994</v>
      </c>
      <c r="I4" s="277">
        <v>353.69298245614061</v>
      </c>
      <c r="J4" s="270">
        <f>AVERAGE(E4:I4)</f>
        <v>409.63349160002872</v>
      </c>
    </row>
    <row r="5" spans="1:19" x14ac:dyDescent="0.2">
      <c r="A5" s="36">
        <v>2</v>
      </c>
      <c r="B5" s="36" t="s">
        <v>216</v>
      </c>
      <c r="C5" s="36" t="s">
        <v>215</v>
      </c>
      <c r="D5" s="270">
        <v>393.03045666088161</v>
      </c>
      <c r="E5" s="278">
        <v>387.29952469120451</v>
      </c>
      <c r="F5" s="279">
        <v>403.42945070144805</v>
      </c>
      <c r="G5" s="279">
        <v>465.80300757213371</v>
      </c>
      <c r="H5" s="279">
        <v>387.29952469120451</v>
      </c>
      <c r="I5" s="280">
        <v>349.03065613900361</v>
      </c>
      <c r="J5" s="270">
        <f>AVERAGE(E5:I5)</f>
        <v>398.57243275899884</v>
      </c>
    </row>
    <row r="6" spans="1:19" x14ac:dyDescent="0.2">
      <c r="D6" s="270"/>
      <c r="E6" s="282"/>
      <c r="F6" s="282"/>
      <c r="G6" s="282"/>
      <c r="H6" s="282"/>
      <c r="I6" s="282"/>
      <c r="J6" s="270"/>
    </row>
    <row r="7" spans="1:19" x14ac:dyDescent="0.2">
      <c r="B7" s="36" t="s">
        <v>231</v>
      </c>
      <c r="C7" s="36" t="s">
        <v>235</v>
      </c>
      <c r="D7" s="270"/>
      <c r="E7" s="282"/>
      <c r="F7" s="282"/>
      <c r="G7" s="282"/>
      <c r="H7" s="282"/>
      <c r="I7" s="282"/>
      <c r="J7" s="270"/>
    </row>
    <row r="8" spans="1:19" x14ac:dyDescent="0.2">
      <c r="B8" s="36" t="s">
        <v>232</v>
      </c>
      <c r="C8" s="36" t="s">
        <v>233</v>
      </c>
    </row>
    <row r="9" spans="1:19" ht="13.5" customHeight="1" x14ac:dyDescent="0.2"/>
    <row r="10" spans="1:19" ht="15" x14ac:dyDescent="0.25">
      <c r="B10" s="286" t="s">
        <v>286</v>
      </c>
      <c r="M10" t="s">
        <v>243</v>
      </c>
      <c r="N10"/>
      <c r="O10"/>
      <c r="P10"/>
      <c r="Q10"/>
      <c r="R10"/>
      <c r="S10"/>
    </row>
    <row r="11" spans="1:19" ht="15" x14ac:dyDescent="0.25">
      <c r="M11"/>
      <c r="N11"/>
      <c r="O11"/>
      <c r="P11"/>
      <c r="Q11"/>
      <c r="R11"/>
      <c r="S11"/>
    </row>
    <row r="12" spans="1:19" ht="15.75" thickBot="1" x14ac:dyDescent="0.3">
      <c r="B12" s="286" t="s">
        <v>231</v>
      </c>
      <c r="C12" s="286" t="s">
        <v>278</v>
      </c>
      <c r="M12" t="s">
        <v>244</v>
      </c>
      <c r="N12"/>
      <c r="O12"/>
      <c r="P12"/>
      <c r="Q12"/>
      <c r="R12"/>
      <c r="S12"/>
    </row>
    <row r="13" spans="1:19" ht="15" x14ac:dyDescent="0.25">
      <c r="B13" s="286" t="s">
        <v>277</v>
      </c>
      <c r="C13" s="286" t="s">
        <v>279</v>
      </c>
      <c r="M13" s="126" t="s">
        <v>245</v>
      </c>
      <c r="N13" s="126" t="s">
        <v>130</v>
      </c>
      <c r="O13" s="126" t="s">
        <v>129</v>
      </c>
      <c r="P13" s="126" t="s">
        <v>246</v>
      </c>
      <c r="Q13" s="126" t="s">
        <v>217</v>
      </c>
      <c r="R13" s="298" t="s">
        <v>48</v>
      </c>
      <c r="S13"/>
    </row>
    <row r="14" spans="1:19" ht="15" x14ac:dyDescent="0.25">
      <c r="B14" s="36" t="s">
        <v>234</v>
      </c>
      <c r="C14" s="226">
        <v>0.95</v>
      </c>
      <c r="F14" s="139"/>
      <c r="G14" s="139"/>
      <c r="M14" s="124" t="s">
        <v>256</v>
      </c>
      <c r="N14" s="124">
        <v>6</v>
      </c>
      <c r="O14" s="296">
        <v>2454.4139565995833</v>
      </c>
      <c r="P14" s="296">
        <v>409.0689927665972</v>
      </c>
      <c r="Q14" s="296">
        <v>1361.1823587075335</v>
      </c>
      <c r="R14" s="98">
        <f>SQRT(Q14)</f>
        <v>36.894204947491872</v>
      </c>
      <c r="S14"/>
    </row>
    <row r="15" spans="1:19" ht="15.75" thickBot="1" x14ac:dyDescent="0.3">
      <c r="F15" s="313"/>
      <c r="G15" s="139"/>
      <c r="M15" s="125" t="s">
        <v>257</v>
      </c>
      <c r="N15" s="125">
        <v>6</v>
      </c>
      <c r="O15" s="297">
        <v>2385.8926204558761</v>
      </c>
      <c r="P15" s="297">
        <v>397.64877007597937</v>
      </c>
      <c r="Q15" s="297">
        <v>1455.5359877666549</v>
      </c>
      <c r="R15" s="98">
        <f>SQRT(Q15)</f>
        <v>38.151487359821964</v>
      </c>
      <c r="S15"/>
    </row>
    <row r="16" spans="1:19" ht="15" x14ac:dyDescent="0.25">
      <c r="B16" s="286" t="s">
        <v>236</v>
      </c>
      <c r="C16" s="286"/>
      <c r="D16" s="286"/>
      <c r="F16" s="314"/>
      <c r="G16" s="314"/>
      <c r="M16"/>
      <c r="N16"/>
      <c r="O16"/>
      <c r="P16"/>
      <c r="Q16"/>
      <c r="R16"/>
      <c r="S16"/>
    </row>
    <row r="17" spans="2:19" ht="15.75" thickBot="1" x14ac:dyDescent="0.3">
      <c r="B17" s="286"/>
      <c r="C17" s="286"/>
      <c r="D17" s="286"/>
      <c r="F17" s="314"/>
      <c r="G17" s="314"/>
      <c r="M17"/>
      <c r="N17"/>
      <c r="O17"/>
      <c r="P17"/>
      <c r="Q17"/>
      <c r="R17"/>
      <c r="S17"/>
    </row>
    <row r="18" spans="2:19" ht="15.75" thickBot="1" x14ac:dyDescent="0.3">
      <c r="B18" s="281"/>
      <c r="C18" s="281" t="s">
        <v>228</v>
      </c>
      <c r="D18" s="281" t="s">
        <v>229</v>
      </c>
      <c r="F18" s="315"/>
      <c r="G18" s="315"/>
      <c r="M18" t="s">
        <v>247</v>
      </c>
      <c r="N18"/>
      <c r="O18"/>
      <c r="P18"/>
      <c r="Q18"/>
      <c r="R18"/>
      <c r="S18"/>
    </row>
    <row r="19" spans="2:19" ht="15" x14ac:dyDescent="0.25">
      <c r="B19" s="301" t="s">
        <v>110</v>
      </c>
      <c r="C19" s="307">
        <v>397.64877007597937</v>
      </c>
      <c r="D19" s="307">
        <v>409.0689927665972</v>
      </c>
      <c r="F19" s="301"/>
      <c r="G19" s="307"/>
      <c r="M19" s="126" t="s">
        <v>248</v>
      </c>
      <c r="N19" s="126" t="s">
        <v>249</v>
      </c>
      <c r="O19" s="126" t="s">
        <v>220</v>
      </c>
      <c r="P19" s="126" t="s">
        <v>250</v>
      </c>
      <c r="Q19" s="299" t="s">
        <v>237</v>
      </c>
      <c r="R19" s="126" t="s">
        <v>251</v>
      </c>
      <c r="S19" s="299" t="s">
        <v>252</v>
      </c>
    </row>
    <row r="20" spans="2:19" ht="15" x14ac:dyDescent="0.25">
      <c r="B20" s="301" t="s">
        <v>217</v>
      </c>
      <c r="C20" s="307">
        <v>1455.5359877666549</v>
      </c>
      <c r="D20" s="307">
        <v>1361.1823587075335</v>
      </c>
      <c r="F20" s="301"/>
      <c r="G20" s="307"/>
      <c r="M20" s="124" t="s">
        <v>253</v>
      </c>
      <c r="N20" s="296">
        <v>391.26445890991272</v>
      </c>
      <c r="O20" s="124">
        <v>1</v>
      </c>
      <c r="P20" s="296">
        <v>391.26445890991272</v>
      </c>
      <c r="Q20" s="300">
        <v>0.27781582024321022</v>
      </c>
      <c r="R20" s="295">
        <v>0.60962942169287038</v>
      </c>
      <c r="S20" s="300">
        <v>4.9646027437307128</v>
      </c>
    </row>
    <row r="21" spans="2:19" ht="15" x14ac:dyDescent="0.25">
      <c r="B21" s="301" t="s">
        <v>218</v>
      </c>
      <c r="C21" s="307">
        <v>6</v>
      </c>
      <c r="D21" s="307">
        <v>6</v>
      </c>
      <c r="F21" s="301"/>
      <c r="G21" s="307"/>
      <c r="M21" s="124" t="s">
        <v>254</v>
      </c>
      <c r="N21" s="296">
        <v>14083.591732370942</v>
      </c>
      <c r="O21" s="124">
        <v>10</v>
      </c>
      <c r="P21" s="296">
        <v>1408.3591732370942</v>
      </c>
      <c r="Q21" s="124"/>
      <c r="R21" s="124"/>
      <c r="S21" s="124"/>
    </row>
    <row r="22" spans="2:19" ht="15" x14ac:dyDescent="0.25">
      <c r="B22" s="301" t="s">
        <v>220</v>
      </c>
      <c r="C22" s="307">
        <v>5</v>
      </c>
      <c r="D22" s="307">
        <v>5</v>
      </c>
      <c r="F22" s="301"/>
      <c r="G22" s="307"/>
      <c r="M22" s="124"/>
      <c r="N22" s="124"/>
      <c r="O22" s="124"/>
      <c r="P22" s="124"/>
      <c r="Q22" s="124"/>
      <c r="R22" s="124"/>
      <c r="S22" s="124"/>
    </row>
    <row r="23" spans="2:19" ht="15.75" thickBot="1" x14ac:dyDescent="0.3">
      <c r="B23" s="301" t="s">
        <v>237</v>
      </c>
      <c r="C23" s="305">
        <v>1.0693174051628995</v>
      </c>
      <c r="D23" s="307"/>
      <c r="F23" s="286" t="s">
        <v>274</v>
      </c>
      <c r="G23" s="304"/>
      <c r="M23" s="125" t="s">
        <v>255</v>
      </c>
      <c r="N23" s="297">
        <v>14474.856191280855</v>
      </c>
      <c r="O23" s="125">
        <v>11</v>
      </c>
      <c r="P23" s="125"/>
      <c r="Q23" s="125"/>
      <c r="R23" s="125"/>
      <c r="S23" s="125"/>
    </row>
    <row r="24" spans="2:19" x14ac:dyDescent="0.2">
      <c r="B24" s="301" t="s">
        <v>238</v>
      </c>
      <c r="C24" s="305">
        <v>0.47158220622832464</v>
      </c>
      <c r="D24" s="307"/>
      <c r="F24" s="301"/>
      <c r="G24" s="304"/>
    </row>
    <row r="25" spans="2:19" ht="12" thickBot="1" x14ac:dyDescent="0.25">
      <c r="B25" s="302" t="s">
        <v>239</v>
      </c>
      <c r="C25" s="306">
        <v>5.0503290576326485</v>
      </c>
      <c r="D25" s="308"/>
      <c r="F25" s="301"/>
      <c r="G25" s="307"/>
      <c r="M25" s="36" t="s">
        <v>259</v>
      </c>
      <c r="N25" s="36" t="s">
        <v>260</v>
      </c>
      <c r="O25" s="36" t="s">
        <v>261</v>
      </c>
    </row>
    <row r="26" spans="2:19" x14ac:dyDescent="0.2">
      <c r="F26" s="139"/>
      <c r="G26" s="139"/>
    </row>
    <row r="27" spans="2:19" x14ac:dyDescent="0.2">
      <c r="B27" s="286" t="s">
        <v>280</v>
      </c>
      <c r="F27" s="139"/>
      <c r="G27" s="139"/>
    </row>
    <row r="28" spans="2:19" x14ac:dyDescent="0.2">
      <c r="B28" s="286" t="s">
        <v>281</v>
      </c>
      <c r="F28" s="139"/>
      <c r="G28" s="139"/>
    </row>
    <row r="29" spans="2:19" x14ac:dyDescent="0.2">
      <c r="B29" s="286" t="s">
        <v>282</v>
      </c>
      <c r="F29" s="139"/>
      <c r="G29" s="139"/>
      <c r="H29" s="139"/>
    </row>
    <row r="30" spans="2:19" x14ac:dyDescent="0.2">
      <c r="F30" s="139"/>
      <c r="G30" s="139"/>
      <c r="H30" s="139"/>
    </row>
    <row r="31" spans="2:19" x14ac:dyDescent="0.2">
      <c r="F31" s="139"/>
      <c r="G31" s="139"/>
      <c r="H31" s="314"/>
      <c r="M31" s="36" t="s">
        <v>258</v>
      </c>
    </row>
    <row r="32" spans="2:19" x14ac:dyDescent="0.2">
      <c r="B32" s="286" t="s">
        <v>283</v>
      </c>
      <c r="C32" s="286" t="s">
        <v>284</v>
      </c>
      <c r="F32" s="139"/>
      <c r="G32" s="139"/>
      <c r="H32" s="314"/>
    </row>
    <row r="33" spans="2:12" x14ac:dyDescent="0.2">
      <c r="B33" s="286" t="s">
        <v>277</v>
      </c>
      <c r="C33" s="286" t="s">
        <v>285</v>
      </c>
      <c r="F33" s="139"/>
      <c r="G33" s="139"/>
      <c r="H33" s="315"/>
    </row>
    <row r="34" spans="2:12" x14ac:dyDescent="0.2">
      <c r="B34" s="286" t="s">
        <v>234</v>
      </c>
      <c r="C34" s="226">
        <v>0.95</v>
      </c>
      <c r="F34" s="139"/>
      <c r="G34" s="139"/>
      <c r="H34" s="307"/>
    </row>
    <row r="35" spans="2:12" x14ac:dyDescent="0.2">
      <c r="B35" s="286"/>
      <c r="C35" s="226"/>
      <c r="F35" s="139"/>
      <c r="G35" s="139"/>
      <c r="H35" s="307"/>
    </row>
    <row r="36" spans="2:12" x14ac:dyDescent="0.2">
      <c r="B36" s="286" t="s">
        <v>227</v>
      </c>
      <c r="C36" s="286"/>
      <c r="D36" s="286"/>
      <c r="F36" s="314"/>
      <c r="G36" s="314"/>
      <c r="H36" s="307"/>
    </row>
    <row r="37" spans="2:12" ht="12" thickBot="1" x14ac:dyDescent="0.25">
      <c r="B37" s="286"/>
      <c r="C37" s="286"/>
      <c r="D37" s="286"/>
      <c r="F37" s="314"/>
      <c r="G37" s="314"/>
      <c r="H37" s="307"/>
    </row>
    <row r="38" spans="2:12" x14ac:dyDescent="0.2">
      <c r="B38" s="281"/>
      <c r="C38" s="281" t="s">
        <v>228</v>
      </c>
      <c r="D38" s="281" t="s">
        <v>229</v>
      </c>
      <c r="F38" s="315"/>
      <c r="G38" s="315"/>
      <c r="H38" s="307"/>
    </row>
    <row r="39" spans="2:12" x14ac:dyDescent="0.2">
      <c r="B39" s="301" t="s">
        <v>110</v>
      </c>
      <c r="C39" s="307">
        <v>397.64877007597937</v>
      </c>
      <c r="D39" s="307">
        <v>409.0689927665972</v>
      </c>
      <c r="E39" s="160"/>
      <c r="F39" s="301"/>
      <c r="G39" s="307"/>
      <c r="H39" s="307"/>
    </row>
    <row r="40" spans="2:12" x14ac:dyDescent="0.2">
      <c r="B40" s="301" t="s">
        <v>217</v>
      </c>
      <c r="C40" s="307">
        <v>1455.5359877666549</v>
      </c>
      <c r="D40" s="307">
        <v>1361.1823587075335</v>
      </c>
      <c r="F40" s="301"/>
      <c r="G40" s="307"/>
      <c r="H40" s="307"/>
    </row>
    <row r="41" spans="2:12" x14ac:dyDescent="0.2">
      <c r="B41" s="301" t="s">
        <v>218</v>
      </c>
      <c r="C41" s="307">
        <v>6</v>
      </c>
      <c r="D41" s="307">
        <v>6</v>
      </c>
      <c r="F41" s="301"/>
      <c r="G41" s="307"/>
      <c r="H41" s="139"/>
    </row>
    <row r="42" spans="2:12" x14ac:dyDescent="0.2">
      <c r="B42" s="301" t="s">
        <v>230</v>
      </c>
      <c r="C42" s="307">
        <v>1408.3591732370942</v>
      </c>
      <c r="D42" s="307"/>
      <c r="F42" s="301"/>
      <c r="G42" s="307"/>
      <c r="H42" s="139"/>
    </row>
    <row r="43" spans="2:12" x14ac:dyDescent="0.2">
      <c r="B43" s="301" t="s">
        <v>219</v>
      </c>
      <c r="C43" s="305">
        <v>0</v>
      </c>
      <c r="D43" s="307"/>
      <c r="F43" s="301"/>
      <c r="G43" s="307"/>
      <c r="H43" s="139"/>
    </row>
    <row r="44" spans="2:12" x14ac:dyDescent="0.2">
      <c r="B44" s="301" t="s">
        <v>220</v>
      </c>
      <c r="C44" s="307">
        <v>10</v>
      </c>
      <c r="D44" s="307"/>
      <c r="F44" s="301"/>
      <c r="G44" s="307"/>
      <c r="H44" s="139"/>
    </row>
    <row r="45" spans="2:12" x14ac:dyDescent="0.2">
      <c r="B45" s="309" t="s">
        <v>221</v>
      </c>
      <c r="C45" s="310">
        <v>-0.52708236571071732</v>
      </c>
      <c r="D45" s="307"/>
      <c r="F45" s="301"/>
      <c r="G45" s="305"/>
      <c r="H45" s="139"/>
      <c r="J45" s="139"/>
      <c r="K45" s="139"/>
      <c r="L45" s="139"/>
    </row>
    <row r="46" spans="2:12" x14ac:dyDescent="0.2">
      <c r="B46" s="301" t="s">
        <v>222</v>
      </c>
      <c r="C46" s="305">
        <v>0.30481471084643641</v>
      </c>
      <c r="D46" s="307"/>
      <c r="F46" s="301"/>
      <c r="G46" s="305"/>
      <c r="H46" s="139"/>
      <c r="J46" s="139"/>
      <c r="K46" s="139"/>
      <c r="L46" s="139"/>
    </row>
    <row r="47" spans="2:12" x14ac:dyDescent="0.2">
      <c r="B47" s="301" t="s">
        <v>223</v>
      </c>
      <c r="C47" s="305">
        <v>1.812461122811676</v>
      </c>
      <c r="D47" s="307"/>
      <c r="F47" s="301"/>
      <c r="G47" s="305"/>
      <c r="H47" s="139"/>
      <c r="J47" s="139"/>
      <c r="K47" s="139"/>
      <c r="L47" s="139"/>
    </row>
    <row r="48" spans="2:12" x14ac:dyDescent="0.2">
      <c r="B48" s="309" t="s">
        <v>224</v>
      </c>
      <c r="C48" s="310">
        <v>0.60962942169287282</v>
      </c>
      <c r="D48" s="307"/>
      <c r="F48" s="301"/>
      <c r="G48" s="305"/>
      <c r="H48" s="139"/>
      <c r="J48" s="139"/>
      <c r="K48" s="139"/>
      <c r="L48" s="139"/>
    </row>
    <row r="49" spans="2:12" ht="12" thickBot="1" x14ac:dyDescent="0.25">
      <c r="B49" s="311" t="s">
        <v>225</v>
      </c>
      <c r="C49" s="312">
        <v>2.2281388519862744</v>
      </c>
      <c r="D49" s="308"/>
      <c r="F49" s="301"/>
      <c r="G49" s="305"/>
      <c r="H49" s="139"/>
      <c r="J49" s="139"/>
      <c r="K49" s="139"/>
      <c r="L49" s="139"/>
    </row>
    <row r="50" spans="2:12" x14ac:dyDescent="0.2">
      <c r="B50" s="285"/>
      <c r="H50" s="139"/>
      <c r="J50" s="139"/>
      <c r="K50" s="139"/>
      <c r="L50" s="139"/>
    </row>
    <row r="51" spans="2:12" x14ac:dyDescent="0.2">
      <c r="B51" s="260" t="s">
        <v>240</v>
      </c>
      <c r="H51" s="314"/>
      <c r="J51" s="314"/>
      <c r="K51" s="314"/>
      <c r="L51" s="314"/>
    </row>
    <row r="52" spans="2:12" x14ac:dyDescent="0.2">
      <c r="B52" s="36" t="s">
        <v>241</v>
      </c>
      <c r="H52" s="314"/>
      <c r="J52" s="314"/>
      <c r="K52" s="314"/>
      <c r="L52" s="314"/>
    </row>
    <row r="53" spans="2:12" x14ac:dyDescent="0.2">
      <c r="B53" s="36" t="s">
        <v>242</v>
      </c>
      <c r="H53" s="315"/>
      <c r="J53" s="315"/>
      <c r="K53" s="315"/>
      <c r="L53" s="315"/>
    </row>
    <row r="54" spans="2:12" x14ac:dyDescent="0.2">
      <c r="H54" s="307"/>
      <c r="J54" s="301"/>
      <c r="K54" s="307"/>
      <c r="L54" s="307"/>
    </row>
    <row r="55" spans="2:12" x14ac:dyDescent="0.2">
      <c r="B55" s="286" t="s">
        <v>273</v>
      </c>
      <c r="H55" s="307"/>
      <c r="J55" s="301"/>
      <c r="K55" s="307"/>
      <c r="L55" s="307"/>
    </row>
    <row r="56" spans="2:12" x14ac:dyDescent="0.2">
      <c r="B56" s="286" t="s">
        <v>276</v>
      </c>
      <c r="H56" s="307"/>
      <c r="J56" s="301"/>
      <c r="K56" s="301"/>
      <c r="L56" s="301"/>
    </row>
    <row r="57" spans="2:12" x14ac:dyDescent="0.2">
      <c r="B57" s="286" t="s">
        <v>275</v>
      </c>
      <c r="H57" s="307"/>
      <c r="J57" s="301"/>
      <c r="K57" s="303"/>
      <c r="L57" s="301"/>
    </row>
    <row r="58" spans="2:12" x14ac:dyDescent="0.2">
      <c r="H58" s="307"/>
      <c r="J58" s="301"/>
      <c r="K58" s="301"/>
      <c r="L58" s="301"/>
    </row>
    <row r="59" spans="2:12" x14ac:dyDescent="0.2">
      <c r="H59" s="307"/>
      <c r="J59" s="301"/>
      <c r="K59" s="301"/>
      <c r="L59" s="301"/>
    </row>
    <row r="60" spans="2:12" x14ac:dyDescent="0.2">
      <c r="H60" s="307"/>
      <c r="J60" s="301"/>
      <c r="K60" s="305"/>
      <c r="L60" s="301"/>
    </row>
    <row r="61" spans="2:12" x14ac:dyDescent="0.2">
      <c r="H61" s="307"/>
      <c r="J61" s="301"/>
      <c r="K61" s="303"/>
      <c r="L61" s="301"/>
    </row>
    <row r="62" spans="2:12" x14ac:dyDescent="0.2">
      <c r="H62" s="307"/>
      <c r="J62" s="301"/>
      <c r="K62" s="305"/>
      <c r="L62" s="301"/>
    </row>
    <row r="63" spans="2:12" x14ac:dyDescent="0.2">
      <c r="H63" s="307"/>
      <c r="J63" s="301"/>
      <c r="K63" s="303"/>
      <c r="L63" s="301"/>
    </row>
    <row r="64" spans="2:12" x14ac:dyDescent="0.2">
      <c r="H64" s="307"/>
      <c r="J64" s="301"/>
      <c r="K64" s="305"/>
      <c r="L64" s="301"/>
    </row>
  </sheetData>
  <phoneticPr fontId="19"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D41E7-0C90-44AF-A815-0030F4CEE1EA}">
  <sheetPr codeName="Sheet5"/>
  <dimension ref="A6:K37"/>
  <sheetViews>
    <sheetView zoomScale="55" zoomScaleNormal="55" workbookViewId="0">
      <selection activeCell="F30" sqref="F30"/>
    </sheetView>
  </sheetViews>
  <sheetFormatPr defaultRowHeight="15" x14ac:dyDescent="0.25"/>
  <sheetData>
    <row r="6" spans="1:11" x14ac:dyDescent="0.25">
      <c r="J6" s="99" t="s">
        <v>83</v>
      </c>
      <c r="K6" s="99" t="s">
        <v>193</v>
      </c>
    </row>
    <row r="7" spans="1:11" x14ac:dyDescent="0.25">
      <c r="I7" t="s">
        <v>75</v>
      </c>
      <c r="J7" s="63">
        <f>(LOG(D16)-LOG(D18))/(LOG(B16)-LOG(B18))</f>
        <v>0.16384548812122263</v>
      </c>
      <c r="K7" s="63">
        <f>(LOG(D19)-LOG(D23))/(LOG(B19)-LOG(B23))</f>
        <v>0.52168510852996841</v>
      </c>
    </row>
    <row r="8" spans="1:11" x14ac:dyDescent="0.25">
      <c r="I8" t="s">
        <v>65</v>
      </c>
      <c r="J8" s="98">
        <v>1326.1741981307907</v>
      </c>
      <c r="K8">
        <v>607.76309249748692</v>
      </c>
    </row>
    <row r="9" spans="1:11" x14ac:dyDescent="0.25">
      <c r="E9" t="s">
        <v>76</v>
      </c>
    </row>
    <row r="10" spans="1:11" x14ac:dyDescent="0.25">
      <c r="E10" t="s">
        <v>73</v>
      </c>
    </row>
    <row r="14" spans="1:11" x14ac:dyDescent="0.25">
      <c r="A14" t="s">
        <v>60</v>
      </c>
    </row>
    <row r="15" spans="1:11" x14ac:dyDescent="0.25">
      <c r="B15" s="77" t="s">
        <v>16</v>
      </c>
      <c r="C15" s="77" t="s">
        <v>15</v>
      </c>
      <c r="D15" s="77" t="s">
        <v>67</v>
      </c>
      <c r="E15" s="77" t="s">
        <v>69</v>
      </c>
      <c r="F15" s="77" t="s">
        <v>68</v>
      </c>
      <c r="G15" s="101"/>
      <c r="H15" s="67"/>
    </row>
    <row r="16" spans="1:11" x14ac:dyDescent="0.25">
      <c r="B16" s="102">
        <v>1180</v>
      </c>
      <c r="C16" s="103">
        <v>3.2527593439466353E-2</v>
      </c>
      <c r="D16" s="104">
        <v>0.96747240656053368</v>
      </c>
      <c r="E16" s="104">
        <f>(B16/$J$8)^$J$7</f>
        <v>0.98104740121386669</v>
      </c>
      <c r="F16" s="105">
        <f t="shared" ref="F16:F26" si="0">(E16-D16)^2</f>
        <v>1.842804798380197E-4</v>
      </c>
      <c r="G16" s="106"/>
      <c r="J16" s="73"/>
    </row>
    <row r="17" spans="2:10" x14ac:dyDescent="0.25">
      <c r="B17" s="107">
        <v>600</v>
      </c>
      <c r="C17" s="97">
        <v>7.4167039163772638E-2</v>
      </c>
      <c r="D17" s="108">
        <v>0.89330536739676092</v>
      </c>
      <c r="E17" s="108">
        <f>(B17/$J$8)^$J$7</f>
        <v>0.87813953969426173</v>
      </c>
      <c r="F17" s="109">
        <f t="shared" si="0"/>
        <v>2.3000232990189187E-4</v>
      </c>
      <c r="G17" s="110"/>
    </row>
    <row r="18" spans="2:10" x14ac:dyDescent="0.25">
      <c r="B18" s="111">
        <v>425</v>
      </c>
      <c r="C18" s="112">
        <v>7.4889110476910908E-2</v>
      </c>
      <c r="D18" s="113">
        <v>0.81841625691985009</v>
      </c>
      <c r="E18" s="113">
        <f>(B18/$J$8)^$J$7</f>
        <v>0.82989978475645787</v>
      </c>
      <c r="F18" s="114">
        <f t="shared" si="0"/>
        <v>1.3187141157414568E-4</v>
      </c>
      <c r="G18" s="115"/>
    </row>
    <row r="19" spans="2:10" x14ac:dyDescent="0.25">
      <c r="B19" s="116">
        <v>300</v>
      </c>
      <c r="C19" s="117">
        <v>0.1227521232335041</v>
      </c>
      <c r="D19" s="118">
        <v>0.69566413368634583</v>
      </c>
      <c r="E19" s="118">
        <f t="shared" ref="E19:E26" si="1">(B19/$K$8)^$K$7</f>
        <v>0.69190190776507587</v>
      </c>
      <c r="F19" s="119">
        <f t="shared" si="0"/>
        <v>1.4154343882675577E-5</v>
      </c>
      <c r="G19" s="120"/>
    </row>
    <row r="20" spans="2:10" x14ac:dyDescent="0.25">
      <c r="B20" s="116">
        <v>212</v>
      </c>
      <c r="C20" s="117">
        <v>0.11924491971254683</v>
      </c>
      <c r="D20" s="118">
        <v>0.57641921397379903</v>
      </c>
      <c r="E20" s="118">
        <f t="shared" si="1"/>
        <v>0.57727404774349056</v>
      </c>
      <c r="F20" s="119">
        <f t="shared" si="0"/>
        <v>7.3074077380503519E-7</v>
      </c>
      <c r="G20" s="120"/>
    </row>
    <row r="21" spans="2:10" x14ac:dyDescent="0.25">
      <c r="B21" s="116">
        <v>180</v>
      </c>
      <c r="C21" s="117">
        <v>4.5284186638242269E-2</v>
      </c>
      <c r="D21" s="118">
        <v>0.53113502733555673</v>
      </c>
      <c r="E21" s="118">
        <f t="shared" si="1"/>
        <v>0.53004084669435247</v>
      </c>
      <c r="F21" s="119">
        <f t="shared" si="0"/>
        <v>1.197231275586158E-6</v>
      </c>
      <c r="G21" s="120"/>
    </row>
    <row r="22" spans="2:10" x14ac:dyDescent="0.25">
      <c r="B22" s="116">
        <v>150</v>
      </c>
      <c r="C22" s="117">
        <v>4.8034934497816588E-2</v>
      </c>
      <c r="D22" s="118">
        <v>0.48310009283774019</v>
      </c>
      <c r="E22" s="118">
        <f t="shared" si="1"/>
        <v>0.48194964212224661</v>
      </c>
      <c r="F22" s="119">
        <f t="shared" si="0"/>
        <v>1.3235368487796864E-6</v>
      </c>
      <c r="G22" s="120"/>
    </row>
    <row r="23" spans="2:10" x14ac:dyDescent="0.25">
      <c r="B23" s="116">
        <v>106</v>
      </c>
      <c r="C23" s="117">
        <v>7.8808926176804309E-2</v>
      </c>
      <c r="D23" s="118">
        <v>0.4042911666609359</v>
      </c>
      <c r="E23" s="118">
        <f t="shared" si="1"/>
        <v>0.40210471685951776</v>
      </c>
      <c r="F23" s="119">
        <f t="shared" si="0"/>
        <v>4.7805627341213944E-6</v>
      </c>
      <c r="G23" s="120"/>
    </row>
    <row r="24" spans="2:10" x14ac:dyDescent="0.25">
      <c r="B24" s="116">
        <v>75</v>
      </c>
      <c r="C24" s="117">
        <v>5.6699790255475696E-2</v>
      </c>
      <c r="D24" s="118">
        <v>0.34759137640546017</v>
      </c>
      <c r="E24" s="118">
        <f t="shared" si="1"/>
        <v>0.33570576252931361</v>
      </c>
      <c r="F24" s="119">
        <f t="shared" si="0"/>
        <v>1.4126781721284767E-4</v>
      </c>
      <c r="G24" s="120"/>
    </row>
    <row r="25" spans="2:10" x14ac:dyDescent="0.25">
      <c r="B25" s="116">
        <v>53</v>
      </c>
      <c r="C25" s="117">
        <v>6.7427706907815549E-2</v>
      </c>
      <c r="D25" s="118">
        <v>0.28016366949764465</v>
      </c>
      <c r="E25" s="118">
        <f t="shared" si="1"/>
        <v>0.28008916034368214</v>
      </c>
      <c r="F25" s="119">
        <f t="shared" si="0"/>
        <v>5.5516140242089883E-9</v>
      </c>
      <c r="G25" s="120"/>
    </row>
    <row r="26" spans="2:10" x14ac:dyDescent="0.25">
      <c r="B26" s="116">
        <v>38</v>
      </c>
      <c r="C26" s="117">
        <v>3.9232541347178761E-2</v>
      </c>
      <c r="D26" s="118">
        <v>0.24093112815046591</v>
      </c>
      <c r="E26" s="118">
        <f t="shared" si="1"/>
        <v>0.23545983455101194</v>
      </c>
      <c r="F26" s="119">
        <f t="shared" si="0"/>
        <v>2.9935053651426028E-5</v>
      </c>
      <c r="G26" s="120"/>
      <c r="J26" s="73"/>
    </row>
    <row r="27" spans="2:10" x14ac:dyDescent="0.25">
      <c r="B27" s="107">
        <v>0</v>
      </c>
      <c r="C27" s="97">
        <v>0.24093112815046591</v>
      </c>
      <c r="D27" s="97"/>
      <c r="E27" s="97"/>
      <c r="F27" s="97"/>
      <c r="G27" s="121"/>
    </row>
    <row r="28" spans="2:10" x14ac:dyDescent="0.25">
      <c r="F28" s="62">
        <f>SUM(F16:F26)</f>
        <v>7.3954905930732277E-4</v>
      </c>
      <c r="G28" s="62"/>
    </row>
    <row r="29" spans="2:10" x14ac:dyDescent="0.25">
      <c r="B29" s="37">
        <v>0.95</v>
      </c>
      <c r="C29" s="76">
        <f t="shared" ref="C29:C37" si="2">$K$8*B29^(1/$K$7)</f>
        <v>550.8501584707418</v>
      </c>
    </row>
    <row r="30" spans="2:10" x14ac:dyDescent="0.25">
      <c r="B30" s="37">
        <v>0.84</v>
      </c>
      <c r="C30" s="76">
        <f t="shared" si="2"/>
        <v>435.09884066943846</v>
      </c>
    </row>
    <row r="31" spans="2:10" x14ac:dyDescent="0.25">
      <c r="B31" s="37">
        <v>0.8</v>
      </c>
      <c r="C31" s="76">
        <f t="shared" si="2"/>
        <v>396.25148000207599</v>
      </c>
    </row>
    <row r="32" spans="2:10" x14ac:dyDescent="0.25">
      <c r="B32" s="37">
        <v>0.75</v>
      </c>
      <c r="C32" s="76">
        <f t="shared" si="2"/>
        <v>350.14152107153399</v>
      </c>
    </row>
    <row r="33" spans="2:3" x14ac:dyDescent="0.25">
      <c r="B33" s="37">
        <v>0.5</v>
      </c>
      <c r="C33" s="76">
        <f t="shared" si="2"/>
        <v>160.95349725989249</v>
      </c>
    </row>
    <row r="34" spans="2:3" x14ac:dyDescent="0.25">
      <c r="B34" s="37">
        <v>0.4</v>
      </c>
      <c r="C34" s="76">
        <f t="shared" si="2"/>
        <v>104.93901700851669</v>
      </c>
    </row>
    <row r="35" spans="2:3" x14ac:dyDescent="0.25">
      <c r="B35" s="37">
        <v>0.25</v>
      </c>
      <c r="C35" s="76">
        <f t="shared" si="2"/>
        <v>42.625208078585892</v>
      </c>
    </row>
    <row r="36" spans="2:3" x14ac:dyDescent="0.25">
      <c r="B36" s="37">
        <v>0.16</v>
      </c>
      <c r="C36" s="76">
        <f t="shared" si="2"/>
        <v>18.119226762291895</v>
      </c>
    </row>
    <row r="37" spans="2:3" x14ac:dyDescent="0.25">
      <c r="B37" s="37">
        <v>0.05</v>
      </c>
      <c r="C37" s="76">
        <f t="shared" si="2"/>
        <v>1.9491051767471705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D19AD-BA28-4B2C-9FC7-37050F228D34}">
  <dimension ref="A1:M7"/>
  <sheetViews>
    <sheetView workbookViewId="0">
      <selection activeCell="B2" sqref="B2"/>
    </sheetView>
  </sheetViews>
  <sheetFormatPr defaultRowHeight="15" x14ac:dyDescent="0.25"/>
  <sheetData>
    <row r="1" spans="1:13" x14ac:dyDescent="0.25">
      <c r="B1" s="36">
        <v>1180</v>
      </c>
      <c r="C1" s="36">
        <v>600</v>
      </c>
      <c r="D1" s="36">
        <v>425</v>
      </c>
      <c r="E1" s="161">
        <v>300</v>
      </c>
      <c r="F1" s="161">
        <v>212</v>
      </c>
      <c r="G1" s="161">
        <v>180</v>
      </c>
      <c r="H1" s="161">
        <v>150</v>
      </c>
      <c r="I1" s="161">
        <v>106</v>
      </c>
      <c r="J1" s="36">
        <v>75</v>
      </c>
      <c r="K1" s="36">
        <v>53</v>
      </c>
      <c r="L1" s="36">
        <v>38</v>
      </c>
      <c r="M1" s="36">
        <v>0</v>
      </c>
    </row>
    <row r="2" spans="1:13" x14ac:dyDescent="0.25">
      <c r="A2" t="s">
        <v>376</v>
      </c>
      <c r="B2">
        <v>3.2527593439466353E-2</v>
      </c>
      <c r="C2">
        <v>7.4167039163772638E-2</v>
      </c>
      <c r="D2">
        <v>7.4889110476910908E-2</v>
      </c>
      <c r="E2">
        <v>0.1227521232335041</v>
      </c>
      <c r="F2">
        <v>0.11924491971254683</v>
      </c>
      <c r="G2">
        <v>4.5284186638242269E-2</v>
      </c>
      <c r="H2">
        <v>4.8034934497816588E-2</v>
      </c>
      <c r="I2">
        <v>7.8808926176804309E-2</v>
      </c>
      <c r="J2">
        <v>5.6699790255475696E-2</v>
      </c>
      <c r="K2">
        <v>6.7427706907815549E-2</v>
      </c>
      <c r="L2">
        <v>3.9232541347178761E-2</v>
      </c>
      <c r="M2">
        <v>0.24093112815046591</v>
      </c>
    </row>
    <row r="3" spans="1:13" x14ac:dyDescent="0.25">
      <c r="A3" t="s">
        <v>146</v>
      </c>
      <c r="B3">
        <v>3.6288704912651806E-2</v>
      </c>
      <c r="C3">
        <v>8.0601043072322118E-2</v>
      </c>
      <c r="D3">
        <v>6.4663189758926293E-2</v>
      </c>
      <c r="E3">
        <v>0.11991684598271272</v>
      </c>
      <c r="F3">
        <v>0.13373937780371276</v>
      </c>
      <c r="G3">
        <v>4.7740617819760023E-2</v>
      </c>
      <c r="H3">
        <v>4.9454757649804885E-2</v>
      </c>
      <c r="I3">
        <v>8.7311718151646678E-2</v>
      </c>
      <c r="J3">
        <v>6.6085561107261395E-2</v>
      </c>
      <c r="K3">
        <v>5.8317225281738938E-2</v>
      </c>
      <c r="L3">
        <v>4.084758743936686E-2</v>
      </c>
      <c r="M3">
        <v>0.21503337102009557</v>
      </c>
    </row>
    <row r="4" spans="1:13" x14ac:dyDescent="0.25">
      <c r="A4" t="s">
        <v>147</v>
      </c>
      <c r="B4">
        <v>3.388349188208007E-2</v>
      </c>
      <c r="C4">
        <v>7.7111835691956038E-2</v>
      </c>
      <c r="D4">
        <v>7.7179064842515716E-2</v>
      </c>
      <c r="E4">
        <v>0.12410501193317422</v>
      </c>
      <c r="F4">
        <v>0.11623920131769135</v>
      </c>
      <c r="G4">
        <v>4.6522572187300409E-2</v>
      </c>
      <c r="H4">
        <v>4.7161249117617397E-2</v>
      </c>
      <c r="I4">
        <v>8.2691855188409699E-2</v>
      </c>
      <c r="J4">
        <v>6.3329859827221086E-2</v>
      </c>
      <c r="K4">
        <v>7.0187233184308709E-2</v>
      </c>
      <c r="L4">
        <v>4.0673636088608016E-2</v>
      </c>
      <c r="M4">
        <v>0.22091498873911727</v>
      </c>
    </row>
    <row r="5" spans="1:13" x14ac:dyDescent="0.25">
      <c r="A5" t="s">
        <v>148</v>
      </c>
      <c r="B5">
        <v>4.8128625539692209E-2</v>
      </c>
      <c r="C5">
        <v>9.1489418059491956E-2</v>
      </c>
      <c r="D5">
        <v>8.1185601144279917E-2</v>
      </c>
      <c r="E5">
        <v>0.1190368977299817</v>
      </c>
      <c r="F5">
        <v>0.13045320901650198</v>
      </c>
      <c r="G5">
        <v>3.5017084734987949E-2</v>
      </c>
      <c r="H5">
        <v>5.4591688077768645E-2</v>
      </c>
      <c r="I5">
        <v>7.5172833946971093E-2</v>
      </c>
      <c r="J5">
        <v>5.382353720234153E-2</v>
      </c>
      <c r="K5">
        <v>5.5041983418536271E-2</v>
      </c>
      <c r="L5">
        <v>4.1188779699626518E-2</v>
      </c>
      <c r="M5">
        <v>0.21487034142982014</v>
      </c>
    </row>
    <row r="6" spans="1:13" x14ac:dyDescent="0.25">
      <c r="A6" t="s">
        <v>149</v>
      </c>
      <c r="B6">
        <v>3.6288704912651806E-2</v>
      </c>
      <c r="C6">
        <v>8.0601043072322118E-2</v>
      </c>
      <c r="D6">
        <v>6.4663189758926293E-2</v>
      </c>
      <c r="E6">
        <v>0.11991684598271272</v>
      </c>
      <c r="F6">
        <v>0.13373937780371276</v>
      </c>
      <c r="G6">
        <v>4.7740617819760023E-2</v>
      </c>
      <c r="H6">
        <v>4.9454757649804885E-2</v>
      </c>
      <c r="I6">
        <v>8.7311718151646678E-2</v>
      </c>
      <c r="J6">
        <v>6.6085561107261395E-2</v>
      </c>
      <c r="K6">
        <v>5.8317225281738938E-2</v>
      </c>
      <c r="L6">
        <v>4.084758743936686E-2</v>
      </c>
      <c r="M6">
        <v>0.21503337102009557</v>
      </c>
    </row>
    <row r="7" spans="1:13" x14ac:dyDescent="0.25">
      <c r="A7" t="s">
        <v>150</v>
      </c>
      <c r="B7">
        <v>2.1241252562380717E-2</v>
      </c>
      <c r="C7">
        <v>5.8563653071322545E-2</v>
      </c>
      <c r="D7">
        <v>6.2734148582738389E-2</v>
      </c>
      <c r="E7">
        <v>0.10072806955538277</v>
      </c>
      <c r="F7">
        <v>0.11953064253905422</v>
      </c>
      <c r="G7">
        <v>3.6262105039937799E-2</v>
      </c>
      <c r="H7">
        <v>5.0858839329893268E-2</v>
      </c>
      <c r="I7">
        <v>8.408143069201951E-2</v>
      </c>
      <c r="J7">
        <v>6.994415777196579E-2</v>
      </c>
      <c r="K7">
        <v>8.4152117056619777E-2</v>
      </c>
      <c r="L7">
        <v>4.5451332437972711E-2</v>
      </c>
      <c r="M7">
        <v>0.26645225136071254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95036-ED9A-4631-8AFB-C4C03D485461}">
  <sheetPr codeName="Sheet6"/>
  <dimension ref="B1:B62"/>
  <sheetViews>
    <sheetView showGridLines="0" topLeftCell="A16" zoomScaleNormal="100" workbookViewId="0">
      <selection activeCell="S4" sqref="S4"/>
    </sheetView>
  </sheetViews>
  <sheetFormatPr defaultRowHeight="15" x14ac:dyDescent="0.25"/>
  <sheetData>
    <row r="1" spans="2:2" x14ac:dyDescent="0.25">
      <c r="B1" s="60" t="s">
        <v>106</v>
      </c>
    </row>
    <row r="2" spans="2:2" x14ac:dyDescent="0.25">
      <c r="B2" s="60"/>
    </row>
    <row r="3" spans="2:2" x14ac:dyDescent="0.25">
      <c r="B3" s="60"/>
    </row>
    <row r="4" spans="2:2" x14ac:dyDescent="0.25">
      <c r="B4" s="60"/>
    </row>
    <row r="5" spans="2:2" x14ac:dyDescent="0.25">
      <c r="B5" s="60"/>
    </row>
    <row r="6" spans="2:2" x14ac:dyDescent="0.25">
      <c r="B6" s="60"/>
    </row>
    <row r="7" spans="2:2" x14ac:dyDescent="0.25">
      <c r="B7" s="60"/>
    </row>
    <row r="8" spans="2:2" x14ac:dyDescent="0.25">
      <c r="B8" s="60"/>
    </row>
    <row r="9" spans="2:2" x14ac:dyDescent="0.25">
      <c r="B9" s="60"/>
    </row>
    <row r="10" spans="2:2" x14ac:dyDescent="0.25">
      <c r="B10" s="60"/>
    </row>
    <row r="11" spans="2:2" x14ac:dyDescent="0.25">
      <c r="B11" s="60"/>
    </row>
    <row r="12" spans="2:2" x14ac:dyDescent="0.25">
      <c r="B12" s="60"/>
    </row>
    <row r="13" spans="2:2" x14ac:dyDescent="0.25">
      <c r="B13" s="60"/>
    </row>
    <row r="14" spans="2:2" x14ac:dyDescent="0.25">
      <c r="B14" s="60"/>
    </row>
    <row r="32" spans="2:2" x14ac:dyDescent="0.25">
      <c r="B32" t="s">
        <v>107</v>
      </c>
    </row>
    <row r="34" spans="2:2" x14ac:dyDescent="0.25">
      <c r="B34" t="s">
        <v>93</v>
      </c>
    </row>
    <row r="35" spans="2:2" x14ac:dyDescent="0.25">
      <c r="B35" t="s">
        <v>105</v>
      </c>
    </row>
    <row r="38" spans="2:2" x14ac:dyDescent="0.25">
      <c r="B38" t="s">
        <v>94</v>
      </c>
    </row>
    <row r="40" spans="2:2" x14ac:dyDescent="0.25">
      <c r="B40" t="s">
        <v>95</v>
      </c>
    </row>
    <row r="42" spans="2:2" x14ac:dyDescent="0.25">
      <c r="B42" t="s">
        <v>96</v>
      </c>
    </row>
    <row r="44" spans="2:2" x14ac:dyDescent="0.25">
      <c r="B44" t="s">
        <v>97</v>
      </c>
    </row>
    <row r="46" spans="2:2" x14ac:dyDescent="0.25">
      <c r="B46" t="s">
        <v>98</v>
      </c>
    </row>
    <row r="48" spans="2:2" x14ac:dyDescent="0.25">
      <c r="B48" t="s">
        <v>99</v>
      </c>
    </row>
    <row r="50" spans="2:2" x14ac:dyDescent="0.25">
      <c r="B50" t="s">
        <v>100</v>
      </c>
    </row>
    <row r="54" spans="2:2" x14ac:dyDescent="0.25">
      <c r="B54" t="s">
        <v>101</v>
      </c>
    </row>
    <row r="56" spans="2:2" x14ac:dyDescent="0.25">
      <c r="B56" t="s">
        <v>102</v>
      </c>
    </row>
    <row r="58" spans="2:2" x14ac:dyDescent="0.25">
      <c r="B58" t="s">
        <v>46</v>
      </c>
    </row>
    <row r="60" spans="2:2" x14ac:dyDescent="0.25">
      <c r="B60" t="s">
        <v>103</v>
      </c>
    </row>
    <row r="62" spans="2:2" x14ac:dyDescent="0.25">
      <c r="B62" t="s">
        <v>104</v>
      </c>
    </row>
  </sheetData>
  <hyperlinks>
    <hyperlink ref="B1" r:id="rId1" xr:uid="{65266960-380A-4D1D-B196-3D500FE81AE7}"/>
  </hyperlinks>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6331B-8168-472D-9A4E-8071618B74DC}">
  <sheetPr codeName="Sheet7"/>
  <dimension ref="Y9:AD14"/>
  <sheetViews>
    <sheetView zoomScale="70" zoomScaleNormal="70" workbookViewId="0">
      <selection activeCell="AB17" sqref="AB17"/>
    </sheetView>
  </sheetViews>
  <sheetFormatPr defaultRowHeight="15" x14ac:dyDescent="0.25"/>
  <sheetData>
    <row r="9" spans="25:30" x14ac:dyDescent="0.25">
      <c r="Y9" t="s">
        <v>335</v>
      </c>
      <c r="AA9" s="347" t="s">
        <v>139</v>
      </c>
      <c r="AB9" s="160"/>
      <c r="AC9" s="160"/>
      <c r="AD9" s="160"/>
    </row>
    <row r="10" spans="25:30" x14ac:dyDescent="0.25">
      <c r="AA10" s="139"/>
      <c r="AB10" s="160"/>
      <c r="AC10" s="160"/>
      <c r="AD10" s="160"/>
    </row>
    <row r="11" spans="25:30" x14ac:dyDescent="0.25">
      <c r="Y11" t="s">
        <v>336</v>
      </c>
      <c r="AA11" s="139"/>
      <c r="AB11" s="160"/>
      <c r="AC11" s="160"/>
      <c r="AD11" s="160"/>
    </row>
    <row r="12" spans="25:30" x14ac:dyDescent="0.25">
      <c r="AA12" s="139"/>
      <c r="AB12" s="160"/>
      <c r="AC12" s="160"/>
      <c r="AD12" s="160"/>
    </row>
    <row r="13" spans="25:30" x14ac:dyDescent="0.25">
      <c r="AA13" s="139"/>
      <c r="AB13" s="36"/>
      <c r="AC13" s="36"/>
      <c r="AD13" s="36"/>
    </row>
    <row r="14" spans="25:30" x14ac:dyDescent="0.25">
      <c r="AA14" s="139"/>
      <c r="AB14" s="36"/>
      <c r="AC14" s="36"/>
      <c r="AD14" s="36"/>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2F23-1F85-466F-A036-C04A06254344}">
  <sheetPr codeName="Sheet14"/>
  <dimension ref="B1:K1"/>
  <sheetViews>
    <sheetView workbookViewId="0">
      <selection activeCell="H23" sqref="H23"/>
    </sheetView>
  </sheetViews>
  <sheetFormatPr defaultRowHeight="15" x14ac:dyDescent="0.25"/>
  <sheetData>
    <row r="1" spans="2:11" x14ac:dyDescent="0.25">
      <c r="B1" t="s">
        <v>201</v>
      </c>
      <c r="K1" s="60" t="s">
        <v>202</v>
      </c>
    </row>
  </sheetData>
  <hyperlinks>
    <hyperlink ref="K1" r:id="rId1" display="https://d.docs.live.net/Downloads/AComparatveStudyonPSDModelsforChromteOresCommnutedbyDfferentDevces (2).pdf" xr:uid="{C00E1DEF-A659-463E-B917-BA66089E0D7F}"/>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02F5B-8468-430B-8241-A71347B0D55D}">
  <sheetPr codeName="Sheet11"/>
  <dimension ref="A1:M130"/>
  <sheetViews>
    <sheetView workbookViewId="0">
      <selection activeCell="C14" sqref="C14"/>
    </sheetView>
  </sheetViews>
  <sheetFormatPr defaultRowHeight="15" x14ac:dyDescent="0.25"/>
  <cols>
    <col min="4" max="4" width="14.7109375" customWidth="1"/>
    <col min="6" max="6" width="21.42578125" customWidth="1"/>
    <col min="7" max="7" width="11.28515625" style="424" customWidth="1"/>
    <col min="8" max="8" width="16" customWidth="1"/>
    <col min="9" max="9" width="9.140625" style="424"/>
    <col min="10" max="10" width="15.140625" customWidth="1"/>
    <col min="11" max="11" width="14.140625" customWidth="1"/>
    <col min="12" max="12" width="17.5703125" customWidth="1"/>
  </cols>
  <sheetData>
    <row r="1" spans="1:13" x14ac:dyDescent="0.25">
      <c r="A1" t="s">
        <v>79</v>
      </c>
      <c r="B1" t="s">
        <v>357</v>
      </c>
      <c r="C1" t="s">
        <v>358</v>
      </c>
      <c r="D1" t="s">
        <v>359</v>
      </c>
    </row>
    <row r="2" spans="1:13" x14ac:dyDescent="0.25">
      <c r="A2" s="36">
        <v>1180</v>
      </c>
      <c r="B2" s="389">
        <v>0.96527360445851285</v>
      </c>
      <c r="C2">
        <f>LN(A2)</f>
        <v>7.0732697174597101</v>
      </c>
      <c r="D2">
        <f>LN(-LN(1-B2))</f>
        <v>1.2120169242960228</v>
      </c>
      <c r="F2" s="122" t="s">
        <v>360</v>
      </c>
      <c r="G2" s="425">
        <f>COUNT(A:A)</f>
        <v>11</v>
      </c>
      <c r="L2" s="122"/>
      <c r="M2" s="426"/>
    </row>
    <row r="3" spans="1:13" x14ac:dyDescent="0.25">
      <c r="A3" s="36">
        <v>600</v>
      </c>
      <c r="B3" s="389">
        <v>0.88818459910331493</v>
      </c>
      <c r="C3">
        <f t="shared" ref="C3:C12" si="0">LN(A3)</f>
        <v>6.3969296552161463</v>
      </c>
      <c r="D3">
        <f t="shared" ref="D3:D12" si="1">LN(-LN(1-B3))</f>
        <v>0.78431514492886567</v>
      </c>
      <c r="F3" s="122" t="s">
        <v>361</v>
      </c>
      <c r="G3" s="427">
        <f ca="1">RSQ(D2:INDIRECT(ADDRESS($G$2+1,4)),C2:INDIRECT(ADDRESS($G$2+1,3)))</f>
        <v>0.99507860184979913</v>
      </c>
      <c r="M3" s="424"/>
    </row>
    <row r="4" spans="1:13" x14ac:dyDescent="0.25">
      <c r="A4" s="36">
        <v>425</v>
      </c>
      <c r="B4" s="389">
        <v>0.81729888167593223</v>
      </c>
      <c r="C4">
        <f t="shared" si="0"/>
        <v>6.0520891689244172</v>
      </c>
      <c r="D4">
        <f t="shared" si="1"/>
        <v>0.53057159917621688</v>
      </c>
      <c r="L4" s="122"/>
      <c r="M4" s="426"/>
    </row>
    <row r="5" spans="1:13" x14ac:dyDescent="0.25">
      <c r="A5" s="161">
        <v>300</v>
      </c>
      <c r="B5" s="389">
        <v>0.69955624927302074</v>
      </c>
      <c r="C5">
        <f t="shared" si="0"/>
        <v>5.7037824746562009</v>
      </c>
      <c r="D5">
        <f t="shared" si="1"/>
        <v>0.18439833889587828</v>
      </c>
      <c r="F5" t="s">
        <v>362</v>
      </c>
      <c r="G5" s="424">
        <f ca="1">INTERCEPT(D2:INDIRECT(ADDRESS($G$2+1,4)),C2:INDIRECT(ADDRESS($G$2+1,3)))</f>
        <v>-4.2438175365871116</v>
      </c>
      <c r="L5" s="122"/>
      <c r="M5" s="426"/>
    </row>
    <row r="6" spans="1:13" x14ac:dyDescent="0.25">
      <c r="A6" s="161">
        <v>212</v>
      </c>
      <c r="B6" s="389">
        <v>0.57406512790748399</v>
      </c>
      <c r="C6">
        <f t="shared" si="0"/>
        <v>5.3565862746720123</v>
      </c>
      <c r="D6">
        <f t="shared" si="1"/>
        <v>-0.15844626136028342</v>
      </c>
      <c r="F6" s="122" t="s">
        <v>363</v>
      </c>
      <c r="G6" s="426">
        <f ca="1">SLOPE(D2:INDIRECT(ADDRESS($G$2+1,4)),C2:INDIRECT(ADDRESS($G$2+1,3)))</f>
        <v>0.77493903365331029</v>
      </c>
      <c r="M6" s="424"/>
    </row>
    <row r="7" spans="1:13" x14ac:dyDescent="0.25">
      <c r="A7" s="161">
        <v>180</v>
      </c>
      <c r="B7" s="389">
        <v>0.53097059720081941</v>
      </c>
      <c r="C7">
        <f t="shared" si="0"/>
        <v>5.1929568508902104</v>
      </c>
      <c r="D7">
        <f t="shared" si="1"/>
        <v>-0.27827338005311014</v>
      </c>
      <c r="F7" s="122" t="s">
        <v>364</v>
      </c>
      <c r="G7" s="426">
        <f ca="1">EXP(-G5/G6)</f>
        <v>238.96674440981616</v>
      </c>
      <c r="M7" s="424"/>
    </row>
    <row r="8" spans="1:13" x14ac:dyDescent="0.25">
      <c r="A8" s="161">
        <v>150</v>
      </c>
      <c r="B8" s="389">
        <v>0.48104455948036845</v>
      </c>
      <c r="C8">
        <f t="shared" si="0"/>
        <v>5.0106352940962555</v>
      </c>
      <c r="D8">
        <f t="shared" si="1"/>
        <v>-0.42169014107737668</v>
      </c>
      <c r="F8" t="s">
        <v>365</v>
      </c>
      <c r="G8" s="424">
        <f ca="1">G7*EXP(GAMMALN(1+1/G6))</f>
        <v>277.21485178372018</v>
      </c>
      <c r="H8" s="122"/>
      <c r="I8" s="426"/>
    </row>
    <row r="9" spans="1:13" x14ac:dyDescent="0.25">
      <c r="A9" s="161">
        <v>106</v>
      </c>
      <c r="B9" s="389">
        <v>0.39848147909578541</v>
      </c>
      <c r="C9">
        <f t="shared" si="0"/>
        <v>4.6634390941120669</v>
      </c>
      <c r="D9">
        <f t="shared" si="1"/>
        <v>-0.67668748199019246</v>
      </c>
      <c r="F9" t="s">
        <v>366</v>
      </c>
      <c r="G9" s="424">
        <f ca="1">AVERAGE(A2:INDIRECT(ADDRESS($G$2+1,1)))</f>
        <v>301.72727272727275</v>
      </c>
      <c r="H9" s="122"/>
      <c r="I9" s="426"/>
    </row>
    <row r="10" spans="1:13" x14ac:dyDescent="0.25">
      <c r="A10" s="36">
        <v>75</v>
      </c>
      <c r="B10" s="389">
        <v>0.33582006788386426</v>
      </c>
      <c r="C10">
        <f t="shared" si="0"/>
        <v>4.3174881135363101</v>
      </c>
      <c r="D10">
        <f t="shared" si="1"/>
        <v>-0.89354590740154038</v>
      </c>
    </row>
    <row r="11" spans="1:13" x14ac:dyDescent="0.25">
      <c r="A11" s="36">
        <v>53</v>
      </c>
      <c r="B11" s="389">
        <v>0.27024615269540453</v>
      </c>
      <c r="C11">
        <f t="shared" si="0"/>
        <v>3.970291913552122</v>
      </c>
      <c r="D11">
        <f t="shared" si="1"/>
        <v>-1.1550302797765275</v>
      </c>
    </row>
    <row r="12" spans="1:13" x14ac:dyDescent="0.25">
      <c r="A12" s="36">
        <v>38</v>
      </c>
      <c r="B12" s="389">
        <v>0.22887257528671798</v>
      </c>
      <c r="C12">
        <f t="shared" si="0"/>
        <v>3.6375861597263857</v>
      </c>
      <c r="D12">
        <f t="shared" si="1"/>
        <v>-1.3474520000209624</v>
      </c>
    </row>
    <row r="13" spans="1:13" x14ac:dyDescent="0.25">
      <c r="A13" s="36"/>
      <c r="B13" s="389"/>
    </row>
    <row r="14" spans="1:13" x14ac:dyDescent="0.25">
      <c r="A14" s="55"/>
    </row>
    <row r="15" spans="1:13" x14ac:dyDescent="0.25">
      <c r="A15" s="55"/>
    </row>
    <row r="16" spans="1:13" x14ac:dyDescent="0.25">
      <c r="A16" s="55"/>
    </row>
    <row r="17" spans="1:1" x14ac:dyDescent="0.25">
      <c r="A17" s="55"/>
    </row>
    <row r="18" spans="1:1" x14ac:dyDescent="0.25">
      <c r="A18" s="55"/>
    </row>
    <row r="19" spans="1:1" x14ac:dyDescent="0.25">
      <c r="A19" s="55"/>
    </row>
    <row r="20" spans="1:1" x14ac:dyDescent="0.25">
      <c r="A20" s="55"/>
    </row>
    <row r="21" spans="1:1" x14ac:dyDescent="0.25">
      <c r="A21" s="55"/>
    </row>
    <row r="22" spans="1:1" x14ac:dyDescent="0.25">
      <c r="A22" s="55"/>
    </row>
    <row r="23" spans="1:1" x14ac:dyDescent="0.25">
      <c r="A23" s="55"/>
    </row>
    <row r="24" spans="1:1" x14ac:dyDescent="0.25">
      <c r="A24" s="55"/>
    </row>
    <row r="25" spans="1:1" x14ac:dyDescent="0.25">
      <c r="A25" s="55"/>
    </row>
    <row r="26" spans="1:1" x14ac:dyDescent="0.25">
      <c r="A26" s="55"/>
    </row>
    <row r="27" spans="1:1" x14ac:dyDescent="0.25">
      <c r="A27" s="55"/>
    </row>
    <row r="28" spans="1:1" x14ac:dyDescent="0.25">
      <c r="A28" s="55"/>
    </row>
    <row r="29" spans="1:1" x14ac:dyDescent="0.25">
      <c r="A29" s="55"/>
    </row>
    <row r="30" spans="1:1" x14ac:dyDescent="0.25">
      <c r="A30" s="55"/>
    </row>
    <row r="31" spans="1:1" x14ac:dyDescent="0.25">
      <c r="A31" s="55"/>
    </row>
    <row r="32" spans="1:1" x14ac:dyDescent="0.25">
      <c r="A32" s="55"/>
    </row>
    <row r="33" spans="1:1" x14ac:dyDescent="0.25">
      <c r="A33" s="55"/>
    </row>
    <row r="34" spans="1:1" x14ac:dyDescent="0.25">
      <c r="A34" s="55"/>
    </row>
    <row r="35" spans="1:1" x14ac:dyDescent="0.25">
      <c r="A35" s="55"/>
    </row>
    <row r="36" spans="1:1" x14ac:dyDescent="0.25">
      <c r="A36" s="55"/>
    </row>
    <row r="37" spans="1:1" x14ac:dyDescent="0.25">
      <c r="A37" s="55"/>
    </row>
    <row r="38" spans="1:1" x14ac:dyDescent="0.25">
      <c r="A38" s="55"/>
    </row>
    <row r="39" spans="1:1" x14ac:dyDescent="0.25">
      <c r="A39" s="55"/>
    </row>
    <row r="40" spans="1:1" x14ac:dyDescent="0.25">
      <c r="A40" s="55"/>
    </row>
    <row r="41" spans="1:1" x14ac:dyDescent="0.25">
      <c r="A41" s="55"/>
    </row>
    <row r="42" spans="1:1" x14ac:dyDescent="0.25">
      <c r="A42" s="55"/>
    </row>
    <row r="43" spans="1:1" x14ac:dyDescent="0.25">
      <c r="A43" s="55"/>
    </row>
    <row r="44" spans="1:1" x14ac:dyDescent="0.25">
      <c r="A44" s="55"/>
    </row>
    <row r="45" spans="1:1" x14ac:dyDescent="0.25">
      <c r="A45" s="55"/>
    </row>
    <row r="46" spans="1:1" x14ac:dyDescent="0.25">
      <c r="A46" s="55"/>
    </row>
    <row r="47" spans="1:1" x14ac:dyDescent="0.25">
      <c r="A47" s="55"/>
    </row>
    <row r="48" spans="1:1" x14ac:dyDescent="0.25">
      <c r="A48" s="55"/>
    </row>
    <row r="49" spans="1:1" x14ac:dyDescent="0.25">
      <c r="A49" s="55"/>
    </row>
    <row r="50" spans="1:1" x14ac:dyDescent="0.25">
      <c r="A50" s="55"/>
    </row>
    <row r="51" spans="1:1" x14ac:dyDescent="0.25">
      <c r="A51" s="55"/>
    </row>
    <row r="52" spans="1:1" x14ac:dyDescent="0.25">
      <c r="A52" s="55"/>
    </row>
    <row r="53" spans="1:1" x14ac:dyDescent="0.25">
      <c r="A53" s="55"/>
    </row>
    <row r="54" spans="1:1" x14ac:dyDescent="0.25">
      <c r="A54" s="55"/>
    </row>
    <row r="55" spans="1:1" x14ac:dyDescent="0.25">
      <c r="A55" s="55"/>
    </row>
    <row r="56" spans="1:1" x14ac:dyDescent="0.25">
      <c r="A56" s="55"/>
    </row>
    <row r="57" spans="1:1" x14ac:dyDescent="0.25">
      <c r="A57" s="55"/>
    </row>
    <row r="58" spans="1:1" x14ac:dyDescent="0.25">
      <c r="A58" s="55"/>
    </row>
    <row r="59" spans="1:1" x14ac:dyDescent="0.25">
      <c r="A59" s="55"/>
    </row>
    <row r="60" spans="1:1" x14ac:dyDescent="0.25">
      <c r="A60" s="55"/>
    </row>
    <row r="61" spans="1:1" x14ac:dyDescent="0.25">
      <c r="A61" s="55"/>
    </row>
    <row r="62" spans="1:1" x14ac:dyDescent="0.25">
      <c r="A62" s="55"/>
    </row>
    <row r="63" spans="1:1" x14ac:dyDescent="0.25">
      <c r="A63" s="55"/>
    </row>
    <row r="64" spans="1:1" x14ac:dyDescent="0.25">
      <c r="A64" s="55"/>
    </row>
    <row r="65" spans="1:1" x14ac:dyDescent="0.25">
      <c r="A65" s="55"/>
    </row>
    <row r="66" spans="1:1" x14ac:dyDescent="0.25">
      <c r="A66" s="55"/>
    </row>
    <row r="67" spans="1:1" x14ac:dyDescent="0.25">
      <c r="A67" s="55"/>
    </row>
    <row r="68" spans="1:1" x14ac:dyDescent="0.25">
      <c r="A68" s="55"/>
    </row>
    <row r="69" spans="1:1" x14ac:dyDescent="0.25">
      <c r="A69" s="55"/>
    </row>
    <row r="70" spans="1:1" x14ac:dyDescent="0.25">
      <c r="A70" s="55"/>
    </row>
    <row r="71" spans="1:1" x14ac:dyDescent="0.25">
      <c r="A71" s="55"/>
    </row>
    <row r="72" spans="1:1" x14ac:dyDescent="0.25">
      <c r="A72" s="55"/>
    </row>
    <row r="73" spans="1:1" x14ac:dyDescent="0.25">
      <c r="A73" s="55"/>
    </row>
    <row r="74" spans="1:1" x14ac:dyDescent="0.25">
      <c r="A74" s="55"/>
    </row>
    <row r="75" spans="1:1" x14ac:dyDescent="0.25">
      <c r="A75" s="55"/>
    </row>
    <row r="76" spans="1:1" x14ac:dyDescent="0.25">
      <c r="A76" s="55"/>
    </row>
    <row r="77" spans="1:1" x14ac:dyDescent="0.25">
      <c r="A77" s="55"/>
    </row>
    <row r="78" spans="1:1" x14ac:dyDescent="0.25">
      <c r="A78" s="55"/>
    </row>
    <row r="79" spans="1:1" x14ac:dyDescent="0.25">
      <c r="A79" s="55"/>
    </row>
    <row r="80" spans="1:1" x14ac:dyDescent="0.25">
      <c r="A80" s="55"/>
    </row>
    <row r="81" spans="1:1" x14ac:dyDescent="0.25">
      <c r="A81" s="55"/>
    </row>
    <row r="82" spans="1:1" x14ac:dyDescent="0.25">
      <c r="A82" s="55"/>
    </row>
    <row r="83" spans="1:1" x14ac:dyDescent="0.25">
      <c r="A83" s="55"/>
    </row>
    <row r="84" spans="1:1" x14ac:dyDescent="0.25">
      <c r="A84" s="55"/>
    </row>
    <row r="85" spans="1:1" x14ac:dyDescent="0.25">
      <c r="A85" s="55"/>
    </row>
    <row r="86" spans="1:1" x14ac:dyDescent="0.25">
      <c r="A86" s="55"/>
    </row>
    <row r="87" spans="1:1" x14ac:dyDescent="0.25">
      <c r="A87" s="55"/>
    </row>
    <row r="88" spans="1:1" x14ac:dyDescent="0.25">
      <c r="A88" s="55"/>
    </row>
    <row r="89" spans="1:1" x14ac:dyDescent="0.25">
      <c r="A89" s="55"/>
    </row>
    <row r="90" spans="1:1" x14ac:dyDescent="0.25">
      <c r="A90" s="55"/>
    </row>
    <row r="91" spans="1:1" x14ac:dyDescent="0.25">
      <c r="A91" s="55"/>
    </row>
    <row r="92" spans="1:1" x14ac:dyDescent="0.25">
      <c r="A92" s="55"/>
    </row>
    <row r="93" spans="1:1" x14ac:dyDescent="0.25">
      <c r="A93" s="55"/>
    </row>
    <row r="94" spans="1:1" x14ac:dyDescent="0.25">
      <c r="A94" s="55"/>
    </row>
    <row r="95" spans="1:1" x14ac:dyDescent="0.25">
      <c r="A95" s="55"/>
    </row>
    <row r="96" spans="1:1" x14ac:dyDescent="0.25">
      <c r="A96" s="55"/>
    </row>
    <row r="97" spans="1:1" x14ac:dyDescent="0.25">
      <c r="A97" s="55"/>
    </row>
    <row r="98" spans="1:1" x14ac:dyDescent="0.25">
      <c r="A98" s="55"/>
    </row>
    <row r="99" spans="1:1" x14ac:dyDescent="0.25">
      <c r="A99" s="55"/>
    </row>
    <row r="100" spans="1:1" x14ac:dyDescent="0.25">
      <c r="A100" s="55"/>
    </row>
    <row r="101" spans="1:1" x14ac:dyDescent="0.25">
      <c r="A101" s="55"/>
    </row>
    <row r="102" spans="1:1" x14ac:dyDescent="0.25">
      <c r="A102" s="55"/>
    </row>
    <row r="103" spans="1:1" x14ac:dyDescent="0.25">
      <c r="A103" s="55"/>
    </row>
    <row r="104" spans="1:1" x14ac:dyDescent="0.25">
      <c r="A104" s="55"/>
    </row>
    <row r="105" spans="1:1" x14ac:dyDescent="0.25">
      <c r="A105" s="55"/>
    </row>
    <row r="106" spans="1:1" x14ac:dyDescent="0.25">
      <c r="A106" s="55"/>
    </row>
    <row r="107" spans="1:1" x14ac:dyDescent="0.25">
      <c r="A107" s="55"/>
    </row>
    <row r="108" spans="1:1" x14ac:dyDescent="0.25">
      <c r="A108" s="55"/>
    </row>
    <row r="109" spans="1:1" x14ac:dyDescent="0.25">
      <c r="A109" s="55"/>
    </row>
    <row r="110" spans="1:1" x14ac:dyDescent="0.25">
      <c r="A110" s="55"/>
    </row>
    <row r="111" spans="1:1" x14ac:dyDescent="0.25">
      <c r="A111" s="55"/>
    </row>
    <row r="112" spans="1:1" x14ac:dyDescent="0.25">
      <c r="A112" s="55"/>
    </row>
    <row r="113" spans="1:1" x14ac:dyDescent="0.25">
      <c r="A113" s="55"/>
    </row>
    <row r="114" spans="1:1" x14ac:dyDescent="0.25">
      <c r="A114" s="55"/>
    </row>
    <row r="115" spans="1:1" x14ac:dyDescent="0.25">
      <c r="A115" s="55"/>
    </row>
    <row r="116" spans="1:1" x14ac:dyDescent="0.25">
      <c r="A116" s="55"/>
    </row>
    <row r="117" spans="1:1" x14ac:dyDescent="0.25">
      <c r="A117" s="55"/>
    </row>
    <row r="118" spans="1:1" x14ac:dyDescent="0.25">
      <c r="A118" s="55"/>
    </row>
    <row r="119" spans="1:1" x14ac:dyDescent="0.25">
      <c r="A119" s="55"/>
    </row>
    <row r="120" spans="1:1" x14ac:dyDescent="0.25">
      <c r="A120" s="55"/>
    </row>
    <row r="121" spans="1:1" x14ac:dyDescent="0.25">
      <c r="A121" s="55"/>
    </row>
    <row r="122" spans="1:1" x14ac:dyDescent="0.25">
      <c r="A122" s="55"/>
    </row>
    <row r="123" spans="1:1" x14ac:dyDescent="0.25">
      <c r="A123" s="55"/>
    </row>
    <row r="124" spans="1:1" x14ac:dyDescent="0.25">
      <c r="A124" s="55"/>
    </row>
    <row r="125" spans="1:1" x14ac:dyDescent="0.25">
      <c r="A125" s="55"/>
    </row>
    <row r="126" spans="1:1" x14ac:dyDescent="0.25">
      <c r="A126" s="55"/>
    </row>
    <row r="127" spans="1:1" x14ac:dyDescent="0.25">
      <c r="A127" s="55"/>
    </row>
    <row r="128" spans="1:1" x14ac:dyDescent="0.25">
      <c r="A128" s="55"/>
    </row>
    <row r="129" spans="1:1" x14ac:dyDescent="0.25">
      <c r="A129" s="55"/>
    </row>
    <row r="130" spans="1:1" x14ac:dyDescent="0.25">
      <c r="A130" s="55"/>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FBD65-A493-463B-9C5F-6F6D325CE4B5}">
  <sheetPr codeName="Sheet2"/>
  <dimension ref="A1:AC74"/>
  <sheetViews>
    <sheetView showGridLines="0" topLeftCell="B28" zoomScale="85" zoomScaleNormal="85" workbookViewId="0">
      <selection activeCell="H51" sqref="H51"/>
    </sheetView>
  </sheetViews>
  <sheetFormatPr defaultColWidth="9" defaultRowHeight="15" x14ac:dyDescent="0.25"/>
  <cols>
    <col min="1" max="1" width="12" style="1" customWidth="1"/>
    <col min="2" max="11" width="9" style="1"/>
    <col min="12" max="12" width="9.7109375" style="3" bestFit="1" customWidth="1"/>
    <col min="13" max="13" width="10.5703125" style="3" bestFit="1" customWidth="1"/>
    <col min="14" max="14" width="7.140625" style="2" customWidth="1"/>
    <col min="15" max="15" width="7.42578125" style="1" customWidth="1"/>
    <col min="16" max="18" width="9" style="1"/>
    <col min="19" max="19" width="10" style="1" bestFit="1" customWidth="1"/>
    <col min="21" max="21" width="10" bestFit="1" customWidth="1"/>
    <col min="22" max="22" width="10.42578125" customWidth="1"/>
    <col min="30" max="16384" width="9" style="1"/>
  </cols>
  <sheetData>
    <row r="1" spans="2:15" x14ac:dyDescent="0.25">
      <c r="B1" s="32" t="s">
        <v>39</v>
      </c>
      <c r="F1" s="4" t="s">
        <v>38</v>
      </c>
      <c r="G1" s="33">
        <f ca="1">TODAY()</f>
        <v>43962</v>
      </c>
    </row>
    <row r="2" spans="2:15" x14ac:dyDescent="0.25">
      <c r="F2" s="4" t="s">
        <v>37</v>
      </c>
      <c r="G2" s="1" t="s">
        <v>36</v>
      </c>
    </row>
    <row r="3" spans="2:15" x14ac:dyDescent="0.25">
      <c r="B3" s="4" t="s">
        <v>35</v>
      </c>
      <c r="C3" s="1" t="s">
        <v>34</v>
      </c>
      <c r="F3" s="32" t="s">
        <v>33</v>
      </c>
      <c r="G3" s="29"/>
    </row>
    <row r="4" spans="2:15" x14ac:dyDescent="0.25">
      <c r="B4" s="4" t="s">
        <v>32</v>
      </c>
      <c r="C4" s="29" t="s">
        <v>31</v>
      </c>
    </row>
    <row r="5" spans="2:15" x14ac:dyDescent="0.25">
      <c r="B5" s="30"/>
      <c r="C5" s="31"/>
      <c r="D5" s="31"/>
      <c r="E5" s="30"/>
      <c r="F5" s="30"/>
      <c r="G5" s="30"/>
      <c r="H5" s="30"/>
    </row>
    <row r="6" spans="2:15" x14ac:dyDescent="0.25">
      <c r="C6" s="4"/>
      <c r="D6" s="4"/>
    </row>
    <row r="7" spans="2:15" x14ac:dyDescent="0.25">
      <c r="B7" s="4" t="s">
        <v>30</v>
      </c>
      <c r="C7" s="4"/>
      <c r="D7" s="4"/>
    </row>
    <row r="8" spans="2:15" x14ac:dyDescent="0.25">
      <c r="C8" s="4"/>
      <c r="D8" s="4"/>
    </row>
    <row r="9" spans="2:15" x14ac:dyDescent="0.25">
      <c r="C9" s="4"/>
      <c r="D9" s="4"/>
    </row>
    <row r="10" spans="2:15" x14ac:dyDescent="0.25">
      <c r="B10" s="4" t="s">
        <v>29</v>
      </c>
      <c r="C10" s="4"/>
      <c r="D10" s="4"/>
      <c r="L10" s="4"/>
      <c r="M10" s="1"/>
      <c r="N10" s="1"/>
    </row>
    <row r="11" spans="2:15" x14ac:dyDescent="0.25">
      <c r="C11" s="29"/>
      <c r="D11" s="29"/>
      <c r="L11" s="1"/>
      <c r="M11" s="1"/>
      <c r="N11" s="1"/>
      <c r="O11" s="11"/>
    </row>
    <row r="12" spans="2:15" x14ac:dyDescent="0.25">
      <c r="C12" s="29"/>
      <c r="D12" s="29"/>
      <c r="L12" s="1"/>
      <c r="M12" s="1"/>
      <c r="N12" s="1"/>
      <c r="O12" s="8"/>
    </row>
    <row r="13" spans="2:15" x14ac:dyDescent="0.25">
      <c r="C13" s="29"/>
      <c r="D13" s="29"/>
      <c r="L13" s="4"/>
      <c r="M13" s="1"/>
      <c r="N13" s="1"/>
      <c r="O13" s="8"/>
    </row>
    <row r="14" spans="2:15" x14ac:dyDescent="0.25">
      <c r="C14" s="29"/>
      <c r="D14" s="29"/>
      <c r="L14" s="4"/>
      <c r="M14" s="1"/>
      <c r="N14" s="1"/>
    </row>
    <row r="15" spans="2:15" x14ac:dyDescent="0.25">
      <c r="C15" s="29"/>
      <c r="D15" s="29"/>
    </row>
    <row r="16" spans="2:15" x14ac:dyDescent="0.25">
      <c r="C16" s="29"/>
      <c r="D16" s="29"/>
    </row>
    <row r="17" spans="1:29" x14ac:dyDescent="0.25">
      <c r="D17" s="29"/>
    </row>
    <row r="18" spans="1:29" x14ac:dyDescent="0.25">
      <c r="C18" s="29"/>
      <c r="D18" s="29"/>
    </row>
    <row r="19" spans="1:29" x14ac:dyDescent="0.25">
      <c r="B19" s="4" t="s">
        <v>28</v>
      </c>
      <c r="C19" s="4"/>
      <c r="D19" s="4"/>
    </row>
    <row r="20" spans="1:29" x14ac:dyDescent="0.25">
      <c r="C20" s="1" t="s">
        <v>27</v>
      </c>
      <c r="D20" s="4"/>
    </row>
    <row r="21" spans="1:29" x14ac:dyDescent="0.25">
      <c r="C21" s="4"/>
      <c r="D21" s="4" t="s">
        <v>26</v>
      </c>
    </row>
    <row r="22" spans="1:29" x14ac:dyDescent="0.25">
      <c r="C22" s="29"/>
      <c r="D22" s="24"/>
    </row>
    <row r="23" spans="1:29" x14ac:dyDescent="0.25">
      <c r="C23" s="29" t="s">
        <v>25</v>
      </c>
      <c r="D23" s="4" t="s">
        <v>24</v>
      </c>
      <c r="F23" s="1" t="s">
        <v>378</v>
      </c>
    </row>
    <row r="24" spans="1:29" x14ac:dyDescent="0.25">
      <c r="C24" s="29"/>
      <c r="D24" s="4" t="s">
        <v>23</v>
      </c>
      <c r="F24" s="1" t="s">
        <v>379</v>
      </c>
    </row>
    <row r="25" spans="1:29" x14ac:dyDescent="0.25">
      <c r="A25" s="437" t="s">
        <v>382</v>
      </c>
      <c r="C25" s="29"/>
    </row>
    <row r="26" spans="1:29" x14ac:dyDescent="0.25">
      <c r="C26" s="29" t="s">
        <v>22</v>
      </c>
      <c r="D26" s="29"/>
    </row>
    <row r="27" spans="1:29" x14ac:dyDescent="0.25">
      <c r="C27" s="29"/>
      <c r="D27" s="29"/>
      <c r="M27" s="3" t="s">
        <v>45</v>
      </c>
      <c r="N27" s="3" t="s">
        <v>53</v>
      </c>
    </row>
    <row r="28" spans="1:29" ht="23.25" x14ac:dyDescent="0.25">
      <c r="B28" s="24" t="s">
        <v>21</v>
      </c>
      <c r="C28" s="28"/>
      <c r="E28" s="28" t="s">
        <v>20</v>
      </c>
      <c r="G28" s="1" t="s">
        <v>19</v>
      </c>
      <c r="H28" s="1" t="s">
        <v>18</v>
      </c>
      <c r="I28" s="27" t="s">
        <v>17</v>
      </c>
      <c r="J28" s="26" t="s">
        <v>41</v>
      </c>
      <c r="K28" s="26" t="s">
        <v>40</v>
      </c>
      <c r="M28" s="3" t="s">
        <v>52</v>
      </c>
      <c r="R28" s="1" t="s">
        <v>381</v>
      </c>
      <c r="T28" s="1"/>
      <c r="U28" s="1"/>
    </row>
    <row r="29" spans="1:29" s="24" customFormat="1" x14ac:dyDescent="0.25">
      <c r="A29" s="438" t="s">
        <v>51</v>
      </c>
      <c r="B29" s="26" t="s">
        <v>16</v>
      </c>
      <c r="C29" s="3" t="s">
        <v>15</v>
      </c>
      <c r="D29" s="3" t="s">
        <v>14</v>
      </c>
      <c r="E29" s="2" t="s">
        <v>13</v>
      </c>
      <c r="F29" s="1"/>
      <c r="G29" s="15"/>
      <c r="H29" s="14"/>
      <c r="I29" s="22"/>
      <c r="J29" s="19">
        <v>0</v>
      </c>
      <c r="K29" s="34">
        <f>1-J29</f>
        <v>1</v>
      </c>
      <c r="S29" s="24" t="s">
        <v>404</v>
      </c>
      <c r="V29" s="24" t="s">
        <v>405</v>
      </c>
      <c r="W29" t="s">
        <v>406</v>
      </c>
      <c r="X29"/>
      <c r="Y29"/>
      <c r="Z29"/>
      <c r="AA29"/>
      <c r="AB29"/>
      <c r="AC29"/>
    </row>
    <row r="30" spans="1:29" s="22" customFormat="1" x14ac:dyDescent="0.25">
      <c r="A30" s="439">
        <f>B30/1000</f>
        <v>1.18</v>
      </c>
      <c r="B30" s="25">
        <v>1180</v>
      </c>
      <c r="C30" s="17">
        <v>3.2527593439466353E-2</v>
      </c>
      <c r="D30" s="17">
        <v>0.96747240656053368</v>
      </c>
      <c r="E30" s="16">
        <f t="shared" ref="E30:E42" si="0">1-D30</f>
        <v>3.2527593439466318E-2</v>
      </c>
      <c r="F30" s="1"/>
      <c r="G30" s="440">
        <f>LN(A30)</f>
        <v>0.16551443847757333</v>
      </c>
      <c r="H30" s="21">
        <f t="shared" ref="H30:H40" si="1">LN(-LN(E30))</f>
        <v>1.2312960574412903</v>
      </c>
      <c r="I30" s="20">
        <f>G30*$C$46+$C$47</f>
        <v>1.2335121301616105</v>
      </c>
      <c r="J30" s="19">
        <f>EXP(-EXP(I30))</f>
        <v>3.2281322557717429E-2</v>
      </c>
      <c r="K30" s="34">
        <f>1-J30</f>
        <v>0.96771867744228257</v>
      </c>
      <c r="L30" s="41"/>
      <c r="M30" s="41">
        <f>(K30-D30)^2</f>
        <v>6.0649347197375277E-8</v>
      </c>
      <c r="N30" s="41"/>
      <c r="O30" s="41"/>
      <c r="Q30" s="26"/>
      <c r="R30" s="35"/>
      <c r="S30" s="22" t="s">
        <v>407</v>
      </c>
      <c r="V30" s="36" t="s">
        <v>42</v>
      </c>
      <c r="W30"/>
      <c r="X30"/>
      <c r="Y30"/>
      <c r="Z30"/>
      <c r="AA30"/>
      <c r="AB30"/>
      <c r="AC30"/>
    </row>
    <row r="31" spans="1:29" s="22" customFormat="1" x14ac:dyDescent="0.25">
      <c r="A31" s="439">
        <f t="shared" ref="A31:A42" si="2">B31/1000</f>
        <v>0.6</v>
      </c>
      <c r="B31" s="25">
        <v>600</v>
      </c>
      <c r="C31" s="17">
        <v>7.4167039163772638E-2</v>
      </c>
      <c r="D31" s="17">
        <v>0.89330536739676092</v>
      </c>
      <c r="E31" s="16">
        <f t="shared" si="0"/>
        <v>0.10669463260323908</v>
      </c>
      <c r="F31" s="1"/>
      <c r="G31" s="440">
        <f t="shared" ref="G31:G40" si="3">LN(A31)</f>
        <v>-0.51082562376599072</v>
      </c>
      <c r="H31" s="21">
        <f t="shared" si="1"/>
        <v>0.80548628065882344</v>
      </c>
      <c r="I31" s="20">
        <f t="shared" ref="I31:I40" si="4">G31*$C$46+$C$47</f>
        <v>0.71778460218010842</v>
      </c>
      <c r="J31" s="19">
        <f t="shared" ref="J31:J40" si="5">EXP(-EXP(I31))</f>
        <v>0.1287494692684982</v>
      </c>
      <c r="K31" s="34">
        <f t="shared" ref="K31:K40" si="6">1-J31</f>
        <v>0.87125053073150183</v>
      </c>
      <c r="L31" s="41"/>
      <c r="M31" s="41">
        <f t="shared" ref="M31:M40" si="7">(K31-D31)^2</f>
        <v>4.8641582033125678E-4</v>
      </c>
      <c r="N31" s="41"/>
      <c r="O31" s="41"/>
      <c r="Q31" s="26"/>
      <c r="R31" s="37">
        <v>0.95</v>
      </c>
      <c r="S31" s="57">
        <f t="shared" ref="S31:S39" si="8">$C$48*(-LN(1-R31))^(1/$C$46)*1000</f>
        <v>986.82351249747046</v>
      </c>
      <c r="U31" s="56"/>
      <c r="V31" s="38">
        <f>FORECAST(R31,$B$30:$B$31,$D$30:$D$31)</f>
        <v>1043.3625405655994</v>
      </c>
      <c r="W31" s="55">
        <f>FORECAST(R31,$B$30:$B$31,$K$30:$K$31)</f>
        <v>1073.469157779773</v>
      </c>
      <c r="X31">
        <f>FORECAST(R31,$B$30:$B$31,$K$30:$K$31)</f>
        <v>1073.469157779773</v>
      </c>
      <c r="Y31"/>
      <c r="Z31"/>
      <c r="AA31"/>
      <c r="AB31"/>
      <c r="AC31"/>
    </row>
    <row r="32" spans="1:29" x14ac:dyDescent="0.25">
      <c r="A32" s="439">
        <f t="shared" si="2"/>
        <v>0.42499999999999999</v>
      </c>
      <c r="B32" s="25">
        <v>425</v>
      </c>
      <c r="C32" s="17">
        <v>7.4889110476910908E-2</v>
      </c>
      <c r="D32" s="17">
        <v>0.81841625691985009</v>
      </c>
      <c r="E32" s="16">
        <f t="shared" si="0"/>
        <v>0.18158374308014991</v>
      </c>
      <c r="G32" s="440">
        <f t="shared" si="3"/>
        <v>-0.8556661100577202</v>
      </c>
      <c r="H32" s="21">
        <f t="shared" si="1"/>
        <v>0.53417392086031124</v>
      </c>
      <c r="I32" s="20">
        <f t="shared" si="4"/>
        <v>0.45483443632237819</v>
      </c>
      <c r="J32" s="19">
        <f t="shared" si="5"/>
        <v>0.206818755288985</v>
      </c>
      <c r="K32" s="34">
        <f t="shared" si="6"/>
        <v>0.79318124471101503</v>
      </c>
      <c r="L32" s="41"/>
      <c r="M32" s="41">
        <f t="shared" si="7"/>
        <v>6.3680584118005459E-4</v>
      </c>
      <c r="N32" s="41"/>
      <c r="O32" s="41"/>
      <c r="Q32" s="50"/>
      <c r="R32" s="39">
        <v>0.84</v>
      </c>
      <c r="S32" s="57">
        <f t="shared" si="8"/>
        <v>517.99844271211168</v>
      </c>
      <c r="U32" s="56"/>
      <c r="V32" s="38">
        <f>FORECAST(R32,$B$31:$B$32,$D$31:$D$32)</f>
        <v>475.43663911845715</v>
      </c>
      <c r="W32" s="55">
        <f>FORECAST(R32,$B$31:$B$32,$K$31:$K$32)</f>
        <v>529.94885496227425</v>
      </c>
    </row>
    <row r="33" spans="1:24" x14ac:dyDescent="0.25">
      <c r="A33" s="439">
        <f t="shared" si="2"/>
        <v>0.3</v>
      </c>
      <c r="B33" s="25">
        <v>300</v>
      </c>
      <c r="C33" s="17">
        <v>0.1227521232335041</v>
      </c>
      <c r="D33" s="17">
        <v>0.69566413368634583</v>
      </c>
      <c r="E33" s="16">
        <f t="shared" si="0"/>
        <v>0.30433586631365417</v>
      </c>
      <c r="G33" s="440">
        <f t="shared" si="3"/>
        <v>-1.2039728043259361</v>
      </c>
      <c r="H33" s="21">
        <f t="shared" si="1"/>
        <v>0.17363675622308758</v>
      </c>
      <c r="I33" s="20">
        <f t="shared" si="4"/>
        <v>0.18924119345209733</v>
      </c>
      <c r="J33" s="19">
        <f t="shared" si="5"/>
        <v>0.29869498025972613</v>
      </c>
      <c r="K33" s="34">
        <f t="shared" si="6"/>
        <v>0.70130501974027393</v>
      </c>
      <c r="L33" s="41"/>
      <c r="M33" s="41">
        <f t="shared" si="7"/>
        <v>3.1819595473400482E-5</v>
      </c>
      <c r="N33" s="41"/>
      <c r="O33" s="41"/>
      <c r="Q33" s="50"/>
      <c r="R33" s="39">
        <v>0.8</v>
      </c>
      <c r="S33" s="57">
        <f t="shared" si="8"/>
        <v>436.89613239100385</v>
      </c>
      <c r="U33" s="56"/>
      <c r="V33" s="38">
        <f>FORECAST(R33,$B$32:$B$33,$D$32:$D$33)</f>
        <v>406.24649859943986</v>
      </c>
      <c r="W33" s="55">
        <f>FORECAST(R33,$B$31:$B$32,$K$31:$K$32)</f>
        <v>440.28491211331493</v>
      </c>
    </row>
    <row r="34" spans="1:24" x14ac:dyDescent="0.25">
      <c r="A34" s="439">
        <f t="shared" si="2"/>
        <v>0.21199999999999999</v>
      </c>
      <c r="B34" s="18">
        <v>212</v>
      </c>
      <c r="C34" s="17">
        <v>0.11924491971254683</v>
      </c>
      <c r="D34" s="17">
        <v>0.57641921397379903</v>
      </c>
      <c r="E34" s="16">
        <f t="shared" si="0"/>
        <v>0.42358078602620097</v>
      </c>
      <c r="G34" s="440">
        <f t="shared" si="3"/>
        <v>-1.5511690043101247</v>
      </c>
      <c r="H34" s="21">
        <f t="shared" si="1"/>
        <v>-0.15197352232954023</v>
      </c>
      <c r="I34" s="20">
        <f t="shared" si="4"/>
        <v>-7.5505267593609871E-2</v>
      </c>
      <c r="J34" s="19">
        <f t="shared" si="5"/>
        <v>0.39563039638934527</v>
      </c>
      <c r="K34" s="34">
        <f t="shared" si="6"/>
        <v>0.60436960361065473</v>
      </c>
      <c r="L34" s="41"/>
      <c r="M34" s="41">
        <f t="shared" si="7"/>
        <v>7.8122428085205045E-4</v>
      </c>
      <c r="N34" s="41"/>
      <c r="O34" s="41"/>
      <c r="Q34" s="50"/>
      <c r="R34" s="37">
        <v>0.75</v>
      </c>
      <c r="S34" s="57">
        <f t="shared" si="8"/>
        <v>359.23031667553943</v>
      </c>
      <c r="U34" s="56"/>
      <c r="V34" s="38">
        <f>FORECAST(R34,$B$32:$B$33,$D$32:$D$33)</f>
        <v>355.33088235294133</v>
      </c>
      <c r="W34" s="55">
        <f t="shared" ref="W34:W36" si="9">FORECAST(R34,$B$30:$B$40,$K$30:$K$40)</f>
        <v>516.88835262660677</v>
      </c>
    </row>
    <row r="35" spans="1:24" x14ac:dyDescent="0.25">
      <c r="A35" s="439">
        <f t="shared" si="2"/>
        <v>0.18</v>
      </c>
      <c r="B35" s="18">
        <v>180</v>
      </c>
      <c r="C35" s="17">
        <v>4.5284186638242269E-2</v>
      </c>
      <c r="D35" s="17">
        <v>0.53113502733555673</v>
      </c>
      <c r="E35" s="16">
        <f t="shared" si="0"/>
        <v>0.46886497266444327</v>
      </c>
      <c r="G35" s="440">
        <f t="shared" si="3"/>
        <v>-1.7147984280919266</v>
      </c>
      <c r="H35" s="21">
        <f t="shared" si="1"/>
        <v>-0.27781034963198903</v>
      </c>
      <c r="I35" s="20">
        <f t="shared" si="4"/>
        <v>-0.20027711380377311</v>
      </c>
      <c r="J35" s="19">
        <f t="shared" si="5"/>
        <v>0.44109107617561666</v>
      </c>
      <c r="K35" s="34">
        <f t="shared" si="6"/>
        <v>0.5589089238243834</v>
      </c>
      <c r="L35" s="41"/>
      <c r="M35" s="41">
        <f>(K35-D35)^2</f>
        <v>7.7138932617205815E-4</v>
      </c>
      <c r="N35" s="41"/>
      <c r="O35" s="41"/>
      <c r="Q35" s="50" t="s">
        <v>47</v>
      </c>
      <c r="R35" s="39">
        <v>0.5</v>
      </c>
      <c r="S35" s="57">
        <f t="shared" si="8"/>
        <v>144.74164356686666</v>
      </c>
      <c r="U35" s="56"/>
      <c r="V35" s="54">
        <f>FORECAST(R35,$B$35:$B$36,$D$35:$D$36)</f>
        <v>160.55476020042954</v>
      </c>
      <c r="W35" s="55">
        <f t="shared" si="9"/>
        <v>218.53754368658815</v>
      </c>
    </row>
    <row r="36" spans="1:24" x14ac:dyDescent="0.25">
      <c r="A36" s="439">
        <f t="shared" si="2"/>
        <v>0.15</v>
      </c>
      <c r="B36" s="18">
        <v>150</v>
      </c>
      <c r="C36" s="17">
        <v>4.8034934497816588E-2</v>
      </c>
      <c r="D36" s="17">
        <v>0.48310009283774019</v>
      </c>
      <c r="E36" s="16">
        <f t="shared" si="0"/>
        <v>0.51689990716225975</v>
      </c>
      <c r="G36" s="440">
        <f t="shared" si="3"/>
        <v>-1.8971199848858813</v>
      </c>
      <c r="H36" s="21">
        <f t="shared" si="1"/>
        <v>-0.41565783836442438</v>
      </c>
      <c r="I36" s="20">
        <f t="shared" si="4"/>
        <v>-0.33930221527591353</v>
      </c>
      <c r="J36" s="19">
        <f t="shared" si="5"/>
        <v>0.49053082469179193</v>
      </c>
      <c r="K36" s="34">
        <f t="shared" si="6"/>
        <v>0.50946917530820812</v>
      </c>
      <c r="L36" s="41"/>
      <c r="M36" s="41">
        <f t="shared" si="7"/>
        <v>6.9532851033433907E-4</v>
      </c>
      <c r="N36" s="41"/>
      <c r="O36" s="41"/>
      <c r="Q36" s="50"/>
      <c r="R36" s="37">
        <v>0.4</v>
      </c>
      <c r="S36" s="57">
        <f t="shared" si="8"/>
        <v>96.997362240239795</v>
      </c>
      <c r="U36" s="56"/>
      <c r="V36" s="38">
        <f>FORECAST(R36,$B$37:$B$38,$D$37:$D$38)</f>
        <v>103.65385081867805</v>
      </c>
      <c r="W36" s="55">
        <f t="shared" si="9"/>
        <v>99.197220110580702</v>
      </c>
    </row>
    <row r="37" spans="1:24" x14ac:dyDescent="0.25">
      <c r="A37" s="439">
        <f t="shared" si="2"/>
        <v>0.106</v>
      </c>
      <c r="B37" s="18">
        <v>106</v>
      </c>
      <c r="C37" s="17">
        <v>7.8808926176804309E-2</v>
      </c>
      <c r="D37" s="17">
        <v>0.4042911666609359</v>
      </c>
      <c r="E37" s="16">
        <f t="shared" si="0"/>
        <v>0.5957088333390641</v>
      </c>
      <c r="F37" s="24"/>
      <c r="G37" s="440">
        <f t="shared" si="3"/>
        <v>-2.2443161848700699</v>
      </c>
      <c r="H37" s="21">
        <f t="shared" si="1"/>
        <v>-0.65777373181062482</v>
      </c>
      <c r="I37" s="20">
        <f t="shared" si="4"/>
        <v>-0.60404867632162063</v>
      </c>
      <c r="J37" s="19">
        <f t="shared" si="5"/>
        <v>0.57891815490337561</v>
      </c>
      <c r="K37" s="34">
        <f t="shared" si="6"/>
        <v>0.42108184509662439</v>
      </c>
      <c r="L37" s="41"/>
      <c r="M37" s="41">
        <f t="shared" si="7"/>
        <v>2.8192688233069445E-4</v>
      </c>
      <c r="N37" s="41"/>
      <c r="O37" s="41"/>
      <c r="Q37" s="50"/>
      <c r="R37" s="37">
        <v>0.25</v>
      </c>
      <c r="S37" s="57">
        <f t="shared" si="8"/>
        <v>45.681687624756023</v>
      </c>
      <c r="U37" s="56"/>
      <c r="V37" s="38">
        <f>FORECAST(R37,$B$39:$B$40,$D$39:$D$40)</f>
        <v>41.467353198948288</v>
      </c>
    </row>
    <row r="38" spans="1:24" x14ac:dyDescent="0.25">
      <c r="A38" s="439">
        <f t="shared" si="2"/>
        <v>7.4999999999999997E-2</v>
      </c>
      <c r="B38" s="18">
        <v>75</v>
      </c>
      <c r="C38" s="23">
        <v>5.6699790255475696E-2</v>
      </c>
      <c r="D38" s="23">
        <v>0.34759137640546017</v>
      </c>
      <c r="E38" s="16">
        <f t="shared" si="0"/>
        <v>0.65240862359453988</v>
      </c>
      <c r="F38" s="22"/>
      <c r="G38" s="440">
        <f t="shared" si="3"/>
        <v>-2.5902671654458267</v>
      </c>
      <c r="H38" s="21">
        <f t="shared" si="1"/>
        <v>-0.85077411877137399</v>
      </c>
      <c r="I38" s="20">
        <f t="shared" si="4"/>
        <v>-0.86784562400392473</v>
      </c>
      <c r="J38" s="19">
        <f t="shared" si="5"/>
        <v>0.65714203190692122</v>
      </c>
      <c r="K38" s="34">
        <f t="shared" si="6"/>
        <v>0.34285796809307878</v>
      </c>
      <c r="L38" s="41"/>
      <c r="M38" s="41">
        <f t="shared" si="7"/>
        <v>2.2405154251721266E-5</v>
      </c>
      <c r="N38" s="41"/>
      <c r="O38" s="41"/>
      <c r="Q38" s="50"/>
      <c r="R38" s="39">
        <v>0.16</v>
      </c>
      <c r="S38" s="57">
        <f t="shared" si="8"/>
        <v>23.688054273719654</v>
      </c>
      <c r="U38" s="56"/>
      <c r="V38" s="38">
        <f>FORECAST(R38,$B$40:$B$41,$D$40:$D$41)</f>
        <v>25.235427429713145</v>
      </c>
    </row>
    <row r="39" spans="1:24" x14ac:dyDescent="0.25">
      <c r="A39" s="439">
        <f t="shared" si="2"/>
        <v>5.2999999999999999E-2</v>
      </c>
      <c r="B39" s="18">
        <v>53</v>
      </c>
      <c r="C39" s="23">
        <v>6.7427706907815549E-2</v>
      </c>
      <c r="D39" s="23">
        <v>0.28016366949764465</v>
      </c>
      <c r="E39" s="16">
        <f t="shared" si="0"/>
        <v>0.7198363305023554</v>
      </c>
      <c r="F39" s="22"/>
      <c r="G39" s="440">
        <f t="shared" si="3"/>
        <v>-2.9374633654300153</v>
      </c>
      <c r="H39" s="21">
        <f t="shared" si="1"/>
        <v>-1.1125142398732921</v>
      </c>
      <c r="I39" s="20">
        <f t="shared" si="4"/>
        <v>-1.1325920850496318</v>
      </c>
      <c r="J39" s="19">
        <f t="shared" si="5"/>
        <v>0.72455543085925878</v>
      </c>
      <c r="K39" s="34">
        <f t="shared" si="6"/>
        <v>0.27544456914074122</v>
      </c>
      <c r="L39" s="41"/>
      <c r="M39" s="41">
        <f t="shared" si="7"/>
        <v>2.2269908178526055E-5</v>
      </c>
      <c r="N39" s="41"/>
      <c r="O39" s="41"/>
      <c r="Q39" s="50"/>
      <c r="R39" s="37">
        <v>0.05</v>
      </c>
      <c r="S39" s="57">
        <f t="shared" si="8"/>
        <v>4.760752487394897</v>
      </c>
      <c r="U39" s="56"/>
      <c r="V39" s="38">
        <f>FORECAST(R39,$B$40:$B$41,$D$40:$D$41)</f>
        <v>7.8860710717853584</v>
      </c>
    </row>
    <row r="40" spans="1:24" x14ac:dyDescent="0.25">
      <c r="A40" s="439">
        <f t="shared" si="2"/>
        <v>3.7999999999999999E-2</v>
      </c>
      <c r="B40" s="18">
        <v>38</v>
      </c>
      <c r="C40" s="17">
        <v>3.9232541347178761E-2</v>
      </c>
      <c r="D40" s="17">
        <v>0.24093112815046591</v>
      </c>
      <c r="E40" s="16">
        <f t="shared" si="0"/>
        <v>0.75906887184953409</v>
      </c>
      <c r="G40" s="440">
        <f t="shared" si="3"/>
        <v>-3.2701691192557512</v>
      </c>
      <c r="H40" s="21">
        <f t="shared" si="1"/>
        <v>-1.2885770246489232</v>
      </c>
      <c r="I40" s="20">
        <f t="shared" si="4"/>
        <v>-1.3862891903143757</v>
      </c>
      <c r="J40" s="19">
        <f t="shared" si="5"/>
        <v>0.77879977631260666</v>
      </c>
      <c r="K40" s="34">
        <f t="shared" si="6"/>
        <v>0.22120022368739334</v>
      </c>
      <c r="L40" s="41"/>
      <c r="M40" s="41">
        <f t="shared" si="7"/>
        <v>3.893085909308972E-4</v>
      </c>
      <c r="N40" s="41"/>
      <c r="O40" s="41"/>
      <c r="R40" s="46"/>
      <c r="T40" s="18"/>
    </row>
    <row r="41" spans="1:24" x14ac:dyDescent="0.25">
      <c r="A41" s="439">
        <f t="shared" si="2"/>
        <v>0</v>
      </c>
      <c r="B41" s="18">
        <v>0</v>
      </c>
      <c r="C41" s="17">
        <v>0.24093112815046591</v>
      </c>
      <c r="D41" s="3">
        <v>0</v>
      </c>
      <c r="E41" s="16">
        <f t="shared" si="0"/>
        <v>1</v>
      </c>
      <c r="G41" s="15"/>
      <c r="H41" s="14"/>
      <c r="K41" s="1">
        <v>0</v>
      </c>
      <c r="L41" s="1"/>
      <c r="M41" s="42"/>
      <c r="N41" s="41"/>
      <c r="O41" s="41"/>
      <c r="R41" s="46"/>
    </row>
    <row r="42" spans="1:24" x14ac:dyDescent="0.25">
      <c r="A42" s="22">
        <f t="shared" si="2"/>
        <v>0</v>
      </c>
      <c r="C42" s="3"/>
      <c r="D42" s="3"/>
      <c r="E42" s="2">
        <f t="shared" si="0"/>
        <v>1</v>
      </c>
      <c r="K42" s="43"/>
      <c r="L42" s="44"/>
      <c r="M42" s="100">
        <f>SUM(M30:M40)</f>
        <v>4.1189545593821961E-3</v>
      </c>
      <c r="N42" s="45"/>
      <c r="O42" s="45"/>
      <c r="Q42" s="1" t="s">
        <v>57</v>
      </c>
      <c r="R42" s="50" t="s">
        <v>48</v>
      </c>
      <c r="S42" s="123">
        <f>0.5*(V32-V38)</f>
        <v>225.10060584437201</v>
      </c>
      <c r="T42" s="58">
        <f>0.5*(S32-S38)</f>
        <v>247.15519421919601</v>
      </c>
      <c r="V42" s="1" t="s">
        <v>49</v>
      </c>
      <c r="W42" s="1" t="s">
        <v>50</v>
      </c>
      <c r="X42" s="1"/>
    </row>
    <row r="43" spans="1:24" x14ac:dyDescent="0.25">
      <c r="B43"/>
      <c r="C43"/>
      <c r="D43"/>
      <c r="E43"/>
      <c r="F43"/>
      <c r="G43"/>
      <c r="M43" s="40"/>
      <c r="O43" s="41"/>
    </row>
    <row r="44" spans="1:24" x14ac:dyDescent="0.25">
      <c r="B44"/>
      <c r="C44"/>
      <c r="D44"/>
      <c r="E44"/>
      <c r="F44"/>
      <c r="G44"/>
    </row>
    <row r="45" spans="1:24" x14ac:dyDescent="0.25">
      <c r="A45" s="50" t="s">
        <v>54</v>
      </c>
      <c r="C45" s="3"/>
      <c r="D45" s="47" t="s">
        <v>370</v>
      </c>
      <c r="E45" s="48"/>
      <c r="F45" s="49"/>
      <c r="G45" s="49"/>
      <c r="H45" s="49"/>
      <c r="L45" s="1"/>
      <c r="M45" s="1"/>
      <c r="N45" s="1"/>
    </row>
    <row r="46" spans="1:24" x14ac:dyDescent="0.25">
      <c r="A46" s="51" t="s">
        <v>55</v>
      </c>
      <c r="B46" s="13" t="s">
        <v>12</v>
      </c>
      <c r="C46" s="12">
        <f>SLOPE(H30:H40,G30:G40)</f>
        <v>0.76252695466644993</v>
      </c>
      <c r="D46" s="49" t="s">
        <v>369</v>
      </c>
      <c r="H46" s="49"/>
      <c r="L46" s="1"/>
    </row>
    <row r="47" spans="1:24" x14ac:dyDescent="0.25">
      <c r="A47" s="52" t="s">
        <v>56</v>
      </c>
      <c r="B47" s="9" t="s">
        <v>8</v>
      </c>
      <c r="C47" s="441">
        <f>INTERCEPT(H30:H40,G30:G40)</f>
        <v>1.107302909435979</v>
      </c>
      <c r="D47" s="49" t="s">
        <v>380</v>
      </c>
      <c r="E47" s="11"/>
      <c r="F47" s="10"/>
      <c r="H47" s="49"/>
      <c r="L47" s="1"/>
      <c r="M47" s="1"/>
      <c r="N47" s="1"/>
    </row>
    <row r="48" spans="1:24" x14ac:dyDescent="0.25">
      <c r="A48" s="53"/>
      <c r="B48" s="6" t="s">
        <v>7</v>
      </c>
      <c r="C48" s="5">
        <f>EXP(-C47/C46)</f>
        <v>0.23406669030273727</v>
      </c>
      <c r="D48" s="49" t="s">
        <v>371</v>
      </c>
      <c r="G48" s="1" t="s">
        <v>11</v>
      </c>
      <c r="J48" s="49"/>
      <c r="L48" s="1"/>
      <c r="M48" s="1"/>
      <c r="N48" s="1"/>
    </row>
    <row r="49" spans="2:12" x14ac:dyDescent="0.25">
      <c r="D49" s="49"/>
      <c r="G49" s="11" t="s">
        <v>10</v>
      </c>
      <c r="H49" s="10">
        <f>RSQ(K30:K40,D30:D40)</f>
        <v>0.99353727119926694</v>
      </c>
      <c r="J49" s="49"/>
      <c r="L49" s="1"/>
    </row>
    <row r="50" spans="2:12" x14ac:dyDescent="0.25">
      <c r="D50" s="49"/>
      <c r="F50" s="8"/>
      <c r="H50" s="49"/>
      <c r="L50" s="1"/>
    </row>
    <row r="51" spans="2:12" x14ac:dyDescent="0.25">
      <c r="F51" s="8"/>
    </row>
    <row r="52" spans="2:12" x14ac:dyDescent="0.25">
      <c r="B52" s="4"/>
    </row>
    <row r="61" spans="2:12" x14ac:dyDescent="0.25">
      <c r="B61" s="4" t="s">
        <v>6</v>
      </c>
    </row>
    <row r="63" spans="2:12" x14ac:dyDescent="0.25">
      <c r="C63" s="1" t="s">
        <v>5</v>
      </c>
    </row>
    <row r="64" spans="2:12" x14ac:dyDescent="0.25">
      <c r="C64" s="1" t="s">
        <v>4</v>
      </c>
    </row>
    <row r="65" spans="3:3" x14ac:dyDescent="0.25">
      <c r="C65" s="1" t="s">
        <v>3</v>
      </c>
    </row>
    <row r="66" spans="3:3" x14ac:dyDescent="0.25">
      <c r="C66" s="1" t="s">
        <v>2</v>
      </c>
    </row>
    <row r="67" spans="3:3" x14ac:dyDescent="0.25">
      <c r="C67" s="1" t="s">
        <v>1</v>
      </c>
    </row>
    <row r="74" spans="3:3" x14ac:dyDescent="0.25">
      <c r="C74" s="1" t="s">
        <v>0</v>
      </c>
    </row>
  </sheetData>
  <sheetProtection selectLockedCells="1" selectUnlockedCells="1"/>
  <sortState xmlns:xlrd2="http://schemas.microsoft.com/office/spreadsheetml/2017/richdata2" ref="U46:U57">
    <sortCondition ref="U46"/>
  </sortState>
  <phoneticPr fontId="19"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3EA57-7204-491F-85A3-68B6C05AE131}">
  <dimension ref="A1:AC74"/>
  <sheetViews>
    <sheetView showGridLines="0" topLeftCell="A7" zoomScale="85" zoomScaleNormal="85" workbookViewId="0">
      <selection activeCell="H30" sqref="H30"/>
    </sheetView>
  </sheetViews>
  <sheetFormatPr defaultColWidth="9" defaultRowHeight="15" x14ac:dyDescent="0.25"/>
  <cols>
    <col min="1" max="1" width="12" style="1" customWidth="1"/>
    <col min="2" max="11" width="9" style="1"/>
    <col min="12" max="12" width="9.7109375" style="3" bestFit="1" customWidth="1"/>
    <col min="13" max="13" width="10.5703125" style="3" bestFit="1" customWidth="1"/>
    <col min="14" max="14" width="7.140625" style="2" customWidth="1"/>
    <col min="15" max="15" width="7.42578125" style="1" customWidth="1"/>
    <col min="16" max="18" width="9" style="1"/>
    <col min="19" max="19" width="10" style="1" bestFit="1" customWidth="1"/>
    <col min="21" max="21" width="10" bestFit="1" customWidth="1"/>
    <col min="22" max="22" width="10.42578125" customWidth="1"/>
    <col min="30" max="16384" width="9" style="1"/>
  </cols>
  <sheetData>
    <row r="1" spans="2:15" x14ac:dyDescent="0.25">
      <c r="B1" s="32" t="s">
        <v>39</v>
      </c>
      <c r="F1" s="4" t="s">
        <v>38</v>
      </c>
      <c r="G1" s="33">
        <f ca="1">TODAY()</f>
        <v>43962</v>
      </c>
    </row>
    <row r="2" spans="2:15" x14ac:dyDescent="0.25">
      <c r="F2" s="4" t="s">
        <v>37</v>
      </c>
      <c r="G2" s="1" t="s">
        <v>36</v>
      </c>
    </row>
    <row r="3" spans="2:15" x14ac:dyDescent="0.25">
      <c r="B3" s="4" t="s">
        <v>35</v>
      </c>
      <c r="C3" s="1" t="s">
        <v>34</v>
      </c>
      <c r="F3" s="32" t="s">
        <v>33</v>
      </c>
      <c r="G3" s="29"/>
    </row>
    <row r="4" spans="2:15" x14ac:dyDescent="0.25">
      <c r="B4" s="4" t="s">
        <v>32</v>
      </c>
      <c r="C4" s="29" t="s">
        <v>31</v>
      </c>
    </row>
    <row r="5" spans="2:15" x14ac:dyDescent="0.25">
      <c r="B5" s="30"/>
      <c r="C5" s="31"/>
      <c r="D5" s="31"/>
      <c r="E5" s="30"/>
      <c r="F5" s="30"/>
      <c r="G5" s="30"/>
      <c r="H5" s="30"/>
    </row>
    <row r="6" spans="2:15" x14ac:dyDescent="0.25">
      <c r="C6" s="4"/>
      <c r="D6" s="4"/>
    </row>
    <row r="7" spans="2:15" x14ac:dyDescent="0.25">
      <c r="B7" s="4" t="s">
        <v>30</v>
      </c>
      <c r="C7" s="4"/>
      <c r="D7" s="4"/>
    </row>
    <row r="8" spans="2:15" x14ac:dyDescent="0.25">
      <c r="C8" s="4"/>
      <c r="D8" s="4"/>
    </row>
    <row r="9" spans="2:15" x14ac:dyDescent="0.25">
      <c r="C9" s="4"/>
      <c r="D9" s="4"/>
    </row>
    <row r="10" spans="2:15" x14ac:dyDescent="0.25">
      <c r="B10" s="4" t="s">
        <v>29</v>
      </c>
      <c r="C10" s="4"/>
      <c r="D10" s="4"/>
      <c r="L10" s="4"/>
      <c r="M10" s="1"/>
      <c r="N10" s="1"/>
    </row>
    <row r="11" spans="2:15" x14ac:dyDescent="0.25">
      <c r="C11" s="29"/>
      <c r="D11" s="29"/>
      <c r="L11" s="1"/>
      <c r="M11" s="1"/>
      <c r="N11" s="1"/>
      <c r="O11" s="11"/>
    </row>
    <row r="12" spans="2:15" x14ac:dyDescent="0.25">
      <c r="C12" s="29"/>
      <c r="D12" s="29"/>
      <c r="L12" s="1"/>
      <c r="M12" s="1"/>
      <c r="N12" s="1"/>
      <c r="O12" s="8"/>
    </row>
    <row r="13" spans="2:15" x14ac:dyDescent="0.25">
      <c r="C13" s="29"/>
      <c r="D13" s="29"/>
      <c r="L13" s="4"/>
      <c r="M13" s="1"/>
      <c r="N13" s="1"/>
      <c r="O13" s="8"/>
    </row>
    <row r="14" spans="2:15" x14ac:dyDescent="0.25">
      <c r="C14" s="29"/>
      <c r="D14" s="29"/>
      <c r="L14" s="4"/>
      <c r="M14" s="1"/>
      <c r="N14" s="1"/>
    </row>
    <row r="15" spans="2:15" x14ac:dyDescent="0.25">
      <c r="C15" s="29"/>
      <c r="D15" s="29"/>
    </row>
    <row r="16" spans="2:15" x14ac:dyDescent="0.25">
      <c r="C16" s="29"/>
      <c r="D16" s="29"/>
    </row>
    <row r="17" spans="1:29" x14ac:dyDescent="0.25">
      <c r="D17" s="29"/>
    </row>
    <row r="18" spans="1:29" x14ac:dyDescent="0.25">
      <c r="C18" s="29"/>
      <c r="D18" s="29"/>
    </row>
    <row r="19" spans="1:29" x14ac:dyDescent="0.25">
      <c r="B19" s="4" t="s">
        <v>28</v>
      </c>
      <c r="C19" s="4"/>
      <c r="D19" s="4"/>
    </row>
    <row r="20" spans="1:29" x14ac:dyDescent="0.25">
      <c r="C20" s="1" t="s">
        <v>27</v>
      </c>
      <c r="D20" s="4"/>
    </row>
    <row r="21" spans="1:29" x14ac:dyDescent="0.25">
      <c r="C21" s="4"/>
      <c r="D21" s="4" t="s">
        <v>26</v>
      </c>
    </row>
    <row r="22" spans="1:29" x14ac:dyDescent="0.25">
      <c r="C22" s="29"/>
      <c r="D22" s="24"/>
    </row>
    <row r="23" spans="1:29" x14ac:dyDescent="0.25">
      <c r="A23" s="431" t="s">
        <v>373</v>
      </c>
      <c r="B23" s="431"/>
      <c r="C23" s="29" t="s">
        <v>25</v>
      </c>
      <c r="D23" s="4" t="s">
        <v>24</v>
      </c>
      <c r="F23" s="442" t="s">
        <v>378</v>
      </c>
      <c r="G23" s="442"/>
    </row>
    <row r="24" spans="1:29" x14ac:dyDescent="0.25">
      <c r="A24" s="431" t="s">
        <v>374</v>
      </c>
      <c r="B24" s="431"/>
      <c r="C24" s="29"/>
      <c r="D24" s="4" t="s">
        <v>23</v>
      </c>
      <c r="F24" s="442" t="s">
        <v>379</v>
      </c>
      <c r="G24" s="442"/>
    </row>
    <row r="25" spans="1:29" x14ac:dyDescent="0.25">
      <c r="C25" s="29"/>
    </row>
    <row r="26" spans="1:29" x14ac:dyDescent="0.25">
      <c r="C26" s="29" t="s">
        <v>22</v>
      </c>
      <c r="D26" s="29"/>
    </row>
    <row r="27" spans="1:29" x14ac:dyDescent="0.25">
      <c r="C27" s="29"/>
      <c r="D27" s="29"/>
      <c r="I27" s="1" t="s">
        <v>375</v>
      </c>
      <c r="M27" s="3" t="s">
        <v>45</v>
      </c>
      <c r="N27" s="3" t="s">
        <v>53</v>
      </c>
      <c r="R27" s="442" t="s">
        <v>397</v>
      </c>
      <c r="S27" s="442"/>
      <c r="T27" s="443"/>
      <c r="U27" s="443"/>
    </row>
    <row r="28" spans="1:29" ht="26.25" x14ac:dyDescent="0.25">
      <c r="A28" s="24" t="s">
        <v>21</v>
      </c>
      <c r="C28" s="28"/>
      <c r="E28" s="28" t="s">
        <v>20</v>
      </c>
      <c r="G28" s="1" t="s">
        <v>19</v>
      </c>
      <c r="H28" s="1" t="s">
        <v>18</v>
      </c>
      <c r="I28" s="27" t="s">
        <v>17</v>
      </c>
      <c r="J28" s="26" t="s">
        <v>41</v>
      </c>
      <c r="K28" s="26" t="s">
        <v>40</v>
      </c>
      <c r="M28" s="3" t="s">
        <v>52</v>
      </c>
      <c r="S28" s="444" t="s">
        <v>377</v>
      </c>
      <c r="T28" s="444" t="s">
        <v>396</v>
      </c>
      <c r="U28" s="1"/>
    </row>
    <row r="29" spans="1:29" s="24" customFormat="1" x14ac:dyDescent="0.25">
      <c r="A29" s="432" t="s">
        <v>42</v>
      </c>
      <c r="B29" s="26" t="s">
        <v>16</v>
      </c>
      <c r="C29" s="3" t="s">
        <v>15</v>
      </c>
      <c r="D29" s="3" t="s">
        <v>14</v>
      </c>
      <c r="E29" s="2" t="s">
        <v>13</v>
      </c>
      <c r="F29" s="1"/>
      <c r="G29" s="15"/>
      <c r="H29" s="14"/>
      <c r="I29" s="22"/>
      <c r="J29" s="19">
        <v>0</v>
      </c>
      <c r="K29" s="34">
        <f>1-J29</f>
        <v>1</v>
      </c>
      <c r="S29" s="445" t="s">
        <v>43</v>
      </c>
      <c r="T29" s="445" t="s">
        <v>44</v>
      </c>
      <c r="V29"/>
      <c r="W29"/>
      <c r="X29"/>
      <c r="Y29"/>
      <c r="Z29"/>
      <c r="AA29"/>
      <c r="AB29"/>
      <c r="AC29"/>
    </row>
    <row r="30" spans="1:29" s="22" customFormat="1" x14ac:dyDescent="0.25">
      <c r="A30" s="433">
        <f>B30</f>
        <v>1180</v>
      </c>
      <c r="B30" s="25">
        <v>1180</v>
      </c>
      <c r="C30" s="17">
        <v>3.2527593439466353E-2</v>
      </c>
      <c r="D30" s="17">
        <v>0.96747240656053368</v>
      </c>
      <c r="E30" s="16">
        <f t="shared" ref="E30:E42" si="0">1-D30</f>
        <v>3.2527593439466318E-2</v>
      </c>
      <c r="F30" s="1"/>
      <c r="G30" s="434">
        <f>LN(A30)</f>
        <v>7.0732697174597101</v>
      </c>
      <c r="H30" s="21">
        <f t="shared" ref="H30:H40" si="1">LN(-LN(E30))</f>
        <v>1.2312960574412903</v>
      </c>
      <c r="I30" s="20">
        <f>G30*$C$46+$C$47</f>
        <v>1.2335121301616105</v>
      </c>
      <c r="J30" s="19">
        <f>EXP(-EXP(I30))</f>
        <v>3.2281322557717429E-2</v>
      </c>
      <c r="K30" s="34">
        <f>1-J30</f>
        <v>0.96771867744228257</v>
      </c>
      <c r="L30" s="41">
        <f>(I30-H30)^2</f>
        <v>4.9109783017473965E-6</v>
      </c>
      <c r="M30" s="41">
        <f>(K30-D30)^2</f>
        <v>6.0649347197375277E-8</v>
      </c>
      <c r="N30" s="41"/>
      <c r="O30" s="41"/>
      <c r="Q30" s="26"/>
      <c r="R30" s="35"/>
      <c r="S30" s="248" t="s">
        <v>42</v>
      </c>
      <c r="T30" s="449"/>
      <c r="V30"/>
      <c r="W30"/>
      <c r="X30"/>
      <c r="Y30"/>
      <c r="Z30"/>
      <c r="AA30"/>
      <c r="AB30"/>
      <c r="AC30"/>
    </row>
    <row r="31" spans="1:29" s="22" customFormat="1" x14ac:dyDescent="0.25">
      <c r="A31" s="433">
        <f t="shared" ref="A31:A41" si="2">B31</f>
        <v>600</v>
      </c>
      <c r="B31" s="25">
        <v>600</v>
      </c>
      <c r="C31" s="17">
        <v>7.4167039163772638E-2</v>
      </c>
      <c r="D31" s="17">
        <v>0.89330536739676092</v>
      </c>
      <c r="E31" s="16">
        <f t="shared" si="0"/>
        <v>0.10669463260323908</v>
      </c>
      <c r="F31" s="1"/>
      <c r="G31" s="434">
        <f t="shared" ref="G31:G40" si="3">LN(A31)</f>
        <v>6.3969296552161463</v>
      </c>
      <c r="H31" s="21">
        <f>LN(-LN(E31))</f>
        <v>0.80548628065882344</v>
      </c>
      <c r="I31" s="20">
        <f t="shared" ref="I31:I40" si="4">G31*$C$46+$C$47</f>
        <v>0.71778460218010842</v>
      </c>
      <c r="J31" s="19">
        <f t="shared" ref="J31:J40" si="5">EXP(-EXP(I31))</f>
        <v>0.1287494692684982</v>
      </c>
      <c r="K31" s="34">
        <f t="shared" ref="K31:K40" si="6">1-J31</f>
        <v>0.87125053073150183</v>
      </c>
      <c r="L31" s="41">
        <f t="shared" ref="L31:L40" si="7">(I31-H31)^2</f>
        <v>7.6915844079839049E-3</v>
      </c>
      <c r="M31" s="41">
        <f t="shared" ref="M31:M40" si="8">(K31-D31)^2</f>
        <v>4.8641582033125678E-4</v>
      </c>
      <c r="N31" s="41"/>
      <c r="O31" s="41"/>
      <c r="Q31" s="26"/>
      <c r="R31" s="37">
        <v>0.95</v>
      </c>
      <c r="S31" s="446">
        <f>FORECAST(R31,$B$30:$B$31,$D$30:$D$31)</f>
        <v>1043.3625405655994</v>
      </c>
      <c r="T31" s="450">
        <f>$C$48*(-LN(1-R31))^(1/$C$46)</f>
        <v>986.82351249747069</v>
      </c>
      <c r="U31" s="436"/>
      <c r="W31" s="55"/>
      <c r="X31"/>
      <c r="Y31"/>
      <c r="Z31"/>
      <c r="AA31"/>
      <c r="AB31"/>
      <c r="AC31"/>
    </row>
    <row r="32" spans="1:29" x14ac:dyDescent="0.25">
      <c r="A32" s="433">
        <f t="shared" si="2"/>
        <v>425</v>
      </c>
      <c r="B32" s="25">
        <v>425</v>
      </c>
      <c r="C32" s="17">
        <v>7.4889110476910908E-2</v>
      </c>
      <c r="D32" s="17">
        <v>0.81841625691985009</v>
      </c>
      <c r="E32" s="16">
        <f t="shared" si="0"/>
        <v>0.18158374308014991</v>
      </c>
      <c r="G32" s="434">
        <f t="shared" si="3"/>
        <v>6.0520891689244172</v>
      </c>
      <c r="H32" s="21">
        <f t="shared" si="1"/>
        <v>0.53417392086031124</v>
      </c>
      <c r="I32" s="20">
        <f t="shared" si="4"/>
        <v>0.45483443632237819</v>
      </c>
      <c r="J32" s="19">
        <f t="shared" si="5"/>
        <v>0.206818755288985</v>
      </c>
      <c r="K32" s="34">
        <f t="shared" si="6"/>
        <v>0.79318124471101503</v>
      </c>
      <c r="L32" s="41">
        <f t="shared" si="7"/>
        <v>6.2947538067449167E-3</v>
      </c>
      <c r="M32" s="41">
        <f t="shared" si="8"/>
        <v>6.3680584118005459E-4</v>
      </c>
      <c r="N32" s="41"/>
      <c r="O32" s="41"/>
      <c r="Q32" s="50"/>
      <c r="R32" s="39">
        <v>0.84</v>
      </c>
      <c r="S32" s="446">
        <f>FORECAST(R32,$B$31:$B$32,$D$31:$D$32)</f>
        <v>475.43663911845715</v>
      </c>
      <c r="T32" s="450">
        <f t="shared" ref="T32:T39" si="9">$C$48*(-LN(1-R32))^(1/$C$46)</f>
        <v>517.9984427121118</v>
      </c>
      <c r="U32" s="436"/>
      <c r="W32" s="55"/>
    </row>
    <row r="33" spans="1:24" x14ac:dyDescent="0.25">
      <c r="A33" s="433">
        <f t="shared" si="2"/>
        <v>300</v>
      </c>
      <c r="B33" s="25">
        <v>300</v>
      </c>
      <c r="C33" s="17">
        <v>0.1227521232335041</v>
      </c>
      <c r="D33" s="17">
        <v>0.69566413368634583</v>
      </c>
      <c r="E33" s="16">
        <f t="shared" si="0"/>
        <v>0.30433586631365417</v>
      </c>
      <c r="G33" s="434">
        <f t="shared" si="3"/>
        <v>5.7037824746562009</v>
      </c>
      <c r="H33" s="21">
        <f t="shared" si="1"/>
        <v>0.17363675622308758</v>
      </c>
      <c r="I33" s="20">
        <f t="shared" si="4"/>
        <v>0.189241193452097</v>
      </c>
      <c r="J33" s="19">
        <f t="shared" si="5"/>
        <v>0.29869498025972624</v>
      </c>
      <c r="K33" s="34">
        <f t="shared" si="6"/>
        <v>0.70130501974027371</v>
      </c>
      <c r="L33" s="41">
        <f t="shared" si="7"/>
        <v>2.4349846123409522E-4</v>
      </c>
      <c r="M33" s="41">
        <f t="shared" si="8"/>
        <v>3.1819595473397982E-5</v>
      </c>
      <c r="N33" s="41"/>
      <c r="O33" s="41"/>
      <c r="Q33" s="50"/>
      <c r="R33" s="39">
        <v>0.8</v>
      </c>
      <c r="S33" s="446">
        <f>FORECAST(R33,$B$32:$B$33,$D$32:$D$33)</f>
        <v>406.24649859943986</v>
      </c>
      <c r="T33" s="450">
        <f t="shared" si="9"/>
        <v>436.8961323910039</v>
      </c>
      <c r="U33" s="435"/>
      <c r="W33" s="55"/>
    </row>
    <row r="34" spans="1:24" x14ac:dyDescent="0.25">
      <c r="A34" s="433">
        <f t="shared" si="2"/>
        <v>212</v>
      </c>
      <c r="B34" s="18">
        <v>212</v>
      </c>
      <c r="C34" s="17">
        <v>0.11924491971254683</v>
      </c>
      <c r="D34" s="17">
        <v>0.57641921397379903</v>
      </c>
      <c r="E34" s="16">
        <f t="shared" si="0"/>
        <v>0.42358078602620097</v>
      </c>
      <c r="G34" s="434">
        <f t="shared" si="3"/>
        <v>5.3565862746720123</v>
      </c>
      <c r="H34" s="21">
        <f t="shared" si="1"/>
        <v>-0.15197352232954023</v>
      </c>
      <c r="I34" s="20">
        <f t="shared" si="4"/>
        <v>-7.5505267593610093E-2</v>
      </c>
      <c r="J34" s="19">
        <f t="shared" si="5"/>
        <v>0.39563039638934533</v>
      </c>
      <c r="K34" s="34">
        <f t="shared" si="6"/>
        <v>0.60436960361065473</v>
      </c>
      <c r="L34" s="41">
        <f t="shared" si="7"/>
        <v>5.8473939823591014E-3</v>
      </c>
      <c r="M34" s="41">
        <f t="shared" si="8"/>
        <v>7.8122428085205045E-4</v>
      </c>
      <c r="N34" s="41"/>
      <c r="O34" s="41"/>
      <c r="Q34" s="50"/>
      <c r="R34" s="37">
        <v>0.75</v>
      </c>
      <c r="S34" s="446">
        <f>FORECAST(R34,$B$32:$B$33,$D$32:$D$33)</f>
        <v>355.33088235294133</v>
      </c>
      <c r="T34" s="450">
        <f t="shared" si="9"/>
        <v>359.23031667553954</v>
      </c>
      <c r="U34" s="436"/>
      <c r="W34" s="55"/>
    </row>
    <row r="35" spans="1:24" x14ac:dyDescent="0.25">
      <c r="A35" s="433">
        <f t="shared" si="2"/>
        <v>180</v>
      </c>
      <c r="B35" s="18">
        <v>180</v>
      </c>
      <c r="C35" s="17">
        <v>4.5284186638242269E-2</v>
      </c>
      <c r="D35" s="17">
        <v>0.53113502733555673</v>
      </c>
      <c r="E35" s="16">
        <f t="shared" si="0"/>
        <v>0.46886497266444327</v>
      </c>
      <c r="G35" s="434">
        <f t="shared" si="3"/>
        <v>5.1929568508902104</v>
      </c>
      <c r="H35" s="21">
        <f t="shared" si="1"/>
        <v>-0.27781034963198903</v>
      </c>
      <c r="I35" s="20">
        <f t="shared" si="4"/>
        <v>-0.20027711380377333</v>
      </c>
      <c r="J35" s="19">
        <f t="shared" si="5"/>
        <v>0.44109107617561671</v>
      </c>
      <c r="K35" s="34">
        <f t="shared" si="6"/>
        <v>0.55890892382438329</v>
      </c>
      <c r="L35" s="41">
        <f t="shared" si="7"/>
        <v>6.0114026579937098E-3</v>
      </c>
      <c r="M35" s="41">
        <f>(K35-D35)^2</f>
        <v>7.7138932617205208E-4</v>
      </c>
      <c r="N35" s="41"/>
      <c r="O35" s="41"/>
      <c r="Q35" s="50" t="s">
        <v>47</v>
      </c>
      <c r="R35" s="39">
        <v>0.5</v>
      </c>
      <c r="S35" s="447">
        <f>FORECAST(R35,$B$35:$B$36,$D$35:$D$36)</f>
        <v>160.55476020042954</v>
      </c>
      <c r="T35" s="450">
        <f t="shared" si="9"/>
        <v>144.74164356686671</v>
      </c>
      <c r="U35" s="436"/>
      <c r="W35" s="55"/>
    </row>
    <row r="36" spans="1:24" x14ac:dyDescent="0.25">
      <c r="A36" s="433">
        <f t="shared" si="2"/>
        <v>150</v>
      </c>
      <c r="B36" s="18">
        <v>150</v>
      </c>
      <c r="C36" s="17">
        <v>4.8034934497816588E-2</v>
      </c>
      <c r="D36" s="17">
        <v>0.48310009283774019</v>
      </c>
      <c r="E36" s="16">
        <f t="shared" si="0"/>
        <v>0.51689990716225975</v>
      </c>
      <c r="G36" s="434">
        <f t="shared" si="3"/>
        <v>5.0106352940962555</v>
      </c>
      <c r="H36" s="21">
        <f t="shared" si="1"/>
        <v>-0.41565783836442438</v>
      </c>
      <c r="I36" s="20">
        <f t="shared" si="4"/>
        <v>-0.33930221527591398</v>
      </c>
      <c r="J36" s="19">
        <f t="shared" si="5"/>
        <v>0.49053082469179204</v>
      </c>
      <c r="K36" s="34">
        <f t="shared" si="6"/>
        <v>0.5094691753082079</v>
      </c>
      <c r="L36" s="41">
        <f t="shared" si="7"/>
        <v>5.830181177234663E-3</v>
      </c>
      <c r="M36" s="41">
        <f t="shared" si="8"/>
        <v>6.9532851033432736E-4</v>
      </c>
      <c r="N36" s="41"/>
      <c r="O36" s="41"/>
      <c r="Q36" s="50"/>
      <c r="R36" s="37">
        <v>0.4</v>
      </c>
      <c r="S36" s="446">
        <f>FORECAST(R36,$B$37:$B$38,$D$37:$D$38)</f>
        <v>103.65385081867805</v>
      </c>
      <c r="T36" s="450">
        <f t="shared" si="9"/>
        <v>96.997362240239809</v>
      </c>
      <c r="U36" s="436"/>
      <c r="W36" s="55"/>
    </row>
    <row r="37" spans="1:24" x14ac:dyDescent="0.25">
      <c r="A37" s="433">
        <f t="shared" si="2"/>
        <v>106</v>
      </c>
      <c r="B37" s="18">
        <v>106</v>
      </c>
      <c r="C37" s="17">
        <v>7.8808926176804309E-2</v>
      </c>
      <c r="D37" s="17">
        <v>0.4042911666609359</v>
      </c>
      <c r="E37" s="16">
        <f t="shared" si="0"/>
        <v>0.5957088333390641</v>
      </c>
      <c r="F37" s="24"/>
      <c r="G37" s="434">
        <f t="shared" si="3"/>
        <v>4.6634390941120669</v>
      </c>
      <c r="H37" s="21">
        <f t="shared" si="1"/>
        <v>-0.65777373181062482</v>
      </c>
      <c r="I37" s="20">
        <f t="shared" si="4"/>
        <v>-0.60404867632162107</v>
      </c>
      <c r="J37" s="19">
        <f t="shared" si="5"/>
        <v>0.57891815490337584</v>
      </c>
      <c r="K37" s="34">
        <f t="shared" si="6"/>
        <v>0.42108184509662416</v>
      </c>
      <c r="L37" s="41">
        <f t="shared" si="7"/>
        <v>2.8863815872965316E-3</v>
      </c>
      <c r="M37" s="41">
        <f t="shared" si="8"/>
        <v>2.8192688233068697E-4</v>
      </c>
      <c r="N37" s="41"/>
      <c r="O37" s="41"/>
      <c r="Q37" s="50"/>
      <c r="R37" s="37">
        <v>0.25</v>
      </c>
      <c r="S37" s="446">
        <f>FORECAST(R37,$B$39:$B$40,$D$39:$D$40)</f>
        <v>41.467353198948288</v>
      </c>
      <c r="T37" s="450">
        <f t="shared" si="9"/>
        <v>45.681687624756037</v>
      </c>
      <c r="U37" s="436"/>
    </row>
    <row r="38" spans="1:24" x14ac:dyDescent="0.25">
      <c r="A38" s="433">
        <f t="shared" si="2"/>
        <v>75</v>
      </c>
      <c r="B38" s="18">
        <v>75</v>
      </c>
      <c r="C38" s="23">
        <v>5.6699790255475696E-2</v>
      </c>
      <c r="D38" s="23">
        <v>0.34759137640546017</v>
      </c>
      <c r="E38" s="16">
        <f t="shared" si="0"/>
        <v>0.65240862359453988</v>
      </c>
      <c r="F38" s="22"/>
      <c r="G38" s="434">
        <f t="shared" si="3"/>
        <v>4.3174881135363101</v>
      </c>
      <c r="H38" s="21">
        <f t="shared" si="1"/>
        <v>-0.85077411877137399</v>
      </c>
      <c r="I38" s="20">
        <f t="shared" si="4"/>
        <v>-0.86784562400392495</v>
      </c>
      <c r="J38" s="19">
        <f t="shared" si="5"/>
        <v>0.65714203190692122</v>
      </c>
      <c r="K38" s="34">
        <f t="shared" si="6"/>
        <v>0.34285796809307878</v>
      </c>
      <c r="L38" s="41">
        <f t="shared" si="7"/>
        <v>2.9143629090501498E-4</v>
      </c>
      <c r="M38" s="41">
        <f t="shared" si="8"/>
        <v>2.2405154251721266E-5</v>
      </c>
      <c r="N38" s="41"/>
      <c r="O38" s="41"/>
      <c r="Q38" s="50"/>
      <c r="R38" s="39">
        <v>0.16</v>
      </c>
      <c r="S38" s="446">
        <f>FORECAST(R38,$B$40:$B$41,$D$40:$D$41)</f>
        <v>25.235427429713145</v>
      </c>
      <c r="T38" s="450">
        <f t="shared" si="9"/>
        <v>23.688054273719661</v>
      </c>
      <c r="U38" s="436"/>
    </row>
    <row r="39" spans="1:24" x14ac:dyDescent="0.25">
      <c r="A39" s="433">
        <f t="shared" si="2"/>
        <v>53</v>
      </c>
      <c r="B39" s="18">
        <v>53</v>
      </c>
      <c r="C39" s="23">
        <v>6.7427706907815549E-2</v>
      </c>
      <c r="D39" s="23">
        <v>0.28016366949764465</v>
      </c>
      <c r="E39" s="16">
        <f t="shared" si="0"/>
        <v>0.7198363305023554</v>
      </c>
      <c r="F39" s="22"/>
      <c r="G39" s="434">
        <f t="shared" si="3"/>
        <v>3.970291913552122</v>
      </c>
      <c r="H39" s="21">
        <f t="shared" si="1"/>
        <v>-1.1125142398732921</v>
      </c>
      <c r="I39" s="20">
        <f t="shared" si="4"/>
        <v>-1.1325920850496316</v>
      </c>
      <c r="J39" s="19">
        <f t="shared" si="5"/>
        <v>0.72455543085925866</v>
      </c>
      <c r="K39" s="34">
        <f t="shared" si="6"/>
        <v>0.27544456914074134</v>
      </c>
      <c r="L39" s="41">
        <f t="shared" si="7"/>
        <v>4.0311986692505861E-4</v>
      </c>
      <c r="M39" s="41">
        <f t="shared" si="8"/>
        <v>2.2269908178525008E-5</v>
      </c>
      <c r="N39" s="41"/>
      <c r="O39" s="41"/>
      <c r="Q39" s="50"/>
      <c r="R39" s="37">
        <v>0.05</v>
      </c>
      <c r="S39" s="448">
        <f>FORECAST(R39,$B$40:$B$41,$D$40:$D$41)</f>
        <v>7.8860710717853584</v>
      </c>
      <c r="T39" s="451">
        <f t="shared" si="9"/>
        <v>4.7607524873948979</v>
      </c>
      <c r="U39" s="436"/>
    </row>
    <row r="40" spans="1:24" x14ac:dyDescent="0.25">
      <c r="A40" s="433">
        <f t="shared" si="2"/>
        <v>38</v>
      </c>
      <c r="B40" s="18">
        <v>38</v>
      </c>
      <c r="C40" s="17">
        <v>3.9232541347178761E-2</v>
      </c>
      <c r="D40" s="17">
        <v>0.24093112815046591</v>
      </c>
      <c r="E40" s="16">
        <f t="shared" si="0"/>
        <v>0.75906887184953409</v>
      </c>
      <c r="G40" s="434">
        <f t="shared" si="3"/>
        <v>3.6375861597263857</v>
      </c>
      <c r="H40" s="21">
        <f t="shared" si="1"/>
        <v>-1.2885770246489232</v>
      </c>
      <c r="I40" s="20">
        <f t="shared" si="4"/>
        <v>-1.3862891903143759</v>
      </c>
      <c r="J40" s="19">
        <f t="shared" si="5"/>
        <v>0.77879977631260677</v>
      </c>
      <c r="K40" s="34">
        <f t="shared" si="6"/>
        <v>0.22120022368739323</v>
      </c>
      <c r="L40" s="41">
        <f t="shared" si="7"/>
        <v>9.5476673190328758E-3</v>
      </c>
      <c r="M40" s="41">
        <f t="shared" si="8"/>
        <v>3.8930859093090159E-4</v>
      </c>
      <c r="N40" s="41"/>
      <c r="O40" s="41"/>
      <c r="R40" s="46"/>
      <c r="T40" s="18"/>
    </row>
    <row r="41" spans="1:24" x14ac:dyDescent="0.25">
      <c r="A41" s="433">
        <f t="shared" si="2"/>
        <v>0</v>
      </c>
      <c r="B41" s="18">
        <v>0</v>
      </c>
      <c r="C41" s="17">
        <v>0.24093112815046591</v>
      </c>
      <c r="D41" s="3">
        <v>0</v>
      </c>
      <c r="E41" s="16">
        <f t="shared" si="0"/>
        <v>1</v>
      </c>
      <c r="G41" s="15"/>
      <c r="H41" s="14"/>
      <c r="K41" s="1">
        <v>0</v>
      </c>
      <c r="L41" s="1"/>
      <c r="M41" s="42"/>
      <c r="N41" s="41"/>
      <c r="O41" s="41"/>
      <c r="R41" s="46"/>
    </row>
    <row r="42" spans="1:24" x14ac:dyDescent="0.25">
      <c r="A42" s="22"/>
      <c r="C42" s="3"/>
      <c r="D42" s="3"/>
      <c r="E42" s="2">
        <f t="shared" si="0"/>
        <v>1</v>
      </c>
      <c r="K42" s="43"/>
      <c r="L42" s="100">
        <f>SUM(L30:L40)</f>
        <v>4.5052330536011626E-2</v>
      </c>
      <c r="M42" s="100">
        <f>SUM(M30:M40)</f>
        <v>4.1189545593821719E-3</v>
      </c>
      <c r="N42" s="45"/>
      <c r="O42" s="45"/>
      <c r="Q42" s="1" t="s">
        <v>57</v>
      </c>
      <c r="R42" s="50" t="s">
        <v>48</v>
      </c>
      <c r="S42" s="123">
        <f>0.5*(S32-S38)</f>
        <v>225.10060584437201</v>
      </c>
      <c r="T42" s="58">
        <f>0.5*(T32-T38)</f>
        <v>247.15519421919606</v>
      </c>
      <c r="V42" s="1" t="s">
        <v>49</v>
      </c>
      <c r="W42" s="1" t="s">
        <v>50</v>
      </c>
      <c r="X42" s="1"/>
    </row>
    <row r="43" spans="1:24" x14ac:dyDescent="0.25">
      <c r="B43"/>
      <c r="C43"/>
      <c r="D43"/>
      <c r="E43"/>
      <c r="F43"/>
      <c r="G43"/>
      <c r="M43" s="40"/>
      <c r="O43" s="41"/>
    </row>
    <row r="44" spans="1:24" x14ac:dyDescent="0.25">
      <c r="B44"/>
      <c r="C44"/>
      <c r="D44"/>
      <c r="E44"/>
      <c r="F44"/>
      <c r="G44"/>
    </row>
    <row r="45" spans="1:24" x14ac:dyDescent="0.25">
      <c r="A45" s="11" t="s">
        <v>395</v>
      </c>
      <c r="C45" s="3"/>
      <c r="D45" s="47" t="s">
        <v>370</v>
      </c>
      <c r="E45" s="48"/>
      <c r="F45" s="49"/>
      <c r="G45" s="49"/>
      <c r="H45" s="49"/>
      <c r="L45" s="1"/>
      <c r="M45" s="1"/>
      <c r="N45" s="1"/>
    </row>
    <row r="46" spans="1:24" x14ac:dyDescent="0.25">
      <c r="A46" s="51" t="s">
        <v>55</v>
      </c>
      <c r="B46" s="13" t="s">
        <v>12</v>
      </c>
      <c r="C46" s="12">
        <f>SLOPE(H30:H40,G30:G40)</f>
        <v>0.76252695466644993</v>
      </c>
      <c r="D46" s="49" t="s">
        <v>369</v>
      </c>
      <c r="H46" s="49"/>
      <c r="L46" s="1"/>
    </row>
    <row r="47" spans="1:24" x14ac:dyDescent="0.25">
      <c r="A47" s="52" t="s">
        <v>56</v>
      </c>
      <c r="B47" s="9" t="s">
        <v>8</v>
      </c>
      <c r="C47" s="7">
        <f>INTERCEPT(H30:H40,G30:G40)</f>
        <v>-4.1600466870273634</v>
      </c>
      <c r="D47" s="49"/>
      <c r="E47" s="11"/>
      <c r="F47" s="10"/>
      <c r="H47" s="49"/>
      <c r="L47" s="1"/>
      <c r="M47" s="1"/>
      <c r="N47" s="1"/>
    </row>
    <row r="48" spans="1:24" x14ac:dyDescent="0.25">
      <c r="A48" s="53"/>
      <c r="B48" s="6" t="s">
        <v>7</v>
      </c>
      <c r="C48" s="5">
        <f>EXP(-C47/C46)</f>
        <v>234.06669030273733</v>
      </c>
      <c r="D48" s="49" t="s">
        <v>371</v>
      </c>
      <c r="G48" s="1" t="s">
        <v>11</v>
      </c>
      <c r="J48" s="49"/>
      <c r="L48" s="1"/>
      <c r="M48" s="1"/>
      <c r="N48" s="1"/>
    </row>
    <row r="49" spans="2:12" x14ac:dyDescent="0.25">
      <c r="D49" s="49"/>
      <c r="G49" s="11" t="s">
        <v>10</v>
      </c>
      <c r="H49" s="10">
        <f>RSQ(K30:K40,D30:D40)</f>
        <v>0.99353727119926671</v>
      </c>
      <c r="I49" s="1" t="s">
        <v>9</v>
      </c>
      <c r="J49" s="49"/>
      <c r="L49" s="1"/>
    </row>
    <row r="50" spans="2:12" x14ac:dyDescent="0.25">
      <c r="D50" s="49"/>
      <c r="F50" s="8"/>
      <c r="H50" s="49"/>
      <c r="L50" s="1"/>
    </row>
    <row r="51" spans="2:12" x14ac:dyDescent="0.25">
      <c r="F51" s="8"/>
    </row>
    <row r="52" spans="2:12" x14ac:dyDescent="0.25">
      <c r="B52" s="4"/>
    </row>
    <row r="61" spans="2:12" x14ac:dyDescent="0.25">
      <c r="B61" s="4" t="s">
        <v>6</v>
      </c>
    </row>
    <row r="63" spans="2:12" x14ac:dyDescent="0.25">
      <c r="C63" s="1" t="s">
        <v>5</v>
      </c>
    </row>
    <row r="64" spans="2:12" x14ac:dyDescent="0.25">
      <c r="C64" s="1" t="s">
        <v>4</v>
      </c>
    </row>
    <row r="65" spans="3:3" x14ac:dyDescent="0.25">
      <c r="C65" s="1" t="s">
        <v>3</v>
      </c>
    </row>
    <row r="66" spans="3:3" x14ac:dyDescent="0.25">
      <c r="C66" s="1" t="s">
        <v>2</v>
      </c>
    </row>
    <row r="67" spans="3:3" x14ac:dyDescent="0.25">
      <c r="C67" s="1" t="s">
        <v>1</v>
      </c>
    </row>
    <row r="74" spans="3:3" x14ac:dyDescent="0.25">
      <c r="C74" s="1" t="s">
        <v>0</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0813B-7BE0-4C11-B5ED-1DF082D685A3}">
  <sheetPr codeName="Sheet12"/>
  <dimension ref="A1:AC62"/>
  <sheetViews>
    <sheetView showGridLines="0" topLeftCell="A52" zoomScale="85" zoomScaleNormal="85" workbookViewId="0">
      <selection activeCell="D52" sqref="D52"/>
    </sheetView>
  </sheetViews>
  <sheetFormatPr defaultColWidth="9" defaultRowHeight="15" x14ac:dyDescent="0.25"/>
  <cols>
    <col min="1" max="1" width="12" style="1" customWidth="1"/>
    <col min="2" max="11" width="9" style="1"/>
    <col min="12" max="12" width="9.7109375" style="3" bestFit="1" customWidth="1"/>
    <col min="13" max="13" width="10.5703125" style="3" bestFit="1" customWidth="1"/>
    <col min="14" max="14" width="7.140625" style="2" customWidth="1"/>
    <col min="15" max="15" width="7.42578125" style="1" customWidth="1"/>
    <col min="16" max="18" width="9" style="1"/>
    <col min="19" max="19" width="10" style="1" bestFit="1" customWidth="1"/>
    <col min="21" max="21" width="10" bestFit="1" customWidth="1"/>
    <col min="22" max="22" width="10.42578125" customWidth="1"/>
    <col min="30" max="16384" width="9" style="1"/>
  </cols>
  <sheetData>
    <row r="1" spans="2:15" x14ac:dyDescent="0.25">
      <c r="B1" s="32" t="s">
        <v>39</v>
      </c>
      <c r="F1" s="4" t="s">
        <v>38</v>
      </c>
      <c r="G1" s="33">
        <f ca="1">TODAY()</f>
        <v>43962</v>
      </c>
    </row>
    <row r="2" spans="2:15" x14ac:dyDescent="0.25">
      <c r="F2" s="4" t="s">
        <v>37</v>
      </c>
      <c r="G2" s="1" t="s">
        <v>36</v>
      </c>
    </row>
    <row r="3" spans="2:15" x14ac:dyDescent="0.25">
      <c r="B3" s="4" t="s">
        <v>35</v>
      </c>
      <c r="C3" s="1" t="s">
        <v>34</v>
      </c>
      <c r="F3" s="32" t="s">
        <v>33</v>
      </c>
      <c r="G3" s="29"/>
    </row>
    <row r="4" spans="2:15" x14ac:dyDescent="0.25">
      <c r="B4" s="4" t="s">
        <v>32</v>
      </c>
      <c r="C4" s="29" t="s">
        <v>31</v>
      </c>
    </row>
    <row r="5" spans="2:15" x14ac:dyDescent="0.25">
      <c r="B5" s="30"/>
      <c r="C5" s="31"/>
      <c r="D5" s="31"/>
      <c r="E5" s="30"/>
      <c r="F5" s="30"/>
      <c r="G5" s="30"/>
      <c r="H5" s="30"/>
    </row>
    <row r="6" spans="2:15" x14ac:dyDescent="0.25">
      <c r="C6" s="4"/>
      <c r="D6" s="4"/>
    </row>
    <row r="7" spans="2:15" x14ac:dyDescent="0.25">
      <c r="B7" s="4" t="s">
        <v>30</v>
      </c>
      <c r="C7" s="4"/>
      <c r="D7" s="4"/>
    </row>
    <row r="8" spans="2:15" x14ac:dyDescent="0.25">
      <c r="C8" s="4"/>
      <c r="D8" s="4"/>
    </row>
    <row r="9" spans="2:15" x14ac:dyDescent="0.25">
      <c r="C9" s="4"/>
      <c r="D9" s="4"/>
    </row>
    <row r="10" spans="2:15" x14ac:dyDescent="0.25">
      <c r="B10" s="4" t="s">
        <v>29</v>
      </c>
      <c r="C10" s="4"/>
      <c r="D10" s="4"/>
      <c r="L10" s="4"/>
      <c r="M10" s="1"/>
      <c r="N10" s="1"/>
    </row>
    <row r="11" spans="2:15" x14ac:dyDescent="0.25">
      <c r="C11" s="29"/>
      <c r="D11" s="29"/>
      <c r="L11" s="1"/>
      <c r="M11" s="1"/>
      <c r="N11" s="1"/>
      <c r="O11" s="11"/>
    </row>
    <row r="12" spans="2:15" x14ac:dyDescent="0.25">
      <c r="C12" s="29"/>
      <c r="D12" s="29"/>
      <c r="L12" s="1"/>
      <c r="M12" s="1"/>
      <c r="N12" s="1"/>
      <c r="O12" s="8"/>
    </row>
    <row r="13" spans="2:15" x14ac:dyDescent="0.25">
      <c r="C13" s="29"/>
      <c r="D13" s="29"/>
      <c r="L13" s="4"/>
      <c r="M13" s="1"/>
      <c r="N13" s="1"/>
      <c r="O13" s="8"/>
    </row>
    <row r="14" spans="2:15" x14ac:dyDescent="0.25">
      <c r="C14" s="29"/>
      <c r="D14" s="29"/>
      <c r="L14" s="4"/>
      <c r="M14" s="1"/>
      <c r="N14" s="1"/>
    </row>
    <row r="15" spans="2:15" x14ac:dyDescent="0.25">
      <c r="C15" s="29"/>
      <c r="D15" s="29"/>
    </row>
    <row r="16" spans="2:15" x14ac:dyDescent="0.25">
      <c r="C16" s="29"/>
      <c r="D16" s="29"/>
    </row>
    <row r="17" spans="1:29" x14ac:dyDescent="0.25">
      <c r="D17" s="29"/>
    </row>
    <row r="18" spans="1:29" x14ac:dyDescent="0.25">
      <c r="C18" s="29"/>
      <c r="D18" s="29"/>
    </row>
    <row r="19" spans="1:29" x14ac:dyDescent="0.25">
      <c r="B19" s="4" t="s">
        <v>28</v>
      </c>
      <c r="C19" s="4"/>
      <c r="D19" s="4"/>
    </row>
    <row r="20" spans="1:29" x14ac:dyDescent="0.25">
      <c r="C20" s="1" t="s">
        <v>27</v>
      </c>
      <c r="D20" s="4"/>
    </row>
    <row r="21" spans="1:29" x14ac:dyDescent="0.25">
      <c r="C21" s="4"/>
      <c r="D21" s="4" t="s">
        <v>26</v>
      </c>
    </row>
    <row r="22" spans="1:29" x14ac:dyDescent="0.25">
      <c r="C22" s="29"/>
      <c r="D22" s="24"/>
    </row>
    <row r="23" spans="1:29" x14ac:dyDescent="0.25">
      <c r="C23" s="29" t="s">
        <v>25</v>
      </c>
      <c r="D23" s="4" t="s">
        <v>24</v>
      </c>
    </row>
    <row r="24" spans="1:29" x14ac:dyDescent="0.25">
      <c r="C24" s="29"/>
      <c r="D24" s="4" t="s">
        <v>23</v>
      </c>
    </row>
    <row r="25" spans="1:29" x14ac:dyDescent="0.25">
      <c r="C25" s="29"/>
    </row>
    <row r="26" spans="1:29" x14ac:dyDescent="0.25">
      <c r="C26" s="29"/>
      <c r="D26" s="29"/>
    </row>
    <row r="27" spans="1:29" x14ac:dyDescent="0.25">
      <c r="C27" s="29"/>
      <c r="D27" s="29"/>
      <c r="M27" s="3" t="s">
        <v>294</v>
      </c>
      <c r="N27" s="3" t="s">
        <v>53</v>
      </c>
    </row>
    <row r="28" spans="1:29" ht="23.25" x14ac:dyDescent="0.25">
      <c r="B28" s="24" t="s">
        <v>21</v>
      </c>
      <c r="C28" s="28"/>
      <c r="E28" s="28" t="s">
        <v>20</v>
      </c>
      <c r="G28" s="1" t="s">
        <v>19</v>
      </c>
      <c r="H28" s="1" t="s">
        <v>18</v>
      </c>
      <c r="I28" s="27" t="s">
        <v>17</v>
      </c>
      <c r="J28" s="26" t="s">
        <v>41</v>
      </c>
      <c r="K28" s="26" t="s">
        <v>40</v>
      </c>
      <c r="M28" s="3" t="s">
        <v>52</v>
      </c>
    </row>
    <row r="29" spans="1:29" s="24" customFormat="1" x14ac:dyDescent="0.25">
      <c r="A29" s="24" t="s">
        <v>51</v>
      </c>
      <c r="B29" s="26" t="s">
        <v>16</v>
      </c>
      <c r="C29" s="3" t="s">
        <v>15</v>
      </c>
      <c r="D29" s="3" t="s">
        <v>14</v>
      </c>
      <c r="E29" s="2" t="s">
        <v>13</v>
      </c>
      <c r="F29" s="1"/>
      <c r="G29" s="15"/>
      <c r="H29" s="14"/>
      <c r="I29" s="22"/>
      <c r="J29" s="19">
        <v>0</v>
      </c>
      <c r="K29" s="34">
        <f>1-J29</f>
        <v>1</v>
      </c>
      <c r="Y29"/>
      <c r="Z29"/>
      <c r="AA29"/>
      <c r="AB29"/>
      <c r="AC29"/>
    </row>
    <row r="30" spans="1:29" s="22" customFormat="1" x14ac:dyDescent="0.25">
      <c r="A30" s="22">
        <f>B30/1000</f>
        <v>1.18</v>
      </c>
      <c r="B30" s="25">
        <v>1180</v>
      </c>
      <c r="C30" s="17">
        <v>3.2527593439466353E-2</v>
      </c>
      <c r="D30" s="17">
        <v>0.96747240656053368</v>
      </c>
      <c r="E30" s="16">
        <f t="shared" ref="E30:E42" si="0">1-D30</f>
        <v>3.2527593439466318E-2</v>
      </c>
      <c r="F30" s="1"/>
      <c r="G30" s="21">
        <f>LN(A30)</f>
        <v>0.16551443847757333</v>
      </c>
      <c r="H30" s="21">
        <f t="shared" ref="H30:H40" si="1">LN(-LN(E30))</f>
        <v>1.2312960574412903</v>
      </c>
      <c r="I30" s="20">
        <f>G30*$C$44+$C$45</f>
        <v>1.2335121301616105</v>
      </c>
      <c r="J30" s="19">
        <f>EXP(-EXP(I30))</f>
        <v>3.2281322557717429E-2</v>
      </c>
      <c r="K30" s="34">
        <f>1-J30</f>
        <v>0.96771867744228257</v>
      </c>
      <c r="L30" s="41"/>
      <c r="M30" s="41">
        <f>(K30-D30)^2</f>
        <v>6.0649347197375277E-8</v>
      </c>
      <c r="N30" s="41"/>
      <c r="O30" s="41"/>
      <c r="Y30"/>
      <c r="Z30"/>
      <c r="AA30"/>
      <c r="AB30"/>
      <c r="AC30"/>
    </row>
    <row r="31" spans="1:29" s="22" customFormat="1" x14ac:dyDescent="0.25">
      <c r="A31" s="22">
        <f t="shared" ref="A31:A42" si="2">B31/1000</f>
        <v>0.6</v>
      </c>
      <c r="B31" s="25">
        <v>600</v>
      </c>
      <c r="C31" s="17">
        <v>7.4167039163772638E-2</v>
      </c>
      <c r="D31" s="17">
        <v>0.89330536739676092</v>
      </c>
      <c r="E31" s="16">
        <f t="shared" si="0"/>
        <v>0.10669463260323908</v>
      </c>
      <c r="F31" s="1"/>
      <c r="G31" s="21">
        <f t="shared" ref="G31:G40" si="3">LN(A31)</f>
        <v>-0.51082562376599072</v>
      </c>
      <c r="H31" s="21">
        <f t="shared" si="1"/>
        <v>0.80548628065882344</v>
      </c>
      <c r="I31" s="20">
        <f t="shared" ref="I31:I40" si="4">G31*$C$44+$C$45</f>
        <v>0.71778460218010842</v>
      </c>
      <c r="J31" s="19">
        <f t="shared" ref="J31:J40" si="5">EXP(-EXP(I31))</f>
        <v>0.1287494692684982</v>
      </c>
      <c r="K31" s="34">
        <f t="shared" ref="K31:K40" si="6">1-J31</f>
        <v>0.87125053073150183</v>
      </c>
      <c r="L31" s="41"/>
      <c r="M31" s="41">
        <f t="shared" ref="M31:M40" si="7">(K31-D31)^2</f>
        <v>4.8641582033125678E-4</v>
      </c>
      <c r="N31" s="41"/>
      <c r="O31" s="41"/>
      <c r="Y31"/>
      <c r="Z31"/>
      <c r="AA31"/>
      <c r="AB31"/>
      <c r="AC31"/>
    </row>
    <row r="32" spans="1:29" x14ac:dyDescent="0.25">
      <c r="A32" s="22">
        <f t="shared" si="2"/>
        <v>0.42499999999999999</v>
      </c>
      <c r="B32" s="25">
        <v>425</v>
      </c>
      <c r="C32" s="17">
        <v>7.4889110476910908E-2</v>
      </c>
      <c r="D32" s="17">
        <v>0.81841625691985009</v>
      </c>
      <c r="E32" s="16">
        <f t="shared" si="0"/>
        <v>0.18158374308014991</v>
      </c>
      <c r="G32" s="21">
        <f t="shared" si="3"/>
        <v>-0.8556661100577202</v>
      </c>
      <c r="H32" s="21">
        <f t="shared" si="1"/>
        <v>0.53417392086031124</v>
      </c>
      <c r="I32" s="20">
        <f t="shared" si="4"/>
        <v>0.45483443632237819</v>
      </c>
      <c r="J32" s="19">
        <f t="shared" si="5"/>
        <v>0.206818755288985</v>
      </c>
      <c r="K32" s="34">
        <f t="shared" si="6"/>
        <v>0.79318124471101503</v>
      </c>
      <c r="L32" s="41"/>
      <c r="M32" s="41">
        <f t="shared" si="7"/>
        <v>6.3680584118005459E-4</v>
      </c>
      <c r="N32" s="41"/>
      <c r="O32" s="41"/>
    </row>
    <row r="33" spans="1:29" x14ac:dyDescent="0.25">
      <c r="A33" s="22">
        <f t="shared" si="2"/>
        <v>0.3</v>
      </c>
      <c r="B33" s="25">
        <v>300</v>
      </c>
      <c r="C33" s="17">
        <v>0.1227521232335041</v>
      </c>
      <c r="D33" s="17">
        <v>0.69566413368634583</v>
      </c>
      <c r="E33" s="16">
        <f t="shared" si="0"/>
        <v>0.30433586631365417</v>
      </c>
      <c r="G33" s="21">
        <f t="shared" si="3"/>
        <v>-1.2039728043259361</v>
      </c>
      <c r="H33" s="21">
        <f t="shared" si="1"/>
        <v>0.17363675622308758</v>
      </c>
      <c r="I33" s="20">
        <f t="shared" si="4"/>
        <v>0.18924119345209733</v>
      </c>
      <c r="J33" s="19">
        <f t="shared" si="5"/>
        <v>0.29869498025972613</v>
      </c>
      <c r="K33" s="34">
        <f t="shared" si="6"/>
        <v>0.70130501974027393</v>
      </c>
      <c r="L33" s="41"/>
      <c r="M33" s="41">
        <f t="shared" si="7"/>
        <v>3.1819595473400482E-5</v>
      </c>
      <c r="N33" s="41"/>
      <c r="O33" s="41"/>
    </row>
    <row r="34" spans="1:29" x14ac:dyDescent="0.25">
      <c r="A34" s="22">
        <f t="shared" si="2"/>
        <v>0.21199999999999999</v>
      </c>
      <c r="B34" s="18">
        <v>212</v>
      </c>
      <c r="C34" s="17">
        <v>0.11924491971254683</v>
      </c>
      <c r="D34" s="17">
        <v>0.57641921397379903</v>
      </c>
      <c r="E34" s="16">
        <f t="shared" si="0"/>
        <v>0.42358078602620097</v>
      </c>
      <c r="G34" s="21">
        <f t="shared" si="3"/>
        <v>-1.5511690043101247</v>
      </c>
      <c r="H34" s="21">
        <f t="shared" si="1"/>
        <v>-0.15197352232954023</v>
      </c>
      <c r="I34" s="20">
        <f t="shared" si="4"/>
        <v>-7.5505267593609871E-2</v>
      </c>
      <c r="J34" s="19">
        <f t="shared" si="5"/>
        <v>0.39563039638934527</v>
      </c>
      <c r="K34" s="34">
        <f t="shared" si="6"/>
        <v>0.60436960361065473</v>
      </c>
      <c r="L34" s="41"/>
      <c r="M34" s="41">
        <f t="shared" si="7"/>
        <v>7.8122428085205045E-4</v>
      </c>
      <c r="N34" s="41"/>
      <c r="O34" s="41"/>
    </row>
    <row r="35" spans="1:29" x14ac:dyDescent="0.25">
      <c r="A35" s="22">
        <f t="shared" si="2"/>
        <v>0.18</v>
      </c>
      <c r="B35" s="18">
        <v>180</v>
      </c>
      <c r="C35" s="17">
        <v>4.5284186638242269E-2</v>
      </c>
      <c r="D35" s="17">
        <v>0.53113502733555673</v>
      </c>
      <c r="E35" s="16">
        <f t="shared" si="0"/>
        <v>0.46886497266444327</v>
      </c>
      <c r="G35" s="21">
        <f t="shared" si="3"/>
        <v>-1.7147984280919266</v>
      </c>
      <c r="H35" s="21">
        <f t="shared" si="1"/>
        <v>-0.27781034963198903</v>
      </c>
      <c r="I35" s="20">
        <f t="shared" si="4"/>
        <v>-0.20027711380377311</v>
      </c>
      <c r="J35" s="19">
        <f t="shared" si="5"/>
        <v>0.44109107617561666</v>
      </c>
      <c r="K35" s="34">
        <f t="shared" si="6"/>
        <v>0.5589089238243834</v>
      </c>
      <c r="L35" s="41"/>
      <c r="M35" s="41">
        <f>(K35-D35)^2</f>
        <v>7.7138932617205815E-4</v>
      </c>
      <c r="N35" s="41"/>
      <c r="O35" s="41"/>
    </row>
    <row r="36" spans="1:29" x14ac:dyDescent="0.25">
      <c r="A36" s="22">
        <f t="shared" si="2"/>
        <v>0.15</v>
      </c>
      <c r="B36" s="18">
        <v>150</v>
      </c>
      <c r="C36" s="17">
        <v>4.8034934497816588E-2</v>
      </c>
      <c r="D36" s="17">
        <v>0.48310009283774019</v>
      </c>
      <c r="E36" s="16">
        <f t="shared" si="0"/>
        <v>0.51689990716225975</v>
      </c>
      <c r="G36" s="21">
        <f t="shared" si="3"/>
        <v>-1.8971199848858813</v>
      </c>
      <c r="H36" s="21">
        <f t="shared" si="1"/>
        <v>-0.41565783836442438</v>
      </c>
      <c r="I36" s="20">
        <f t="shared" si="4"/>
        <v>-0.33930221527591353</v>
      </c>
      <c r="J36" s="19">
        <f t="shared" si="5"/>
        <v>0.49053082469179193</v>
      </c>
      <c r="K36" s="34">
        <f t="shared" si="6"/>
        <v>0.50946917530820812</v>
      </c>
      <c r="L36" s="41"/>
      <c r="M36" s="41">
        <f t="shared" si="7"/>
        <v>6.9532851033433907E-4</v>
      </c>
      <c r="N36" s="41"/>
      <c r="O36" s="41"/>
    </row>
    <row r="37" spans="1:29" x14ac:dyDescent="0.25">
      <c r="A37" s="22">
        <f t="shared" si="2"/>
        <v>0.106</v>
      </c>
      <c r="B37" s="18">
        <v>106</v>
      </c>
      <c r="C37" s="17">
        <v>7.8808926176804309E-2</v>
      </c>
      <c r="D37" s="17">
        <v>0.4042911666609359</v>
      </c>
      <c r="E37" s="16">
        <f t="shared" si="0"/>
        <v>0.5957088333390641</v>
      </c>
      <c r="F37" s="24"/>
      <c r="G37" s="21">
        <f t="shared" si="3"/>
        <v>-2.2443161848700699</v>
      </c>
      <c r="H37" s="21">
        <f t="shared" si="1"/>
        <v>-0.65777373181062482</v>
      </c>
      <c r="I37" s="20">
        <f t="shared" si="4"/>
        <v>-0.60404867632162063</v>
      </c>
      <c r="J37" s="19">
        <f t="shared" si="5"/>
        <v>0.57891815490337561</v>
      </c>
      <c r="K37" s="34">
        <f t="shared" si="6"/>
        <v>0.42108184509662439</v>
      </c>
      <c r="L37" s="41"/>
      <c r="M37" s="41">
        <f t="shared" si="7"/>
        <v>2.8192688233069445E-4</v>
      </c>
      <c r="N37" s="41"/>
      <c r="O37" s="41"/>
    </row>
    <row r="38" spans="1:29" x14ac:dyDescent="0.25">
      <c r="A38" s="22">
        <f t="shared" si="2"/>
        <v>7.4999999999999997E-2</v>
      </c>
      <c r="B38" s="18">
        <v>75</v>
      </c>
      <c r="C38" s="23">
        <v>5.6699790255475696E-2</v>
      </c>
      <c r="D38" s="23">
        <v>0.34759137640546017</v>
      </c>
      <c r="E38" s="16">
        <f t="shared" si="0"/>
        <v>0.65240862359453988</v>
      </c>
      <c r="F38" s="22"/>
      <c r="G38" s="21">
        <f t="shared" si="3"/>
        <v>-2.5902671654458267</v>
      </c>
      <c r="H38" s="21">
        <f t="shared" si="1"/>
        <v>-0.85077411877137399</v>
      </c>
      <c r="I38" s="20">
        <f t="shared" si="4"/>
        <v>-0.86784562400392473</v>
      </c>
      <c r="J38" s="19">
        <f t="shared" si="5"/>
        <v>0.65714203190692122</v>
      </c>
      <c r="K38" s="34">
        <f t="shared" si="6"/>
        <v>0.34285796809307878</v>
      </c>
      <c r="L38" s="41"/>
      <c r="M38" s="41">
        <f t="shared" si="7"/>
        <v>2.2405154251721266E-5</v>
      </c>
      <c r="N38" s="41"/>
      <c r="O38" s="41"/>
    </row>
    <row r="39" spans="1:29" x14ac:dyDescent="0.25">
      <c r="A39" s="22">
        <f t="shared" si="2"/>
        <v>5.2999999999999999E-2</v>
      </c>
      <c r="B39" s="18">
        <v>53</v>
      </c>
      <c r="C39" s="23">
        <v>6.7427706907815549E-2</v>
      </c>
      <c r="D39" s="23">
        <v>0.28016366949764465</v>
      </c>
      <c r="E39" s="16">
        <f t="shared" si="0"/>
        <v>0.7198363305023554</v>
      </c>
      <c r="F39" s="22"/>
      <c r="G39" s="21">
        <f t="shared" si="3"/>
        <v>-2.9374633654300153</v>
      </c>
      <c r="H39" s="21">
        <f t="shared" si="1"/>
        <v>-1.1125142398732921</v>
      </c>
      <c r="I39" s="20">
        <f t="shared" si="4"/>
        <v>-1.1325920850496318</v>
      </c>
      <c r="J39" s="19">
        <f t="shared" si="5"/>
        <v>0.72455543085925878</v>
      </c>
      <c r="K39" s="34">
        <f t="shared" si="6"/>
        <v>0.27544456914074122</v>
      </c>
      <c r="L39" s="41"/>
      <c r="M39" s="41">
        <f t="shared" si="7"/>
        <v>2.2269908178526055E-5</v>
      </c>
      <c r="N39" s="41"/>
      <c r="O39" s="41"/>
    </row>
    <row r="40" spans="1:29" x14ac:dyDescent="0.25">
      <c r="A40" s="22">
        <f t="shared" si="2"/>
        <v>3.7999999999999999E-2</v>
      </c>
      <c r="B40" s="18">
        <v>38</v>
      </c>
      <c r="C40" s="17">
        <v>3.9232541347178761E-2</v>
      </c>
      <c r="D40" s="17">
        <v>0.24093112815046591</v>
      </c>
      <c r="E40" s="16">
        <f t="shared" si="0"/>
        <v>0.75906887184953409</v>
      </c>
      <c r="G40" s="21">
        <f t="shared" si="3"/>
        <v>-3.2701691192557512</v>
      </c>
      <c r="H40" s="21">
        <f t="shared" si="1"/>
        <v>-1.2885770246489232</v>
      </c>
      <c r="I40" s="20">
        <f t="shared" si="4"/>
        <v>-1.3862891903143757</v>
      </c>
      <c r="J40" s="19">
        <f t="shared" si="5"/>
        <v>0.77879977631260666</v>
      </c>
      <c r="K40" s="34">
        <f t="shared" si="6"/>
        <v>0.22120022368739334</v>
      </c>
      <c r="L40" s="41"/>
      <c r="M40" s="41">
        <f t="shared" si="7"/>
        <v>3.893085909308972E-4</v>
      </c>
      <c r="N40" s="41"/>
      <c r="O40" s="41"/>
      <c r="R40" s="46"/>
      <c r="T40" s="18"/>
    </row>
    <row r="41" spans="1:29" x14ac:dyDescent="0.25">
      <c r="A41" s="22">
        <f t="shared" si="2"/>
        <v>0</v>
      </c>
      <c r="B41" s="18">
        <v>0</v>
      </c>
      <c r="C41" s="17">
        <v>0.24093112815046591</v>
      </c>
      <c r="D41" s="3">
        <v>0</v>
      </c>
      <c r="E41" s="16">
        <f t="shared" si="0"/>
        <v>1</v>
      </c>
      <c r="G41" s="15"/>
      <c r="H41" s="14"/>
      <c r="K41" s="1">
        <v>0</v>
      </c>
      <c r="L41" s="1"/>
      <c r="M41" s="42"/>
      <c r="N41" s="41"/>
      <c r="O41" s="41"/>
      <c r="R41" s="46"/>
    </row>
    <row r="42" spans="1:29" x14ac:dyDescent="0.25">
      <c r="A42" s="22">
        <f t="shared" si="2"/>
        <v>0</v>
      </c>
      <c r="C42" s="3"/>
      <c r="D42" s="3"/>
      <c r="E42" s="2">
        <f t="shared" si="0"/>
        <v>1</v>
      </c>
      <c r="K42" s="43"/>
      <c r="L42" s="44"/>
      <c r="M42" s="100">
        <f>SUM(M30:M40)</f>
        <v>4.1189545593821961E-3</v>
      </c>
      <c r="N42" s="45"/>
      <c r="O42" s="45"/>
      <c r="Q42" s="1" t="s">
        <v>57</v>
      </c>
      <c r="R42" s="50" t="s">
        <v>48</v>
      </c>
      <c r="S42" s="123">
        <f>0.5*(C53-C59)</f>
        <v>225.10060584437201</v>
      </c>
      <c r="T42" s="58">
        <f>0.5*(D53-D59)</f>
        <v>247.15519421919601</v>
      </c>
      <c r="V42" s="1" t="s">
        <v>49</v>
      </c>
      <c r="W42" s="1" t="s">
        <v>50</v>
      </c>
      <c r="X42" s="1"/>
    </row>
    <row r="43" spans="1:29" customFormat="1" x14ac:dyDescent="0.25">
      <c r="A43" s="50" t="s">
        <v>54</v>
      </c>
      <c r="B43" s="1"/>
      <c r="C43" s="3"/>
      <c r="D43" s="47"/>
      <c r="E43" s="48"/>
      <c r="F43" s="49"/>
      <c r="G43" s="49"/>
      <c r="H43" s="49"/>
      <c r="I43" s="1"/>
      <c r="J43" s="1"/>
      <c r="K43" s="1"/>
      <c r="L43" s="1"/>
      <c r="M43" s="1"/>
      <c r="N43" s="1"/>
      <c r="O43" s="1"/>
      <c r="P43" s="1"/>
      <c r="Q43" s="1"/>
      <c r="R43" s="1"/>
      <c r="S43" s="1"/>
    </row>
    <row r="44" spans="1:29" customFormat="1" x14ac:dyDescent="0.25">
      <c r="A44" s="51" t="s">
        <v>55</v>
      </c>
      <c r="B44" s="13" t="s">
        <v>12</v>
      </c>
      <c r="C44" s="12">
        <f>SLOPE(H30:H40,G30:G40)</f>
        <v>0.76252695466644993</v>
      </c>
      <c r="D44" s="49"/>
      <c r="E44" s="1"/>
      <c r="F44" s="1"/>
      <c r="G44" s="1"/>
      <c r="H44" s="49"/>
      <c r="I44" s="1"/>
      <c r="J44" s="1"/>
      <c r="K44" s="1"/>
      <c r="L44" s="1"/>
      <c r="M44" s="3"/>
      <c r="N44" s="2"/>
      <c r="O44" s="1"/>
      <c r="P44" s="1"/>
      <c r="Q44" s="1"/>
      <c r="R44" s="1"/>
      <c r="S44" s="1"/>
    </row>
    <row r="45" spans="1:29" customFormat="1" x14ac:dyDescent="0.25">
      <c r="A45" s="52" t="s">
        <v>56</v>
      </c>
      <c r="B45" s="9" t="s">
        <v>8</v>
      </c>
      <c r="C45" s="7">
        <f>INTERCEPT(H30:H40,G30:G40)</f>
        <v>1.107302909435979</v>
      </c>
      <c r="D45" s="49"/>
      <c r="E45" s="11"/>
      <c r="F45" s="10"/>
      <c r="G45" s="1"/>
      <c r="H45" s="49"/>
      <c r="I45" s="1"/>
      <c r="J45" s="1"/>
      <c r="K45" s="1"/>
      <c r="L45" s="1"/>
      <c r="M45" s="1"/>
      <c r="N45" s="1"/>
      <c r="O45" s="1"/>
      <c r="P45" s="1"/>
      <c r="Q45" s="1"/>
      <c r="R45" s="1"/>
      <c r="S45" s="1"/>
    </row>
    <row r="46" spans="1:29" customFormat="1" x14ac:dyDescent="0.25">
      <c r="A46" s="53"/>
      <c r="B46" s="6" t="s">
        <v>7</v>
      </c>
      <c r="C46" s="5">
        <f>EXP(-C45/C44)</f>
        <v>0.23406669030273727</v>
      </c>
      <c r="D46" s="49"/>
      <c r="E46" s="1"/>
      <c r="F46" s="1"/>
      <c r="G46" s="1"/>
      <c r="H46" s="49"/>
      <c r="I46" s="1"/>
      <c r="J46" s="1"/>
      <c r="K46" s="1"/>
      <c r="L46" s="1"/>
      <c r="M46" s="1"/>
      <c r="N46" s="1"/>
      <c r="O46" s="1"/>
      <c r="P46" s="1"/>
      <c r="Q46" s="1"/>
      <c r="R46" s="1"/>
      <c r="S46" s="1"/>
    </row>
    <row r="47" spans="1:29" s="3" customFormat="1" x14ac:dyDescent="0.25">
      <c r="A47" s="1"/>
      <c r="B47" s="1"/>
      <c r="C47" s="1"/>
      <c r="D47" s="49"/>
      <c r="E47" s="11"/>
      <c r="F47" s="10"/>
      <c r="G47" s="1"/>
      <c r="H47" s="49"/>
      <c r="I47" s="1"/>
      <c r="J47" s="1"/>
      <c r="K47" s="1"/>
      <c r="L47" s="1"/>
      <c r="N47" s="2"/>
      <c r="O47" s="1"/>
      <c r="P47" s="1"/>
      <c r="Q47" s="1"/>
      <c r="R47" s="1"/>
      <c r="S47" s="1"/>
      <c r="T47"/>
      <c r="U47"/>
      <c r="V47"/>
      <c r="W47"/>
      <c r="X47"/>
      <c r="Y47"/>
      <c r="Z47"/>
      <c r="AA47"/>
      <c r="AB47"/>
      <c r="AC47"/>
    </row>
    <row r="48" spans="1:29" s="3" customFormat="1" ht="20.25" x14ac:dyDescent="0.3">
      <c r="A48" s="1"/>
      <c r="B48" s="1"/>
      <c r="C48" s="1"/>
      <c r="D48" s="49"/>
      <c r="E48" s="452" t="s">
        <v>398</v>
      </c>
      <c r="F48" s="8"/>
      <c r="G48" s="1"/>
      <c r="H48" s="49"/>
      <c r="I48" s="1"/>
      <c r="J48" s="1"/>
      <c r="K48" s="1"/>
      <c r="L48" s="1"/>
      <c r="N48" s="2"/>
      <c r="O48" s="1"/>
      <c r="P48" s="1"/>
      <c r="Q48" s="1"/>
      <c r="R48" s="1"/>
      <c r="S48" s="1"/>
      <c r="T48"/>
      <c r="U48"/>
      <c r="V48"/>
      <c r="W48"/>
      <c r="X48"/>
      <c r="Y48"/>
      <c r="Z48"/>
      <c r="AA48"/>
      <c r="AB48"/>
      <c r="AC48"/>
    </row>
    <row r="49" spans="1:29" s="3" customFormat="1" x14ac:dyDescent="0.25">
      <c r="A49" s="1"/>
      <c r="B49" s="1"/>
      <c r="C49" s="1"/>
      <c r="D49" s="1"/>
      <c r="E49" s="1"/>
      <c r="F49"/>
      <c r="G49"/>
      <c r="H49"/>
      <c r="I49" s="1"/>
      <c r="J49" s="1"/>
      <c r="K49" s="1"/>
      <c r="N49" s="2"/>
      <c r="O49" s="1"/>
      <c r="P49" s="1"/>
      <c r="Q49" s="1"/>
      <c r="R49" s="1"/>
      <c r="S49" s="1"/>
      <c r="T49"/>
      <c r="U49"/>
      <c r="V49"/>
      <c r="W49"/>
      <c r="X49"/>
      <c r="Y49"/>
      <c r="Z49"/>
      <c r="AA49"/>
      <c r="AB49"/>
      <c r="AC49"/>
    </row>
    <row r="50" spans="1:29" s="3" customFormat="1" x14ac:dyDescent="0.25">
      <c r="A50" s="24"/>
      <c r="B50" s="24"/>
      <c r="C50" s="24" t="s">
        <v>43</v>
      </c>
      <c r="D50" s="24" t="s">
        <v>44</v>
      </c>
      <c r="E50" s="24"/>
      <c r="F50"/>
      <c r="G50"/>
      <c r="H50"/>
      <c r="I50" s="1"/>
      <c r="J50" s="1"/>
      <c r="K50" s="1"/>
      <c r="N50" s="2"/>
      <c r="O50" s="1"/>
      <c r="P50" s="1"/>
      <c r="Q50" s="1"/>
      <c r="R50" s="1"/>
      <c r="S50" s="1"/>
      <c r="T50"/>
      <c r="U50"/>
      <c r="V50"/>
      <c r="W50"/>
      <c r="X50"/>
      <c r="Y50"/>
      <c r="Z50"/>
      <c r="AA50"/>
      <c r="AB50"/>
      <c r="AC50"/>
    </row>
    <row r="51" spans="1:29" x14ac:dyDescent="0.25">
      <c r="A51" s="26"/>
      <c r="B51" s="35"/>
      <c r="C51" s="36" t="s">
        <v>42</v>
      </c>
      <c r="D51" s="22"/>
      <c r="E51" s="22"/>
      <c r="F51"/>
      <c r="G51"/>
      <c r="H51"/>
    </row>
    <row r="52" spans="1:29" x14ac:dyDescent="0.25">
      <c r="A52" s="26"/>
      <c r="B52" s="37">
        <v>0.95</v>
      </c>
      <c r="C52" s="38">
        <f>FORECAST(B52,$B$30:$B$31,$D$30:$D$31)</f>
        <v>1043.3625405655994</v>
      </c>
      <c r="D52" s="57">
        <f>$C$46*(-LN(1-B52))^(1/$C$44)*1000</f>
        <v>986.82351249747046</v>
      </c>
      <c r="E52" s="436">
        <f>EXP(-C45/C44)*(-LN(1-B52))^(1/$C$44)*1000</f>
        <v>986.82351249747046</v>
      </c>
      <c r="F52" s="22"/>
      <c r="G52" s="55">
        <f>FORECAST(B52,$B$30:$B$40,$K$30:$K$40)</f>
        <v>755.56899977862167</v>
      </c>
      <c r="H52"/>
    </row>
    <row r="53" spans="1:29" x14ac:dyDescent="0.25">
      <c r="A53" s="50"/>
      <c r="B53" s="39">
        <v>0.84</v>
      </c>
      <c r="C53" s="38">
        <f>FORECAST(B53,$B$31:$B$32,$D$31:$D$32)</f>
        <v>475.43663911845715</v>
      </c>
      <c r="D53" s="57">
        <f t="shared" ref="D53:D60" si="8">$C$46*(-LN(1-B53))^(1/$C$44)*1000</f>
        <v>517.99844271211168</v>
      </c>
      <c r="E53" s="56"/>
      <c r="F53"/>
      <c r="G53" s="55">
        <f t="shared" ref="G53:G57" si="9">FORECAST(B53,$B$30:$B$40,$K$30:$K$40)</f>
        <v>624.29464384501341</v>
      </c>
      <c r="H53"/>
    </row>
    <row r="54" spans="1:29" x14ac:dyDescent="0.25">
      <c r="A54" s="50"/>
      <c r="B54" s="39">
        <v>0.8</v>
      </c>
      <c r="C54" s="38">
        <f>FORECAST(B54,$B$32:$B$33,$D$32:$D$33)</f>
        <v>406.24649859943986</v>
      </c>
      <c r="D54" s="57">
        <f t="shared" si="8"/>
        <v>436.89613239100385</v>
      </c>
      <c r="E54" s="56"/>
      <c r="F54"/>
      <c r="G54" s="55">
        <f t="shared" si="9"/>
        <v>576.5585144146105</v>
      </c>
      <c r="H54"/>
    </row>
    <row r="55" spans="1:29" x14ac:dyDescent="0.25">
      <c r="A55" s="50"/>
      <c r="B55" s="37">
        <v>0.75</v>
      </c>
      <c r="C55" s="38">
        <f>FORECAST(B55,$B$32:$B$33,$D$32:$D$33)</f>
        <v>355.33088235294133</v>
      </c>
      <c r="D55" s="57">
        <f t="shared" si="8"/>
        <v>359.23031667553943</v>
      </c>
      <c r="E55" s="56"/>
      <c r="F55"/>
      <c r="G55" s="55">
        <f t="shared" si="9"/>
        <v>516.88835262660677</v>
      </c>
      <c r="H55"/>
    </row>
    <row r="56" spans="1:29" x14ac:dyDescent="0.25">
      <c r="A56" s="50" t="s">
        <v>47</v>
      </c>
      <c r="B56" s="39">
        <v>0.5</v>
      </c>
      <c r="C56" s="54">
        <f>FORECAST(B56,$B$35:$B$36,$D$35:$D$36)</f>
        <v>160.55476020042954</v>
      </c>
      <c r="D56" s="57">
        <f t="shared" si="8"/>
        <v>144.74164356686666</v>
      </c>
      <c r="E56" s="56"/>
      <c r="F56"/>
      <c r="G56" s="55">
        <f t="shared" si="9"/>
        <v>218.53754368658815</v>
      </c>
      <c r="H56"/>
    </row>
    <row r="57" spans="1:29" x14ac:dyDescent="0.25">
      <c r="A57" s="50"/>
      <c r="B57" s="37">
        <v>0.4</v>
      </c>
      <c r="C57" s="38">
        <f>FORECAST(B57,$B$37:$B$38,$D$37:$D$38)</f>
        <v>103.65385081867805</v>
      </c>
      <c r="D57" s="57">
        <f t="shared" si="8"/>
        <v>96.997362240239795</v>
      </c>
      <c r="E57" s="56"/>
      <c r="F57"/>
      <c r="G57" s="55">
        <f t="shared" si="9"/>
        <v>99.197220110580702</v>
      </c>
      <c r="H57"/>
    </row>
    <row r="58" spans="1:29" x14ac:dyDescent="0.25">
      <c r="A58" s="50"/>
      <c r="B58" s="37">
        <v>0.25</v>
      </c>
      <c r="C58" s="38">
        <f>FORECAST(B58,$B$39:$B$40,$D$39:$D$40)</f>
        <v>41.467353198948288</v>
      </c>
      <c r="D58" s="57">
        <f t="shared" si="8"/>
        <v>45.681687624756023</v>
      </c>
      <c r="E58" s="56"/>
      <c r="F58"/>
      <c r="G58"/>
      <c r="H58"/>
    </row>
    <row r="59" spans="1:29" s="3" customFormat="1" x14ac:dyDescent="0.25">
      <c r="A59" s="50"/>
      <c r="B59" s="39">
        <v>0.16</v>
      </c>
      <c r="C59" s="38">
        <f>FORECAST(B59,$B$40:$B$41,$D$40:$D$41)</f>
        <v>25.235427429713145</v>
      </c>
      <c r="D59" s="57">
        <f t="shared" si="8"/>
        <v>23.688054273719654</v>
      </c>
      <c r="E59" s="56"/>
      <c r="F59"/>
      <c r="G59"/>
      <c r="H59"/>
      <c r="I59" s="1"/>
      <c r="J59" s="1"/>
      <c r="K59" s="1"/>
      <c r="N59" s="2"/>
      <c r="O59" s="1"/>
      <c r="P59" s="1"/>
      <c r="Q59" s="1"/>
      <c r="R59" s="1"/>
      <c r="S59" s="1"/>
      <c r="T59"/>
      <c r="U59"/>
      <c r="V59"/>
      <c r="W59"/>
      <c r="X59"/>
      <c r="Y59"/>
      <c r="Z59"/>
      <c r="AA59"/>
      <c r="AB59"/>
      <c r="AC59"/>
    </row>
    <row r="60" spans="1:29" x14ac:dyDescent="0.25">
      <c r="A60" s="50"/>
      <c r="B60" s="37">
        <v>0.05</v>
      </c>
      <c r="C60" s="38">
        <f>FORECAST(B60,$B$40:$B$41,$D$40:$D$41)</f>
        <v>7.8860710717853584</v>
      </c>
      <c r="D60" s="57">
        <f t="shared" si="8"/>
        <v>4.760752487394897</v>
      </c>
      <c r="E60" s="56"/>
      <c r="F60"/>
      <c r="G60"/>
      <c r="H60"/>
    </row>
    <row r="61" spans="1:29" s="3" customFormat="1" x14ac:dyDescent="0.25">
      <c r="A61" s="1"/>
      <c r="B61" s="1"/>
      <c r="C61" s="1"/>
      <c r="D61" s="1"/>
      <c r="E61" s="1"/>
      <c r="F61" s="1"/>
      <c r="G61" s="1"/>
      <c r="H61" s="1"/>
      <c r="I61" s="1"/>
      <c r="J61" s="1"/>
      <c r="K61" s="1"/>
      <c r="N61" s="2"/>
      <c r="O61" s="1"/>
      <c r="P61" s="1"/>
      <c r="Q61" s="1"/>
      <c r="R61" s="1"/>
      <c r="S61" s="1"/>
      <c r="T61"/>
      <c r="U61"/>
      <c r="V61"/>
      <c r="W61"/>
      <c r="X61"/>
      <c r="Y61"/>
      <c r="Z61"/>
      <c r="AA61"/>
      <c r="AB61"/>
      <c r="AC61"/>
    </row>
    <row r="62" spans="1:29" s="3" customFormat="1" x14ac:dyDescent="0.25">
      <c r="A62" s="1"/>
      <c r="B62" s="1"/>
      <c r="C62" s="1"/>
      <c r="D62" s="1"/>
      <c r="E62" s="1"/>
      <c r="F62" s="1"/>
      <c r="G62" s="1"/>
      <c r="H62" s="1"/>
      <c r="I62" s="1"/>
      <c r="J62" s="1"/>
      <c r="K62" s="1"/>
      <c r="N62" s="2"/>
      <c r="O62" s="1"/>
      <c r="P62" s="1"/>
      <c r="Q62" s="1"/>
      <c r="R62" s="1"/>
      <c r="S62" s="1"/>
      <c r="T62"/>
      <c r="U62"/>
      <c r="V62"/>
      <c r="W62"/>
      <c r="X62"/>
      <c r="Y62"/>
      <c r="Z62"/>
      <c r="AA62"/>
      <c r="AB62"/>
      <c r="AC62"/>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04A6A-FB64-4D33-A853-432FDDCDA87F}">
  <sheetPr codeName="Sheet13"/>
  <dimension ref="A1:AC62"/>
  <sheetViews>
    <sheetView showGridLines="0" topLeftCell="A49" zoomScale="85" zoomScaleNormal="85" workbookViewId="0">
      <selection activeCell="C46" sqref="C46"/>
    </sheetView>
  </sheetViews>
  <sheetFormatPr defaultColWidth="9" defaultRowHeight="15" x14ac:dyDescent="0.25"/>
  <cols>
    <col min="1" max="1" width="12" style="1" customWidth="1"/>
    <col min="2" max="11" width="9" style="1"/>
    <col min="12" max="12" width="9.7109375" style="3" bestFit="1" customWidth="1"/>
    <col min="13" max="13" width="10.5703125" style="3" bestFit="1" customWidth="1"/>
    <col min="14" max="14" width="7.140625" style="2" customWidth="1"/>
    <col min="15" max="15" width="7.42578125" style="1" customWidth="1"/>
    <col min="16" max="18" width="9" style="1"/>
    <col min="19" max="19" width="10" style="1" bestFit="1" customWidth="1"/>
    <col min="21" max="21" width="10" bestFit="1" customWidth="1"/>
    <col min="22" max="22" width="10.42578125" customWidth="1"/>
    <col min="30" max="16384" width="9" style="1"/>
  </cols>
  <sheetData>
    <row r="1" spans="2:15" x14ac:dyDescent="0.25">
      <c r="B1" s="32" t="s">
        <v>39</v>
      </c>
      <c r="F1" s="4" t="s">
        <v>38</v>
      </c>
      <c r="G1" s="33">
        <f ca="1">TODAY()</f>
        <v>43962</v>
      </c>
    </row>
    <row r="2" spans="2:15" x14ac:dyDescent="0.25">
      <c r="F2" s="4" t="s">
        <v>37</v>
      </c>
      <c r="G2" s="1" t="s">
        <v>36</v>
      </c>
    </row>
    <row r="3" spans="2:15" x14ac:dyDescent="0.25">
      <c r="B3" s="4" t="s">
        <v>35</v>
      </c>
      <c r="C3" s="1" t="s">
        <v>34</v>
      </c>
      <c r="F3" s="32" t="s">
        <v>33</v>
      </c>
      <c r="G3" s="29"/>
    </row>
    <row r="4" spans="2:15" x14ac:dyDescent="0.25">
      <c r="B4" s="4" t="s">
        <v>32</v>
      </c>
      <c r="C4" s="29" t="s">
        <v>31</v>
      </c>
    </row>
    <row r="5" spans="2:15" x14ac:dyDescent="0.25">
      <c r="B5" s="30"/>
      <c r="C5" s="31"/>
      <c r="D5" s="31"/>
      <c r="E5" s="30"/>
      <c r="F5" s="30"/>
      <c r="G5" s="30"/>
      <c r="H5" s="30"/>
    </row>
    <row r="6" spans="2:15" x14ac:dyDescent="0.25">
      <c r="C6" s="4"/>
      <c r="D6" s="4"/>
    </row>
    <row r="7" spans="2:15" x14ac:dyDescent="0.25">
      <c r="B7" s="4" t="s">
        <v>30</v>
      </c>
      <c r="C7" s="4"/>
      <c r="D7" s="4"/>
    </row>
    <row r="8" spans="2:15" x14ac:dyDescent="0.25">
      <c r="C8" s="4"/>
      <c r="D8" s="4"/>
    </row>
    <row r="9" spans="2:15" x14ac:dyDescent="0.25">
      <c r="C9" s="4"/>
      <c r="D9" s="4"/>
    </row>
    <row r="10" spans="2:15" x14ac:dyDescent="0.25">
      <c r="B10" s="4" t="s">
        <v>29</v>
      </c>
      <c r="C10" s="4"/>
      <c r="D10" s="4"/>
      <c r="L10" s="4"/>
      <c r="M10" s="1"/>
      <c r="N10" s="1"/>
    </row>
    <row r="11" spans="2:15" x14ac:dyDescent="0.25">
      <c r="C11" s="29"/>
      <c r="D11" s="29"/>
      <c r="L11" s="1"/>
      <c r="M11" s="1"/>
      <c r="N11" s="1"/>
      <c r="O11" s="11"/>
    </row>
    <row r="12" spans="2:15" x14ac:dyDescent="0.25">
      <c r="C12" s="29"/>
      <c r="D12" s="29"/>
      <c r="L12" s="1"/>
      <c r="M12" s="1"/>
      <c r="N12" s="1"/>
      <c r="O12" s="8"/>
    </row>
    <row r="13" spans="2:15" x14ac:dyDescent="0.25">
      <c r="C13" s="29"/>
      <c r="D13" s="29"/>
      <c r="L13" s="4"/>
      <c r="M13" s="1"/>
      <c r="N13" s="1"/>
      <c r="O13" s="8"/>
    </row>
    <row r="14" spans="2:15" x14ac:dyDescent="0.25">
      <c r="C14" s="29"/>
      <c r="D14" s="29"/>
      <c r="L14" s="4"/>
      <c r="M14" s="1"/>
      <c r="N14" s="1"/>
    </row>
    <row r="15" spans="2:15" x14ac:dyDescent="0.25">
      <c r="C15" s="29"/>
      <c r="D15" s="29"/>
    </row>
    <row r="16" spans="2:15" x14ac:dyDescent="0.25">
      <c r="C16" s="29"/>
      <c r="D16" s="29"/>
    </row>
    <row r="17" spans="1:29" x14ac:dyDescent="0.25">
      <c r="D17" s="29"/>
    </row>
    <row r="18" spans="1:29" x14ac:dyDescent="0.25">
      <c r="C18" s="29"/>
      <c r="D18" s="29"/>
    </row>
    <row r="19" spans="1:29" x14ac:dyDescent="0.25">
      <c r="B19" s="4" t="s">
        <v>28</v>
      </c>
      <c r="C19" s="4"/>
      <c r="D19" s="4"/>
    </row>
    <row r="20" spans="1:29" x14ac:dyDescent="0.25">
      <c r="C20" s="1" t="s">
        <v>27</v>
      </c>
      <c r="D20" s="4"/>
    </row>
    <row r="21" spans="1:29" x14ac:dyDescent="0.25">
      <c r="C21" s="4"/>
      <c r="D21" s="4" t="s">
        <v>26</v>
      </c>
    </row>
    <row r="22" spans="1:29" x14ac:dyDescent="0.25">
      <c r="C22" s="29"/>
      <c r="D22" s="24"/>
    </row>
    <row r="23" spans="1:29" x14ac:dyDescent="0.25">
      <c r="C23" s="29" t="s">
        <v>25</v>
      </c>
      <c r="D23" s="4" t="s">
        <v>24</v>
      </c>
    </row>
    <row r="24" spans="1:29" x14ac:dyDescent="0.25">
      <c r="C24" s="29"/>
      <c r="D24" s="4" t="s">
        <v>23</v>
      </c>
    </row>
    <row r="25" spans="1:29" x14ac:dyDescent="0.25">
      <c r="C25" s="29"/>
    </row>
    <row r="26" spans="1:29" x14ac:dyDescent="0.25">
      <c r="C26" s="29"/>
      <c r="D26" s="29"/>
    </row>
    <row r="27" spans="1:29" x14ac:dyDescent="0.25">
      <c r="B27" s="1" t="s">
        <v>79</v>
      </c>
      <c r="D27" s="29" t="s">
        <v>357</v>
      </c>
      <c r="G27" t="s">
        <v>358</v>
      </c>
      <c r="H27" t="s">
        <v>359</v>
      </c>
      <c r="M27" s="3" t="s">
        <v>294</v>
      </c>
      <c r="N27" s="3" t="s">
        <v>53</v>
      </c>
    </row>
    <row r="28" spans="1:29" ht="24" x14ac:dyDescent="0.3">
      <c r="B28" s="24" t="s">
        <v>21</v>
      </c>
      <c r="C28" s="28"/>
      <c r="E28" s="28" t="s">
        <v>20</v>
      </c>
      <c r="G28" s="1" t="s">
        <v>367</v>
      </c>
      <c r="H28" s="1" t="s">
        <v>368</v>
      </c>
      <c r="I28" s="27" t="s">
        <v>17</v>
      </c>
      <c r="J28" s="26" t="s">
        <v>41</v>
      </c>
      <c r="K28" s="26" t="s">
        <v>40</v>
      </c>
      <c r="M28" s="3" t="s">
        <v>52</v>
      </c>
    </row>
    <row r="29" spans="1:29" s="24" customFormat="1" x14ac:dyDescent="0.25">
      <c r="A29" s="24" t="s">
        <v>51</v>
      </c>
      <c r="B29" s="26" t="s">
        <v>16</v>
      </c>
      <c r="C29" s="3" t="s">
        <v>15</v>
      </c>
      <c r="D29" s="3" t="s">
        <v>14</v>
      </c>
      <c r="E29" s="2" t="s">
        <v>13</v>
      </c>
      <c r="F29" s="1"/>
      <c r="G29" s="15"/>
      <c r="H29" s="14"/>
      <c r="I29" s="22"/>
      <c r="J29" s="19">
        <v>0</v>
      </c>
      <c r="K29" s="34">
        <f>1-J29</f>
        <v>1</v>
      </c>
      <c r="P29"/>
      <c r="Q29"/>
      <c r="T29"/>
      <c r="U29"/>
      <c r="V29" s="424"/>
      <c r="Y29"/>
      <c r="Z29"/>
      <c r="AA29"/>
      <c r="AB29"/>
      <c r="AC29"/>
    </row>
    <row r="30" spans="1:29" s="22" customFormat="1" x14ac:dyDescent="0.25">
      <c r="A30" s="22">
        <f>B30/1000</f>
        <v>1.18</v>
      </c>
      <c r="B30" s="25">
        <v>1180</v>
      </c>
      <c r="C30" s="17">
        <v>3.2527593439466353E-2</v>
      </c>
      <c r="D30" s="17">
        <v>0.96747240656053368</v>
      </c>
      <c r="E30" s="16">
        <f t="shared" ref="E30:E42" si="0">1-D30</f>
        <v>3.2527593439466318E-2</v>
      </c>
      <c r="F30" s="1"/>
      <c r="G30" s="21">
        <f>LN(B30)</f>
        <v>7.0732697174597101</v>
      </c>
      <c r="H30" s="21">
        <f>LN(-LN(E30))</f>
        <v>1.2312960574412903</v>
      </c>
      <c r="I30" s="20">
        <f>G30*$C$44+$C$45</f>
        <v>1.2335121301616105</v>
      </c>
      <c r="J30" s="19">
        <f>EXP(-EXP(I30))</f>
        <v>3.2281322557717429E-2</v>
      </c>
      <c r="K30" s="34">
        <f>1-J30</f>
        <v>0.96771867744228257</v>
      </c>
      <c r="L30" s="428"/>
      <c r="M30" s="41">
        <f>(K30-D30)^2</f>
        <v>6.0649347197375277E-8</v>
      </c>
      <c r="N30" s="41"/>
      <c r="O30" s="41"/>
      <c r="P30" s="63"/>
      <c r="Q30" s="62"/>
      <c r="R30"/>
      <c r="S30"/>
      <c r="T30"/>
      <c r="U30" s="122"/>
      <c r="V30" s="425"/>
      <c r="Y30"/>
      <c r="Z30"/>
      <c r="AA30"/>
      <c r="AB30"/>
      <c r="AC30"/>
    </row>
    <row r="31" spans="1:29" s="22" customFormat="1" x14ac:dyDescent="0.25">
      <c r="A31" s="22">
        <f t="shared" ref="A31:A42" si="1">B31/1000</f>
        <v>0.6</v>
      </c>
      <c r="B31" s="25">
        <v>600</v>
      </c>
      <c r="C31" s="17">
        <v>7.4167039163772638E-2</v>
      </c>
      <c r="D31" s="17">
        <v>0.89330536739676092</v>
      </c>
      <c r="E31" s="16">
        <f t="shared" si="0"/>
        <v>0.10669463260323908</v>
      </c>
      <c r="F31" s="1"/>
      <c r="G31" s="21">
        <f t="shared" ref="G31:G40" si="2">LN(B31)</f>
        <v>6.3969296552161463</v>
      </c>
      <c r="H31" s="21">
        <f t="shared" ref="H31:H40" si="3">LN(-LN(E31))</f>
        <v>0.80548628065882344</v>
      </c>
      <c r="I31" s="20">
        <f t="shared" ref="I31:I40" si="4">G31*$C$44+$C$45</f>
        <v>0.71778460218010842</v>
      </c>
      <c r="J31" s="19">
        <f t="shared" ref="J31:J40" si="5">EXP(-EXP(I31))</f>
        <v>0.1287494692684982</v>
      </c>
      <c r="K31" s="34">
        <f t="shared" ref="K31:K40" si="6">1-J31</f>
        <v>0.87125053073150183</v>
      </c>
      <c r="L31" s="41"/>
      <c r="M31" s="41">
        <f t="shared" ref="M31:M40" si="7">(K31-D31)^2</f>
        <v>4.8641582033125678E-4</v>
      </c>
      <c r="N31" s="41"/>
      <c r="O31" s="41"/>
      <c r="P31" s="63"/>
      <c r="Q31" s="62"/>
      <c r="R31"/>
      <c r="S31"/>
      <c r="T31"/>
      <c r="U31" s="122"/>
      <c r="V31" s="426"/>
      <c r="Y31"/>
      <c r="Z31"/>
      <c r="AA31"/>
      <c r="AB31"/>
      <c r="AC31"/>
    </row>
    <row r="32" spans="1:29" x14ac:dyDescent="0.25">
      <c r="A32" s="22">
        <f t="shared" si="1"/>
        <v>0.42499999999999999</v>
      </c>
      <c r="B32" s="25">
        <v>425</v>
      </c>
      <c r="C32" s="17">
        <v>7.4889110476910908E-2</v>
      </c>
      <c r="D32" s="17">
        <v>0.81841625691985009</v>
      </c>
      <c r="E32" s="16">
        <f t="shared" si="0"/>
        <v>0.18158374308014991</v>
      </c>
      <c r="G32" s="21">
        <f t="shared" si="2"/>
        <v>6.0520891689244172</v>
      </c>
      <c r="H32" s="21">
        <f t="shared" si="3"/>
        <v>0.53417392086031124</v>
      </c>
      <c r="I32" s="20">
        <f t="shared" si="4"/>
        <v>0.45483443632237819</v>
      </c>
      <c r="J32" s="19">
        <f t="shared" si="5"/>
        <v>0.206818755288985</v>
      </c>
      <c r="K32" s="34">
        <f t="shared" si="6"/>
        <v>0.79318124471101503</v>
      </c>
      <c r="L32" s="41"/>
      <c r="M32" s="41">
        <f t="shared" si="7"/>
        <v>6.3680584118005459E-4</v>
      </c>
      <c r="N32" s="41"/>
      <c r="O32" s="41"/>
      <c r="P32" s="63"/>
      <c r="Q32" s="62"/>
      <c r="R32"/>
      <c r="S32"/>
      <c r="V32" s="424"/>
    </row>
    <row r="33" spans="1:29" x14ac:dyDescent="0.25">
      <c r="A33" s="22">
        <f t="shared" si="1"/>
        <v>0.3</v>
      </c>
      <c r="B33" s="25">
        <v>300</v>
      </c>
      <c r="C33" s="17">
        <v>0.1227521232335041</v>
      </c>
      <c r="D33" s="17">
        <v>0.69566413368634583</v>
      </c>
      <c r="E33" s="16">
        <f t="shared" si="0"/>
        <v>0.30433586631365417</v>
      </c>
      <c r="G33" s="21">
        <f t="shared" si="2"/>
        <v>5.7037824746562009</v>
      </c>
      <c r="H33" s="21">
        <f t="shared" si="3"/>
        <v>0.17363675622308758</v>
      </c>
      <c r="I33" s="20">
        <f t="shared" si="4"/>
        <v>0.189241193452097</v>
      </c>
      <c r="J33" s="19">
        <f t="shared" si="5"/>
        <v>0.29869498025972624</v>
      </c>
      <c r="K33" s="34">
        <f t="shared" si="6"/>
        <v>0.70130501974027371</v>
      </c>
      <c r="L33" s="41"/>
      <c r="M33" s="41">
        <f t="shared" si="7"/>
        <v>3.1819595473397982E-5</v>
      </c>
      <c r="N33" s="41"/>
      <c r="O33" s="41"/>
      <c r="P33" s="63"/>
      <c r="Q33" s="62"/>
      <c r="R33"/>
      <c r="S33"/>
      <c r="V33" s="424"/>
    </row>
    <row r="34" spans="1:29" x14ac:dyDescent="0.25">
      <c r="A34" s="22">
        <f t="shared" si="1"/>
        <v>0.21199999999999999</v>
      </c>
      <c r="B34" s="18">
        <v>212</v>
      </c>
      <c r="C34" s="17">
        <v>0.11924491971254683</v>
      </c>
      <c r="D34" s="17">
        <v>0.57641921397379903</v>
      </c>
      <c r="E34" s="16">
        <f t="shared" si="0"/>
        <v>0.42358078602620097</v>
      </c>
      <c r="G34" s="21">
        <f t="shared" si="2"/>
        <v>5.3565862746720123</v>
      </c>
      <c r="H34" s="21">
        <f t="shared" si="3"/>
        <v>-0.15197352232954023</v>
      </c>
      <c r="I34" s="20">
        <f t="shared" si="4"/>
        <v>-7.5505267593610093E-2</v>
      </c>
      <c r="J34" s="19">
        <f t="shared" si="5"/>
        <v>0.39563039638934533</v>
      </c>
      <c r="K34" s="34">
        <f t="shared" si="6"/>
        <v>0.60436960361065473</v>
      </c>
      <c r="L34" s="41"/>
      <c r="M34" s="41">
        <f t="shared" si="7"/>
        <v>7.8122428085205045E-4</v>
      </c>
      <c r="N34" s="41"/>
      <c r="O34" s="41"/>
      <c r="P34" s="63"/>
      <c r="Q34" s="62"/>
      <c r="R34"/>
      <c r="S34"/>
      <c r="U34" s="122"/>
      <c r="V34" s="426"/>
    </row>
    <row r="35" spans="1:29" x14ac:dyDescent="0.25">
      <c r="A35" s="22">
        <f t="shared" si="1"/>
        <v>0.18</v>
      </c>
      <c r="B35" s="18">
        <v>180</v>
      </c>
      <c r="C35" s="17">
        <v>4.5284186638242269E-2</v>
      </c>
      <c r="D35" s="17">
        <v>0.53113502733555673</v>
      </c>
      <c r="E35" s="16">
        <f t="shared" si="0"/>
        <v>0.46886497266444327</v>
      </c>
      <c r="G35" s="21">
        <f t="shared" si="2"/>
        <v>5.1929568508902104</v>
      </c>
      <c r="H35" s="21">
        <f t="shared" si="3"/>
        <v>-0.27781034963198903</v>
      </c>
      <c r="I35" s="20">
        <f t="shared" si="4"/>
        <v>-0.20027711380377333</v>
      </c>
      <c r="J35" s="19">
        <f t="shared" si="5"/>
        <v>0.44109107617561671</v>
      </c>
      <c r="K35" s="34">
        <f t="shared" si="6"/>
        <v>0.55890892382438329</v>
      </c>
      <c r="L35" s="41"/>
      <c r="M35" s="41">
        <f t="shared" si="7"/>
        <v>7.7138932617205208E-4</v>
      </c>
      <c r="N35" s="41"/>
      <c r="O35" s="41"/>
      <c r="P35" s="63"/>
      <c r="Q35" s="62"/>
      <c r="R35"/>
      <c r="S35"/>
      <c r="U35" s="122"/>
      <c r="V35" s="426"/>
    </row>
    <row r="36" spans="1:29" x14ac:dyDescent="0.25">
      <c r="A36" s="22">
        <f t="shared" si="1"/>
        <v>0.15</v>
      </c>
      <c r="B36" s="18">
        <v>150</v>
      </c>
      <c r="C36" s="17">
        <v>4.8034934497816588E-2</v>
      </c>
      <c r="D36" s="17">
        <v>0.48310009283774019</v>
      </c>
      <c r="E36" s="16">
        <f t="shared" si="0"/>
        <v>0.51689990716225975</v>
      </c>
      <c r="G36" s="21">
        <f t="shared" si="2"/>
        <v>5.0106352940962555</v>
      </c>
      <c r="H36" s="21">
        <f t="shared" si="3"/>
        <v>-0.41565783836442438</v>
      </c>
      <c r="I36" s="20">
        <f t="shared" si="4"/>
        <v>-0.33930221527591398</v>
      </c>
      <c r="J36" s="19">
        <f t="shared" si="5"/>
        <v>0.49053082469179204</v>
      </c>
      <c r="K36" s="34">
        <f t="shared" si="6"/>
        <v>0.5094691753082079</v>
      </c>
      <c r="L36" s="41"/>
      <c r="M36" s="41">
        <f t="shared" si="7"/>
        <v>6.9532851033432736E-4</v>
      </c>
      <c r="N36" s="41"/>
      <c r="O36" s="41"/>
      <c r="P36" s="63"/>
      <c r="Q36" s="62"/>
      <c r="R36"/>
      <c r="S36"/>
      <c r="V36" s="424"/>
    </row>
    <row r="37" spans="1:29" x14ac:dyDescent="0.25">
      <c r="A37" s="22">
        <f t="shared" si="1"/>
        <v>0.106</v>
      </c>
      <c r="B37" s="18">
        <v>106</v>
      </c>
      <c r="C37" s="17">
        <v>7.8808926176804309E-2</v>
      </c>
      <c r="D37" s="17">
        <v>0.4042911666609359</v>
      </c>
      <c r="E37" s="16">
        <f t="shared" si="0"/>
        <v>0.5957088333390641</v>
      </c>
      <c r="F37" s="24"/>
      <c r="G37" s="21">
        <f t="shared" si="2"/>
        <v>4.6634390941120669</v>
      </c>
      <c r="H37" s="21">
        <f t="shared" si="3"/>
        <v>-0.65777373181062482</v>
      </c>
      <c r="I37" s="20">
        <f t="shared" si="4"/>
        <v>-0.60404867632162107</v>
      </c>
      <c r="J37" s="19">
        <f t="shared" si="5"/>
        <v>0.57891815490337584</v>
      </c>
      <c r="K37" s="34">
        <f t="shared" si="6"/>
        <v>0.42108184509662416</v>
      </c>
      <c r="L37" s="41"/>
      <c r="M37" s="41">
        <f t="shared" si="7"/>
        <v>2.8192688233068697E-4</v>
      </c>
      <c r="N37" s="41"/>
      <c r="O37" s="41"/>
      <c r="P37" s="63"/>
      <c r="Q37" s="62"/>
      <c r="R37"/>
      <c r="S37"/>
      <c r="V37" s="424"/>
    </row>
    <row r="38" spans="1:29" x14ac:dyDescent="0.25">
      <c r="A38" s="22">
        <f t="shared" si="1"/>
        <v>7.4999999999999997E-2</v>
      </c>
      <c r="B38" s="18">
        <v>75</v>
      </c>
      <c r="C38" s="23">
        <v>5.6699790255475696E-2</v>
      </c>
      <c r="D38" s="23">
        <v>0.34759137640546017</v>
      </c>
      <c r="E38" s="16">
        <f t="shared" si="0"/>
        <v>0.65240862359453988</v>
      </c>
      <c r="F38" s="22"/>
      <c r="G38" s="21">
        <f t="shared" si="2"/>
        <v>4.3174881135363101</v>
      </c>
      <c r="H38" s="21">
        <f t="shared" si="3"/>
        <v>-0.85077411877137399</v>
      </c>
      <c r="I38" s="20">
        <f t="shared" si="4"/>
        <v>-0.86784562400392495</v>
      </c>
      <c r="J38" s="19">
        <f t="shared" si="5"/>
        <v>0.65714203190692122</v>
      </c>
      <c r="K38" s="34">
        <f t="shared" si="6"/>
        <v>0.34285796809307878</v>
      </c>
      <c r="L38" s="41"/>
      <c r="M38" s="41">
        <f t="shared" si="7"/>
        <v>2.2405154251721266E-5</v>
      </c>
      <c r="N38" s="41"/>
      <c r="O38" s="41"/>
      <c r="P38" s="63"/>
      <c r="Q38" s="62"/>
      <c r="R38"/>
      <c r="S38"/>
      <c r="V38" s="424"/>
    </row>
    <row r="39" spans="1:29" x14ac:dyDescent="0.25">
      <c r="A39" s="22">
        <f t="shared" si="1"/>
        <v>5.2999999999999999E-2</v>
      </c>
      <c r="B39" s="18">
        <v>53</v>
      </c>
      <c r="C39" s="23">
        <v>6.7427706907815549E-2</v>
      </c>
      <c r="D39" s="23">
        <v>0.28016366949764465</v>
      </c>
      <c r="E39" s="16">
        <f t="shared" si="0"/>
        <v>0.7198363305023554</v>
      </c>
      <c r="F39" s="22"/>
      <c r="G39" s="21">
        <f t="shared" si="2"/>
        <v>3.970291913552122</v>
      </c>
      <c r="H39" s="21">
        <f t="shared" si="3"/>
        <v>-1.1125142398732921</v>
      </c>
      <c r="I39" s="20">
        <f t="shared" si="4"/>
        <v>-1.1325920850496316</v>
      </c>
      <c r="J39" s="19">
        <f t="shared" si="5"/>
        <v>0.72455543085925866</v>
      </c>
      <c r="K39" s="34">
        <f t="shared" si="6"/>
        <v>0.27544456914074134</v>
      </c>
      <c r="L39" s="41"/>
      <c r="M39" s="41">
        <f t="shared" si="7"/>
        <v>2.2269908178525008E-5</v>
      </c>
      <c r="N39" s="41"/>
      <c r="O39" s="41"/>
      <c r="P39" s="63"/>
      <c r="Q39" s="62"/>
      <c r="R39"/>
      <c r="S39"/>
      <c r="V39" s="424"/>
    </row>
    <row r="40" spans="1:29" x14ac:dyDescent="0.25">
      <c r="A40" s="22">
        <f t="shared" si="1"/>
        <v>3.7999999999999999E-2</v>
      </c>
      <c r="B40" s="18">
        <v>38</v>
      </c>
      <c r="C40" s="17">
        <v>3.9232541347178761E-2</v>
      </c>
      <c r="D40" s="17">
        <v>0.24093112815046591</v>
      </c>
      <c r="E40" s="16">
        <f t="shared" si="0"/>
        <v>0.75906887184953409</v>
      </c>
      <c r="G40" s="21">
        <f t="shared" si="2"/>
        <v>3.6375861597263857</v>
      </c>
      <c r="H40" s="21">
        <f t="shared" si="3"/>
        <v>-1.2885770246489232</v>
      </c>
      <c r="I40" s="20">
        <f t="shared" si="4"/>
        <v>-1.3862891903143759</v>
      </c>
      <c r="J40" s="19">
        <f t="shared" si="5"/>
        <v>0.77879977631260677</v>
      </c>
      <c r="K40" s="34">
        <f t="shared" si="6"/>
        <v>0.22120022368739323</v>
      </c>
      <c r="L40" s="41"/>
      <c r="M40" s="41">
        <f t="shared" si="7"/>
        <v>3.8930859093090159E-4</v>
      </c>
      <c r="N40" s="41"/>
      <c r="O40" s="41"/>
      <c r="P40" s="63"/>
      <c r="Q40" s="62"/>
      <c r="R40"/>
      <c r="S40"/>
      <c r="V40" s="424"/>
    </row>
    <row r="41" spans="1:29" x14ac:dyDescent="0.25">
      <c r="A41" s="22">
        <f t="shared" si="1"/>
        <v>0</v>
      </c>
      <c r="B41" s="18">
        <v>0</v>
      </c>
      <c r="C41" s="17">
        <v>0.24093112815046591</v>
      </c>
      <c r="D41" s="3">
        <v>0</v>
      </c>
      <c r="E41" s="16">
        <f t="shared" si="0"/>
        <v>1</v>
      </c>
      <c r="G41" s="15"/>
      <c r="H41" s="14"/>
      <c r="K41" s="1">
        <v>0</v>
      </c>
      <c r="L41" s="1"/>
      <c r="M41" s="42"/>
      <c r="N41" s="41"/>
      <c r="O41" s="41"/>
      <c r="P41" s="63"/>
      <c r="Q41" s="62"/>
      <c r="R41"/>
      <c r="S41"/>
      <c r="V41" s="424"/>
    </row>
    <row r="42" spans="1:29" x14ac:dyDescent="0.25">
      <c r="A42" s="22">
        <f t="shared" si="1"/>
        <v>0</v>
      </c>
      <c r="C42" s="3"/>
      <c r="D42" s="3"/>
      <c r="E42" s="2">
        <f t="shared" si="0"/>
        <v>1</v>
      </c>
      <c r="K42" s="43"/>
      <c r="L42" s="44"/>
      <c r="M42" s="100">
        <f>SUM(M30:M40)</f>
        <v>4.1189545593821719E-3</v>
      </c>
      <c r="N42" s="45"/>
      <c r="O42" s="45"/>
      <c r="Q42" s="1" t="s">
        <v>57</v>
      </c>
      <c r="R42" s="50" t="s">
        <v>48</v>
      </c>
      <c r="S42" s="123">
        <f>0.5*(C53-C59)</f>
        <v>225.10060584437201</v>
      </c>
      <c r="T42" s="58">
        <f>0.5*(D53-D59)</f>
        <v>247.15519421919606</v>
      </c>
      <c r="V42" s="1" t="s">
        <v>49</v>
      </c>
      <c r="W42" s="1" t="s">
        <v>50</v>
      </c>
      <c r="X42" s="1"/>
    </row>
    <row r="43" spans="1:29" customFormat="1" x14ac:dyDescent="0.25">
      <c r="A43" s="50" t="s">
        <v>54</v>
      </c>
      <c r="B43" s="1"/>
      <c r="C43" s="3"/>
      <c r="D43" s="47"/>
      <c r="E43" s="48"/>
      <c r="F43" s="49"/>
      <c r="G43" s="49"/>
      <c r="H43" s="49"/>
      <c r="I43" s="1"/>
      <c r="J43" s="1"/>
      <c r="K43" s="1"/>
      <c r="L43" s="1"/>
      <c r="M43" s="1"/>
      <c r="N43" s="1"/>
      <c r="O43" s="1"/>
      <c r="P43" s="1"/>
      <c r="Q43" s="1"/>
      <c r="R43" s="1"/>
      <c r="S43" s="1"/>
    </row>
    <row r="44" spans="1:29" customFormat="1" x14ac:dyDescent="0.25">
      <c r="A44" s="51" t="s">
        <v>55</v>
      </c>
      <c r="B44" s="13" t="s">
        <v>12</v>
      </c>
      <c r="C44" s="12">
        <f>SLOPE(H30:H40,G30:G40)</f>
        <v>0.76252695466644993</v>
      </c>
      <c r="D44" s="49"/>
      <c r="E44" s="1"/>
      <c r="F44" s="1"/>
      <c r="G44" s="1"/>
      <c r="H44" s="49"/>
      <c r="I44" s="1"/>
      <c r="J44" s="1"/>
      <c r="K44" s="1"/>
      <c r="L44" s="1"/>
      <c r="M44" s="3"/>
      <c r="N44" s="2"/>
      <c r="O44" s="1"/>
      <c r="P44" s="1"/>
      <c r="Q44" s="1"/>
      <c r="R44" s="1"/>
      <c r="S44" s="1"/>
    </row>
    <row r="45" spans="1:29" customFormat="1" x14ac:dyDescent="0.25">
      <c r="A45" s="52" t="s">
        <v>56</v>
      </c>
      <c r="B45" s="9" t="s">
        <v>8</v>
      </c>
      <c r="C45" s="7">
        <f>INTERCEPT(H30:H40,G30:G40)</f>
        <v>-4.1600466870273634</v>
      </c>
      <c r="D45" s="49"/>
      <c r="E45" s="11"/>
      <c r="F45" s="10"/>
      <c r="G45" s="1"/>
      <c r="H45" s="49"/>
      <c r="I45" s="1"/>
      <c r="J45" s="1"/>
      <c r="K45" s="1"/>
      <c r="L45" s="1"/>
      <c r="M45" s="1"/>
      <c r="N45" s="1"/>
      <c r="O45" s="1"/>
      <c r="P45" s="1"/>
      <c r="Q45" s="1"/>
      <c r="R45" s="1"/>
      <c r="S45" s="1"/>
    </row>
    <row r="46" spans="1:29" customFormat="1" x14ac:dyDescent="0.25">
      <c r="A46" s="53"/>
      <c r="B46" s="6" t="s">
        <v>7</v>
      </c>
      <c r="C46" s="5">
        <f>EXP(-C45/C44)</f>
        <v>234.06669030273733</v>
      </c>
      <c r="D46" s="49"/>
      <c r="E46" s="1"/>
      <c r="F46" s="1"/>
      <c r="G46" s="1"/>
      <c r="H46" s="49"/>
      <c r="I46" s="1"/>
      <c r="J46" s="1"/>
      <c r="K46" s="1"/>
      <c r="L46" s="1"/>
      <c r="M46" s="1"/>
      <c r="N46" s="1"/>
      <c r="O46" s="1"/>
      <c r="P46" s="1"/>
      <c r="Q46" s="1"/>
      <c r="R46" s="1"/>
      <c r="S46" s="1"/>
    </row>
    <row r="47" spans="1:29" s="3" customFormat="1" x14ac:dyDescent="0.25">
      <c r="A47" s="1"/>
      <c r="B47" s="1"/>
      <c r="C47" s="1"/>
      <c r="D47" s="49"/>
      <c r="E47" s="11"/>
      <c r="F47" s="10"/>
      <c r="G47" s="1"/>
      <c r="H47" s="49"/>
      <c r="I47" s="1"/>
      <c r="J47" s="1"/>
      <c r="K47" s="1"/>
      <c r="L47" s="1"/>
      <c r="N47" s="2"/>
      <c r="O47" s="1"/>
      <c r="P47" s="1"/>
      <c r="Q47" s="1"/>
      <c r="R47" s="1"/>
      <c r="S47" s="1"/>
      <c r="T47"/>
      <c r="U47"/>
      <c r="V47"/>
      <c r="W47"/>
      <c r="X47"/>
      <c r="Y47"/>
      <c r="Z47"/>
      <c r="AA47"/>
      <c r="AB47"/>
      <c r="AC47"/>
    </row>
    <row r="48" spans="1:29" s="3" customFormat="1" x14ac:dyDescent="0.25">
      <c r="A48" s="1"/>
      <c r="B48" s="1"/>
      <c r="C48" s="1"/>
      <c r="D48" s="49"/>
      <c r="E48" s="1"/>
      <c r="F48" s="8"/>
      <c r="G48" s="1"/>
      <c r="H48" s="49"/>
      <c r="I48" s="1"/>
      <c r="J48" s="1"/>
      <c r="K48" s="1"/>
      <c r="L48" s="1"/>
      <c r="N48" s="2"/>
      <c r="O48" s="1"/>
      <c r="P48" s="1"/>
      <c r="Q48" s="1"/>
      <c r="R48" s="1"/>
      <c r="S48" s="1"/>
      <c r="T48"/>
      <c r="U48"/>
      <c r="V48"/>
      <c r="W48"/>
      <c r="X48"/>
      <c r="Y48"/>
      <c r="Z48"/>
      <c r="AA48"/>
      <c r="AB48"/>
      <c r="AC48"/>
    </row>
    <row r="49" spans="1:29" s="3" customFormat="1" x14ac:dyDescent="0.25">
      <c r="A49" s="1"/>
      <c r="B49" s="1"/>
      <c r="C49" s="1"/>
      <c r="D49" s="1"/>
      <c r="E49" s="1"/>
      <c r="F49"/>
      <c r="G49"/>
      <c r="H49"/>
      <c r="I49" s="1"/>
      <c r="J49" s="1"/>
      <c r="K49" s="1"/>
      <c r="N49" s="2"/>
      <c r="O49" s="1"/>
      <c r="P49" s="1"/>
      <c r="Q49" s="1"/>
      <c r="R49" s="1"/>
      <c r="S49" s="1"/>
      <c r="T49"/>
      <c r="U49"/>
      <c r="V49"/>
      <c r="W49"/>
      <c r="X49"/>
      <c r="Y49"/>
      <c r="Z49"/>
      <c r="AA49"/>
      <c r="AB49"/>
      <c r="AC49"/>
    </row>
    <row r="50" spans="1:29" s="3" customFormat="1" x14ac:dyDescent="0.25">
      <c r="A50" s="24"/>
      <c r="B50" s="24"/>
      <c r="C50" s="24" t="s">
        <v>43</v>
      </c>
      <c r="D50" s="24" t="s">
        <v>44</v>
      </c>
      <c r="E50" s="24"/>
      <c r="F50"/>
      <c r="G50"/>
      <c r="H50"/>
      <c r="I50" s="1"/>
      <c r="J50" s="1"/>
      <c r="K50" s="1"/>
      <c r="N50" s="2"/>
      <c r="O50" s="1"/>
      <c r="P50" s="1"/>
      <c r="Q50" s="1"/>
      <c r="R50" s="1"/>
      <c r="S50" s="1"/>
      <c r="T50"/>
      <c r="U50"/>
      <c r="V50"/>
      <c r="W50"/>
      <c r="X50"/>
      <c r="Y50"/>
      <c r="Z50"/>
      <c r="AA50"/>
      <c r="AB50"/>
      <c r="AC50"/>
    </row>
    <row r="51" spans="1:29" x14ac:dyDescent="0.25">
      <c r="A51" s="26"/>
      <c r="B51" s="35"/>
      <c r="C51" s="36" t="s">
        <v>42</v>
      </c>
      <c r="D51" s="22"/>
      <c r="E51" s="22"/>
      <c r="F51"/>
      <c r="G51"/>
      <c r="H51"/>
      <c r="I51" s="429"/>
    </row>
    <row r="52" spans="1:29" x14ac:dyDescent="0.25">
      <c r="A52" s="26"/>
      <c r="B52" s="37">
        <v>0.95</v>
      </c>
      <c r="C52" s="38">
        <f>FORECAST(B52,$B$30:$B$31,$D$30:$D$31)</f>
        <v>1043.3625405655994</v>
      </c>
      <c r="D52" s="57">
        <f>$C$46*(-LN(1-B52))^(1/$C$44)</f>
        <v>986.82351249747069</v>
      </c>
      <c r="E52" s="56"/>
      <c r="F52" s="22"/>
      <c r="G52" s="55">
        <f>FORECAST(B52,$B$30:$B$40,$K$30:$K$40)</f>
        <v>755.56899977862201</v>
      </c>
      <c r="H52"/>
    </row>
    <row r="53" spans="1:29" x14ac:dyDescent="0.25">
      <c r="A53" s="50"/>
      <c r="B53" s="39">
        <v>0.84</v>
      </c>
      <c r="C53" s="38">
        <f>FORECAST(B53,$B$31:$B$32,$D$31:$D$32)</f>
        <v>475.43663911845715</v>
      </c>
      <c r="D53" s="57">
        <f t="shared" ref="D53:D60" si="8">$C$46*(-LN(1-B53))^(1/$C$44)</f>
        <v>517.9984427121118</v>
      </c>
      <c r="E53" s="56"/>
      <c r="F53"/>
      <c r="G53" s="55">
        <f t="shared" ref="G53:G57" si="9">FORECAST(B53,$B$30:$B$40,$K$30:$K$40)</f>
        <v>624.29464384501375</v>
      </c>
      <c r="H53"/>
    </row>
    <row r="54" spans="1:29" x14ac:dyDescent="0.25">
      <c r="A54" s="50"/>
      <c r="B54" s="39">
        <v>0.8</v>
      </c>
      <c r="C54" s="38">
        <f>FORECAST(B54,$B$32:$B$33,$D$32:$D$33)</f>
        <v>406.24649859943986</v>
      </c>
      <c r="D54" s="57">
        <f t="shared" si="8"/>
        <v>436.8961323910039</v>
      </c>
      <c r="E54" s="56"/>
      <c r="F54"/>
      <c r="G54" s="55">
        <f t="shared" si="9"/>
        <v>576.55851441461084</v>
      </c>
      <c r="H54"/>
    </row>
    <row r="55" spans="1:29" x14ac:dyDescent="0.25">
      <c r="A55" s="50"/>
      <c r="B55" s="37">
        <v>0.75</v>
      </c>
      <c r="C55" s="38">
        <f>FORECAST(B55,$B$32:$B$33,$D$32:$D$33)</f>
        <v>355.33088235294133</v>
      </c>
      <c r="D55" s="57">
        <f t="shared" si="8"/>
        <v>359.23031667553954</v>
      </c>
      <c r="E55" s="56"/>
      <c r="F55"/>
      <c r="G55" s="55">
        <f t="shared" si="9"/>
        <v>516.88835262660712</v>
      </c>
      <c r="H55"/>
    </row>
    <row r="56" spans="1:29" x14ac:dyDescent="0.25">
      <c r="A56" s="50" t="s">
        <v>47</v>
      </c>
      <c r="B56" s="39">
        <v>0.5</v>
      </c>
      <c r="C56" s="54">
        <f>FORECAST(B56,$B$35:$B$36,$D$35:$D$36)</f>
        <v>160.55476020042954</v>
      </c>
      <c r="D56" s="57">
        <f t="shared" si="8"/>
        <v>144.74164356686671</v>
      </c>
      <c r="E56" s="56"/>
      <c r="F56"/>
      <c r="G56" s="55">
        <f t="shared" si="9"/>
        <v>218.53754368658838</v>
      </c>
      <c r="H56"/>
    </row>
    <row r="57" spans="1:29" x14ac:dyDescent="0.25">
      <c r="A57" s="50"/>
      <c r="B57" s="37">
        <v>0.4</v>
      </c>
      <c r="C57" s="38">
        <f>FORECAST(B57,$B$37:$B$38,$D$37:$D$38)</f>
        <v>103.65385081867805</v>
      </c>
      <c r="D57" s="57">
        <f t="shared" si="8"/>
        <v>96.997362240239809</v>
      </c>
      <c r="E57" s="56"/>
      <c r="F57"/>
      <c r="G57" s="55">
        <f t="shared" si="9"/>
        <v>99.197220110580929</v>
      </c>
      <c r="H57"/>
    </row>
    <row r="58" spans="1:29" x14ac:dyDescent="0.25">
      <c r="A58" s="50"/>
      <c r="B58" s="37">
        <v>0.25</v>
      </c>
      <c r="C58" s="38">
        <f>FORECAST(B58,$B$39:$B$40,$D$39:$D$40)</f>
        <v>41.467353198948288</v>
      </c>
      <c r="D58" s="57">
        <f t="shared" si="8"/>
        <v>45.681687624756037</v>
      </c>
      <c r="E58" s="56"/>
      <c r="F58"/>
      <c r="G58"/>
      <c r="H58"/>
    </row>
    <row r="59" spans="1:29" s="3" customFormat="1" x14ac:dyDescent="0.25">
      <c r="A59" s="50"/>
      <c r="B59" s="39">
        <v>0.16</v>
      </c>
      <c r="C59" s="38">
        <f>FORECAST(B59,$B$40:$B$41,$D$40:$D$41)</f>
        <v>25.235427429713145</v>
      </c>
      <c r="D59" s="57">
        <f t="shared" si="8"/>
        <v>23.688054273719661</v>
      </c>
      <c r="E59" s="56"/>
      <c r="F59"/>
      <c r="G59"/>
      <c r="H59"/>
      <c r="I59" s="1"/>
      <c r="J59" s="1"/>
      <c r="K59" s="1"/>
      <c r="N59" s="2"/>
      <c r="O59" s="1"/>
      <c r="P59" s="1"/>
      <c r="Q59" s="1"/>
      <c r="R59" s="1"/>
      <c r="S59" s="1"/>
      <c r="T59"/>
      <c r="U59"/>
      <c r="V59"/>
      <c r="W59"/>
      <c r="X59"/>
      <c r="Y59"/>
      <c r="Z59"/>
      <c r="AA59"/>
      <c r="AB59"/>
      <c r="AC59"/>
    </row>
    <row r="60" spans="1:29" x14ac:dyDescent="0.25">
      <c r="A60" s="50"/>
      <c r="B60" s="37">
        <v>0.05</v>
      </c>
      <c r="C60" s="38">
        <f>FORECAST(B60,$B$40:$B$41,$D$40:$D$41)</f>
        <v>7.8860710717853584</v>
      </c>
      <c r="D60" s="57">
        <f t="shared" si="8"/>
        <v>4.7607524873948979</v>
      </c>
      <c r="E60" s="56"/>
      <c r="F60"/>
      <c r="G60"/>
      <c r="H60"/>
    </row>
    <row r="61" spans="1:29" s="3" customFormat="1" x14ac:dyDescent="0.25">
      <c r="A61" s="1"/>
      <c r="B61" s="1"/>
      <c r="C61" s="1"/>
      <c r="D61" s="1"/>
      <c r="E61" s="1"/>
      <c r="F61" s="1"/>
      <c r="G61" s="1"/>
      <c r="H61" s="1"/>
      <c r="I61" s="1"/>
      <c r="J61" s="1"/>
      <c r="K61" s="1"/>
      <c r="N61" s="2"/>
      <c r="O61" s="1"/>
      <c r="P61" s="1"/>
      <c r="Q61" s="1"/>
      <c r="R61" s="1"/>
      <c r="S61" s="1"/>
      <c r="T61"/>
      <c r="U61"/>
      <c r="V61"/>
      <c r="W61"/>
      <c r="X61"/>
      <c r="Y61"/>
      <c r="Z61"/>
      <c r="AA61"/>
      <c r="AB61"/>
      <c r="AC61"/>
    </row>
    <row r="62" spans="1:29" s="3" customFormat="1" x14ac:dyDescent="0.25">
      <c r="A62" s="1"/>
      <c r="B62" s="1"/>
      <c r="C62" s="1"/>
      <c r="D62" s="1"/>
      <c r="E62" s="1"/>
      <c r="F62" s="1"/>
      <c r="G62" s="1"/>
      <c r="H62" s="1"/>
      <c r="I62" s="1"/>
      <c r="J62" s="1"/>
      <c r="K62" s="1"/>
      <c r="N62" s="2"/>
      <c r="O62" s="1"/>
      <c r="P62" s="1"/>
      <c r="Q62" s="1"/>
      <c r="R62" s="1"/>
      <c r="S62" s="1"/>
      <c r="T62"/>
      <c r="U62"/>
      <c r="V62"/>
      <c r="W62"/>
      <c r="X62"/>
      <c r="Y62"/>
      <c r="Z62"/>
      <c r="AA62"/>
      <c r="AB62"/>
      <c r="AC62"/>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32F4D-6C1C-46D0-9FD2-ECAE5B61A262}">
  <sheetPr codeName="Sheet15"/>
  <dimension ref="A1:AC63"/>
  <sheetViews>
    <sheetView showGridLines="0" topLeftCell="A26" zoomScale="85" zoomScaleNormal="85" workbookViewId="0">
      <selection activeCell="H51" sqref="H51"/>
    </sheetView>
  </sheetViews>
  <sheetFormatPr defaultColWidth="9" defaultRowHeight="15" x14ac:dyDescent="0.25"/>
  <cols>
    <col min="1" max="1" width="12" style="1" customWidth="1"/>
    <col min="2" max="7" width="9" style="1"/>
    <col min="8" max="8" width="11.42578125" style="1" bestFit="1" customWidth="1"/>
    <col min="9" max="11" width="9" style="1"/>
    <col min="12" max="12" width="9.7109375" style="3" bestFit="1" customWidth="1"/>
    <col min="13" max="13" width="10.5703125" style="3" bestFit="1" customWidth="1"/>
    <col min="14" max="14" width="7.140625" style="2" customWidth="1"/>
    <col min="15" max="15" width="7.42578125" style="1" customWidth="1"/>
    <col min="16" max="16" width="9" style="1"/>
    <col min="17" max="17" width="10" style="1" bestFit="1" customWidth="1"/>
    <col min="18" max="18" width="10.5703125" style="1" bestFit="1" customWidth="1"/>
    <col min="19" max="19" width="10" style="1" bestFit="1" customWidth="1"/>
    <col min="21" max="21" width="10.5703125" bestFit="1" customWidth="1"/>
    <col min="22" max="22" width="10.42578125" customWidth="1"/>
    <col min="30" max="16384" width="9" style="1"/>
  </cols>
  <sheetData>
    <row r="1" spans="2:15" x14ac:dyDescent="0.25">
      <c r="B1" s="32" t="s">
        <v>39</v>
      </c>
      <c r="F1" s="4" t="s">
        <v>38</v>
      </c>
      <c r="G1" s="33">
        <f ca="1">TODAY()</f>
        <v>43962</v>
      </c>
    </row>
    <row r="2" spans="2:15" x14ac:dyDescent="0.25">
      <c r="F2" s="4" t="s">
        <v>37</v>
      </c>
      <c r="G2" s="1" t="s">
        <v>36</v>
      </c>
    </row>
    <row r="3" spans="2:15" x14ac:dyDescent="0.25">
      <c r="B3" s="4" t="s">
        <v>35</v>
      </c>
      <c r="C3" s="1" t="s">
        <v>34</v>
      </c>
      <c r="F3" s="32" t="s">
        <v>33</v>
      </c>
      <c r="G3" s="29"/>
    </row>
    <row r="4" spans="2:15" x14ac:dyDescent="0.25">
      <c r="B4" s="4" t="s">
        <v>32</v>
      </c>
      <c r="C4" s="29" t="s">
        <v>31</v>
      </c>
    </row>
    <row r="5" spans="2:15" x14ac:dyDescent="0.25">
      <c r="B5" s="30"/>
      <c r="C5" s="31"/>
      <c r="D5" s="31"/>
      <c r="E5" s="30"/>
      <c r="F5" s="30"/>
      <c r="G5" s="30"/>
      <c r="H5" s="30"/>
    </row>
    <row r="6" spans="2:15" x14ac:dyDescent="0.25">
      <c r="C6" s="4"/>
      <c r="D6" s="4"/>
    </row>
    <row r="7" spans="2:15" x14ac:dyDescent="0.25">
      <c r="B7" s="4" t="s">
        <v>30</v>
      </c>
      <c r="C7" s="4"/>
      <c r="D7" s="4"/>
    </row>
    <row r="8" spans="2:15" x14ac:dyDescent="0.25">
      <c r="C8" s="4"/>
      <c r="D8" s="4"/>
    </row>
    <row r="9" spans="2:15" x14ac:dyDescent="0.25">
      <c r="C9" s="4"/>
      <c r="D9" s="4"/>
    </row>
    <row r="10" spans="2:15" x14ac:dyDescent="0.25">
      <c r="B10" s="4" t="s">
        <v>29</v>
      </c>
      <c r="C10" s="4"/>
      <c r="D10" s="4"/>
      <c r="L10" s="4"/>
      <c r="M10" s="1"/>
      <c r="N10" s="1"/>
    </row>
    <row r="11" spans="2:15" x14ac:dyDescent="0.25">
      <c r="C11" s="29"/>
      <c r="D11" s="29"/>
      <c r="L11" s="1"/>
      <c r="M11" s="1"/>
      <c r="N11" s="1"/>
      <c r="O11" s="11"/>
    </row>
    <row r="12" spans="2:15" x14ac:dyDescent="0.25">
      <c r="C12" s="29"/>
      <c r="D12" s="29"/>
      <c r="L12" s="1"/>
      <c r="M12" s="1"/>
      <c r="N12" s="1"/>
      <c r="O12" s="8"/>
    </row>
    <row r="13" spans="2:15" x14ac:dyDescent="0.25">
      <c r="C13" s="29"/>
      <c r="D13" s="29"/>
      <c r="L13" s="4"/>
      <c r="M13" s="1"/>
      <c r="N13" s="1"/>
      <c r="O13" s="8"/>
    </row>
    <row r="14" spans="2:15" x14ac:dyDescent="0.25">
      <c r="C14" s="29"/>
      <c r="D14" s="29"/>
      <c r="L14" s="4"/>
      <c r="M14" s="1"/>
      <c r="N14" s="1"/>
    </row>
    <row r="15" spans="2:15" x14ac:dyDescent="0.25">
      <c r="C15" s="29"/>
      <c r="D15" s="29"/>
    </row>
    <row r="16" spans="2:15" x14ac:dyDescent="0.25">
      <c r="C16" s="29"/>
      <c r="D16" s="29"/>
    </row>
    <row r="17" spans="1:29" x14ac:dyDescent="0.25">
      <c r="D17" s="29"/>
    </row>
    <row r="18" spans="1:29" x14ac:dyDescent="0.25">
      <c r="C18" s="29"/>
      <c r="D18" s="29"/>
    </row>
    <row r="19" spans="1:29" x14ac:dyDescent="0.25">
      <c r="B19" s="4" t="s">
        <v>28</v>
      </c>
      <c r="C19" s="4"/>
      <c r="D19" s="4"/>
    </row>
    <row r="20" spans="1:29" x14ac:dyDescent="0.25">
      <c r="C20" s="1" t="s">
        <v>27</v>
      </c>
      <c r="D20" s="4"/>
      <c r="M20"/>
    </row>
    <row r="21" spans="1:29" x14ac:dyDescent="0.25">
      <c r="C21" s="4"/>
      <c r="D21" s="4" t="s">
        <v>26</v>
      </c>
      <c r="H21" s="50" t="s">
        <v>349</v>
      </c>
      <c r="I21" s="419" t="s">
        <v>350</v>
      </c>
    </row>
    <row r="22" spans="1:29" x14ac:dyDescent="0.25">
      <c r="C22" s="29"/>
      <c r="D22" s="24"/>
      <c r="H22" s="50" t="s">
        <v>21</v>
      </c>
      <c r="I22" s="419" t="s">
        <v>352</v>
      </c>
    </row>
    <row r="23" spans="1:29" x14ac:dyDescent="0.25">
      <c r="C23" s="29" t="s">
        <v>25</v>
      </c>
      <c r="D23" s="4" t="s">
        <v>24</v>
      </c>
      <c r="H23" s="50" t="s">
        <v>351</v>
      </c>
      <c r="I23" s="419" t="s">
        <v>353</v>
      </c>
    </row>
    <row r="24" spans="1:29" x14ac:dyDescent="0.25">
      <c r="C24" s="29"/>
      <c r="D24" s="4" t="s">
        <v>23</v>
      </c>
      <c r="H24" s="50" t="s">
        <v>354</v>
      </c>
      <c r="I24" s="419" t="s">
        <v>355</v>
      </c>
    </row>
    <row r="25" spans="1:29" x14ac:dyDescent="0.25">
      <c r="C25" s="29"/>
    </row>
    <row r="26" spans="1:29" x14ac:dyDescent="0.25">
      <c r="C26" s="29" t="s">
        <v>347</v>
      </c>
      <c r="D26" s="420" t="s">
        <v>49</v>
      </c>
      <c r="E26" s="1" t="s">
        <v>348</v>
      </c>
    </row>
    <row r="27" spans="1:29" x14ac:dyDescent="0.25">
      <c r="C27" s="29"/>
      <c r="D27" s="420"/>
    </row>
    <row r="28" spans="1:29" x14ac:dyDescent="0.25">
      <c r="A28" s="420" t="s">
        <v>79</v>
      </c>
      <c r="C28" s="420"/>
      <c r="E28" s="420" t="s">
        <v>357</v>
      </c>
      <c r="F28" s="420"/>
      <c r="G28" s="420" t="s">
        <v>358</v>
      </c>
      <c r="H28" s="420" t="s">
        <v>359</v>
      </c>
      <c r="M28" s="3" t="s">
        <v>294</v>
      </c>
      <c r="N28" s="3" t="s">
        <v>53</v>
      </c>
    </row>
    <row r="29" spans="1:29" ht="23.25" x14ac:dyDescent="0.25">
      <c r="B29" s="24" t="s">
        <v>21</v>
      </c>
      <c r="C29" s="28"/>
      <c r="E29" s="28" t="s">
        <v>20</v>
      </c>
      <c r="G29" s="1" t="s">
        <v>19</v>
      </c>
      <c r="H29" s="1" t="s">
        <v>18</v>
      </c>
      <c r="I29" s="27" t="s">
        <v>17</v>
      </c>
      <c r="J29" s="26" t="s">
        <v>41</v>
      </c>
      <c r="K29" s="26" t="s">
        <v>40</v>
      </c>
      <c r="M29" s="3" t="s">
        <v>52</v>
      </c>
    </row>
    <row r="30" spans="1:29" s="24" customFormat="1" x14ac:dyDescent="0.25">
      <c r="A30" s="24" t="s">
        <v>51</v>
      </c>
      <c r="B30" s="26" t="s">
        <v>16</v>
      </c>
      <c r="C30" s="3" t="s">
        <v>15</v>
      </c>
      <c r="D30" s="3" t="s">
        <v>14</v>
      </c>
      <c r="E30" s="2" t="s">
        <v>13</v>
      </c>
      <c r="F30" s="1"/>
      <c r="G30" s="15"/>
      <c r="H30" s="14"/>
      <c r="I30" s="22"/>
      <c r="J30" s="19">
        <v>0</v>
      </c>
      <c r="K30" s="34">
        <f>1-J30</f>
        <v>1</v>
      </c>
      <c r="Q30" s="24" t="s">
        <v>410</v>
      </c>
      <c r="R30" s="24" t="s">
        <v>409</v>
      </c>
      <c r="Y30"/>
      <c r="Z30"/>
      <c r="AA30"/>
      <c r="AB30"/>
      <c r="AC30"/>
    </row>
    <row r="31" spans="1:29" s="22" customFormat="1" x14ac:dyDescent="0.25">
      <c r="A31" s="22">
        <f>B31/1000</f>
        <v>1.18</v>
      </c>
      <c r="B31" s="25">
        <v>1180</v>
      </c>
      <c r="C31" s="17">
        <v>3.2527593439466353E-2</v>
      </c>
      <c r="D31" s="421">
        <v>0.96747240656053368</v>
      </c>
      <c r="E31" s="16">
        <f t="shared" ref="E31:E43" si="0">1-D31</f>
        <v>3.2527593439466318E-2</v>
      </c>
      <c r="F31" s="1"/>
      <c r="G31" s="21">
        <f>LN(A31)</f>
        <v>0.16551443847757333</v>
      </c>
      <c r="H31" s="21">
        <f>LN(-LN(E31))</f>
        <v>1.2312960574412903</v>
      </c>
      <c r="I31" s="20">
        <f>IF(B31&gt;=$B$32,G31*$C$45+$C$46,0)+IF(B31&lt;$B$32,G31*$D$45+$D$46,0)</f>
        <v>1.2115073918210997</v>
      </c>
      <c r="J31" s="19">
        <f>EXP(-EXP(I31))</f>
        <v>3.4785888415396066E-2</v>
      </c>
      <c r="K31" s="34">
        <f>1-J31</f>
        <v>0.96521411158460391</v>
      </c>
      <c r="L31" s="24"/>
      <c r="M31" s="41">
        <f>(K31-D31)^2</f>
        <v>5.0998961983096651E-6</v>
      </c>
      <c r="N31" s="41"/>
      <c r="O31" s="41"/>
      <c r="Q31" s="465">
        <f>LOG(B31)</f>
        <v>3.0718820073061255</v>
      </c>
      <c r="R31" s="466">
        <f>LOG(D31)</f>
        <v>-1.4361412716688778E-2</v>
      </c>
      <c r="U31" s="22">
        <f>LOG(0.95)</f>
        <v>-2.2276394711152253E-2</v>
      </c>
      <c r="Y31"/>
      <c r="Z31"/>
      <c r="AA31"/>
      <c r="AB31"/>
      <c r="AC31"/>
    </row>
    <row r="32" spans="1:29" s="22" customFormat="1" x14ac:dyDescent="0.25">
      <c r="A32" s="22">
        <f t="shared" ref="A32:A43" si="1">B32/1000</f>
        <v>0.6</v>
      </c>
      <c r="B32" s="25">
        <v>600</v>
      </c>
      <c r="C32" s="17">
        <v>7.4167039163772638E-2</v>
      </c>
      <c r="D32" s="421">
        <v>0.89330536739676092</v>
      </c>
      <c r="E32" s="16">
        <f t="shared" si="0"/>
        <v>0.10669463260323908</v>
      </c>
      <c r="F32" s="1"/>
      <c r="G32" s="21">
        <f t="shared" ref="G32:G41" si="2">LN(A32)</f>
        <v>-0.51082562376599072</v>
      </c>
      <c r="H32" s="21">
        <f t="shared" ref="H32:H41" si="3">LN(-LN(E32))</f>
        <v>0.80548628065882344</v>
      </c>
      <c r="I32" s="20">
        <f t="shared" ref="I32:I41" si="4">IF(B32&gt;=$B$32,G32*$C$45+$C$46,0)+IF(B32&lt;$B$32,G32*$D$45+$D$46,0)</f>
        <v>0.78569761503863267</v>
      </c>
      <c r="J32" s="19">
        <f t="shared" ref="J32:J41" si="5">EXP(-EXP(I32))</f>
        <v>0.11147700635322878</v>
      </c>
      <c r="K32" s="34">
        <f t="shared" ref="K32:K41" si="6">1-J32</f>
        <v>0.88852299364677123</v>
      </c>
      <c r="L32" s="24"/>
      <c r="M32" s="41">
        <f t="shared" ref="M32:M41" si="7">(K32-D32)^2</f>
        <v>2.2871098684590429E-5</v>
      </c>
      <c r="N32" s="41"/>
      <c r="O32" s="41"/>
      <c r="Q32" s="467">
        <f t="shared" ref="Q32:Q41" si="8">LOG(B32)</f>
        <v>2.7781512503836434</v>
      </c>
      <c r="R32" s="468">
        <f t="shared" ref="R32:R41" si="9">LOG(D32)</f>
        <v>-4.9000056558835818E-2</v>
      </c>
      <c r="Y32"/>
      <c r="Z32"/>
      <c r="AA32"/>
      <c r="AB32"/>
      <c r="AC32"/>
    </row>
    <row r="33" spans="1:29" x14ac:dyDescent="0.25">
      <c r="A33" s="22">
        <f t="shared" si="1"/>
        <v>0.42499999999999999</v>
      </c>
      <c r="B33" s="25">
        <v>425</v>
      </c>
      <c r="C33" s="17">
        <v>7.4889110476910908E-2</v>
      </c>
      <c r="D33" s="421">
        <v>0.81841625691985009</v>
      </c>
      <c r="E33" s="16">
        <f t="shared" si="0"/>
        <v>0.18158374308014991</v>
      </c>
      <c r="G33" s="21">
        <f t="shared" si="2"/>
        <v>-0.8556661100577202</v>
      </c>
      <c r="H33" s="21">
        <f t="shared" si="3"/>
        <v>0.53417392086031124</v>
      </c>
      <c r="I33" s="20">
        <f t="shared" si="4"/>
        <v>0.45569825281452947</v>
      </c>
      <c r="J33" s="19">
        <f t="shared" si="5"/>
        <v>0.20653728316538153</v>
      </c>
      <c r="K33" s="34">
        <f t="shared" si="6"/>
        <v>0.79346271683461844</v>
      </c>
      <c r="L33" s="24"/>
      <c r="M33" s="41">
        <f t="shared" si="7"/>
        <v>6.2267916278526281E-4</v>
      </c>
      <c r="N33" s="41"/>
      <c r="O33" s="41"/>
      <c r="Q33" s="467">
        <f t="shared" si="8"/>
        <v>2.6283889300503116</v>
      </c>
      <c r="R33" s="468">
        <f t="shared" si="9"/>
        <v>-8.7025752438050705E-2</v>
      </c>
    </row>
    <row r="34" spans="1:29" x14ac:dyDescent="0.25">
      <c r="A34" s="22">
        <f t="shared" si="1"/>
        <v>0.3</v>
      </c>
      <c r="B34" s="25">
        <v>300</v>
      </c>
      <c r="C34" s="17">
        <v>0.1227521232335041</v>
      </c>
      <c r="D34" s="421">
        <v>0.69566413368634583</v>
      </c>
      <c r="E34" s="16">
        <f t="shared" si="0"/>
        <v>0.30433586631365417</v>
      </c>
      <c r="G34" s="21">
        <f t="shared" si="2"/>
        <v>-1.2039728043259361</v>
      </c>
      <c r="H34" s="21">
        <f t="shared" si="3"/>
        <v>0.17363675622308758</v>
      </c>
      <c r="I34" s="20">
        <f t="shared" si="4"/>
        <v>0.18988612019460904</v>
      </c>
      <c r="J34" s="19">
        <f t="shared" si="5"/>
        <v>0.29846222714356208</v>
      </c>
      <c r="K34" s="34">
        <f t="shared" si="6"/>
        <v>0.70153777285643792</v>
      </c>
      <c r="L34" s="24"/>
      <c r="M34" s="41">
        <f t="shared" si="7"/>
        <v>3.4499637100440136E-5</v>
      </c>
      <c r="N34" s="41"/>
      <c r="O34" s="41"/>
      <c r="Q34" s="467">
        <f t="shared" si="8"/>
        <v>2.4771212547196626</v>
      </c>
      <c r="R34" s="468">
        <f t="shared" si="9"/>
        <v>-0.1576003869594966</v>
      </c>
    </row>
    <row r="35" spans="1:29" x14ac:dyDescent="0.25">
      <c r="A35" s="22">
        <f t="shared" si="1"/>
        <v>0.21199999999999999</v>
      </c>
      <c r="B35" s="18">
        <v>212</v>
      </c>
      <c r="C35" s="17">
        <v>0.11924491971254683</v>
      </c>
      <c r="D35" s="421">
        <v>0.57641921397379903</v>
      </c>
      <c r="E35" s="16">
        <f t="shared" si="0"/>
        <v>0.42358078602620097</v>
      </c>
      <c r="G35" s="21">
        <f t="shared" si="2"/>
        <v>-1.5511690043101247</v>
      </c>
      <c r="H35" s="21">
        <f t="shared" si="3"/>
        <v>-0.15197352232954023</v>
      </c>
      <c r="I35" s="20">
        <f t="shared" si="4"/>
        <v>-7.5078532722058E-2</v>
      </c>
      <c r="J35" s="19">
        <f t="shared" si="5"/>
        <v>0.3954738428139587</v>
      </c>
      <c r="K35" s="34">
        <f t="shared" si="6"/>
        <v>0.6045261571860413</v>
      </c>
      <c r="L35" s="24"/>
      <c r="M35" s="41">
        <f t="shared" si="7"/>
        <v>7.9000025673621205E-4</v>
      </c>
      <c r="N35" s="41"/>
      <c r="O35" s="41"/>
      <c r="Q35" s="467">
        <f t="shared" si="8"/>
        <v>2.3263358609287512</v>
      </c>
      <c r="R35" s="468">
        <f t="shared" si="9"/>
        <v>-0.23926155113403821</v>
      </c>
    </row>
    <row r="36" spans="1:29" x14ac:dyDescent="0.25">
      <c r="A36" s="22">
        <f t="shared" si="1"/>
        <v>0.18</v>
      </c>
      <c r="B36" s="18">
        <v>180</v>
      </c>
      <c r="C36" s="17">
        <v>4.5284186638242269E-2</v>
      </c>
      <c r="D36" s="421">
        <v>0.53113502733555673</v>
      </c>
      <c r="E36" s="16">
        <f t="shared" si="0"/>
        <v>0.46886497266444327</v>
      </c>
      <c r="G36" s="21">
        <f t="shared" si="2"/>
        <v>-1.7147984280919266</v>
      </c>
      <c r="H36" s="21">
        <f t="shared" si="3"/>
        <v>-0.27781034963198903</v>
      </c>
      <c r="I36" s="20">
        <f t="shared" si="4"/>
        <v>-0.19995321015595224</v>
      </c>
      <c r="J36" s="19">
        <f t="shared" si="5"/>
        <v>0.44097413226177029</v>
      </c>
      <c r="K36" s="34">
        <f t="shared" si="6"/>
        <v>0.55902586773822971</v>
      </c>
      <c r="L36" s="24"/>
      <c r="M36" s="41">
        <f>(K36-D36)^2</f>
        <v>7.7789897836737535E-4</v>
      </c>
      <c r="N36" s="41"/>
      <c r="O36" s="41"/>
      <c r="Q36" s="467">
        <f t="shared" si="8"/>
        <v>2.255272505103306</v>
      </c>
      <c r="R36" s="468">
        <f t="shared" si="9"/>
        <v>-0.27479505674894783</v>
      </c>
    </row>
    <row r="37" spans="1:29" x14ac:dyDescent="0.25">
      <c r="A37" s="22">
        <f t="shared" si="1"/>
        <v>0.15</v>
      </c>
      <c r="B37" s="18">
        <v>150</v>
      </c>
      <c r="C37" s="17">
        <v>4.8034934497816588E-2</v>
      </c>
      <c r="D37" s="421">
        <v>0.48310009283774019</v>
      </c>
      <c r="E37" s="16">
        <f t="shared" si="0"/>
        <v>0.51689990716225975</v>
      </c>
      <c r="G37" s="21">
        <f t="shared" si="2"/>
        <v>-1.8971199848858813</v>
      </c>
      <c r="H37" s="21">
        <f t="shared" si="3"/>
        <v>-0.41565783836442438</v>
      </c>
      <c r="I37" s="20">
        <f t="shared" si="4"/>
        <v>-0.3390928897300276</v>
      </c>
      <c r="J37" s="19">
        <f t="shared" si="5"/>
        <v>0.49045768644718551</v>
      </c>
      <c r="K37" s="34">
        <f t="shared" si="6"/>
        <v>0.50954231355281454</v>
      </c>
      <c r="L37" s="24"/>
      <c r="M37" s="41">
        <f t="shared" si="7"/>
        <v>6.9919103634470702E-4</v>
      </c>
      <c r="N37" s="41"/>
      <c r="O37" s="41"/>
      <c r="Q37" s="467">
        <f t="shared" si="8"/>
        <v>2.1760912590556813</v>
      </c>
      <c r="R37" s="468">
        <f t="shared" si="9"/>
        <v>-0.31596287905474624</v>
      </c>
    </row>
    <row r="38" spans="1:29" x14ac:dyDescent="0.25">
      <c r="A38" s="22">
        <f t="shared" si="1"/>
        <v>0.106</v>
      </c>
      <c r="B38" s="18">
        <v>106</v>
      </c>
      <c r="C38" s="17">
        <v>7.8808926176804309E-2</v>
      </c>
      <c r="D38" s="421">
        <v>0.4042911666609359</v>
      </c>
      <c r="E38" s="16">
        <f t="shared" si="0"/>
        <v>0.5957088333390641</v>
      </c>
      <c r="F38" s="24"/>
      <c r="G38" s="21">
        <f t="shared" si="2"/>
        <v>-2.2443161848700699</v>
      </c>
      <c r="H38" s="21">
        <f t="shared" si="3"/>
        <v>-0.65777373181062482</v>
      </c>
      <c r="I38" s="20">
        <f t="shared" si="4"/>
        <v>-0.60405754264669476</v>
      </c>
      <c r="J38" s="19">
        <f t="shared" si="5"/>
        <v>0.5789209604981217</v>
      </c>
      <c r="K38" s="34">
        <f t="shared" si="6"/>
        <v>0.4210790395018783</v>
      </c>
      <c r="L38" s="24"/>
      <c r="M38" s="41">
        <f t="shared" si="7"/>
        <v>2.818326745236517E-4</v>
      </c>
      <c r="N38" s="41"/>
      <c r="O38" s="41"/>
      <c r="Q38" s="467">
        <f t="shared" si="8"/>
        <v>2.0253058652647704</v>
      </c>
      <c r="R38" s="468">
        <f t="shared" si="9"/>
        <v>-0.39330574744278196</v>
      </c>
    </row>
    <row r="39" spans="1:29" x14ac:dyDescent="0.25">
      <c r="A39" s="22">
        <f t="shared" si="1"/>
        <v>7.4999999999999997E-2</v>
      </c>
      <c r="B39" s="18">
        <v>75</v>
      </c>
      <c r="C39" s="23">
        <v>5.6699790255475696E-2</v>
      </c>
      <c r="D39" s="422">
        <v>0.34759137640546017</v>
      </c>
      <c r="E39" s="16">
        <f t="shared" si="0"/>
        <v>0.65240862359453988</v>
      </c>
      <c r="F39" s="22"/>
      <c r="G39" s="21">
        <f t="shared" si="2"/>
        <v>-2.5902671654458267</v>
      </c>
      <c r="H39" s="21">
        <f t="shared" si="3"/>
        <v>-0.85077411877137399</v>
      </c>
      <c r="I39" s="20">
        <f t="shared" si="4"/>
        <v>-0.86807189965466458</v>
      </c>
      <c r="J39" s="19">
        <f t="shared" si="5"/>
        <v>0.65720445826460905</v>
      </c>
      <c r="K39" s="34">
        <f t="shared" si="6"/>
        <v>0.34279554173539095</v>
      </c>
      <c r="L39" s="24"/>
      <c r="M39" s="41">
        <f t="shared" si="7"/>
        <v>2.3000030182637954E-5</v>
      </c>
      <c r="N39" s="41"/>
      <c r="O39" s="41"/>
      <c r="Q39" s="467">
        <f t="shared" si="8"/>
        <v>1.8750612633917001</v>
      </c>
      <c r="R39" s="468">
        <f t="shared" si="9"/>
        <v>-0.45893100675150861</v>
      </c>
    </row>
    <row r="40" spans="1:29" x14ac:dyDescent="0.25">
      <c r="A40" s="22">
        <f t="shared" si="1"/>
        <v>5.2999999999999999E-2</v>
      </c>
      <c r="B40" s="18">
        <v>53</v>
      </c>
      <c r="C40" s="23">
        <v>6.7427706907815549E-2</v>
      </c>
      <c r="D40" s="422">
        <v>0.28016366949764465</v>
      </c>
      <c r="E40" s="16">
        <f t="shared" si="0"/>
        <v>0.7198363305023554</v>
      </c>
      <c r="F40" s="22"/>
      <c r="G40" s="21">
        <f t="shared" si="2"/>
        <v>-2.9374633654300153</v>
      </c>
      <c r="H40" s="21">
        <f t="shared" si="3"/>
        <v>-1.1125142398732921</v>
      </c>
      <c r="I40" s="20">
        <f t="shared" si="4"/>
        <v>-1.1330365525713315</v>
      </c>
      <c r="J40" s="19">
        <f t="shared" si="5"/>
        <v>0.72465917599272223</v>
      </c>
      <c r="K40" s="34">
        <f t="shared" si="6"/>
        <v>0.27534082400727777</v>
      </c>
      <c r="L40" s="24"/>
      <c r="M40" s="41">
        <f t="shared" si="7"/>
        <v>2.3259838623952134E-5</v>
      </c>
      <c r="N40" s="41"/>
      <c r="O40" s="41"/>
      <c r="Q40" s="467">
        <f t="shared" si="8"/>
        <v>1.7242758696007889</v>
      </c>
      <c r="R40" s="468">
        <f t="shared" si="9"/>
        <v>-0.55258818296771839</v>
      </c>
    </row>
    <row r="41" spans="1:29" x14ac:dyDescent="0.25">
      <c r="A41" s="22">
        <f t="shared" si="1"/>
        <v>3.7999999999999999E-2</v>
      </c>
      <c r="B41" s="18">
        <v>38</v>
      </c>
      <c r="C41" s="17">
        <v>3.9232541347178761E-2</v>
      </c>
      <c r="D41" s="421">
        <v>0.24093112815046591</v>
      </c>
      <c r="E41" s="16">
        <f t="shared" si="0"/>
        <v>0.75906887184953409</v>
      </c>
      <c r="G41" s="21">
        <f t="shared" si="2"/>
        <v>-3.2701691192557512</v>
      </c>
      <c r="H41" s="21">
        <f t="shared" si="3"/>
        <v>-1.2885770246489232</v>
      </c>
      <c r="I41" s="20">
        <f t="shared" si="4"/>
        <v>-1.3869427433355992</v>
      </c>
      <c r="J41" s="19">
        <f t="shared" si="5"/>
        <v>0.77892699252405129</v>
      </c>
      <c r="K41" s="34">
        <f t="shared" si="6"/>
        <v>0.22107300747594871</v>
      </c>
      <c r="L41" s="24"/>
      <c r="M41" s="41">
        <f t="shared" si="7"/>
        <v>3.9434495672368739E-4</v>
      </c>
      <c r="N41" s="41"/>
      <c r="O41" s="41"/>
      <c r="Q41" s="469">
        <f t="shared" si="8"/>
        <v>1.5797835966168101</v>
      </c>
      <c r="R41" s="470">
        <f t="shared" si="9"/>
        <v>-0.61810708580226936</v>
      </c>
      <c r="T41" s="18"/>
    </row>
    <row r="42" spans="1:29" x14ac:dyDescent="0.25">
      <c r="A42" s="22">
        <f t="shared" si="1"/>
        <v>0</v>
      </c>
      <c r="B42" s="18">
        <v>0</v>
      </c>
      <c r="C42" s="17">
        <v>0.24093112815046591</v>
      </c>
      <c r="D42" s="3">
        <v>0</v>
      </c>
      <c r="E42" s="16">
        <f t="shared" si="0"/>
        <v>1</v>
      </c>
      <c r="G42" s="15"/>
      <c r="H42" s="14"/>
      <c r="K42" s="1">
        <v>0</v>
      </c>
      <c r="L42" s="1"/>
      <c r="M42" s="42"/>
      <c r="N42" s="41"/>
      <c r="O42" s="41"/>
      <c r="R42" s="46"/>
    </row>
    <row r="43" spans="1:29" x14ac:dyDescent="0.25">
      <c r="A43" s="22">
        <f t="shared" si="1"/>
        <v>0</v>
      </c>
      <c r="C43" s="3"/>
      <c r="D43" s="3"/>
      <c r="E43" s="2">
        <f t="shared" si="0"/>
        <v>1</v>
      </c>
      <c r="K43" s="43"/>
      <c r="L43" s="44"/>
      <c r="M43" s="100">
        <f>SUM(M31:M41)</f>
        <v>3.674677566270827E-3</v>
      </c>
      <c r="N43" s="45"/>
      <c r="O43" s="45"/>
      <c r="Q43" s="1" t="s">
        <v>57</v>
      </c>
      <c r="R43" s="50" t="s">
        <v>48</v>
      </c>
      <c r="S43" s="123">
        <f>0.5*(C54-C60)</f>
        <v>225.10060584437201</v>
      </c>
      <c r="T43" s="58">
        <f>0.5*(D54-D60)</f>
        <v>246.80528357463547</v>
      </c>
      <c r="V43" s="1" t="s">
        <v>49</v>
      </c>
      <c r="W43" s="1" t="s">
        <v>50</v>
      </c>
      <c r="X43" s="1"/>
    </row>
    <row r="44" spans="1:29" customFormat="1" x14ac:dyDescent="0.25">
      <c r="A44" s="50" t="s">
        <v>54</v>
      </c>
      <c r="B44" s="1"/>
      <c r="C44" s="3">
        <v>1</v>
      </c>
      <c r="D44" s="47">
        <v>2</v>
      </c>
      <c r="E44" s="48"/>
      <c r="F44" s="49"/>
      <c r="G44" s="49"/>
      <c r="H44" s="49"/>
      <c r="I44" s="1"/>
      <c r="J44" s="1"/>
      <c r="K44" s="1"/>
      <c r="L44" s="1"/>
      <c r="M44" s="1"/>
      <c r="N44" s="1"/>
      <c r="O44" s="1"/>
      <c r="P44" s="1"/>
      <c r="Q44" s="1"/>
      <c r="R44" s="1"/>
      <c r="S44" s="1"/>
    </row>
    <row r="45" spans="1:29" customFormat="1" x14ac:dyDescent="0.25">
      <c r="A45" s="51" t="s">
        <v>55</v>
      </c>
      <c r="B45" s="13" t="s">
        <v>12</v>
      </c>
      <c r="C45" s="49">
        <f>SLOPE(H31:H32,G31:G32)</f>
        <v>0.62957940916580513</v>
      </c>
      <c r="D45" s="49">
        <f>SLOPE(H32:H41,G32:G41)</f>
        <v>0.76315539435262736</v>
      </c>
      <c r="E45" s="49"/>
      <c r="F45" s="1"/>
      <c r="G45" s="1"/>
      <c r="H45" s="423"/>
      <c r="I45" s="1"/>
      <c r="J45" s="1"/>
      <c r="K45" s="1"/>
      <c r="L45" s="1"/>
      <c r="M45" s="3"/>
      <c r="N45" s="2"/>
      <c r="O45" s="1"/>
      <c r="P45" s="1"/>
      <c r="Q45" s="1"/>
      <c r="R45" s="1"/>
      <c r="S45" s="1"/>
    </row>
    <row r="46" spans="1:29" customFormat="1" x14ac:dyDescent="0.25">
      <c r="A46" s="53" t="s">
        <v>56</v>
      </c>
      <c r="B46" s="6" t="s">
        <v>8</v>
      </c>
      <c r="C46" s="49">
        <f>INTERCEPT(H31:H41,G31:G41)</f>
        <v>1.107302909435979</v>
      </c>
      <c r="D46" s="49">
        <f>INTERCEPT(H32:H41,G32:G41)</f>
        <v>1.1087044604698075</v>
      </c>
      <c r="E46" s="49"/>
      <c r="F46" s="10"/>
      <c r="G46" s="1"/>
      <c r="H46" s="49"/>
      <c r="I46" s="1"/>
      <c r="J46" s="1"/>
      <c r="K46" s="1"/>
      <c r="L46" s="1"/>
      <c r="M46" s="1"/>
      <c r="N46" s="1"/>
      <c r="O46" s="1"/>
      <c r="P46" s="1"/>
      <c r="Q46" s="1"/>
      <c r="R46" s="1"/>
      <c r="S46" s="1"/>
    </row>
    <row r="47" spans="1:29" customFormat="1" x14ac:dyDescent="0.25">
      <c r="A47" s="53"/>
      <c r="B47" s="6" t="s">
        <v>7</v>
      </c>
      <c r="C47" s="49">
        <f>EXP(-C46/C45)</f>
        <v>0.17225181241747059</v>
      </c>
      <c r="D47" s="49">
        <f>EXP(-D46/D45)</f>
        <v>0.23391676899098454</v>
      </c>
      <c r="E47" s="49" t="s">
        <v>356</v>
      </c>
      <c r="F47" s="1"/>
      <c r="G47" s="1"/>
      <c r="H47" s="49"/>
      <c r="I47" s="1"/>
      <c r="J47" s="1"/>
      <c r="K47" s="1"/>
      <c r="L47" s="1"/>
      <c r="M47" s="1"/>
      <c r="N47" s="1"/>
      <c r="O47" s="1"/>
      <c r="P47" s="1"/>
      <c r="Q47" s="1"/>
      <c r="R47" s="1"/>
      <c r="S47" s="1"/>
    </row>
    <row r="48" spans="1:29" s="3" customFormat="1" x14ac:dyDescent="0.25">
      <c r="A48" s="1"/>
      <c r="B48" s="1"/>
      <c r="C48" s="1"/>
      <c r="D48" s="49"/>
      <c r="E48" s="11"/>
      <c r="F48" s="10"/>
      <c r="G48" s="1"/>
      <c r="H48" s="49"/>
      <c r="I48" s="1"/>
      <c r="J48" s="1"/>
      <c r="K48" s="1"/>
      <c r="L48" s="1"/>
      <c r="N48" s="2"/>
      <c r="O48" s="1"/>
      <c r="P48" s="1"/>
      <c r="Q48" s="1"/>
      <c r="R48" s="1"/>
      <c r="S48" s="1"/>
      <c r="T48"/>
      <c r="U48"/>
      <c r="V48"/>
      <c r="W48"/>
      <c r="X48"/>
      <c r="Y48"/>
      <c r="Z48"/>
      <c r="AA48"/>
      <c r="AB48"/>
      <c r="AC48"/>
    </row>
    <row r="49" spans="1:29" s="3" customFormat="1" x14ac:dyDescent="0.25">
      <c r="A49" s="1"/>
      <c r="B49" s="1"/>
      <c r="C49" s="1"/>
      <c r="D49" s="49"/>
      <c r="E49" s="1"/>
      <c r="F49" s="8"/>
      <c r="G49" s="1"/>
      <c r="H49" s="49"/>
      <c r="I49" s="1"/>
      <c r="J49" s="1"/>
      <c r="K49" s="1"/>
      <c r="L49" s="1"/>
      <c r="N49" s="2"/>
      <c r="O49" s="1"/>
      <c r="P49" s="1"/>
      <c r="Q49" s="1"/>
      <c r="R49" s="1"/>
      <c r="S49" s="1"/>
      <c r="T49"/>
      <c r="U49"/>
      <c r="V49"/>
      <c r="W49"/>
      <c r="X49"/>
      <c r="Y49"/>
      <c r="Z49"/>
      <c r="AA49"/>
      <c r="AB49"/>
      <c r="AC49"/>
    </row>
    <row r="50" spans="1:29" s="3" customFormat="1" x14ac:dyDescent="0.25">
      <c r="A50" s="1"/>
      <c r="B50" s="1"/>
      <c r="C50" s="1"/>
      <c r="D50" s="1"/>
      <c r="E50" s="1"/>
      <c r="F50"/>
      <c r="G50"/>
      <c r="H50"/>
      <c r="I50" s="1"/>
      <c r="J50" s="1"/>
      <c r="K50" s="1"/>
      <c r="N50" s="2"/>
      <c r="O50" s="1"/>
      <c r="P50" s="1"/>
      <c r="Q50" s="1"/>
      <c r="R50" s="1"/>
      <c r="S50" s="1"/>
      <c r="T50"/>
      <c r="U50"/>
      <c r="V50"/>
      <c r="W50"/>
      <c r="X50"/>
      <c r="Y50"/>
      <c r="Z50"/>
      <c r="AA50"/>
      <c r="AB50"/>
      <c r="AC50"/>
    </row>
    <row r="51" spans="1:29" s="3" customFormat="1" ht="51.75" x14ac:dyDescent="0.25">
      <c r="A51" s="24"/>
      <c r="B51" s="24"/>
      <c r="C51" s="462" t="s">
        <v>345</v>
      </c>
      <c r="D51" s="463" t="s">
        <v>346</v>
      </c>
      <c r="E51" s="462" t="s">
        <v>408</v>
      </c>
      <c r="F51" s="464"/>
      <c r="G51" s="464"/>
      <c r="H51" s="63"/>
      <c r="I51" s="1"/>
      <c r="J51" s="1"/>
      <c r="K51" s="1"/>
      <c r="N51" s="2"/>
      <c r="O51" s="1"/>
      <c r="P51" s="1"/>
      <c r="Q51" s="1"/>
      <c r="R51" s="1"/>
      <c r="S51" s="1"/>
      <c r="T51"/>
      <c r="U51"/>
      <c r="V51"/>
      <c r="W51"/>
      <c r="X51"/>
      <c r="Y51"/>
      <c r="Z51"/>
      <c r="AA51"/>
      <c r="AB51"/>
      <c r="AC51"/>
    </row>
    <row r="52" spans="1:29" x14ac:dyDescent="0.25">
      <c r="A52" s="26"/>
      <c r="B52" s="35"/>
      <c r="C52" s="36" t="s">
        <v>42</v>
      </c>
      <c r="D52" s="22"/>
      <c r="E52" s="22"/>
      <c r="F52"/>
      <c r="G52"/>
      <c r="H52"/>
    </row>
    <row r="53" spans="1:29" x14ac:dyDescent="0.25">
      <c r="A53" s="26"/>
      <c r="B53" s="37">
        <v>0.95</v>
      </c>
      <c r="C53" s="418">
        <f>FORECAST(B53,$B$31:$B$32,$D$31:$D$32)</f>
        <v>1043.3625405655994</v>
      </c>
      <c r="D53" s="417">
        <f>IF(B53&gt;=$K$32,$C$47*(-LN(1-B53))^(1/$C$45)*1000,0)+IF(B53&lt;$K$32,$D$47*(-LN(1-B53))^(1/$D$45)*1000)</f>
        <v>984.06332906410307</v>
      </c>
      <c r="E53" s="436">
        <f>10^(FORECAST((LOG(B53)),$Q$31:$Q$32,$R$31:$R$32))</f>
        <v>1011.0301093391241</v>
      </c>
      <c r="F53" s="22"/>
      <c r="G53" s="55"/>
      <c r="H53"/>
    </row>
    <row r="54" spans="1:29" x14ac:dyDescent="0.25">
      <c r="A54" s="50"/>
      <c r="B54" s="37">
        <v>0.84</v>
      </c>
      <c r="C54" s="418">
        <f>FORECAST(B54,$B$32:$B$33,$D$32:$D$33)</f>
        <v>475.43663911845715</v>
      </c>
      <c r="D54" s="417">
        <f t="shared" ref="D54:D61" si="10">IF(B54&gt;=$K$32,$C$47*(-LN(1-B54))^(1/$C$45)*1000,0)+IF(B54&lt;$K$32,$D$47*(-LN(1-B54))^(1/$D$45)*1000)</f>
        <v>517.32814492807552</v>
      </c>
      <c r="E54" s="436">
        <f>10^(FORECAST(LOG(B54),$Q$32:$Q$33,$R$32:$R$33))</f>
        <v>470.88327403457828</v>
      </c>
      <c r="F54"/>
      <c r="G54" s="55"/>
      <c r="H54"/>
    </row>
    <row r="55" spans="1:29" x14ac:dyDescent="0.25">
      <c r="A55" s="50"/>
      <c r="B55" s="37">
        <v>0.8</v>
      </c>
      <c r="C55" s="418">
        <f>FORECAST(B55,$B$33:$B$34,$D$33:$D$34)</f>
        <v>406.24649859943986</v>
      </c>
      <c r="D55" s="417">
        <f t="shared" si="10"/>
        <v>436.3919682488883</v>
      </c>
      <c r="E55" s="436">
        <f>10^(FORECAST(LOG(B55),$Q$33:$Q$34,$R$33:$R$34))</f>
        <v>404.76531081626507</v>
      </c>
      <c r="F55"/>
      <c r="G55" s="55"/>
      <c r="H55"/>
    </row>
    <row r="56" spans="1:29" x14ac:dyDescent="0.25">
      <c r="A56" s="50"/>
      <c r="B56" s="37">
        <v>0.75</v>
      </c>
      <c r="C56" s="418">
        <f>FORECAST(B56,$B$33:$B$34,$D$33:$D$34)</f>
        <v>355.33088235294133</v>
      </c>
      <c r="D56" s="417">
        <f t="shared" si="10"/>
        <v>358.87361508513038</v>
      </c>
      <c r="E56" s="436">
        <f>10^(FORECAST(LOG(B56),$Q$33:$Q$34,$R$33:$R$34))</f>
        <v>352.47418271095881</v>
      </c>
      <c r="F56"/>
      <c r="G56" s="55"/>
      <c r="H56"/>
    </row>
    <row r="57" spans="1:29" x14ac:dyDescent="0.25">
      <c r="A57" s="50"/>
      <c r="B57" s="37">
        <v>0.5</v>
      </c>
      <c r="C57" s="418">
        <f>FORECAST(B57,$B$36:$B$37,$D$36:$D$37)</f>
        <v>160.55476020042954</v>
      </c>
      <c r="D57" s="417">
        <f t="shared" si="10"/>
        <v>144.70620011411873</v>
      </c>
      <c r="E57" s="436">
        <f>10^(FORECAST(LOG(B57),$Q$36:$Q$37,$R$36:$R$37))</f>
        <v>160.25545618442627</v>
      </c>
      <c r="F57"/>
      <c r="G57" s="55"/>
      <c r="H57"/>
    </row>
    <row r="58" spans="1:29" x14ac:dyDescent="0.25">
      <c r="A58" s="50"/>
      <c r="B58" s="37">
        <v>0.4</v>
      </c>
      <c r="C58" s="418">
        <f>FORECAST(B58,$B$38:$B$39,$D$38:$D$39)</f>
        <v>103.65385081867805</v>
      </c>
      <c r="D58" s="417">
        <f t="shared" si="10"/>
        <v>97.005578826843845</v>
      </c>
      <c r="E58" s="436">
        <f>10^(FORECAST(LOG(B58),$Q$38:$Q$39,$R$38:$R$39))</f>
        <v>103.44179233770075</v>
      </c>
      <c r="F58"/>
      <c r="G58" s="55"/>
      <c r="H58"/>
    </row>
    <row r="59" spans="1:29" x14ac:dyDescent="0.25">
      <c r="A59" s="50"/>
      <c r="B59" s="37">
        <v>0.25</v>
      </c>
      <c r="C59" s="418">
        <f>FORECAST(B59,$B$40:$B$41,$D$40:$D$41)</f>
        <v>41.467353198948288</v>
      </c>
      <c r="D59" s="417">
        <f t="shared" si="10"/>
        <v>45.713894122280067</v>
      </c>
      <c r="E59" s="436">
        <f>10^(FORECAST(LOG(B59),$Q$40:$Q$41,$R$40:$R$41))</f>
        <v>41.226180059602989</v>
      </c>
      <c r="F59"/>
      <c r="G59"/>
      <c r="H59"/>
    </row>
    <row r="60" spans="1:29" s="3" customFormat="1" x14ac:dyDescent="0.25">
      <c r="A60" s="50"/>
      <c r="B60" s="37">
        <v>0.16</v>
      </c>
      <c r="C60" s="418">
        <f>FORECAST(B60,$B$41:$B$42,$D$41:$D$42)</f>
        <v>25.235427429713145</v>
      </c>
      <c r="D60" s="417">
        <f t="shared" si="10"/>
        <v>23.717577778804607</v>
      </c>
      <c r="E60" s="436" t="e">
        <f>10^(FORECAST(LOG(B60),$Q$41:$Q$42,$R$41:$R$42))</f>
        <v>#DIV/0!</v>
      </c>
      <c r="F60"/>
      <c r="G60"/>
      <c r="H60"/>
      <c r="I60" s="1"/>
      <c r="J60" s="1"/>
      <c r="K60" s="1"/>
      <c r="N60" s="2"/>
      <c r="O60" s="1"/>
      <c r="P60" s="1"/>
      <c r="Q60" s="1"/>
      <c r="R60" s="1"/>
      <c r="S60" s="1"/>
      <c r="T60"/>
      <c r="U60"/>
      <c r="V60"/>
      <c r="W60"/>
      <c r="X60"/>
      <c r="Y60"/>
      <c r="Z60"/>
      <c r="AA60"/>
      <c r="AB60"/>
      <c r="AC60"/>
    </row>
    <row r="61" spans="1:29" x14ac:dyDescent="0.25">
      <c r="A61" s="50"/>
      <c r="B61" s="37">
        <v>0.05</v>
      </c>
      <c r="C61" s="418">
        <f>FORECAST(B61,$B$41:$B$42,$D$41:$D$42)</f>
        <v>7.8860710717853584</v>
      </c>
      <c r="D61" s="417">
        <f t="shared" si="10"/>
        <v>4.7729885109011363</v>
      </c>
      <c r="E61" s="436" t="e">
        <f>10^(FORECAST(LOG(B61),$Q$41:$Q$42,$R$41:$R$42))</f>
        <v>#DIV/0!</v>
      </c>
      <c r="F61"/>
      <c r="G61"/>
      <c r="H61"/>
    </row>
    <row r="62" spans="1:29" s="3" customFormat="1" x14ac:dyDescent="0.25">
      <c r="A62" s="1"/>
      <c r="B62" s="1"/>
      <c r="C62" s="1"/>
      <c r="D62" s="1"/>
      <c r="E62" s="1"/>
      <c r="F62" s="1"/>
      <c r="G62" s="1"/>
      <c r="H62" s="1"/>
      <c r="I62" s="1"/>
      <c r="J62" s="1"/>
      <c r="K62" s="1"/>
      <c r="N62" s="2"/>
      <c r="O62" s="1"/>
      <c r="P62" s="1"/>
      <c r="Q62" s="1"/>
      <c r="R62" s="1"/>
      <c r="S62" s="1"/>
      <c r="T62"/>
      <c r="U62"/>
      <c r="V62"/>
      <c r="W62"/>
      <c r="X62"/>
      <c r="Y62"/>
      <c r="Z62"/>
      <c r="AA62"/>
      <c r="AB62"/>
      <c r="AC62"/>
    </row>
    <row r="63" spans="1:29" s="3" customFormat="1" x14ac:dyDescent="0.25">
      <c r="A63" s="1"/>
      <c r="B63" s="1"/>
      <c r="C63" s="1"/>
      <c r="D63" s="1"/>
      <c r="E63" s="1"/>
      <c r="F63" s="1"/>
      <c r="G63" s="1"/>
      <c r="H63" s="1"/>
      <c r="I63" s="1"/>
      <c r="J63" s="1"/>
      <c r="K63" s="1"/>
      <c r="N63" s="2"/>
      <c r="O63" s="1"/>
      <c r="P63" s="1"/>
      <c r="Q63" s="1"/>
      <c r="R63" s="1"/>
      <c r="S63" s="1"/>
      <c r="T63"/>
      <c r="U63"/>
      <c r="V63"/>
      <c r="W63"/>
      <c r="X63"/>
      <c r="Y63"/>
      <c r="Z63"/>
      <c r="AA63"/>
      <c r="AB63"/>
      <c r="AC63"/>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9AC5D-3F76-473B-94CF-226BA146CD18}">
  <sheetPr codeName="Sheet1"/>
  <dimension ref="A1:N55"/>
  <sheetViews>
    <sheetView topLeftCell="A34" zoomScale="85" zoomScaleNormal="85" workbookViewId="0">
      <selection activeCell="I37" sqref="I37"/>
    </sheetView>
  </sheetViews>
  <sheetFormatPr defaultRowHeight="15" x14ac:dyDescent="0.25"/>
  <cols>
    <col min="6" max="6" width="12.7109375" customWidth="1"/>
    <col min="7" max="7" width="18.140625" bestFit="1" customWidth="1"/>
  </cols>
  <sheetData>
    <row r="1" spans="1:6" x14ac:dyDescent="0.25">
      <c r="A1" t="s">
        <v>58</v>
      </c>
      <c r="F1" s="60" t="s">
        <v>59</v>
      </c>
    </row>
    <row r="28" spans="11:14" ht="17.25" x14ac:dyDescent="0.25">
      <c r="K28" s="75" t="s">
        <v>61</v>
      </c>
      <c r="L28" s="75"/>
      <c r="M28" s="75"/>
      <c r="N28" s="75"/>
    </row>
    <row r="29" spans="11:14" x14ac:dyDescent="0.25">
      <c r="K29" s="75"/>
      <c r="L29" s="75"/>
      <c r="M29" s="75"/>
      <c r="N29" s="75"/>
    </row>
    <row r="30" spans="11:14" x14ac:dyDescent="0.25">
      <c r="K30" s="75" t="s">
        <v>62</v>
      </c>
      <c r="L30" s="75"/>
      <c r="M30" s="75"/>
      <c r="N30" s="75"/>
    </row>
    <row r="32" spans="11:14" x14ac:dyDescent="0.25">
      <c r="K32" t="s">
        <v>63</v>
      </c>
    </row>
    <row r="33" spans="1:14" x14ac:dyDescent="0.25">
      <c r="K33" t="s">
        <v>64</v>
      </c>
      <c r="L33" s="63">
        <f>(LOG(D43)-LOG(D47))/(LOG(B43)-LOG(B47))</f>
        <v>0.52168510852996841</v>
      </c>
    </row>
    <row r="34" spans="1:14" x14ac:dyDescent="0.25">
      <c r="K34" t="s">
        <v>65</v>
      </c>
      <c r="L34">
        <v>600</v>
      </c>
      <c r="M34" t="s">
        <v>42</v>
      </c>
      <c r="N34" t="s">
        <v>66</v>
      </c>
    </row>
    <row r="35" spans="1:14" x14ac:dyDescent="0.25">
      <c r="K35" t="s">
        <v>65</v>
      </c>
      <c r="L35">
        <v>607.76309249748692</v>
      </c>
      <c r="M35" t="s">
        <v>42</v>
      </c>
      <c r="N35" t="s">
        <v>71</v>
      </c>
    </row>
    <row r="38" spans="1:14" x14ac:dyDescent="0.25">
      <c r="A38" t="s">
        <v>60</v>
      </c>
      <c r="F38" t="s">
        <v>399</v>
      </c>
    </row>
    <row r="39" spans="1:14" x14ac:dyDescent="0.25">
      <c r="B39" s="67" t="s">
        <v>16</v>
      </c>
      <c r="C39" s="67" t="s">
        <v>15</v>
      </c>
      <c r="D39" s="68" t="s">
        <v>67</v>
      </c>
      <c r="E39" s="68"/>
      <c r="F39" s="67" t="s">
        <v>69</v>
      </c>
      <c r="G39" s="67" t="s">
        <v>272</v>
      </c>
      <c r="H39" s="69"/>
      <c r="I39" s="67"/>
    </row>
    <row r="40" spans="1:14" x14ac:dyDescent="0.25">
      <c r="B40">
        <v>1180</v>
      </c>
      <c r="C40">
        <v>3.2527593439466353E-2</v>
      </c>
      <c r="D40" s="65">
        <v>0.96747240656053368</v>
      </c>
      <c r="E40" s="65"/>
      <c r="F40" s="63">
        <f>10^($L$33*LOG(B40)+(2-$L$33*LOG($L$35)))/100</f>
        <v>1.4135863922885661</v>
      </c>
      <c r="G40" s="64">
        <f>(F40-D40)^2</f>
        <v>0.1990176882621511</v>
      </c>
      <c r="H40" s="62" t="s">
        <v>70</v>
      </c>
      <c r="J40">
        <v>1</v>
      </c>
      <c r="K40" s="74"/>
    </row>
    <row r="41" spans="1:14" x14ac:dyDescent="0.25">
      <c r="B41">
        <v>600</v>
      </c>
      <c r="C41">
        <v>7.4167039163772638E-2</v>
      </c>
      <c r="D41" s="65">
        <v>0.89330536739676092</v>
      </c>
      <c r="E41" s="65"/>
      <c r="F41" s="63">
        <f t="shared" ref="F41:F50" si="0">10^($L$33*LOG(B41)+(2-$L$33*LOG($L$35)))/100</f>
        <v>0.9933159154572464</v>
      </c>
      <c r="G41" s="64">
        <f t="shared" ref="G41:G50" si="1">(F41-D41)^2</f>
        <v>1.0002109723358677E-2</v>
      </c>
      <c r="H41" s="62" t="s">
        <v>70</v>
      </c>
      <c r="J41" s="37">
        <v>0.95</v>
      </c>
      <c r="K41" s="74"/>
    </row>
    <row r="42" spans="1:14" x14ac:dyDescent="0.25">
      <c r="B42">
        <v>425</v>
      </c>
      <c r="C42">
        <v>7.4889110476910908E-2</v>
      </c>
      <c r="D42" s="65">
        <v>0.81841625691985009</v>
      </c>
      <c r="E42" s="65"/>
      <c r="F42" s="70">
        <f t="shared" si="0"/>
        <v>0.82977170553683333</v>
      </c>
      <c r="G42" s="62">
        <f t="shared" si="1"/>
        <v>1.2894621329294641E-4</v>
      </c>
      <c r="H42" s="62">
        <f t="shared" ref="H42:H50" si="2">(F42-D42)^2</f>
        <v>1.2894621329294641E-4</v>
      </c>
      <c r="J42" s="37">
        <v>0.84</v>
      </c>
      <c r="K42" s="74">
        <f>10^((LOG(F42)-(2-$L$33*LOG($L$35)))/$L$33)</f>
        <v>6.2324477272119969E-2</v>
      </c>
    </row>
    <row r="43" spans="1:14" x14ac:dyDescent="0.25">
      <c r="B43" s="61">
        <v>300</v>
      </c>
      <c r="C43" s="61">
        <v>0.1227521232335041</v>
      </c>
      <c r="D43" s="66">
        <v>0.69566413368634583</v>
      </c>
      <c r="E43" s="66"/>
      <c r="F43" s="71">
        <f t="shared" si="0"/>
        <v>0.69190190776507632</v>
      </c>
      <c r="G43" s="62">
        <f t="shared" si="1"/>
        <v>1.4154343882672237E-5</v>
      </c>
      <c r="H43" s="62">
        <f t="shared" si="2"/>
        <v>1.4154343882672237E-5</v>
      </c>
      <c r="J43" s="37">
        <v>0.8</v>
      </c>
      <c r="K43" s="74">
        <f t="shared" ref="K43:K50" si="3">10^((LOG(J43)-(2-$L$33*LOG($L$35)))/$L$33)</f>
        <v>5.8108626728078316E-2</v>
      </c>
    </row>
    <row r="44" spans="1:14" x14ac:dyDescent="0.25">
      <c r="B44">
        <v>212</v>
      </c>
      <c r="C44">
        <v>0.11924491971254683</v>
      </c>
      <c r="D44" s="65">
        <v>0.57641921397379903</v>
      </c>
      <c r="E44" s="65"/>
      <c r="F44" s="71">
        <f t="shared" si="0"/>
        <v>0.57727404774349078</v>
      </c>
      <c r="G44" s="62">
        <f t="shared" si="1"/>
        <v>7.3074077380541487E-7</v>
      </c>
      <c r="H44" s="62">
        <f t="shared" si="2"/>
        <v>7.3074077380541487E-7</v>
      </c>
      <c r="J44" s="37">
        <v>0.75</v>
      </c>
      <c r="K44" s="74">
        <f t="shared" si="3"/>
        <v>5.1346793581290205E-2</v>
      </c>
    </row>
    <row r="45" spans="1:14" x14ac:dyDescent="0.25">
      <c r="B45">
        <v>180</v>
      </c>
      <c r="C45">
        <v>4.5284186638242269E-2</v>
      </c>
      <c r="D45" s="65">
        <v>0.53113502733555673</v>
      </c>
      <c r="E45" s="65"/>
      <c r="F45" s="71">
        <f t="shared" si="0"/>
        <v>0.53004084669435292</v>
      </c>
      <c r="G45" s="62">
        <f t="shared" si="1"/>
        <v>1.1972312755851861E-6</v>
      </c>
      <c r="H45" s="62">
        <f t="shared" si="2"/>
        <v>1.1972312755851861E-6</v>
      </c>
      <c r="J45" s="37">
        <v>0.5</v>
      </c>
      <c r="K45" s="74">
        <f t="shared" si="3"/>
        <v>2.3603159016099724E-2</v>
      </c>
    </row>
    <row r="46" spans="1:14" x14ac:dyDescent="0.25">
      <c r="B46">
        <v>150</v>
      </c>
      <c r="C46">
        <v>4.8034934497816588E-2</v>
      </c>
      <c r="D46" s="65">
        <v>0.48310009283774019</v>
      </c>
      <c r="E46" s="65"/>
      <c r="F46" s="71">
        <f t="shared" si="0"/>
        <v>0.48194964212224689</v>
      </c>
      <c r="G46" s="62">
        <f t="shared" si="1"/>
        <v>1.3235368487790477E-6</v>
      </c>
      <c r="H46" s="62">
        <f t="shared" si="2"/>
        <v>1.3235368487790477E-6</v>
      </c>
      <c r="J46" s="37">
        <v>0.4</v>
      </c>
      <c r="K46" s="74">
        <f t="shared" si="3"/>
        <v>1.5388869130602133E-2</v>
      </c>
    </row>
    <row r="47" spans="1:14" x14ac:dyDescent="0.25">
      <c r="B47" s="61">
        <v>106</v>
      </c>
      <c r="C47" s="61">
        <v>7.8808926176804309E-2</v>
      </c>
      <c r="D47" s="66">
        <v>0.4042911666609359</v>
      </c>
      <c r="E47" s="66"/>
      <c r="F47" s="71">
        <f t="shared" si="0"/>
        <v>0.4021047168595181</v>
      </c>
      <c r="G47" s="62">
        <f t="shared" si="1"/>
        <v>4.7805627341199383E-6</v>
      </c>
      <c r="H47" s="62">
        <f t="shared" si="2"/>
        <v>4.7805627341199383E-6</v>
      </c>
      <c r="J47" s="37">
        <v>0.25</v>
      </c>
      <c r="K47" s="74">
        <f t="shared" si="3"/>
        <v>6.2508089696781391E-3</v>
      </c>
    </row>
    <row r="48" spans="1:14" x14ac:dyDescent="0.25">
      <c r="B48">
        <v>75</v>
      </c>
      <c r="C48">
        <v>5.6699790255475696E-2</v>
      </c>
      <c r="D48" s="65">
        <v>0.34759137640546017</v>
      </c>
      <c r="E48" s="65"/>
      <c r="F48" s="71">
        <f t="shared" si="0"/>
        <v>0.33570576252931383</v>
      </c>
      <c r="G48" s="62">
        <f t="shared" si="1"/>
        <v>1.4126781721284241E-4</v>
      </c>
      <c r="H48" s="62">
        <f t="shared" si="2"/>
        <v>1.4126781721284241E-4</v>
      </c>
      <c r="J48" s="37">
        <v>0.16</v>
      </c>
      <c r="K48" s="74">
        <f t="shared" si="3"/>
        <v>2.6571090271408195E-3</v>
      </c>
    </row>
    <row r="49" spans="2:11" x14ac:dyDescent="0.25">
      <c r="B49">
        <v>53</v>
      </c>
      <c r="C49">
        <v>6.7427706907815549E-2</v>
      </c>
      <c r="D49" s="65">
        <v>0.28016366949764465</v>
      </c>
      <c r="E49" s="65"/>
      <c r="F49" s="71">
        <f t="shared" si="0"/>
        <v>0.28008916034368225</v>
      </c>
      <c r="G49" s="62">
        <f t="shared" si="1"/>
        <v>5.5516140241924439E-9</v>
      </c>
      <c r="H49" s="62">
        <f t="shared" si="2"/>
        <v>5.5516140241924439E-9</v>
      </c>
      <c r="J49" s="37">
        <v>0.05</v>
      </c>
      <c r="K49" s="74">
        <f t="shared" si="3"/>
        <v>2.8582814420976524E-4</v>
      </c>
    </row>
    <row r="50" spans="2:11" x14ac:dyDescent="0.25">
      <c r="B50">
        <v>38</v>
      </c>
      <c r="C50">
        <v>3.9232541347178761E-2</v>
      </c>
      <c r="D50" s="65">
        <v>0.24093112815046591</v>
      </c>
      <c r="E50" s="65"/>
      <c r="F50" s="72">
        <f t="shared" si="0"/>
        <v>0.23545983455101202</v>
      </c>
      <c r="G50" s="62">
        <f t="shared" si="1"/>
        <v>2.993505365142512E-5</v>
      </c>
      <c r="H50" s="62">
        <f t="shared" si="2"/>
        <v>2.993505365142512E-5</v>
      </c>
      <c r="J50">
        <v>0.83</v>
      </c>
      <c r="K50" s="74">
        <f t="shared" si="3"/>
        <v>6.2357350453391643E-2</v>
      </c>
    </row>
    <row r="51" spans="2:11" x14ac:dyDescent="0.25">
      <c r="B51">
        <v>0</v>
      </c>
      <c r="C51">
        <v>0.24093112815046591</v>
      </c>
      <c r="D51" s="59"/>
      <c r="E51" s="59"/>
      <c r="K51" s="75"/>
    </row>
    <row r="52" spans="2:11" x14ac:dyDescent="0.25">
      <c r="G52" s="62">
        <f>SUM(G40:G50)</f>
        <v>0.20934213903679602</v>
      </c>
      <c r="H52" s="62">
        <f>SUM(H42:H50)</f>
        <v>3.2234105128619997E-4</v>
      </c>
      <c r="K52" s="75"/>
    </row>
    <row r="55" spans="2:11" x14ac:dyDescent="0.25">
      <c r="K55" s="75" t="s">
        <v>74</v>
      </c>
    </row>
  </sheetData>
  <hyperlinks>
    <hyperlink ref="F1" r:id="rId1" xr:uid="{B7CDA035-D2C2-4180-915F-4C5F5A520708}"/>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79</vt:i4>
      </vt:variant>
    </vt:vector>
  </HeadingPairs>
  <TitlesOfParts>
    <vt:vector size="101" baseType="lpstr">
      <vt:lpstr>data</vt:lpstr>
      <vt:lpstr>Sheet1</vt:lpstr>
      <vt:lpstr>weibull</vt:lpstr>
      <vt:lpstr>RR</vt:lpstr>
      <vt:lpstr>RR (2)</vt:lpstr>
      <vt:lpstr>RR 1pc</vt:lpstr>
      <vt:lpstr>RR 1pc (2)</vt:lpstr>
      <vt:lpstr>RR 2pc</vt:lpstr>
      <vt:lpstr>GGS</vt:lpstr>
      <vt:lpstr>GGS_1pc</vt:lpstr>
      <vt:lpstr>PWGGS group</vt:lpstr>
      <vt:lpstr>PWGGS mean 2pc</vt:lpstr>
      <vt:lpstr>PWGGS mean 3pc</vt:lpstr>
      <vt:lpstr>PWGGS mean 4pc</vt:lpstr>
      <vt:lpstr>PWGGS mean 5pc</vt:lpstr>
      <vt:lpstr>model comparison</vt:lpstr>
      <vt:lpstr>hypotheses</vt:lpstr>
      <vt:lpstr>compare model to forecast funct</vt:lpstr>
      <vt:lpstr>notes_Piecewise_GGS</vt:lpstr>
      <vt:lpstr>error notes</vt:lpstr>
      <vt:lpstr>Formulas used</vt:lpstr>
      <vt:lpstr>compering 2 models_notes on</vt:lpstr>
      <vt:lpstr>'PWGGS mean 2pc'!bp_1</vt:lpstr>
      <vt:lpstr>'PWGGS mean 4pc'!bp_1</vt:lpstr>
      <vt:lpstr>bp_1</vt:lpstr>
      <vt:lpstr>'PWGGS mean 2pc'!bp_10</vt:lpstr>
      <vt:lpstr>'PWGGS mean 4pc'!bp_10</vt:lpstr>
      <vt:lpstr>'PWGGS mean 2pc'!bp_2</vt:lpstr>
      <vt:lpstr>'PWGGS mean 4pc'!bp_2</vt:lpstr>
      <vt:lpstr>bp_2</vt:lpstr>
      <vt:lpstr>'PWGGS mean 2pc'!bp_3</vt:lpstr>
      <vt:lpstr>'PWGGS mean 4pc'!bp_3</vt:lpstr>
      <vt:lpstr>bp_3</vt:lpstr>
      <vt:lpstr>'PWGGS mean 2pc'!bp_4</vt:lpstr>
      <vt:lpstr>'PWGGS mean 4pc'!bp_4</vt:lpstr>
      <vt:lpstr>bp_4</vt:lpstr>
      <vt:lpstr>bp_5</vt:lpstr>
      <vt:lpstr>'PWGGS mean 2pc'!bp_7</vt:lpstr>
      <vt:lpstr>'PWGGS mean 4pc'!bp_7</vt:lpstr>
      <vt:lpstr>'PWGGS mean 2pc'!bp_8</vt:lpstr>
      <vt:lpstr>'PWGGS mean 4pc'!bp_8</vt:lpstr>
      <vt:lpstr>'PWGGS mean 2pc'!bp_9</vt:lpstr>
      <vt:lpstr>'PWGGS mean 4pc'!bp_9</vt:lpstr>
      <vt:lpstr>'PWGGS mean 2pc'!breakpoint1</vt:lpstr>
      <vt:lpstr>'PWGGS mean 4pc'!breakpoint1</vt:lpstr>
      <vt:lpstr>'PWGGS mean 5pc'!breakpoint1</vt:lpstr>
      <vt:lpstr>breakpoint1</vt:lpstr>
      <vt:lpstr>'PWGGS mean 2pc'!breakpoint2</vt:lpstr>
      <vt:lpstr>'PWGGS mean 4pc'!breakpoint2</vt:lpstr>
      <vt:lpstr>'PWGGS mean 5pc'!breakpoint2</vt:lpstr>
      <vt:lpstr>breakpoint2</vt:lpstr>
      <vt:lpstr>'PWGGS mean 2pc'!breakpoint3</vt:lpstr>
      <vt:lpstr>'PWGGS mean 4pc'!breakpoint3</vt:lpstr>
      <vt:lpstr>'PWGGS mean 5pc'!breakpoint3</vt:lpstr>
      <vt:lpstr>breakpoint3</vt:lpstr>
      <vt:lpstr>'PWGGS mean 2pc'!e_y1</vt:lpstr>
      <vt:lpstr>'PWGGS mean 4pc'!e_y1</vt:lpstr>
      <vt:lpstr>e_y1</vt:lpstr>
      <vt:lpstr>'PWGGS mean 2pc'!e_y2</vt:lpstr>
      <vt:lpstr>'PWGGS mean 4pc'!e_y2</vt:lpstr>
      <vt:lpstr>e_y2</vt:lpstr>
      <vt:lpstr>'PWGGS mean 2pc'!e_y3</vt:lpstr>
      <vt:lpstr>'PWGGS mean 4pc'!e_y3</vt:lpstr>
      <vt:lpstr>e_y3</vt:lpstr>
      <vt:lpstr>'PWGGS mean 2pc'!e_y4</vt:lpstr>
      <vt:lpstr>'PWGGS mean 4pc'!e_y4</vt:lpstr>
      <vt:lpstr>e_y4</vt:lpstr>
      <vt:lpstr>'PWGGS mean 2pc'!k_1</vt:lpstr>
      <vt:lpstr>'PWGGS mean 4pc'!k_1</vt:lpstr>
      <vt:lpstr>'PWGGS mean 5pc'!k_1</vt:lpstr>
      <vt:lpstr>k_1</vt:lpstr>
      <vt:lpstr>'PWGGS mean 2pc'!k_2</vt:lpstr>
      <vt:lpstr>'PWGGS mean 4pc'!k_2</vt:lpstr>
      <vt:lpstr>'PWGGS mean 5pc'!k_2</vt:lpstr>
      <vt:lpstr>k_2</vt:lpstr>
      <vt:lpstr>'PWGGS mean 2pc'!k_3</vt:lpstr>
      <vt:lpstr>'PWGGS mean 4pc'!k_3</vt:lpstr>
      <vt:lpstr>'PWGGS mean 5pc'!k_3</vt:lpstr>
      <vt:lpstr>k_3</vt:lpstr>
      <vt:lpstr>'PWGGS mean 2pc'!k_4</vt:lpstr>
      <vt:lpstr>'PWGGS mean 4pc'!k_4</vt:lpstr>
      <vt:lpstr>'PWGGS mean 5pc'!k_4</vt:lpstr>
      <vt:lpstr>'PWGGS mean 2pc'!k_5</vt:lpstr>
      <vt:lpstr>k_5</vt:lpstr>
      <vt:lpstr>'PWGGS mean 2pc'!n_1</vt:lpstr>
      <vt:lpstr>'PWGGS mean 4pc'!n_1</vt:lpstr>
      <vt:lpstr>'PWGGS mean 5pc'!n_1</vt:lpstr>
      <vt:lpstr>n_1</vt:lpstr>
      <vt:lpstr>'PWGGS mean 2pc'!n_2</vt:lpstr>
      <vt:lpstr>'PWGGS mean 4pc'!n_2</vt:lpstr>
      <vt:lpstr>'PWGGS mean 5pc'!n_2</vt:lpstr>
      <vt:lpstr>n_2</vt:lpstr>
      <vt:lpstr>'PWGGS mean 2pc'!n_3</vt:lpstr>
      <vt:lpstr>'PWGGS mean 4pc'!n_3</vt:lpstr>
      <vt:lpstr>'PWGGS mean 5pc'!n_3</vt:lpstr>
      <vt:lpstr>n_3</vt:lpstr>
      <vt:lpstr>'PWGGS mean 2pc'!n_4</vt:lpstr>
      <vt:lpstr>'PWGGS mean 4pc'!n_4</vt:lpstr>
      <vt:lpstr>'PWGGS mean 5pc'!n_4</vt:lpstr>
      <vt:lpstr>'PWGGS mean 2pc'!n_5</vt:lpstr>
      <vt:lpstr>n_5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Smit</dc:creator>
  <cp:lastModifiedBy>Michael</cp:lastModifiedBy>
  <cp:lastPrinted>2019-12-02T04:09:29Z</cp:lastPrinted>
  <dcterms:created xsi:type="dcterms:W3CDTF">2019-11-13T04:44:53Z</dcterms:created>
  <dcterms:modified xsi:type="dcterms:W3CDTF">2020-05-11T03:28:03Z</dcterms:modified>
</cp:coreProperties>
</file>