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ssd\OneDrive\Calculations\Nui Phao Process\Screen survey 2014\"/>
    </mc:Choice>
  </mc:AlternateContent>
  <xr:revisionPtr revIDLastSave="2" documentId="11_5D0200FFA677C109BA1F2D8E3F4D4230BD3CB39A" xr6:coauthVersionLast="45" xr6:coauthVersionMax="45" xr10:uidLastSave="{9EE8B734-FE26-4238-A534-63A70B56B59A}"/>
  <bookViews>
    <workbookView xWindow="-19755" yWindow="735" windowWidth="15375" windowHeight="8325" activeTab="3" xr2:uid="{00000000-000D-0000-FFFF-FFFF00000000}"/>
  </bookViews>
  <sheets>
    <sheet name="Data" sheetId="1" r:id="rId1"/>
    <sheet name="Derrick cal" sheetId="5" r:id="rId2"/>
    <sheet name="Efficiency" sheetId="2" state="hidden" r:id="rId3"/>
    <sheet name="Fines Recovery" sheetId="6" r:id="rId4"/>
    <sheet name="% commulative passing" sheetId="3" r:id="rId5"/>
    <sheet name="Derrick Fomula" sheetId="4" r:id="rId6"/>
  </sheets>
  <definedNames>
    <definedName name="_xlnm.Print_Area" localSheetId="0">Data!$A$7:$F$18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" i="6" l="1"/>
  <c r="J43" i="6"/>
  <c r="K14" i="6"/>
  <c r="J14" i="6"/>
  <c r="D21" i="5"/>
  <c r="C21" i="5"/>
  <c r="L20" i="6"/>
  <c r="F20" i="6" l="1"/>
  <c r="F26" i="5" l="1"/>
  <c r="E102" i="1" l="1"/>
  <c r="E101" i="1"/>
  <c r="E100" i="1"/>
  <c r="E99" i="1"/>
  <c r="E98" i="1"/>
  <c r="E97" i="1"/>
  <c r="E96" i="1"/>
  <c r="E95" i="1"/>
  <c r="E94" i="1"/>
  <c r="E93" i="1"/>
  <c r="E92" i="1"/>
  <c r="E91" i="1"/>
  <c r="E88" i="1"/>
  <c r="E87" i="1"/>
  <c r="E86" i="1"/>
  <c r="E85" i="1"/>
  <c r="E84" i="1"/>
  <c r="E83" i="1"/>
  <c r="E82" i="1"/>
  <c r="E81" i="1"/>
  <c r="E80" i="1"/>
  <c r="E79" i="1"/>
  <c r="E78" i="1"/>
  <c r="E77" i="1"/>
  <c r="E74" i="1"/>
  <c r="E73" i="1"/>
  <c r="E72" i="1"/>
  <c r="E71" i="1"/>
  <c r="E70" i="1"/>
  <c r="E69" i="1"/>
  <c r="E68" i="1"/>
  <c r="E67" i="1"/>
  <c r="E66" i="1"/>
  <c r="E65" i="1"/>
  <c r="E64" i="1"/>
  <c r="E63" i="1"/>
  <c r="E60" i="1"/>
  <c r="E59" i="1"/>
  <c r="E58" i="1"/>
  <c r="E57" i="1"/>
  <c r="E56" i="1"/>
  <c r="E55" i="1"/>
  <c r="E54" i="1"/>
  <c r="E53" i="1"/>
  <c r="E52" i="1"/>
  <c r="E51" i="1"/>
  <c r="E50" i="1"/>
  <c r="E49" i="1"/>
  <c r="E46" i="1"/>
  <c r="E205" i="1" s="1"/>
  <c r="E45" i="1"/>
  <c r="E204" i="1" s="1"/>
  <c r="E44" i="1"/>
  <c r="E203" i="1" s="1"/>
  <c r="E43" i="1"/>
  <c r="E202" i="1" s="1"/>
  <c r="E42" i="1"/>
  <c r="E201" i="1" s="1"/>
  <c r="E41" i="1"/>
  <c r="E200" i="1" s="1"/>
  <c r="E40" i="1"/>
  <c r="E199" i="1" s="1"/>
  <c r="E37" i="1"/>
  <c r="E196" i="1" s="1"/>
  <c r="E39" i="1"/>
  <c r="E198" i="1" s="1"/>
  <c r="E38" i="1"/>
  <c r="E197" i="1" s="1"/>
  <c r="E36" i="1"/>
  <c r="E195" i="1" s="1"/>
  <c r="E35" i="1"/>
  <c r="E194" i="1" s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2" i="1"/>
  <c r="E221" i="1" s="1"/>
  <c r="E131" i="1"/>
  <c r="E220" i="1" s="1"/>
  <c r="E130" i="1"/>
  <c r="E219" i="1" s="1"/>
  <c r="E129" i="1"/>
  <c r="E218" i="1" s="1"/>
  <c r="E128" i="1"/>
  <c r="E217" i="1" s="1"/>
  <c r="E127" i="1"/>
  <c r="E216" i="1" s="1"/>
  <c r="E126" i="1"/>
  <c r="E215" i="1" s="1"/>
  <c r="E125" i="1"/>
  <c r="E214" i="1" s="1"/>
  <c r="E124" i="1"/>
  <c r="E213" i="1" s="1"/>
  <c r="E123" i="1"/>
  <c r="E212" i="1" s="1"/>
  <c r="E122" i="1"/>
  <c r="E211" i="1" s="1"/>
  <c r="E121" i="1"/>
  <c r="E210" i="1" s="1"/>
  <c r="E175" i="1" l="1"/>
  <c r="F33" i="5"/>
  <c r="E31" i="2"/>
  <c r="E37" i="2"/>
  <c r="F225" i="1" l="1"/>
  <c r="E225" i="1"/>
  <c r="C226" i="1"/>
  <c r="C225" i="1"/>
  <c r="E119" i="1"/>
  <c r="G117" i="1" s="1"/>
  <c r="K37" i="6" s="1"/>
  <c r="E33" i="1"/>
  <c r="E189" i="1"/>
  <c r="E161" i="1"/>
  <c r="E147" i="1"/>
  <c r="E133" i="1"/>
  <c r="E103" i="1"/>
  <c r="E89" i="1"/>
  <c r="E75" i="1"/>
  <c r="E10" i="1" s="1"/>
  <c r="E11" i="1" s="1"/>
  <c r="E61" i="1"/>
  <c r="E47" i="1"/>
  <c r="E206" i="1" l="1"/>
  <c r="C16" i="1"/>
  <c r="C17" i="1" s="1"/>
  <c r="E222" i="1"/>
  <c r="F95" i="1"/>
  <c r="G10" i="1"/>
  <c r="G11" i="1" s="1"/>
  <c r="G80" i="1"/>
  <c r="F10" i="1"/>
  <c r="F11" i="1" s="1"/>
  <c r="F51" i="1"/>
  <c r="F60" i="1"/>
  <c r="D10" i="1"/>
  <c r="D11" i="1" s="1"/>
  <c r="F46" i="1"/>
  <c r="C10" i="1"/>
  <c r="C11" i="1" s="1"/>
  <c r="F32" i="1"/>
  <c r="G31" i="1"/>
  <c r="J37" i="6" s="1"/>
  <c r="G181" i="1"/>
  <c r="G16" i="1"/>
  <c r="G17" i="1" s="1"/>
  <c r="G165" i="1"/>
  <c r="F16" i="1"/>
  <c r="F17" i="1" s="1"/>
  <c r="G109" i="1"/>
  <c r="B16" i="1"/>
  <c r="B17" i="1" s="1"/>
  <c r="G153" i="1"/>
  <c r="E16" i="1"/>
  <c r="E17" i="1" s="1"/>
  <c r="G139" i="1"/>
  <c r="D16" i="1"/>
  <c r="D17" i="1" s="1"/>
  <c r="G25" i="1"/>
  <c r="B10" i="1"/>
  <c r="B11" i="1" s="1"/>
  <c r="D225" i="1"/>
  <c r="E228" i="1" s="1"/>
  <c r="F116" i="1"/>
  <c r="F108" i="1"/>
  <c r="G108" i="1"/>
  <c r="B109" i="1" s="1"/>
  <c r="F119" i="1"/>
  <c r="F109" i="1"/>
  <c r="G110" i="1"/>
  <c r="F107" i="1"/>
  <c r="F113" i="1"/>
  <c r="G114" i="1"/>
  <c r="F115" i="1"/>
  <c r="G115" i="1"/>
  <c r="F111" i="1"/>
  <c r="G116" i="1"/>
  <c r="G111" i="1"/>
  <c r="F117" i="1"/>
  <c r="F112" i="1"/>
  <c r="G107" i="1"/>
  <c r="G112" i="1"/>
  <c r="F118" i="1"/>
  <c r="F114" i="1"/>
  <c r="F110" i="1"/>
  <c r="G113" i="1"/>
  <c r="F21" i="1"/>
  <c r="G30" i="1"/>
  <c r="F23" i="1"/>
  <c r="F31" i="1"/>
  <c r="F27" i="1"/>
  <c r="G22" i="1"/>
  <c r="F30" i="1"/>
  <c r="G26" i="1"/>
  <c r="F28" i="1"/>
  <c r="F24" i="1"/>
  <c r="G27" i="1"/>
  <c r="G23" i="1"/>
  <c r="F33" i="1"/>
  <c r="F29" i="1"/>
  <c r="F25" i="1"/>
  <c r="G21" i="1"/>
  <c r="G28" i="1"/>
  <c r="G24" i="1"/>
  <c r="F26" i="1"/>
  <c r="F22" i="1"/>
  <c r="G29" i="1"/>
  <c r="F187" i="1"/>
  <c r="G182" i="1"/>
  <c r="G186" i="1"/>
  <c r="F179" i="1"/>
  <c r="F183" i="1"/>
  <c r="F184" i="1"/>
  <c r="G183" i="1"/>
  <c r="F189" i="1"/>
  <c r="F181" i="1"/>
  <c r="G177" i="1"/>
  <c r="B179" i="1" s="1"/>
  <c r="G184" i="1"/>
  <c r="G180" i="1"/>
  <c r="G178" i="1"/>
  <c r="F188" i="1"/>
  <c r="F180" i="1"/>
  <c r="G187" i="1"/>
  <c r="M4" i="6" s="1"/>
  <c r="G179" i="1"/>
  <c r="F185" i="1"/>
  <c r="F177" i="1"/>
  <c r="F186" i="1"/>
  <c r="F182" i="1"/>
  <c r="F178" i="1"/>
  <c r="G185" i="1"/>
  <c r="G166" i="1"/>
  <c r="F170" i="1"/>
  <c r="F174" i="1"/>
  <c r="G170" i="1"/>
  <c r="G163" i="1"/>
  <c r="B165" i="1" s="1"/>
  <c r="F166" i="1"/>
  <c r="F163" i="1"/>
  <c r="F171" i="1"/>
  <c r="F167" i="1"/>
  <c r="F175" i="1"/>
  <c r="G171" i="1"/>
  <c r="G167" i="1"/>
  <c r="F172" i="1"/>
  <c r="F168" i="1"/>
  <c r="F164" i="1"/>
  <c r="G172" i="1"/>
  <c r="G168" i="1"/>
  <c r="G164" i="1"/>
  <c r="F173" i="1"/>
  <c r="F169" i="1"/>
  <c r="F165" i="1"/>
  <c r="G173" i="1"/>
  <c r="L4" i="6" s="1"/>
  <c r="G169" i="1"/>
  <c r="F159" i="1"/>
  <c r="F155" i="1"/>
  <c r="F151" i="1"/>
  <c r="G158" i="1"/>
  <c r="G154" i="1"/>
  <c r="G150" i="1"/>
  <c r="F160" i="1"/>
  <c r="F156" i="1"/>
  <c r="F152" i="1"/>
  <c r="G159" i="1"/>
  <c r="K4" i="6" s="1"/>
  <c r="G155" i="1"/>
  <c r="G151" i="1"/>
  <c r="F161" i="1"/>
  <c r="F157" i="1"/>
  <c r="F153" i="1"/>
  <c r="G149" i="1"/>
  <c r="B151" i="1" s="1"/>
  <c r="G156" i="1"/>
  <c r="G152" i="1"/>
  <c r="F149" i="1"/>
  <c r="F158" i="1"/>
  <c r="F154" i="1"/>
  <c r="F150" i="1"/>
  <c r="G157" i="1"/>
  <c r="G136" i="1"/>
  <c r="G144" i="1"/>
  <c r="F142" i="1"/>
  <c r="F141" i="1"/>
  <c r="F145" i="1"/>
  <c r="F137" i="1"/>
  <c r="G140" i="1"/>
  <c r="G145" i="1"/>
  <c r="J4" i="6" s="1"/>
  <c r="G137" i="1"/>
  <c r="F146" i="1"/>
  <c r="F138" i="1"/>
  <c r="G141" i="1"/>
  <c r="F147" i="1"/>
  <c r="F143" i="1"/>
  <c r="F139" i="1"/>
  <c r="G135" i="1"/>
  <c r="G142" i="1"/>
  <c r="G138" i="1"/>
  <c r="F135" i="1"/>
  <c r="F144" i="1"/>
  <c r="F140" i="1"/>
  <c r="F136" i="1"/>
  <c r="G143" i="1"/>
  <c r="F127" i="1"/>
  <c r="F121" i="1"/>
  <c r="G130" i="1"/>
  <c r="G122" i="1"/>
  <c r="G131" i="1"/>
  <c r="I4" i="6" s="1"/>
  <c r="G123" i="1"/>
  <c r="F131" i="1"/>
  <c r="F123" i="1"/>
  <c r="G126" i="1"/>
  <c r="F128" i="1"/>
  <c r="F132" i="1"/>
  <c r="F124" i="1"/>
  <c r="G127" i="1"/>
  <c r="F133" i="1"/>
  <c r="F129" i="1"/>
  <c r="F125" i="1"/>
  <c r="G121" i="1"/>
  <c r="B123" i="1" s="1"/>
  <c r="G128" i="1"/>
  <c r="G124" i="1"/>
  <c r="F130" i="1"/>
  <c r="F126" i="1"/>
  <c r="F122" i="1"/>
  <c r="G129" i="1"/>
  <c r="G125" i="1"/>
  <c r="G99" i="1"/>
  <c r="G95" i="1"/>
  <c r="F91" i="1"/>
  <c r="F100" i="1"/>
  <c r="F96" i="1"/>
  <c r="F92" i="1"/>
  <c r="G100" i="1"/>
  <c r="G96" i="1"/>
  <c r="G92" i="1"/>
  <c r="F101" i="1"/>
  <c r="F97" i="1"/>
  <c r="F93" i="1"/>
  <c r="G101" i="1"/>
  <c r="G4" i="6" s="1"/>
  <c r="G97" i="1"/>
  <c r="G93" i="1"/>
  <c r="F102" i="1"/>
  <c r="F98" i="1"/>
  <c r="F94" i="1"/>
  <c r="G91" i="1"/>
  <c r="G98" i="1"/>
  <c r="G94" i="1"/>
  <c r="F103" i="1"/>
  <c r="F99" i="1"/>
  <c r="F79" i="1"/>
  <c r="F83" i="1"/>
  <c r="F87" i="1"/>
  <c r="F88" i="1"/>
  <c r="F84" i="1"/>
  <c r="F80" i="1"/>
  <c r="F77" i="1"/>
  <c r="U87" i="1" s="1"/>
  <c r="F85" i="1"/>
  <c r="F81" i="1"/>
  <c r="F89" i="1"/>
  <c r="G86" i="1"/>
  <c r="F86" i="1"/>
  <c r="F82" i="1"/>
  <c r="F78" i="1"/>
  <c r="G58" i="1"/>
  <c r="G37" i="1"/>
  <c r="G44" i="1"/>
  <c r="G38" i="1"/>
  <c r="G45" i="1"/>
  <c r="C4" i="6" s="1"/>
  <c r="G40" i="1"/>
  <c r="F55" i="1"/>
  <c r="G50" i="1"/>
  <c r="G78" i="1"/>
  <c r="B79" i="1" s="1"/>
  <c r="G35" i="1"/>
  <c r="G41" i="1"/>
  <c r="G36" i="1"/>
  <c r="F59" i="1"/>
  <c r="G54" i="1"/>
  <c r="G82" i="1"/>
  <c r="G42" i="1"/>
  <c r="F35" i="1"/>
  <c r="F73" i="1"/>
  <c r="G63" i="1"/>
  <c r="G43" i="1"/>
  <c r="G39" i="1"/>
  <c r="F49" i="1"/>
  <c r="F57" i="1"/>
  <c r="F53" i="1"/>
  <c r="G49" i="1"/>
  <c r="G56" i="1"/>
  <c r="G52" i="1"/>
  <c r="F63" i="1"/>
  <c r="F71" i="1"/>
  <c r="F67" i="1"/>
  <c r="F61" i="1"/>
  <c r="G72" i="1"/>
  <c r="G68" i="1"/>
  <c r="G64" i="1"/>
  <c r="G77" i="1"/>
  <c r="G84" i="1"/>
  <c r="F69" i="1"/>
  <c r="F65" i="1"/>
  <c r="G70" i="1"/>
  <c r="G66" i="1"/>
  <c r="F56" i="1"/>
  <c r="F52" i="1"/>
  <c r="G59" i="1"/>
  <c r="D4" i="6" s="1"/>
  <c r="G55" i="1"/>
  <c r="G51" i="1"/>
  <c r="F74" i="1"/>
  <c r="F70" i="1"/>
  <c r="F66" i="1"/>
  <c r="F75" i="1"/>
  <c r="G71" i="1"/>
  <c r="G67" i="1"/>
  <c r="G87" i="1"/>
  <c r="F4" i="6" s="1"/>
  <c r="G83" i="1"/>
  <c r="G79" i="1"/>
  <c r="F58" i="1"/>
  <c r="F54" i="1"/>
  <c r="F50" i="1"/>
  <c r="G57" i="1"/>
  <c r="G53" i="1"/>
  <c r="F72" i="1"/>
  <c r="F68" i="1"/>
  <c r="F64" i="1"/>
  <c r="G73" i="1"/>
  <c r="E4" i="6" s="1"/>
  <c r="G69" i="1"/>
  <c r="G65" i="1"/>
  <c r="G85" i="1"/>
  <c r="G81" i="1"/>
  <c r="F37" i="1"/>
  <c r="F41" i="1"/>
  <c r="F45" i="1"/>
  <c r="F40" i="1"/>
  <c r="F44" i="1"/>
  <c r="F47" i="1"/>
  <c r="F39" i="1"/>
  <c r="F43" i="1"/>
  <c r="F38" i="1"/>
  <c r="F42" i="1"/>
  <c r="F36" i="1"/>
  <c r="L39" i="1" l="1"/>
  <c r="U45" i="1"/>
  <c r="U73" i="1"/>
  <c r="W73" i="1" s="1"/>
  <c r="E2" i="6" s="1"/>
  <c r="B137" i="1"/>
  <c r="L153" i="1"/>
  <c r="U159" i="1"/>
  <c r="L156" i="1"/>
  <c r="L155" i="1"/>
  <c r="L157" i="1"/>
  <c r="L154" i="1"/>
  <c r="L159" i="1"/>
  <c r="L158" i="1"/>
  <c r="G219" i="1"/>
  <c r="F222" i="1"/>
  <c r="G220" i="1"/>
  <c r="G211" i="1"/>
  <c r="G212" i="1"/>
  <c r="G213" i="1"/>
  <c r="G210" i="1"/>
  <c r="B212" i="1" s="1"/>
  <c r="G216" i="1"/>
  <c r="G217" i="1"/>
  <c r="G215" i="1"/>
  <c r="F218" i="1"/>
  <c r="F215" i="1"/>
  <c r="F217" i="1"/>
  <c r="F213" i="1"/>
  <c r="G218" i="1"/>
  <c r="F212" i="1"/>
  <c r="F210" i="1"/>
  <c r="F221" i="1"/>
  <c r="F219" i="1"/>
  <c r="G214" i="1"/>
  <c r="F214" i="1"/>
  <c r="F211" i="1"/>
  <c r="F216" i="1"/>
  <c r="F220" i="1"/>
  <c r="U131" i="1"/>
  <c r="U145" i="1"/>
  <c r="J39" i="1"/>
  <c r="C3" i="5"/>
  <c r="T73" i="1"/>
  <c r="T87" i="1"/>
  <c r="W87" i="1" s="1"/>
  <c r="F2" i="6" s="1"/>
  <c r="T101" i="1"/>
  <c r="T45" i="1"/>
  <c r="T59" i="1"/>
  <c r="I3" i="5"/>
  <c r="T145" i="1"/>
  <c r="T159" i="1"/>
  <c r="T173" i="1"/>
  <c r="T131" i="1"/>
  <c r="T187" i="1"/>
  <c r="J124" i="1"/>
  <c r="L168" i="1"/>
  <c r="L170" i="1"/>
  <c r="L172" i="1"/>
  <c r="U173" i="1"/>
  <c r="W173" i="1" s="1"/>
  <c r="L2" i="6" s="1"/>
  <c r="L169" i="1"/>
  <c r="L173" i="1"/>
  <c r="L167" i="1"/>
  <c r="L171" i="1"/>
  <c r="L53" i="1"/>
  <c r="L52" i="1"/>
  <c r="U59" i="1"/>
  <c r="W59" i="1" s="1"/>
  <c r="D2" i="6" s="1"/>
  <c r="U101" i="1"/>
  <c r="L183" i="1"/>
  <c r="L187" i="1"/>
  <c r="L181" i="1"/>
  <c r="L182" i="1"/>
  <c r="L186" i="1"/>
  <c r="L185" i="1"/>
  <c r="U187" i="1"/>
  <c r="W187" i="1" s="1"/>
  <c r="M2" i="6" s="1"/>
  <c r="L184" i="1"/>
  <c r="F206" i="1"/>
  <c r="G194" i="1"/>
  <c r="G202" i="1"/>
  <c r="G198" i="1"/>
  <c r="G199" i="1"/>
  <c r="G197" i="1"/>
  <c r="G195" i="1"/>
  <c r="G203" i="1"/>
  <c r="G201" i="1"/>
  <c r="F197" i="1"/>
  <c r="F195" i="1"/>
  <c r="F198" i="1"/>
  <c r="F205" i="1"/>
  <c r="F202" i="1"/>
  <c r="F201" i="1"/>
  <c r="F199" i="1"/>
  <c r="F200" i="1"/>
  <c r="G200" i="1"/>
  <c r="F204" i="1"/>
  <c r="F203" i="1"/>
  <c r="G196" i="1"/>
  <c r="G204" i="1"/>
  <c r="F196" i="1"/>
  <c r="F194" i="1"/>
  <c r="L97" i="1"/>
  <c r="L101" i="1"/>
  <c r="L95" i="1"/>
  <c r="L99" i="1"/>
  <c r="L98" i="1"/>
  <c r="L94" i="1"/>
  <c r="L96" i="1"/>
  <c r="L100" i="1"/>
  <c r="B93" i="1"/>
  <c r="L84" i="1"/>
  <c r="L80" i="1"/>
  <c r="L83" i="1"/>
  <c r="L87" i="1"/>
  <c r="L82" i="1"/>
  <c r="L86" i="1"/>
  <c r="L81" i="1"/>
  <c r="L85" i="1"/>
  <c r="H81" i="1"/>
  <c r="B65" i="1"/>
  <c r="L70" i="1"/>
  <c r="L66" i="1"/>
  <c r="L69" i="1"/>
  <c r="L73" i="1"/>
  <c r="L68" i="1"/>
  <c r="L72" i="1"/>
  <c r="L67" i="1"/>
  <c r="L71" i="1"/>
  <c r="L54" i="1"/>
  <c r="L58" i="1"/>
  <c r="L57" i="1"/>
  <c r="L56" i="1"/>
  <c r="L55" i="1"/>
  <c r="L59" i="1"/>
  <c r="B51" i="1"/>
  <c r="L45" i="1"/>
  <c r="N45" i="1" s="1"/>
  <c r="L40" i="1"/>
  <c r="L44" i="1"/>
  <c r="L41" i="1"/>
  <c r="L43" i="1"/>
  <c r="L42" i="1"/>
  <c r="L38" i="1"/>
  <c r="B37" i="1"/>
  <c r="B23" i="1"/>
  <c r="J45" i="1"/>
  <c r="J41" i="1"/>
  <c r="J38" i="1"/>
  <c r="J43" i="1"/>
  <c r="J44" i="1"/>
  <c r="J42" i="1"/>
  <c r="J40" i="1"/>
  <c r="L180" i="1"/>
  <c r="L166" i="1"/>
  <c r="L152" i="1"/>
  <c r="L139" i="1"/>
  <c r="L143" i="1"/>
  <c r="L140" i="1"/>
  <c r="L142" i="1"/>
  <c r="L138" i="1"/>
  <c r="L141" i="1"/>
  <c r="L145" i="1"/>
  <c r="L144" i="1"/>
  <c r="L125" i="1"/>
  <c r="L129" i="1"/>
  <c r="L128" i="1"/>
  <c r="L124" i="1"/>
  <c r="L127" i="1"/>
  <c r="L131" i="1"/>
  <c r="L126" i="1"/>
  <c r="L130" i="1"/>
  <c r="J125" i="1"/>
  <c r="J127" i="1"/>
  <c r="J129" i="1"/>
  <c r="J131" i="1"/>
  <c r="J126" i="1"/>
  <c r="J128" i="1"/>
  <c r="J130" i="1"/>
  <c r="J5" i="5"/>
  <c r="I195" i="1"/>
  <c r="I194" i="1" s="1"/>
  <c r="H25" i="1"/>
  <c r="H95" i="1"/>
  <c r="H53" i="1"/>
  <c r="C5" i="5"/>
  <c r="C8" i="5" s="1"/>
  <c r="F5" i="5"/>
  <c r="I5" i="5"/>
  <c r="H139" i="1"/>
  <c r="L5" i="5"/>
  <c r="H111" i="1"/>
  <c r="H67" i="1"/>
  <c r="D5" i="5"/>
  <c r="G5" i="5"/>
  <c r="H153" i="1"/>
  <c r="M5" i="5"/>
  <c r="H39" i="1"/>
  <c r="E5" i="5"/>
  <c r="H125" i="1"/>
  <c r="K5" i="5"/>
  <c r="H167" i="1"/>
  <c r="H181" i="1"/>
  <c r="D226" i="1"/>
  <c r="D229" i="1" s="1"/>
  <c r="K39" i="1" l="1"/>
  <c r="J53" i="1"/>
  <c r="K53" i="1" s="1"/>
  <c r="B196" i="1"/>
  <c r="W145" i="1"/>
  <c r="J2" i="6" s="1"/>
  <c r="W159" i="1"/>
  <c r="K2" i="6" s="1"/>
  <c r="W131" i="1"/>
  <c r="I2" i="6" s="1"/>
  <c r="W45" i="1"/>
  <c r="C2" i="6" s="1"/>
  <c r="P45" i="1"/>
  <c r="W101" i="1"/>
  <c r="G2" i="6" s="1"/>
  <c r="N39" i="1"/>
  <c r="K38" i="1"/>
  <c r="J52" i="1"/>
  <c r="N52" i="1" s="1"/>
  <c r="N38" i="1"/>
  <c r="O38" i="1" s="1"/>
  <c r="Q38" i="1" s="1"/>
  <c r="J56" i="1"/>
  <c r="K42" i="1"/>
  <c r="N42" i="1"/>
  <c r="N43" i="1"/>
  <c r="J57" i="1"/>
  <c r="K43" i="1"/>
  <c r="J54" i="1"/>
  <c r="K40" i="1"/>
  <c r="N40" i="1"/>
  <c r="N44" i="1"/>
  <c r="J58" i="1"/>
  <c r="K44" i="1"/>
  <c r="J59" i="1"/>
  <c r="K45" i="1"/>
  <c r="J55" i="1"/>
  <c r="K41" i="1"/>
  <c r="N41" i="1"/>
  <c r="N130" i="1"/>
  <c r="J144" i="1"/>
  <c r="J158" i="1" s="1"/>
  <c r="K130" i="1"/>
  <c r="K124" i="1"/>
  <c r="J138" i="1"/>
  <c r="N124" i="1"/>
  <c r="N131" i="1"/>
  <c r="J145" i="1"/>
  <c r="J159" i="1" s="1"/>
  <c r="N159" i="1" s="1"/>
  <c r="K131" i="1"/>
  <c r="N125" i="1"/>
  <c r="J139" i="1"/>
  <c r="J153" i="1" s="1"/>
  <c r="K125" i="1"/>
  <c r="N126" i="1"/>
  <c r="J140" i="1"/>
  <c r="J154" i="1" s="1"/>
  <c r="N154" i="1" s="1"/>
  <c r="K126" i="1"/>
  <c r="N127" i="1"/>
  <c r="J141" i="1"/>
  <c r="J155" i="1" s="1"/>
  <c r="N155" i="1" s="1"/>
  <c r="K127" i="1"/>
  <c r="N128" i="1"/>
  <c r="J142" i="1"/>
  <c r="J156" i="1" s="1"/>
  <c r="N156" i="1" s="1"/>
  <c r="K128" i="1"/>
  <c r="N129" i="1"/>
  <c r="J143" i="1"/>
  <c r="J157" i="1" s="1"/>
  <c r="K129" i="1"/>
  <c r="C9" i="5"/>
  <c r="C11" i="5" s="1"/>
  <c r="I95" i="1"/>
  <c r="I39" i="1"/>
  <c r="I53" i="1"/>
  <c r="I125" i="1"/>
  <c r="I111" i="1"/>
  <c r="I67" i="1"/>
  <c r="I139" i="1"/>
  <c r="I167" i="1"/>
  <c r="I153" i="1"/>
  <c r="I81" i="1"/>
  <c r="D3" i="5"/>
  <c r="D4" i="5" s="1"/>
  <c r="G3" i="5"/>
  <c r="G4" i="5" s="1"/>
  <c r="E3" i="5"/>
  <c r="E4" i="5" s="1"/>
  <c r="C4" i="5"/>
  <c r="C10" i="5" s="1"/>
  <c r="F3" i="5"/>
  <c r="F4" i="5" s="1"/>
  <c r="I181" i="1"/>
  <c r="M3" i="5"/>
  <c r="I4" i="5"/>
  <c r="J3" i="5"/>
  <c r="K3" i="5"/>
  <c r="K4" i="5" s="1"/>
  <c r="L3" i="5"/>
  <c r="L4" i="5" s="1"/>
  <c r="I8" i="5"/>
  <c r="O154" i="1" l="1"/>
  <c r="Q154" i="1" s="1"/>
  <c r="O155" i="1"/>
  <c r="Q155" i="1" s="1"/>
  <c r="O159" i="1"/>
  <c r="Q159" i="1" s="1"/>
  <c r="O156" i="1"/>
  <c r="Q156" i="1" s="1"/>
  <c r="R156" i="1"/>
  <c r="K157" i="1"/>
  <c r="J171" i="1"/>
  <c r="K153" i="1"/>
  <c r="J167" i="1"/>
  <c r="J168" i="1"/>
  <c r="K154" i="1"/>
  <c r="P154" i="1" s="1"/>
  <c r="K158" i="1"/>
  <c r="J172" i="1"/>
  <c r="N158" i="1"/>
  <c r="N153" i="1"/>
  <c r="K155" i="1"/>
  <c r="P155" i="1" s="1"/>
  <c r="J169" i="1"/>
  <c r="N157" i="1"/>
  <c r="N53" i="1"/>
  <c r="P53" i="1" s="1"/>
  <c r="K156" i="1"/>
  <c r="P156" i="1" s="1"/>
  <c r="J170" i="1"/>
  <c r="J173" i="1"/>
  <c r="K159" i="1"/>
  <c r="P159" i="1" s="1"/>
  <c r="C12" i="5"/>
  <c r="B6" i="2" s="1"/>
  <c r="G8" i="5"/>
  <c r="G9" i="5" s="1"/>
  <c r="G12" i="5" s="1"/>
  <c r="F8" i="5"/>
  <c r="F10" i="5" s="1"/>
  <c r="O41" i="1"/>
  <c r="Q41" i="1" s="1"/>
  <c r="P41" i="1"/>
  <c r="N59" i="1"/>
  <c r="J73" i="1"/>
  <c r="K59" i="1"/>
  <c r="N58" i="1"/>
  <c r="J72" i="1"/>
  <c r="K58" i="1"/>
  <c r="J68" i="1"/>
  <c r="N54" i="1"/>
  <c r="K54" i="1"/>
  <c r="J66" i="1"/>
  <c r="K52" i="1"/>
  <c r="N55" i="1"/>
  <c r="J69" i="1"/>
  <c r="K55" i="1"/>
  <c r="P43" i="1"/>
  <c r="O43" i="1"/>
  <c r="Q43" i="1" s="1"/>
  <c r="P38" i="1"/>
  <c r="P39" i="1"/>
  <c r="O39" i="1"/>
  <c r="Q39" i="1" s="1"/>
  <c r="P44" i="1"/>
  <c r="O44" i="1"/>
  <c r="Q44" i="1" s="1"/>
  <c r="P42" i="1"/>
  <c r="O42" i="1"/>
  <c r="Q42" i="1" s="1"/>
  <c r="J67" i="1"/>
  <c r="O45" i="1"/>
  <c r="Q45" i="1" s="1"/>
  <c r="O40" i="1"/>
  <c r="Q40" i="1" s="1"/>
  <c r="P40" i="1"/>
  <c r="N57" i="1"/>
  <c r="J71" i="1"/>
  <c r="K57" i="1"/>
  <c r="N56" i="1"/>
  <c r="J70" i="1"/>
  <c r="K56" i="1"/>
  <c r="P128" i="1"/>
  <c r="P131" i="1"/>
  <c r="P125" i="1"/>
  <c r="N142" i="1"/>
  <c r="K142" i="1"/>
  <c r="O127" i="1"/>
  <c r="Q127" i="1" s="1"/>
  <c r="N145" i="1"/>
  <c r="K145" i="1"/>
  <c r="N141" i="1"/>
  <c r="K141" i="1"/>
  <c r="O126" i="1"/>
  <c r="Q126" i="1" s="1"/>
  <c r="P126" i="1"/>
  <c r="J152" i="1"/>
  <c r="K138" i="1"/>
  <c r="N138" i="1"/>
  <c r="O130" i="1"/>
  <c r="Q130" i="1" s="1"/>
  <c r="P129" i="1"/>
  <c r="O129" i="1"/>
  <c r="Q129" i="1" s="1"/>
  <c r="N140" i="1"/>
  <c r="K140" i="1"/>
  <c r="O125" i="1"/>
  <c r="Q125" i="1" s="1"/>
  <c r="P124" i="1"/>
  <c r="O124" i="1"/>
  <c r="R124" i="1" s="1"/>
  <c r="N144" i="1"/>
  <c r="K144" i="1"/>
  <c r="N143" i="1"/>
  <c r="K143" i="1"/>
  <c r="O128" i="1"/>
  <c r="Q128" i="1" s="1"/>
  <c r="N139" i="1"/>
  <c r="K139" i="1"/>
  <c r="O131" i="1"/>
  <c r="Q131" i="1" s="1"/>
  <c r="P127" i="1"/>
  <c r="P130" i="1"/>
  <c r="L8" i="5"/>
  <c r="L9" i="5" s="1"/>
  <c r="L11" i="5" s="1"/>
  <c r="M8" i="5"/>
  <c r="M4" i="5"/>
  <c r="I9" i="5"/>
  <c r="I11" i="5" s="1"/>
  <c r="I10" i="5"/>
  <c r="J4" i="5"/>
  <c r="J8" i="5"/>
  <c r="K8" i="5"/>
  <c r="E8" i="5"/>
  <c r="D8" i="5"/>
  <c r="K170" i="1" l="1"/>
  <c r="J184" i="1"/>
  <c r="N170" i="1"/>
  <c r="K169" i="1"/>
  <c r="J183" i="1"/>
  <c r="N169" i="1"/>
  <c r="K172" i="1"/>
  <c r="J186" i="1"/>
  <c r="N172" i="1"/>
  <c r="K167" i="1"/>
  <c r="J181" i="1"/>
  <c r="N167" i="1"/>
  <c r="O153" i="1"/>
  <c r="Q153" i="1" s="1"/>
  <c r="P153" i="1"/>
  <c r="K171" i="1"/>
  <c r="J185" i="1"/>
  <c r="N171" i="1"/>
  <c r="R154" i="1"/>
  <c r="K173" i="1"/>
  <c r="J187" i="1"/>
  <c r="N173" i="1"/>
  <c r="R157" i="1"/>
  <c r="P157" i="1"/>
  <c r="O157" i="1"/>
  <c r="Q157" i="1" s="1"/>
  <c r="P158" i="1"/>
  <c r="O158" i="1"/>
  <c r="Q158" i="1" s="1"/>
  <c r="K168" i="1"/>
  <c r="J182" i="1"/>
  <c r="N168" i="1"/>
  <c r="R159" i="1"/>
  <c r="R155" i="1"/>
  <c r="B3" i="2"/>
  <c r="P56" i="1"/>
  <c r="R45" i="1"/>
  <c r="R44" i="1"/>
  <c r="G10" i="5"/>
  <c r="R38" i="1"/>
  <c r="F9" i="5"/>
  <c r="F11" i="5" s="1"/>
  <c r="P57" i="1"/>
  <c r="P58" i="1"/>
  <c r="N71" i="1"/>
  <c r="J85" i="1"/>
  <c r="K71" i="1"/>
  <c r="N72" i="1"/>
  <c r="J86" i="1"/>
  <c r="K72" i="1"/>
  <c r="N69" i="1"/>
  <c r="J83" i="1"/>
  <c r="K69" i="1"/>
  <c r="N66" i="1"/>
  <c r="J80" i="1"/>
  <c r="K66" i="1"/>
  <c r="N73" i="1"/>
  <c r="J87" i="1"/>
  <c r="K73" i="1"/>
  <c r="O56" i="1"/>
  <c r="Q56" i="1" s="1"/>
  <c r="N67" i="1"/>
  <c r="J81" i="1"/>
  <c r="K67" i="1"/>
  <c r="N68" i="1"/>
  <c r="J82" i="1"/>
  <c r="K68" i="1"/>
  <c r="R42" i="1"/>
  <c r="R40" i="1"/>
  <c r="P55" i="1"/>
  <c r="P59" i="1"/>
  <c r="R41" i="1"/>
  <c r="O55" i="1"/>
  <c r="Q55" i="1" s="1"/>
  <c r="O59" i="1"/>
  <c r="Q59" i="1" s="1"/>
  <c r="N70" i="1"/>
  <c r="J84" i="1"/>
  <c r="K70" i="1"/>
  <c r="O57" i="1"/>
  <c r="Q57" i="1" s="1"/>
  <c r="O53" i="1"/>
  <c r="Q53" i="1" s="1"/>
  <c r="P52" i="1"/>
  <c r="O52" i="1"/>
  <c r="Q52" i="1" s="1"/>
  <c r="O54" i="1"/>
  <c r="Q54" i="1" s="1"/>
  <c r="P54" i="1"/>
  <c r="O58" i="1"/>
  <c r="Q58" i="1" s="1"/>
  <c r="R39" i="1"/>
  <c r="R43" i="1"/>
  <c r="Q124" i="1"/>
  <c r="P145" i="1"/>
  <c r="R131" i="1"/>
  <c r="O139" i="1"/>
  <c r="Q139" i="1" s="1"/>
  <c r="O144" i="1"/>
  <c r="Q144" i="1" s="1"/>
  <c r="O138" i="1"/>
  <c r="Q138" i="1" s="1"/>
  <c r="P138" i="1"/>
  <c r="O141" i="1"/>
  <c r="Q141" i="1" s="1"/>
  <c r="P141" i="1"/>
  <c r="O142" i="1"/>
  <c r="Q142" i="1" s="1"/>
  <c r="O145" i="1"/>
  <c r="Q145" i="1" s="1"/>
  <c r="P143" i="1"/>
  <c r="O143" i="1"/>
  <c r="Q143" i="1" s="1"/>
  <c r="O140" i="1"/>
  <c r="Q140" i="1" s="1"/>
  <c r="P140" i="1"/>
  <c r="J166" i="1"/>
  <c r="K152" i="1"/>
  <c r="N152" i="1"/>
  <c r="R127" i="1"/>
  <c r="P139" i="1"/>
  <c r="P144" i="1"/>
  <c r="R129" i="1"/>
  <c r="R126" i="1"/>
  <c r="R128" i="1"/>
  <c r="R125" i="1"/>
  <c r="R130" i="1"/>
  <c r="P142" i="1"/>
  <c r="L12" i="5"/>
  <c r="L10" i="5"/>
  <c r="I12" i="5"/>
  <c r="E9" i="5"/>
  <c r="E11" i="5" s="1"/>
  <c r="E10" i="5"/>
  <c r="G11" i="5"/>
  <c r="D9" i="5"/>
  <c r="D11" i="5" s="1"/>
  <c r="D10" i="5"/>
  <c r="J9" i="5"/>
  <c r="J11" i="5" s="1"/>
  <c r="J10" i="5"/>
  <c r="M9" i="5"/>
  <c r="M11" i="5" s="1"/>
  <c r="K9" i="5"/>
  <c r="K11" i="5" s="1"/>
  <c r="K10" i="5"/>
  <c r="M10" i="5"/>
  <c r="P168" i="1" l="1"/>
  <c r="O168" i="1"/>
  <c r="Q168" i="1" s="1"/>
  <c r="R168" i="1"/>
  <c r="R158" i="1"/>
  <c r="K181" i="1"/>
  <c r="N181" i="1"/>
  <c r="O170" i="1"/>
  <c r="Q170" i="1" s="1"/>
  <c r="P170" i="1"/>
  <c r="K186" i="1"/>
  <c r="N186" i="1"/>
  <c r="K182" i="1"/>
  <c r="N182" i="1"/>
  <c r="O173" i="1"/>
  <c r="Q173" i="1" s="1"/>
  <c r="P173" i="1"/>
  <c r="R173" i="1"/>
  <c r="P171" i="1"/>
  <c r="O171" i="1"/>
  <c r="Q171" i="1" s="1"/>
  <c r="R171" i="1"/>
  <c r="O169" i="1"/>
  <c r="Q169" i="1" s="1"/>
  <c r="P169" i="1"/>
  <c r="K184" i="1"/>
  <c r="N184" i="1"/>
  <c r="P167" i="1"/>
  <c r="O167" i="1"/>
  <c r="Q167" i="1" s="1"/>
  <c r="R167" i="1"/>
  <c r="K187" i="1"/>
  <c r="N187" i="1"/>
  <c r="K185" i="1"/>
  <c r="N185" i="1"/>
  <c r="R153" i="1"/>
  <c r="O172" i="1"/>
  <c r="Q172" i="1" s="1"/>
  <c r="P172" i="1"/>
  <c r="K183" i="1"/>
  <c r="N183" i="1"/>
  <c r="F12" i="5"/>
  <c r="P69" i="1"/>
  <c r="P67" i="1"/>
  <c r="R59" i="1"/>
  <c r="R54" i="1"/>
  <c r="O72" i="1"/>
  <c r="Q72" i="1" s="1"/>
  <c r="P71" i="1"/>
  <c r="O71" i="1"/>
  <c r="Q71" i="1" s="1"/>
  <c r="K84" i="1"/>
  <c r="J98" i="1"/>
  <c r="N84" i="1"/>
  <c r="K82" i="1"/>
  <c r="J96" i="1"/>
  <c r="N82" i="1"/>
  <c r="O67" i="1"/>
  <c r="Q67" i="1" s="1"/>
  <c r="K87" i="1"/>
  <c r="J101" i="1"/>
  <c r="N87" i="1"/>
  <c r="P66" i="1"/>
  <c r="O66" i="1"/>
  <c r="Q66" i="1" s="1"/>
  <c r="K85" i="1"/>
  <c r="J99" i="1"/>
  <c r="N85" i="1"/>
  <c r="R57" i="1"/>
  <c r="R56" i="1"/>
  <c r="R52" i="1"/>
  <c r="R55" i="1"/>
  <c r="P72" i="1"/>
  <c r="K83" i="1"/>
  <c r="J97" i="1"/>
  <c r="N83" i="1"/>
  <c r="O70" i="1"/>
  <c r="Q70" i="1" s="1"/>
  <c r="P68" i="1"/>
  <c r="O68" i="1"/>
  <c r="Q68" i="1" s="1"/>
  <c r="O73" i="1"/>
  <c r="Q73" i="1" s="1"/>
  <c r="K86" i="1"/>
  <c r="J100" i="1"/>
  <c r="N86" i="1"/>
  <c r="K81" i="1"/>
  <c r="J95" i="1"/>
  <c r="N81" i="1"/>
  <c r="K80" i="1"/>
  <c r="J94" i="1"/>
  <c r="N80" i="1"/>
  <c r="O69" i="1"/>
  <c r="Q69" i="1" s="1"/>
  <c r="R58" i="1"/>
  <c r="R53" i="1"/>
  <c r="P70" i="1"/>
  <c r="P73" i="1"/>
  <c r="K12" i="5"/>
  <c r="C8" i="2" s="1"/>
  <c r="R143" i="1"/>
  <c r="M12" i="5"/>
  <c r="R138" i="1"/>
  <c r="R144" i="1"/>
  <c r="J180" i="1"/>
  <c r="K166" i="1"/>
  <c r="N166" i="1"/>
  <c r="O152" i="1"/>
  <c r="Q152" i="1" s="1"/>
  <c r="P152" i="1"/>
  <c r="R142" i="1"/>
  <c r="R145" i="1"/>
  <c r="R140" i="1"/>
  <c r="R141" i="1"/>
  <c r="R139" i="1"/>
  <c r="E12" i="5"/>
  <c r="D3" i="2" s="1"/>
  <c r="J12" i="5"/>
  <c r="C7" i="2" s="1"/>
  <c r="D12" i="5"/>
  <c r="C3" i="2" s="1"/>
  <c r="C9" i="2"/>
  <c r="K3" i="2"/>
  <c r="F3" i="2"/>
  <c r="B10" i="2"/>
  <c r="H3" i="2"/>
  <c r="C6" i="2"/>
  <c r="P185" i="1" l="1"/>
  <c r="O185" i="1"/>
  <c r="Q185" i="1" s="1"/>
  <c r="O186" i="1"/>
  <c r="Q186" i="1" s="1"/>
  <c r="P186" i="1"/>
  <c r="R169" i="1"/>
  <c r="R181" i="1"/>
  <c r="O181" i="1"/>
  <c r="Q181" i="1" s="1"/>
  <c r="P181" i="1"/>
  <c r="P184" i="1"/>
  <c r="O184" i="1"/>
  <c r="Q184" i="1" s="1"/>
  <c r="O183" i="1"/>
  <c r="Q183" i="1" s="1"/>
  <c r="R183" i="1"/>
  <c r="P183" i="1"/>
  <c r="R172" i="1"/>
  <c r="O187" i="1"/>
  <c r="Q187" i="1" s="1"/>
  <c r="P187" i="1"/>
  <c r="R187" i="1"/>
  <c r="P182" i="1"/>
  <c r="O182" i="1"/>
  <c r="Q182" i="1" s="1"/>
  <c r="R182" i="1"/>
  <c r="R170" i="1"/>
  <c r="R69" i="1"/>
  <c r="E3" i="2"/>
  <c r="B9" i="2"/>
  <c r="R70" i="1"/>
  <c r="R72" i="1"/>
  <c r="O86" i="1"/>
  <c r="Q86" i="1" s="1"/>
  <c r="P86" i="1"/>
  <c r="O87" i="1"/>
  <c r="Q87" i="1" s="1"/>
  <c r="P87" i="1"/>
  <c r="N94" i="1"/>
  <c r="K94" i="1"/>
  <c r="N97" i="1"/>
  <c r="K97" i="1"/>
  <c r="K99" i="1"/>
  <c r="N99" i="1"/>
  <c r="R73" i="1"/>
  <c r="R67" i="1"/>
  <c r="R71" i="1"/>
  <c r="O84" i="1"/>
  <c r="Q84" i="1" s="1"/>
  <c r="P84" i="1"/>
  <c r="O80" i="1"/>
  <c r="Q80" i="1" s="1"/>
  <c r="P80" i="1"/>
  <c r="K95" i="1"/>
  <c r="N95" i="1"/>
  <c r="O83" i="1"/>
  <c r="Q83" i="1" s="1"/>
  <c r="P83" i="1"/>
  <c r="P85" i="1"/>
  <c r="O85" i="1"/>
  <c r="Q85" i="1" s="1"/>
  <c r="K96" i="1"/>
  <c r="N96" i="1"/>
  <c r="P81" i="1"/>
  <c r="O81" i="1"/>
  <c r="Q81" i="1" s="1"/>
  <c r="K100" i="1"/>
  <c r="N100" i="1"/>
  <c r="K101" i="1"/>
  <c r="N101" i="1"/>
  <c r="O82" i="1"/>
  <c r="Q82" i="1" s="1"/>
  <c r="P82" i="1"/>
  <c r="K98" i="1"/>
  <c r="N98" i="1"/>
  <c r="R68" i="1"/>
  <c r="R66" i="1"/>
  <c r="J3" i="2"/>
  <c r="I3" i="2"/>
  <c r="K180" i="1"/>
  <c r="N180" i="1"/>
  <c r="O166" i="1"/>
  <c r="Q166" i="1" s="1"/>
  <c r="P166" i="1"/>
  <c r="R152" i="1"/>
  <c r="B7" i="2"/>
  <c r="B8" i="2"/>
  <c r="L3" i="2"/>
  <c r="C10" i="2"/>
  <c r="C11" i="2" s="1"/>
  <c r="R186" i="1" l="1"/>
  <c r="R185" i="1"/>
  <c r="R83" i="1"/>
  <c r="R184" i="1"/>
  <c r="R82" i="1"/>
  <c r="B11" i="2"/>
  <c r="R80" i="1"/>
  <c r="P100" i="1"/>
  <c r="O100" i="1"/>
  <c r="Q100" i="1" s="1"/>
  <c r="P99" i="1"/>
  <c r="O99" i="1"/>
  <c r="Q99" i="1" s="1"/>
  <c r="O101" i="1"/>
  <c r="Q101" i="1" s="1"/>
  <c r="P101" i="1"/>
  <c r="R85" i="1"/>
  <c r="R81" i="1"/>
  <c r="R84" i="1"/>
  <c r="R87" i="1"/>
  <c r="P97" i="1"/>
  <c r="O97" i="1"/>
  <c r="Q97" i="1" s="1"/>
  <c r="O98" i="1"/>
  <c r="P98" i="1"/>
  <c r="P96" i="1"/>
  <c r="O96" i="1"/>
  <c r="Q96" i="1" s="1"/>
  <c r="P95" i="1"/>
  <c r="O95" i="1"/>
  <c r="Q95" i="1" s="1"/>
  <c r="P94" i="1"/>
  <c r="O94" i="1"/>
  <c r="Q94" i="1" s="1"/>
  <c r="R86" i="1"/>
  <c r="R166" i="1"/>
  <c r="O180" i="1"/>
  <c r="Q180" i="1" s="1"/>
  <c r="P180" i="1"/>
  <c r="B12" i="2"/>
  <c r="C12" i="2"/>
  <c r="C15" i="2" s="1"/>
  <c r="B14" i="2" l="1"/>
  <c r="R97" i="1"/>
  <c r="R101" i="1"/>
  <c r="R99" i="1"/>
  <c r="R98" i="1"/>
  <c r="Q98" i="1"/>
  <c r="B15" i="2"/>
  <c r="R96" i="1"/>
  <c r="R94" i="1"/>
  <c r="R95" i="1"/>
  <c r="R100" i="1"/>
  <c r="R180" i="1"/>
  <c r="C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pocholo.aviso</author>
  </authors>
  <commentList>
    <comment ref="M3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5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6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9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12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13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15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16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18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</commentList>
</comments>
</file>

<file path=xl/sharedStrings.xml><?xml version="1.0" encoding="utf-8"?>
<sst xmlns="http://schemas.openxmlformats.org/spreadsheetml/2006/main" count="483" uniqueCount="129">
  <si>
    <t>Sample Description</t>
  </si>
  <si>
    <t>Size Fraction</t>
  </si>
  <si>
    <t>Weight (g)</t>
  </si>
  <si>
    <t>Cum % Passing</t>
  </si>
  <si>
    <t>P80</t>
  </si>
  <si>
    <t>212-300</t>
  </si>
  <si>
    <t>Head</t>
  </si>
  <si>
    <t>53-75</t>
  </si>
  <si>
    <t>75-106</t>
  </si>
  <si>
    <t>106-150</t>
  </si>
  <si>
    <t>300-425</t>
  </si>
  <si>
    <t>425-600</t>
  </si>
  <si>
    <t>180-212</t>
  </si>
  <si>
    <t>150-180</t>
  </si>
  <si>
    <t>Retain %</t>
  </si>
  <si>
    <t>600-1180</t>
  </si>
  <si>
    <t>+1180</t>
  </si>
  <si>
    <t>38-53</t>
  </si>
  <si>
    <t>Take sample</t>
  </si>
  <si>
    <t>Date</t>
  </si>
  <si>
    <t>Time</t>
  </si>
  <si>
    <t>Percent solid</t>
  </si>
  <si>
    <t xml:space="preserve">Dry sample weight </t>
  </si>
  <si>
    <t>Mass bucket</t>
  </si>
  <si>
    <t>Mass bucket+slurry</t>
  </si>
  <si>
    <t>SC 013 O/S D1</t>
  </si>
  <si>
    <t>SC 013 O/S D2</t>
  </si>
  <si>
    <t>SC 013 O/S D3</t>
  </si>
  <si>
    <t>SC 013 O/S D4</t>
  </si>
  <si>
    <t>SC 013 O/S D5</t>
  </si>
  <si>
    <t>SC 014 O/S D1</t>
  </si>
  <si>
    <t>SC 014 O/S D2</t>
  </si>
  <si>
    <t>SC 014 O/S D3</t>
  </si>
  <si>
    <t>SC 014 O/S D4</t>
  </si>
  <si>
    <t>SC 014 O/S D5</t>
  </si>
  <si>
    <t>SC 013 Feed</t>
  </si>
  <si>
    <t>SC 014 Feed</t>
  </si>
  <si>
    <t>Survey grinding screen 013 &amp; 014</t>
  </si>
  <si>
    <t>SC 013</t>
  </si>
  <si>
    <t>SC 014</t>
  </si>
  <si>
    <t>efficiency</t>
  </si>
  <si>
    <t>D1</t>
  </si>
  <si>
    <t>D2</t>
  </si>
  <si>
    <t>D3</t>
  </si>
  <si>
    <t>D4</t>
  </si>
  <si>
    <t>D5</t>
  </si>
  <si>
    <t>SC013</t>
  </si>
  <si>
    <t>SC014</t>
  </si>
  <si>
    <t>average</t>
  </si>
  <si>
    <t>stdev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</si>
  <si>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</si>
  <si>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</si>
  <si>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</si>
  <si>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</si>
  <si>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</si>
  <si>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</si>
  <si>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</si>
  <si>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</si>
  <si>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</si>
  <si>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</si>
  <si>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</si>
  <si>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</t>
  </si>
  <si>
    <t>cònfidence</t>
  </si>
  <si>
    <t>high</t>
  </si>
  <si>
    <t>low</t>
  </si>
  <si>
    <t>tstat&gt;tcritical 1 tails, ínignificant</t>
  </si>
  <si>
    <t xml:space="preserve">Derrick Calculate eficiency </t>
  </si>
  <si>
    <t>For example</t>
  </si>
  <si>
    <t>A</t>
  </si>
  <si>
    <t>Percent of oversize in the feed</t>
  </si>
  <si>
    <t>B</t>
  </si>
  <si>
    <t>Percent of undersize in the feed</t>
  </si>
  <si>
    <t>C</t>
  </si>
  <si>
    <t>Percent of oversize in the oversize product</t>
  </si>
  <si>
    <t>D</t>
  </si>
  <si>
    <t>Percent of undersize in the undersize product</t>
  </si>
  <si>
    <t>The weight splits and efficiency value are calculated as follows:</t>
  </si>
  <si>
    <t>100*(C-A)</t>
  </si>
  <si>
    <t>U</t>
  </si>
  <si>
    <t>Undersizeweight percent</t>
  </si>
  <si>
    <t>=</t>
  </si>
  <si>
    <t>C+D-100</t>
  </si>
  <si>
    <t>O</t>
  </si>
  <si>
    <t xml:space="preserve">Oversizeweight percent </t>
  </si>
  <si>
    <t>100-U</t>
  </si>
  <si>
    <t>U*D</t>
  </si>
  <si>
    <t>Eu</t>
  </si>
  <si>
    <t xml:space="preserve">Undersize efficiency </t>
  </si>
  <si>
    <t>O*C</t>
  </si>
  <si>
    <t>Eo</t>
  </si>
  <si>
    <t>Oversize efficiency</t>
  </si>
  <si>
    <t>U*D+O*C</t>
  </si>
  <si>
    <t>E</t>
  </si>
  <si>
    <t>Overall efficiency</t>
  </si>
  <si>
    <t>deck</t>
  </si>
  <si>
    <t>t-Test: Paired Two Sample for Means</t>
  </si>
  <si>
    <t>Pearson Correlation</t>
  </si>
  <si>
    <t>%  undersize in the feed</t>
  </si>
  <si>
    <t>Screen efficiency per size fraction</t>
  </si>
  <si>
    <t>tstat&lt;tcritical 1 tail</t>
  </si>
  <si>
    <t>no difference</t>
  </si>
  <si>
    <t>Screen efficiency (Wills)</t>
  </si>
  <si>
    <t>f (+38 um in feed)</t>
  </si>
  <si>
    <t>c (+38 um in coarse)</t>
  </si>
  <si>
    <t>E (fines removal)</t>
  </si>
  <si>
    <t>t stat&lt;tcritical one tail</t>
  </si>
  <si>
    <t>u (+38 in fines  at 70 %)</t>
  </si>
  <si>
    <t>E =c(f-u)(1-u)(c-f)/f/(c-u)^2/(1-f)</t>
  </si>
  <si>
    <t>SC 013 Feed_Survey 2</t>
  </si>
  <si>
    <t>SC 014 Feed_Survey 2</t>
  </si>
  <si>
    <t>SC 013 O/S_survey 2</t>
  </si>
  <si>
    <t>SC 014 O/S_survey 2</t>
  </si>
  <si>
    <t>SC013_Survey 2</t>
  </si>
  <si>
    <t>SC014_Survey 2</t>
  </si>
  <si>
    <t>Deck</t>
  </si>
  <si>
    <t>Fraction of -38 um in oversize</t>
  </si>
  <si>
    <t>SC013_survey 2</t>
  </si>
  <si>
    <t>SC014_survey 2</t>
  </si>
  <si>
    <t>t stat&lt;tcritical one tail, no difference</t>
  </si>
  <si>
    <t>Average</t>
  </si>
  <si>
    <t>Per cent weight of -38 um particles in oversize</t>
  </si>
  <si>
    <t>Sampling Point</t>
  </si>
  <si>
    <t>Feed</t>
  </si>
  <si>
    <t>Deck 1</t>
  </si>
  <si>
    <t>Deck 2</t>
  </si>
  <si>
    <t>Deck 3</t>
  </si>
  <si>
    <t>Deck 4</t>
  </si>
  <si>
    <t>Deck 5</t>
  </si>
  <si>
    <t>Overall screen efficiency, based on 212 um aperture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</si>
</sst>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C09]dd\-mmm\-yy;@"/>
    <numFmt numFmtId="166" formatCode="0.0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2" fontId="3" fillId="0" borderId="4" xfId="0" applyNumberFormat="1" applyFont="1" applyBorder="1" applyAlignment="1">
      <alignment horizontal="center" vertical="top" wrapText="1"/>
    </xf>
    <xf numFmtId="164" fontId="1" fillId="0" borderId="4" xfId="1" quotePrefix="1" applyNumberFormat="1" applyFont="1" applyBorder="1" applyAlignment="1">
      <alignment horizontal="center" vertical="center"/>
    </xf>
    <xf numFmtId="0" fontId="0" fillId="0" borderId="4" xfId="0" applyBorder="1"/>
    <xf numFmtId="0" fontId="0" fillId="0" borderId="4" xfId="0" quotePrefix="1" applyNumberFormat="1" applyFont="1" applyBorder="1" applyAlignment="1">
      <alignment horizontal="center" vertical="center"/>
    </xf>
    <xf numFmtId="2" fontId="3" fillId="0" borderId="4" xfId="0" quotePrefix="1" applyNumberFormat="1" applyFont="1" applyBorder="1" applyAlignment="1">
      <alignment horizontal="center" vertical="center"/>
    </xf>
    <xf numFmtId="0" fontId="0" fillId="0" borderId="4" xfId="0" quotePrefix="1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quotePrefix="1" applyNumberFormat="1" applyBorder="1" applyAlignment="1">
      <alignment horizontal="center" vertical="center"/>
    </xf>
    <xf numFmtId="2" fontId="0" fillId="0" borderId="5" xfId="0" quotePrefix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horizontal="center" vertical="center" wrapText="1"/>
    </xf>
    <xf numFmtId="9" fontId="2" fillId="0" borderId="3" xfId="1" applyFont="1" applyBorder="1" applyAlignment="1">
      <alignment horizontal="center" vertical="top" wrapText="1"/>
    </xf>
    <xf numFmtId="9" fontId="3" fillId="0" borderId="4" xfId="1" applyFont="1" applyBorder="1" applyAlignment="1">
      <alignment horizontal="center" vertical="top" wrapText="1"/>
    </xf>
    <xf numFmtId="9" fontId="0" fillId="0" borderId="5" xfId="1" quotePrefix="1" applyFont="1" applyBorder="1" applyAlignment="1">
      <alignment horizontal="center" vertical="center"/>
    </xf>
    <xf numFmtId="9" fontId="0" fillId="0" borderId="0" xfId="1" applyFont="1"/>
    <xf numFmtId="0" fontId="0" fillId="0" borderId="6" xfId="0" applyBorder="1"/>
    <xf numFmtId="0" fontId="0" fillId="0" borderId="6" xfId="0" quotePrefix="1" applyBorder="1" applyAlignment="1">
      <alignment horizontal="center"/>
    </xf>
    <xf numFmtId="0" fontId="0" fillId="0" borderId="6" xfId="0" quotePrefix="1" applyNumberFormat="1" applyBorder="1" applyAlignment="1">
      <alignment horizontal="center" vertical="center"/>
    </xf>
    <xf numFmtId="2" fontId="3" fillId="0" borderId="6" xfId="0" quotePrefix="1" applyNumberFormat="1" applyFont="1" applyBorder="1" applyAlignment="1">
      <alignment horizontal="center" vertical="center"/>
    </xf>
    <xf numFmtId="164" fontId="1" fillId="0" borderId="6" xfId="1" quotePrefix="1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top" wrapText="1"/>
    </xf>
    <xf numFmtId="10" fontId="3" fillId="0" borderId="6" xfId="1" applyNumberFormat="1" applyFont="1" applyBorder="1" applyAlignment="1">
      <alignment horizontal="center" vertical="top" wrapText="1"/>
    </xf>
    <xf numFmtId="10" fontId="1" fillId="0" borderId="4" xfId="1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0" fontId="5" fillId="3" borderId="11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0" fillId="0" borderId="10" xfId="0" applyBorder="1"/>
    <xf numFmtId="10" fontId="0" fillId="0" borderId="10" xfId="1" applyNumberFormat="1" applyFont="1" applyBorder="1"/>
    <xf numFmtId="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6" fillId="0" borderId="16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5" xfId="0" applyNumberFormat="1" applyFill="1" applyBorder="1" applyAlignment="1"/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/>
    <xf numFmtId="164" fontId="0" fillId="0" borderId="0" xfId="1" applyNumberFormat="1" applyFont="1"/>
    <xf numFmtId="0" fontId="4" fillId="0" borderId="0" xfId="0" applyFont="1" applyFill="1" applyBorder="1" applyAlignment="1">
      <alignment horizontal="left" vertical="center"/>
    </xf>
    <xf numFmtId="10" fontId="0" fillId="0" borderId="0" xfId="1" applyNumberFormat="1" applyFont="1" applyBorder="1"/>
    <xf numFmtId="0" fontId="0" fillId="0" borderId="17" xfId="0" applyBorder="1"/>
    <xf numFmtId="0" fontId="4" fillId="0" borderId="10" xfId="0" applyFont="1" applyFill="1" applyBorder="1" applyAlignment="1">
      <alignment horizontal="left" vertical="center"/>
    </xf>
    <xf numFmtId="2" fontId="3" fillId="0" borderId="4" xfId="0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/>
    </xf>
    <xf numFmtId="2" fontId="0" fillId="0" borderId="10" xfId="0" applyNumberFormat="1" applyBorder="1"/>
    <xf numFmtId="2" fontId="0" fillId="0" borderId="10" xfId="0" applyNumberFormat="1" applyFill="1" applyBorder="1"/>
    <xf numFmtId="2" fontId="0" fillId="0" borderId="18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NumberFormat="1" applyBorder="1" applyAlignment="1">
      <alignment horizontal="center" vertical="center"/>
    </xf>
    <xf numFmtId="2" fontId="0" fillId="0" borderId="0" xfId="0" quotePrefix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top" wrapText="1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quotePrefix="1" applyNumberFormat="1" applyBorder="1" applyAlignment="1">
      <alignment horizontal="center" vertical="center"/>
    </xf>
    <xf numFmtId="2" fontId="0" fillId="0" borderId="19" xfId="0" quotePrefix="1" applyNumberFormat="1" applyFont="1" applyBorder="1" applyAlignment="1">
      <alignment horizontal="center" vertical="center"/>
    </xf>
    <xf numFmtId="10" fontId="3" fillId="0" borderId="19" xfId="1" applyNumberFormat="1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top" wrapText="1"/>
    </xf>
    <xf numFmtId="0" fontId="0" fillId="0" borderId="20" xfId="0" applyFont="1" applyBorder="1" applyAlignment="1">
      <alignment horizontal="center" vertical="top" wrapText="1"/>
    </xf>
    <xf numFmtId="2" fontId="3" fillId="0" borderId="20" xfId="0" applyNumberFormat="1" applyFont="1" applyBorder="1" applyAlignment="1">
      <alignment horizontal="center" vertical="top" wrapText="1"/>
    </xf>
    <xf numFmtId="10" fontId="3" fillId="0" borderId="20" xfId="1" applyNumberFormat="1" applyFont="1" applyBorder="1" applyAlignment="1">
      <alignment horizontal="center" vertical="top" wrapText="1"/>
    </xf>
    <xf numFmtId="10" fontId="1" fillId="0" borderId="20" xfId="1" quotePrefix="1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top" wrapText="1"/>
    </xf>
    <xf numFmtId="9" fontId="2" fillId="0" borderId="10" xfId="1" applyFont="1" applyBorder="1" applyAlignment="1">
      <alignment horizontal="center" vertical="top" wrapText="1"/>
    </xf>
    <xf numFmtId="0" fontId="0" fillId="0" borderId="0" xfId="0" applyFill="1" applyBorder="1"/>
    <xf numFmtId="9" fontId="0" fillId="0" borderId="0" xfId="0" applyNumberFormat="1"/>
    <xf numFmtId="164" fontId="0" fillId="0" borderId="0" xfId="0" applyNumberFormat="1"/>
    <xf numFmtId="9" fontId="3" fillId="0" borderId="6" xfId="1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/>
    <xf numFmtId="10" fontId="0" fillId="0" borderId="10" xfId="0" applyNumberFormat="1" applyBorder="1"/>
    <xf numFmtId="164" fontId="0" fillId="0" borderId="0" xfId="1" applyNumberFormat="1" applyFont="1" applyFill="1" applyBorder="1" applyAlignment="1"/>
    <xf numFmtId="10" fontId="0" fillId="2" borderId="0" xfId="0" applyNumberFormat="1" applyFill="1"/>
    <xf numFmtId="9" fontId="0" fillId="2" borderId="0" xfId="1" applyFont="1" applyFill="1"/>
    <xf numFmtId="9" fontId="0" fillId="2" borderId="0" xfId="0" applyNumberFormat="1" applyFill="1"/>
    <xf numFmtId="164" fontId="0" fillId="2" borderId="0" xfId="0" applyNumberFormat="1" applyFill="1"/>
    <xf numFmtId="9" fontId="0" fillId="4" borderId="0" xfId="0" applyNumberFormat="1" applyFill="1"/>
    <xf numFmtId="0" fontId="0" fillId="0" borderId="10" xfId="0" applyBorder="1" applyAlignment="1">
      <alignment horizontal="left"/>
    </xf>
    <xf numFmtId="10" fontId="0" fillId="0" borderId="0" xfId="0" applyNumberFormat="1" applyBorder="1"/>
    <xf numFmtId="0" fontId="0" fillId="3" borderId="10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0" fontId="0" fillId="3" borderId="0" xfId="0" applyFill="1" applyBorder="1"/>
    <xf numFmtId="10" fontId="0" fillId="3" borderId="0" xfId="0" applyNumberFormat="1" applyFill="1" applyBorder="1"/>
    <xf numFmtId="0" fontId="2" fillId="3" borderId="10" xfId="0" applyFont="1" applyFill="1" applyBorder="1"/>
    <xf numFmtId="164" fontId="2" fillId="3" borderId="10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/>
    <xf numFmtId="0" fontId="2" fillId="3" borderId="10" xfId="0" applyFont="1" applyFill="1" applyBorder="1" applyAlignment="1">
      <alignment horizontal="left"/>
    </xf>
    <xf numFmtId="164" fontId="0" fillId="3" borderId="10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167" fontId="0" fillId="0" borderId="0" xfId="0" applyNumberFormat="1" applyFill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8" fillId="3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0" xfId="0" applyFont="1" applyAlignment="1">
      <alignment horizontal="center"/>
    </xf>
    <xf numFmtId="2" fontId="0" fillId="0" borderId="4" xfId="0" applyNumberFormat="1" applyFont="1" applyBorder="1" applyAlignment="1">
      <alignment horizontal="center" vertical="top" wrapText="1"/>
    </xf>
    <xf numFmtId="2" fontId="0" fillId="0" borderId="4" xfId="0" quotePrefix="1" applyNumberFormat="1" applyFon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'Derrick cal'!$C$15</c:f>
              <c:strCache>
                <c:ptCount val="1"/>
                <c:pt idx="0">
                  <c:v>SC013_Survey 2</c:v>
                </c:pt>
              </c:strCache>
            </c:strRef>
          </c:tx>
          <c:yVal>
            <c:numRef>
              <c:f>'Derrick cal'!$C$16:$C$20</c:f>
              <c:numCache>
                <c:formatCode>0.0%</c:formatCode>
                <c:ptCount val="5"/>
                <c:pt idx="0">
                  <c:v>0.85498295555083004</c:v>
                </c:pt>
                <c:pt idx="1">
                  <c:v>0.85542442755262904</c:v>
                </c:pt>
                <c:pt idx="2">
                  <c:v>0.85980617166197248</c:v>
                </c:pt>
                <c:pt idx="3">
                  <c:v>0.8527388149723979</c:v>
                </c:pt>
                <c:pt idx="4">
                  <c:v>0.900594276037886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4-4A8A-90A9-1326E9DDD7F9}"/>
            </c:ext>
          </c:extLst>
        </c:ser>
        <c:ser>
          <c:idx val="2"/>
          <c:order val="1"/>
          <c:tx>
            <c:strRef>
              <c:f>'Derrick cal'!$D$15</c:f>
              <c:strCache>
                <c:ptCount val="1"/>
                <c:pt idx="0">
                  <c:v>SC014_Survey 2</c:v>
                </c:pt>
              </c:strCache>
            </c:strRef>
          </c:tx>
          <c:yVal>
            <c:numRef>
              <c:f>'Derrick cal'!$D$16:$D$20</c:f>
              <c:numCache>
                <c:formatCode>0.0%</c:formatCode>
                <c:ptCount val="5"/>
                <c:pt idx="0">
                  <c:v>0.85049263846240719</c:v>
                </c:pt>
                <c:pt idx="1">
                  <c:v>0.88771689445044411</c:v>
                </c:pt>
                <c:pt idx="2">
                  <c:v>0.90876140024774532</c:v>
                </c:pt>
                <c:pt idx="3">
                  <c:v>0.84991762069064225</c:v>
                </c:pt>
                <c:pt idx="4">
                  <c:v>0.87501997230872619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4-4A8A-90A9-1326E9DDD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1872"/>
        <c:axId val="37153792"/>
      </c:scatterChart>
      <c:valAx>
        <c:axId val="371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153792"/>
        <c:crosses val="autoZero"/>
        <c:crossBetween val="midCat"/>
      </c:valAx>
      <c:valAx>
        <c:axId val="371537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715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screening of SC 013 &amp; SC 014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70763267110264"/>
          <c:y val="0.10919224382666509"/>
          <c:w val="0.74846317831731457"/>
          <c:h val="0.80559805024372133"/>
        </c:manualLayout>
      </c:layout>
      <c:lineChart>
        <c:grouping val="standard"/>
        <c:varyColors val="0"/>
        <c:ser>
          <c:idx val="0"/>
          <c:order val="0"/>
          <c:tx>
            <c:v>SC 013</c:v>
          </c:tx>
          <c:cat>
            <c:strRef>
              <c:f>Efficiency!$B$2:$F$2</c:f>
              <c:strCache>
                <c:ptCount val="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</c:strCache>
            </c:strRef>
          </c:cat>
          <c:val>
            <c:numRef>
              <c:f>Efficiency!$B$3:$F$3</c:f>
              <c:numCache>
                <c:formatCode>0.00</c:formatCode>
                <c:ptCount val="5"/>
                <c:pt idx="0">
                  <c:v>85.498295555083004</c:v>
                </c:pt>
                <c:pt idx="1">
                  <c:v>85.542442755262897</c:v>
                </c:pt>
                <c:pt idx="2">
                  <c:v>85.980617166197248</c:v>
                </c:pt>
                <c:pt idx="3">
                  <c:v>85.273881497239785</c:v>
                </c:pt>
                <c:pt idx="4">
                  <c:v>90.059427603788606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E-4D2B-AC4A-D0E8266F725C}"/>
            </c:ext>
          </c:extLst>
        </c:ser>
        <c:ser>
          <c:idx val="1"/>
          <c:order val="1"/>
          <c:tx>
            <c:v>SC 014</c:v>
          </c:tx>
          <c:val>
            <c:numRef>
              <c:f>Efficiency!$H$3:$L$3</c:f>
              <c:numCache>
                <c:formatCode>0.00</c:formatCode>
                <c:ptCount val="5"/>
                <c:pt idx="0">
                  <c:v>85.04926384624072</c:v>
                </c:pt>
                <c:pt idx="1">
                  <c:v>88.771689445044416</c:v>
                </c:pt>
                <c:pt idx="2">
                  <c:v>90.876140024774529</c:v>
                </c:pt>
                <c:pt idx="3">
                  <c:v>84.991762069064222</c:v>
                </c:pt>
                <c:pt idx="4">
                  <c:v>87.501997230872618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E-4D2B-AC4A-D0E8266F7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33248"/>
        <c:axId val="81351808"/>
      </c:lineChart>
      <c:catAx>
        <c:axId val="813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51808"/>
        <c:crosses val="autoZero"/>
        <c:auto val="1"/>
        <c:lblAlgn val="ctr"/>
        <c:lblOffset val="100"/>
        <c:noMultiLvlLbl val="0"/>
      </c:catAx>
      <c:valAx>
        <c:axId val="8135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Efficiency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13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commulative</a:t>
            </a:r>
            <a:r>
              <a:rPr lang="en-US" baseline="0"/>
              <a:t> passing </a:t>
            </a:r>
            <a:r>
              <a:rPr lang="en-US"/>
              <a:t>SC O/S D1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 013</c:v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Data!$G$35:$G$45</c:f>
              <c:numCache>
                <c:formatCode>0.0%</c:formatCode>
                <c:ptCount val="11"/>
                <c:pt idx="0">
                  <c:v>0.89592909273628896</c:v>
                </c:pt>
                <c:pt idx="1">
                  <c:v>0.72115960175071536</c:v>
                </c:pt>
                <c:pt idx="2">
                  <c:v>0.52281476356008061</c:v>
                </c:pt>
                <c:pt idx="3">
                  <c:v>0.27256901541486128</c:v>
                </c:pt>
                <c:pt idx="4">
                  <c:v>0.15423098678177014</c:v>
                </c:pt>
                <c:pt idx="5">
                  <c:v>0.13664695189926249</c:v>
                </c:pt>
                <c:pt idx="6">
                  <c:v>0.12088612113324215</c:v>
                </c:pt>
                <c:pt idx="7">
                  <c:v>9.8540887548943676E-2</c:v>
                </c:pt>
                <c:pt idx="8">
                  <c:v>8.3664200947846476E-2</c:v>
                </c:pt>
                <c:pt idx="9">
                  <c:v>7.1099468964343188E-2</c:v>
                </c:pt>
                <c:pt idx="10">
                  <c:v>6.0907098963739102E-2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6-41AC-ADD5-036B0FFA8215}"/>
            </c:ext>
          </c:extLst>
        </c:ser>
        <c:ser>
          <c:idx val="0"/>
          <c:order val="1"/>
          <c:tx>
            <c:v>SC 014</c:v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Data!$G$121:$G$131</c:f>
              <c:numCache>
                <c:formatCode>0.00%</c:formatCode>
                <c:ptCount val="11"/>
                <c:pt idx="0">
                  <c:v>0.8858057315916007</c:v>
                </c:pt>
                <c:pt idx="1">
                  <c:v>0.70648331604383496</c:v>
                </c:pt>
                <c:pt idx="2">
                  <c:v>0.50977635091617968</c:v>
                </c:pt>
                <c:pt idx="3">
                  <c:v>0.2667073092788067</c:v>
                </c:pt>
                <c:pt idx="4">
                  <c:v>0.16145113791119919</c:v>
                </c:pt>
                <c:pt idx="5">
                  <c:v>0.14471555907354511</c:v>
                </c:pt>
                <c:pt idx="6">
                  <c:v>0.12428281358315432</c:v>
                </c:pt>
                <c:pt idx="7">
                  <c:v>0.10162783494510789</c:v>
                </c:pt>
                <c:pt idx="8">
                  <c:v>8.5472396619452412E-2</c:v>
                </c:pt>
                <c:pt idx="9">
                  <c:v>7.2129164843484986E-2</c:v>
                </c:pt>
                <c:pt idx="10">
                  <c:v>6.140148181652811E-2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6-41AC-ADD5-036B0FFA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00960"/>
        <c:axId val="85424000"/>
      </c:lineChart>
      <c:catAx>
        <c:axId val="8540096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85424000"/>
        <c:crosses val="autoZero"/>
        <c:auto val="1"/>
        <c:lblAlgn val="ctr"/>
        <c:lblOffset val="100"/>
        <c:noMultiLvlLbl val="0"/>
      </c:catAx>
      <c:valAx>
        <c:axId val="8542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commulative passing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854009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8109215017064848"/>
          <c:y val="0.49027927688814182"/>
          <c:w val="0.20525597269624574"/>
          <c:h val="0.1354525347252947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 O/S D2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Data!$B$49</c:f>
              <c:strCache>
                <c:ptCount val="1"/>
                <c:pt idx="0">
                  <c:v>SC 013 O/S D2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Data!$G$49:$G$59</c:f>
              <c:numCache>
                <c:formatCode>0.00%</c:formatCode>
                <c:ptCount val="11"/>
                <c:pt idx="0">
                  <c:v>0.91083555663351934</c:v>
                </c:pt>
                <c:pt idx="1">
                  <c:v>0.73995472552348618</c:v>
                </c:pt>
                <c:pt idx="2">
                  <c:v>0.54594146656964992</c:v>
                </c:pt>
                <c:pt idx="3">
                  <c:v>0.29265199288543947</c:v>
                </c:pt>
                <c:pt idx="4">
                  <c:v>0.15357951329937747</c:v>
                </c:pt>
                <c:pt idx="5">
                  <c:v>0.13086142776295576</c:v>
                </c:pt>
                <c:pt idx="6">
                  <c:v>0.1066527205109548</c:v>
                </c:pt>
                <c:pt idx="7">
                  <c:v>7.8669455897809035E-2</c:v>
                </c:pt>
                <c:pt idx="8">
                  <c:v>6.1231708303015608E-2</c:v>
                </c:pt>
                <c:pt idx="9">
                  <c:v>4.6077896353787694E-2</c:v>
                </c:pt>
                <c:pt idx="10">
                  <c:v>3.7053318780823026E-2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0-4037-929E-699F9F12650E}"/>
            </c:ext>
          </c:extLst>
        </c:ser>
        <c:ser>
          <c:idx val="0"/>
          <c:order val="1"/>
          <c:tx>
            <c:strRef>
              <c:f>Data!$B$135</c:f>
              <c:strCache>
                <c:ptCount val="1"/>
                <c:pt idx="0">
                  <c:v>SC 014 O/S D2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Data!$G$135:$G$145</c:f>
              <c:numCache>
                <c:formatCode>0.00%</c:formatCode>
                <c:ptCount val="11"/>
                <c:pt idx="0">
                  <c:v>0.89301706136721115</c:v>
                </c:pt>
                <c:pt idx="1">
                  <c:v>0.68677894759918667</c:v>
                </c:pt>
                <c:pt idx="2">
                  <c:v>0.45921001430458341</c:v>
                </c:pt>
                <c:pt idx="3">
                  <c:v>0.19835141045385535</c:v>
                </c:pt>
                <c:pt idx="4">
                  <c:v>0.10195167133438195</c:v>
                </c:pt>
                <c:pt idx="5">
                  <c:v>9.0157240804783531E-2</c:v>
                </c:pt>
                <c:pt idx="6">
                  <c:v>7.9656251541442166E-2</c:v>
                </c:pt>
                <c:pt idx="7">
                  <c:v>7.0421300127699912E-2</c:v>
                </c:pt>
                <c:pt idx="8">
                  <c:v>6.6031272779090086E-2</c:v>
                </c:pt>
                <c:pt idx="9">
                  <c:v>6.2562000230188694E-2</c:v>
                </c:pt>
                <c:pt idx="10">
                  <c:v>5.9986079064337727E-2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0-4037-929E-699F9F12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39840"/>
        <c:axId val="132741376"/>
      </c:lineChart>
      <c:catAx>
        <c:axId val="13273984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32741376"/>
        <c:crosses val="autoZero"/>
        <c:auto val="1"/>
        <c:lblAlgn val="ctr"/>
        <c:lblOffset val="100"/>
        <c:noMultiLvlLbl val="0"/>
      </c:catAx>
      <c:valAx>
        <c:axId val="1327413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commulative passing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2739840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 O/S D3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Data!$B$63</c:f>
              <c:strCache>
                <c:ptCount val="1"/>
                <c:pt idx="0">
                  <c:v>SC 013 O/S D3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Data!$G$63:$G$73</c:f>
              <c:numCache>
                <c:formatCode>0.0%</c:formatCode>
                <c:ptCount val="11"/>
                <c:pt idx="0">
                  <c:v>0.87546976426375123</c:v>
                </c:pt>
                <c:pt idx="1">
                  <c:v>0.68341907996543338</c:v>
                </c:pt>
                <c:pt idx="2">
                  <c:v>0.49183062360577967</c:v>
                </c:pt>
                <c:pt idx="3">
                  <c:v>0.2586868707168552</c:v>
                </c:pt>
                <c:pt idx="4">
                  <c:v>0.14704877509596251</c:v>
                </c:pt>
                <c:pt idx="5">
                  <c:v>0.13057436845595768</c:v>
                </c:pt>
                <c:pt idx="6">
                  <c:v>0.11085431781185311</c:v>
                </c:pt>
                <c:pt idx="7">
                  <c:v>8.8546795554573024E-2</c:v>
                </c:pt>
                <c:pt idx="8">
                  <c:v>7.3343515745895191E-2</c:v>
                </c:pt>
                <c:pt idx="9">
                  <c:v>6.2978556643019337E-2</c:v>
                </c:pt>
                <c:pt idx="10">
                  <c:v>5.3347133181936922E-2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9-4DDD-8495-C23963CDEBAA}"/>
            </c:ext>
          </c:extLst>
        </c:ser>
        <c:ser>
          <c:idx val="0"/>
          <c:order val="1"/>
          <c:tx>
            <c:strRef>
              <c:f>Data!$B$149</c:f>
              <c:strCache>
                <c:ptCount val="1"/>
                <c:pt idx="0">
                  <c:v>SC 014 O/S D3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Data!$G$149:$G$159</c:f>
              <c:numCache>
                <c:formatCode>0.00%</c:formatCode>
                <c:ptCount val="11"/>
                <c:pt idx="0">
                  <c:v>0.93026099422355268</c:v>
                </c:pt>
                <c:pt idx="1">
                  <c:v>0.75304633806973897</c:v>
                </c:pt>
                <c:pt idx="2">
                  <c:v>0.52799679554749768</c:v>
                </c:pt>
                <c:pt idx="3">
                  <c:v>0.20287135809756718</c:v>
                </c:pt>
                <c:pt idx="4">
                  <c:v>6.368849348568538E-2</c:v>
                </c:pt>
                <c:pt idx="5">
                  <c:v>4.9521440317072146E-2</c:v>
                </c:pt>
                <c:pt idx="6">
                  <c:v>4.0898933254627484E-2</c:v>
                </c:pt>
                <c:pt idx="7">
                  <c:v>3.3667833199814486E-2</c:v>
                </c:pt>
                <c:pt idx="8">
                  <c:v>3.033688915124173E-2</c:v>
                </c:pt>
                <c:pt idx="9">
                  <c:v>2.7532993211620359E-2</c:v>
                </c:pt>
                <c:pt idx="10">
                  <c:v>2.5045326137369824E-2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9-4DDD-8495-C23963CD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8576"/>
        <c:axId val="133610112"/>
      </c:lineChart>
      <c:catAx>
        <c:axId val="13360857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33610112"/>
        <c:crosses val="autoZero"/>
        <c:auto val="1"/>
        <c:lblAlgn val="ctr"/>
        <c:lblOffset val="100"/>
        <c:noMultiLvlLbl val="0"/>
      </c:catAx>
      <c:valAx>
        <c:axId val="1336101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3360857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 O/S D4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Data!$B$77</c:f>
              <c:strCache>
                <c:ptCount val="1"/>
                <c:pt idx="0">
                  <c:v>SC 013 O/S D4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Data!$G$77:$G$87</c:f>
              <c:numCache>
                <c:formatCode>0.00%</c:formatCode>
                <c:ptCount val="11"/>
                <c:pt idx="0">
                  <c:v>0.87839371063563698</c:v>
                </c:pt>
                <c:pt idx="1">
                  <c:v>0.69372850314914924</c:v>
                </c:pt>
                <c:pt idx="2">
                  <c:v>0.51088578192701128</c:v>
                </c:pt>
                <c:pt idx="3">
                  <c:v>0.27909054361906466</c:v>
                </c:pt>
                <c:pt idx="4">
                  <c:v>0.15752445615759147</c:v>
                </c:pt>
                <c:pt idx="5">
                  <c:v>0.13932639478268641</c:v>
                </c:pt>
                <c:pt idx="6">
                  <c:v>0.11880108991825615</c:v>
                </c:pt>
                <c:pt idx="7">
                  <c:v>9.3500692366105337E-2</c:v>
                </c:pt>
                <c:pt idx="8">
                  <c:v>7.663822754277036E-2</c:v>
                </c:pt>
                <c:pt idx="9">
                  <c:v>6.4626792334837188E-2</c:v>
                </c:pt>
                <c:pt idx="10">
                  <c:v>5.4902398713539108E-2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C-4930-A4ED-E6E502E22DB5}"/>
            </c:ext>
          </c:extLst>
        </c:ser>
        <c:ser>
          <c:idx val="0"/>
          <c:order val="1"/>
          <c:tx>
            <c:strRef>
              <c:f>Data!$B$163</c:f>
              <c:strCache>
                <c:ptCount val="1"/>
                <c:pt idx="0">
                  <c:v>SC 014 O/S D4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Data!$G$163:$G$173</c:f>
              <c:numCache>
                <c:formatCode>0.00%</c:formatCode>
                <c:ptCount val="11"/>
                <c:pt idx="0">
                  <c:v>0.90831765610044757</c:v>
                </c:pt>
                <c:pt idx="1">
                  <c:v>0.72544332385626931</c:v>
                </c:pt>
                <c:pt idx="2">
                  <c:v>0.5218986189890189</c:v>
                </c:pt>
                <c:pt idx="3">
                  <c:v>0.27249623982158605</c:v>
                </c:pt>
                <c:pt idx="4">
                  <c:v>0.16229825876628431</c:v>
                </c:pt>
                <c:pt idx="5">
                  <c:v>0.14433427160982787</c:v>
                </c:pt>
                <c:pt idx="6">
                  <c:v>0.12551687718950827</c:v>
                </c:pt>
                <c:pt idx="7">
                  <c:v>0.10057475328986143</c:v>
                </c:pt>
                <c:pt idx="8">
                  <c:v>8.2912523397975404E-2</c:v>
                </c:pt>
                <c:pt idx="9">
                  <c:v>7.0521615721553479E-2</c:v>
                </c:pt>
                <c:pt idx="10">
                  <c:v>5.9059554625137324E-2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C-4930-A4ED-E6E502E2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15712"/>
        <c:axId val="136117632"/>
      </c:lineChart>
      <c:catAx>
        <c:axId val="1361157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36117632"/>
        <c:crosses val="autoZero"/>
        <c:auto val="1"/>
        <c:lblAlgn val="ctr"/>
        <c:lblOffset val="100"/>
        <c:noMultiLvlLbl val="0"/>
      </c:catAx>
      <c:valAx>
        <c:axId val="136117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6115712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 O/S D5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Data!$B$91</c:f>
              <c:strCache>
                <c:ptCount val="1"/>
                <c:pt idx="0">
                  <c:v>SC 013 O/S D5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Data!$G$91:$G$101</c:f>
              <c:numCache>
                <c:formatCode>0.00%</c:formatCode>
                <c:ptCount val="11"/>
                <c:pt idx="0">
                  <c:v>0.86442767969976619</c:v>
                </c:pt>
                <c:pt idx="1">
                  <c:v>0.66222188182131514</c:v>
                </c:pt>
                <c:pt idx="2">
                  <c:v>0.46158618312717814</c:v>
                </c:pt>
                <c:pt idx="3">
                  <c:v>0.20133266955156434</c:v>
                </c:pt>
                <c:pt idx="4">
                  <c:v>8.0036763297974184E-2</c:v>
                </c:pt>
                <c:pt idx="5">
                  <c:v>6.4021751617968053E-2</c:v>
                </c:pt>
                <c:pt idx="6">
                  <c:v>4.8259487611534486E-2</c:v>
                </c:pt>
                <c:pt idx="7">
                  <c:v>3.4105617891471679E-2</c:v>
                </c:pt>
                <c:pt idx="8">
                  <c:v>2.8384329644238503E-2</c:v>
                </c:pt>
                <c:pt idx="9">
                  <c:v>2.4302071765021253E-2</c:v>
                </c:pt>
                <c:pt idx="10">
                  <c:v>2.1621414621069965E-2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F-42F1-804C-36639E62A075}"/>
            </c:ext>
          </c:extLst>
        </c:ser>
        <c:ser>
          <c:idx val="0"/>
          <c:order val="1"/>
          <c:tx>
            <c:strRef>
              <c:f>Data!$B$177</c:f>
              <c:strCache>
                <c:ptCount val="1"/>
                <c:pt idx="0">
                  <c:v>SC 014 O/S D5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Data!$G$177:$G$187</c:f>
              <c:numCache>
                <c:formatCode>0.00%</c:formatCode>
                <c:ptCount val="11"/>
                <c:pt idx="0">
                  <c:v>0.86606472259412848</c:v>
                </c:pt>
                <c:pt idx="1">
                  <c:v>0.65383453613297182</c:v>
                </c:pt>
                <c:pt idx="2">
                  <c:v>0.44833131959638173</c:v>
                </c:pt>
                <c:pt idx="3">
                  <c:v>0.21868775103680238</c:v>
                </c:pt>
                <c:pt idx="4">
                  <c:v>0.12333458511576265</c:v>
                </c:pt>
                <c:pt idx="5">
                  <c:v>0.10747232472324721</c:v>
                </c:pt>
                <c:pt idx="6">
                  <c:v>9.3022401462952667E-2</c:v>
                </c:pt>
                <c:pt idx="7">
                  <c:v>7.3796656108154002E-2</c:v>
                </c:pt>
                <c:pt idx="8">
                  <c:v>6.134278156940861E-2</c:v>
                </c:pt>
                <c:pt idx="9">
                  <c:v>5.3162655520360515E-2</c:v>
                </c:pt>
                <c:pt idx="10">
                  <c:v>4.6096887960030045E-2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F-42F1-804C-36639E62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34688"/>
        <c:axId val="160836224"/>
      </c:lineChart>
      <c:catAx>
        <c:axId val="16083468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60836224"/>
        <c:crosses val="autoZero"/>
        <c:auto val="1"/>
        <c:lblAlgn val="ctr"/>
        <c:lblOffset val="100"/>
        <c:noMultiLvlLbl val="0"/>
      </c:catAx>
      <c:valAx>
        <c:axId val="160836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0834688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Data!$B$21</c:f>
              <c:strCache>
                <c:ptCount val="1"/>
                <c:pt idx="0">
                  <c:v>SC 013 Feed_Survey 2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Data!$G$21:$G$31</c:f>
              <c:numCache>
                <c:formatCode>0.00%</c:formatCode>
                <c:ptCount val="11"/>
                <c:pt idx="0">
                  <c:v>0.9327761158429323</c:v>
                </c:pt>
                <c:pt idx="1">
                  <c:v>0.82197199336109483</c:v>
                </c:pt>
                <c:pt idx="2">
                  <c:v>0.70619863047734521</c:v>
                </c:pt>
                <c:pt idx="3">
                  <c:v>0.53902344487621623</c:v>
                </c:pt>
                <c:pt idx="4">
                  <c:v>0.40270724217096165</c:v>
                </c:pt>
                <c:pt idx="5">
                  <c:v>0.36832009858972958</c:v>
                </c:pt>
                <c:pt idx="6">
                  <c:v>0.32146016159969787</c:v>
                </c:pt>
                <c:pt idx="7">
                  <c:v>0.25074787068048776</c:v>
                </c:pt>
                <c:pt idx="8">
                  <c:v>0.20592532225524005</c:v>
                </c:pt>
                <c:pt idx="9">
                  <c:v>0.16205686798715949</c:v>
                </c:pt>
                <c:pt idx="10">
                  <c:v>0.1330265655591886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B-4F34-B345-1ED541BF03A1}"/>
            </c:ext>
          </c:extLst>
        </c:ser>
        <c:ser>
          <c:idx val="0"/>
          <c:order val="1"/>
          <c:tx>
            <c:strRef>
              <c:f>Data!$B$107</c:f>
              <c:strCache>
                <c:ptCount val="1"/>
                <c:pt idx="0">
                  <c:v>SC 014 Feed_Survey 2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Data!$G$107:$G$117</c:f>
              <c:numCache>
                <c:formatCode>0.00%</c:formatCode>
                <c:ptCount val="11"/>
                <c:pt idx="0">
                  <c:v>0.92725992467806806</c:v>
                </c:pt>
                <c:pt idx="1">
                  <c:v>0.81953675944991522</c:v>
                </c:pt>
                <c:pt idx="2">
                  <c:v>0.71022393871824685</c:v>
                </c:pt>
                <c:pt idx="3">
                  <c:v>0.54688416852482091</c:v>
                </c:pt>
                <c:pt idx="4">
                  <c:v>0.41229689217014642</c:v>
                </c:pt>
                <c:pt idx="5">
                  <c:v>0.37893546425408875</c:v>
                </c:pt>
                <c:pt idx="6">
                  <c:v>0.3309790784265611</c:v>
                </c:pt>
                <c:pt idx="7">
                  <c:v>0.26387214475467025</c:v>
                </c:pt>
                <c:pt idx="8">
                  <c:v>0.2146248306323415</c:v>
                </c:pt>
                <c:pt idx="9">
                  <c:v>0.16887689238352305</c:v>
                </c:pt>
                <c:pt idx="10">
                  <c:v>0.14385848865370049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B-4F34-B345-1ED541BF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10912"/>
        <c:axId val="172313216"/>
      </c:lineChart>
      <c:catAx>
        <c:axId val="1723109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72313216"/>
        <c:crosses val="autoZero"/>
        <c:auto val="1"/>
        <c:lblAlgn val="ctr"/>
        <c:lblOffset val="100"/>
        <c:noMultiLvlLbl val="0"/>
      </c:catAx>
      <c:valAx>
        <c:axId val="1723132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2310912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Data!$B$194</c:f>
              <c:strCache>
                <c:ptCount val="1"/>
                <c:pt idx="0">
                  <c:v>SC 013 O/S_survey 2</c:v>
                </c:pt>
              </c:strCache>
            </c:strRef>
          </c:tx>
          <c:xVal>
            <c:numRef>
              <c:f>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Data!$G$194:$G$204</c:f>
              <c:numCache>
                <c:formatCode>0.00%</c:formatCode>
                <c:ptCount val="11"/>
                <c:pt idx="0">
                  <c:v>0.8861154914127044</c:v>
                </c:pt>
                <c:pt idx="1">
                  <c:v>0.70227494772205268</c:v>
                </c:pt>
                <c:pt idx="2">
                  <c:v>0.50968641801789449</c:v>
                </c:pt>
                <c:pt idx="3">
                  <c:v>0.26546698776181821</c:v>
                </c:pt>
                <c:pt idx="4">
                  <c:v>0.14297375818449828</c:v>
                </c:pt>
                <c:pt idx="5">
                  <c:v>0.12461005793424976</c:v>
                </c:pt>
                <c:pt idx="6">
                  <c:v>0.10507117513969352</c:v>
                </c:pt>
                <c:pt idx="7">
                  <c:v>8.1975677899283533E-2</c:v>
                </c:pt>
                <c:pt idx="8">
                  <c:v>6.7290716807788559E-2</c:v>
                </c:pt>
                <c:pt idx="9">
                  <c:v>5.5965256590449416E-2</c:v>
                </c:pt>
                <c:pt idx="10">
                  <c:v>4.7302972129854993E-2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E-4170-9D1B-770E113F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4256"/>
        <c:axId val="78546048"/>
      </c:scatterChart>
      <c:scatterChart>
        <c:scatterStyle val="smoothMarker"/>
        <c:varyColors val="0"/>
        <c:ser>
          <c:idx val="0"/>
          <c:order val="1"/>
          <c:tx>
            <c:strRef>
              <c:f>Data!$B$210</c:f>
              <c:strCache>
                <c:ptCount val="1"/>
                <c:pt idx="0">
                  <c:v>SC 014 O/S_survey 2</c:v>
                </c:pt>
              </c:strCache>
            </c:strRef>
          </c:tx>
          <c:xVal>
            <c:numRef>
              <c:f>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Data!$G$210:$G$220</c:f>
              <c:numCache>
                <c:formatCode>0.00%</c:formatCode>
                <c:ptCount val="11"/>
                <c:pt idx="0">
                  <c:v>0.88958261031686914</c:v>
                </c:pt>
                <c:pt idx="1">
                  <c:v>0.69495612483391667</c:v>
                </c:pt>
                <c:pt idx="2">
                  <c:v>0.48636573457911181</c:v>
                </c:pt>
                <c:pt idx="3">
                  <c:v>0.23746500038748067</c:v>
                </c:pt>
                <c:pt idx="4">
                  <c:v>0.13376394228447372</c:v>
                </c:pt>
                <c:pt idx="5">
                  <c:v>0.1181254471470753</c:v>
                </c:pt>
                <c:pt idx="6">
                  <c:v>0.10238811636100618</c:v>
                </c:pt>
                <c:pt idx="7">
                  <c:v>8.3703686232755703E-2</c:v>
                </c:pt>
                <c:pt idx="8">
                  <c:v>7.1302058589323272E-2</c:v>
                </c:pt>
                <c:pt idx="9">
                  <c:v>6.2191208793677219E-2</c:v>
                </c:pt>
                <c:pt idx="10">
                  <c:v>5.4405655196115753E-2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8E-4170-9D1B-770E113F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57568"/>
        <c:axId val="78547584"/>
      </c:scatterChart>
      <c:valAx>
        <c:axId val="785442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78546048"/>
        <c:crosses val="autoZero"/>
        <c:crossBetween val="midCat"/>
      </c:valAx>
      <c:valAx>
        <c:axId val="78546048"/>
        <c:scaling>
          <c:orientation val="minMax"/>
        </c:scaling>
        <c:delete val="1"/>
        <c:axPos val="r"/>
        <c:majorGridlines/>
        <c:numFmt formatCode="0.00%" sourceLinked="1"/>
        <c:majorTickMark val="out"/>
        <c:minorTickMark val="none"/>
        <c:tickLblPos val="none"/>
        <c:crossAx val="78544256"/>
        <c:crosses val="max"/>
        <c:crossBetween val="midCat"/>
      </c:valAx>
      <c:valAx>
        <c:axId val="78547584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crossAx val="78557568"/>
        <c:crosses val="autoZero"/>
        <c:crossBetween val="midCat"/>
      </c:valAx>
      <c:valAx>
        <c:axId val="785575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8547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1476375</xdr:colOff>
      <xdr:row>3</xdr:row>
      <xdr:rowOff>19050</xdr:rowOff>
    </xdr:to>
    <xdr:pic>
      <xdr:nvPicPr>
        <xdr:cNvPr id="2" name="Picture 1" descr="MR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76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266699</xdr:colOff>
      <xdr:row>16</xdr:row>
      <xdr:rowOff>95250</xdr:rowOff>
    </xdr:from>
    <xdr:to>
      <xdr:col>23</xdr:col>
      <xdr:colOff>9524</xdr:colOff>
      <xdr:row>30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6</xdr:row>
      <xdr:rowOff>47625</xdr:rowOff>
    </xdr:from>
    <xdr:to>
      <xdr:col>12</xdr:col>
      <xdr:colOff>485775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</xdr:colOff>
      <xdr:row>1</xdr:row>
      <xdr:rowOff>74083</xdr:rowOff>
    </xdr:from>
    <xdr:to>
      <xdr:col>9</xdr:col>
      <xdr:colOff>137583</xdr:colOff>
      <xdr:row>19</xdr:row>
      <xdr:rowOff>35983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423334</xdr:colOff>
      <xdr:row>1</xdr:row>
      <xdr:rowOff>168275</xdr:rowOff>
    </xdr:from>
    <xdr:to>
      <xdr:col>18</xdr:col>
      <xdr:colOff>518584</xdr:colOff>
      <xdr:row>19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603249</xdr:colOff>
      <xdr:row>3</xdr:row>
      <xdr:rowOff>38100</xdr:rowOff>
    </xdr:from>
    <xdr:to>
      <xdr:col>28</xdr:col>
      <xdr:colOff>84666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20</xdr:row>
      <xdr:rowOff>68791</xdr:rowOff>
    </xdr:from>
    <xdr:to>
      <xdr:col>9</xdr:col>
      <xdr:colOff>114300</xdr:colOff>
      <xdr:row>38</xdr:row>
      <xdr:rowOff>30691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284692</xdr:colOff>
      <xdr:row>20</xdr:row>
      <xdr:rowOff>160867</xdr:rowOff>
    </xdr:from>
    <xdr:to>
      <xdr:col>18</xdr:col>
      <xdr:colOff>379942</xdr:colOff>
      <xdr:row>38</xdr:row>
      <xdr:rowOff>122767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515409</xdr:colOff>
      <xdr:row>22</xdr:row>
      <xdr:rowOff>138642</xdr:rowOff>
    </xdr:from>
    <xdr:to>
      <xdr:col>28</xdr:col>
      <xdr:colOff>1059</xdr:colOff>
      <xdr:row>40</xdr:row>
      <xdr:rowOff>100542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28</xdr:col>
      <xdr:colOff>99483</xdr:colOff>
      <xdr:row>61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8</xdr:row>
      <xdr:rowOff>133350</xdr:rowOff>
    </xdr:from>
    <xdr:to>
      <xdr:col>6</xdr:col>
      <xdr:colOff>590550</xdr:colOff>
      <xdr:row>8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2762250" y="1752600"/>
          <a:ext cx="1485900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14</xdr:row>
      <xdr:rowOff>133350</xdr:rowOff>
    </xdr:from>
    <xdr:to>
      <xdr:col>6</xdr:col>
      <xdr:colOff>257175</xdr:colOff>
      <xdr:row>14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2724150" y="3181350"/>
          <a:ext cx="1190625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18</xdr:row>
      <xdr:rowOff>152400</xdr:rowOff>
    </xdr:from>
    <xdr:to>
      <xdr:col>5</xdr:col>
      <xdr:colOff>600075</xdr:colOff>
      <xdr:row>18</xdr:row>
      <xdr:rowOff>152400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>
          <a:off x="2724150" y="4152900"/>
          <a:ext cx="923925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22</xdr:row>
      <xdr:rowOff>142875</xdr:rowOff>
    </xdr:from>
    <xdr:to>
      <xdr:col>6</xdr:col>
      <xdr:colOff>476250</xdr:colOff>
      <xdr:row>22</xdr:row>
      <xdr:rowOff>142875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>
          <a:off x="2686050" y="5095875"/>
          <a:ext cx="1447800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29"/>
  <sheetViews>
    <sheetView topLeftCell="A20" zoomScale="55" zoomScaleNormal="55" workbookViewId="0">
      <pane xSplit="9" ySplit="1" topLeftCell="J101" activePane="bottomRight" state="frozen"/>
      <selection activeCell="A20" sqref="A20"/>
      <selection pane="topRight" activeCell="J20" sqref="J20"/>
      <selection pane="bottomLeft" activeCell="A21" sqref="A21"/>
      <selection pane="bottomRight" activeCell="E122" sqref="E122"/>
    </sheetView>
  </sheetViews>
  <sheetFormatPr defaultRowHeight="15" x14ac:dyDescent="0.25"/>
  <cols>
    <col min="1" max="1" width="23.140625" customWidth="1"/>
    <col min="2" max="5" width="17" customWidth="1"/>
    <col min="6" max="6" width="17" style="22" customWidth="1"/>
    <col min="7" max="7" width="17" customWidth="1"/>
    <col min="8" max="8" width="28.7109375" hidden="1" customWidth="1"/>
    <col min="9" max="9" width="25.5703125" hidden="1" customWidth="1"/>
    <col min="10" max="10" width="8" customWidth="1"/>
    <col min="11" max="11" width="8.28515625" customWidth="1"/>
    <col min="12" max="12" width="7.140625" customWidth="1"/>
    <col min="13" max="13" width="7.85546875" customWidth="1"/>
    <col min="14" max="14" width="5.85546875" customWidth="1"/>
    <col min="15" max="15" width="8" customWidth="1"/>
    <col min="16" max="16" width="6.85546875" customWidth="1"/>
    <col min="17" max="17" width="8.5703125" customWidth="1"/>
    <col min="18" max="18" width="10.140625" customWidth="1"/>
    <col min="22" max="22" width="21.42578125" bestFit="1" customWidth="1"/>
  </cols>
  <sheetData>
    <row r="1" spans="1:13" ht="22.5" customHeight="1" x14ac:dyDescent="0.25">
      <c r="A1" s="36"/>
      <c r="B1" s="119" t="s">
        <v>37</v>
      </c>
      <c r="C1" s="119"/>
      <c r="D1" s="119"/>
      <c r="E1" s="119"/>
      <c r="F1" s="119"/>
      <c r="G1" s="119"/>
    </row>
    <row r="2" spans="1:13" ht="22.5" customHeight="1" x14ac:dyDescent="0.25">
      <c r="A2" s="36"/>
      <c r="B2" s="119"/>
      <c r="C2" s="119"/>
      <c r="D2" s="119"/>
      <c r="E2" s="119"/>
      <c r="F2" s="119"/>
      <c r="G2" s="119"/>
    </row>
    <row r="3" spans="1:13" ht="22.5" customHeight="1" x14ac:dyDescent="0.25">
      <c r="A3" s="36"/>
      <c r="B3" s="119"/>
      <c r="C3" s="119"/>
      <c r="D3" s="119"/>
      <c r="E3" s="119"/>
      <c r="F3" s="119"/>
      <c r="G3" s="119"/>
    </row>
    <row r="4" spans="1:13" ht="22.5" customHeight="1" x14ac:dyDescent="0.25">
      <c r="A4" s="36"/>
      <c r="B4" s="37" t="s">
        <v>19</v>
      </c>
      <c r="C4" s="38">
        <v>41926</v>
      </c>
      <c r="D4" s="39"/>
      <c r="E4" s="39"/>
      <c r="F4" s="39"/>
      <c r="G4" s="39"/>
    </row>
    <row r="5" spans="1:13" ht="22.5" customHeight="1" x14ac:dyDescent="0.25">
      <c r="A5" s="36"/>
      <c r="B5" s="37" t="s">
        <v>20</v>
      </c>
      <c r="C5" s="40">
        <v>0.61111111111111105</v>
      </c>
      <c r="D5" s="39"/>
      <c r="E5" s="39"/>
      <c r="F5" s="39"/>
      <c r="G5" s="39"/>
    </row>
    <row r="6" spans="1:13" ht="22.5" customHeight="1" thickBot="1" x14ac:dyDescent="0.3">
      <c r="A6" s="36"/>
      <c r="B6" s="41"/>
      <c r="C6" s="41"/>
      <c r="D6" s="41"/>
      <c r="E6" s="41"/>
      <c r="F6" s="42"/>
      <c r="G6" s="42"/>
    </row>
    <row r="7" spans="1:13" ht="23.25" customHeight="1" thickTop="1" x14ac:dyDescent="0.25">
      <c r="A7" s="33" t="s">
        <v>18</v>
      </c>
      <c r="B7" s="34" t="s">
        <v>35</v>
      </c>
      <c r="C7" s="34" t="s">
        <v>25</v>
      </c>
      <c r="D7" s="34" t="s">
        <v>26</v>
      </c>
      <c r="E7" s="34" t="s">
        <v>27</v>
      </c>
      <c r="F7" s="34" t="s">
        <v>28</v>
      </c>
      <c r="G7" s="34" t="s">
        <v>29</v>
      </c>
      <c r="K7" s="55"/>
    </row>
    <row r="8" spans="1:13" ht="23.25" customHeight="1" x14ac:dyDescent="0.25">
      <c r="A8" s="35" t="s">
        <v>23</v>
      </c>
      <c r="B8" s="43">
        <v>530</v>
      </c>
      <c r="C8" s="43">
        <v>542</v>
      </c>
      <c r="D8" s="43">
        <v>534</v>
      </c>
      <c r="E8" s="43">
        <v>536</v>
      </c>
      <c r="F8" s="43">
        <v>536</v>
      </c>
      <c r="G8" s="43">
        <v>536</v>
      </c>
    </row>
    <row r="9" spans="1:13" ht="23.25" customHeight="1" x14ac:dyDescent="0.25">
      <c r="A9" s="35" t="s">
        <v>24</v>
      </c>
      <c r="B9" s="43">
        <v>2992</v>
      </c>
      <c r="C9" s="43">
        <v>3698</v>
      </c>
      <c r="D9" s="43">
        <v>3910</v>
      </c>
      <c r="E9" s="43">
        <v>3806</v>
      </c>
      <c r="F9" s="43">
        <v>4208</v>
      </c>
      <c r="G9" s="43">
        <v>2220</v>
      </c>
    </row>
    <row r="10" spans="1:13" ht="23.25" customHeight="1" x14ac:dyDescent="0.25">
      <c r="A10" s="35" t="s">
        <v>22</v>
      </c>
      <c r="B10" s="69">
        <f>$E33</f>
        <v>1006.19</v>
      </c>
      <c r="C10" s="69">
        <f>$E47</f>
        <v>1820.9700000000003</v>
      </c>
      <c r="D10" s="69">
        <f>$E61</f>
        <v>1979.04</v>
      </c>
      <c r="E10" s="69">
        <f>$E75</f>
        <v>1990.3600000000004</v>
      </c>
      <c r="F10" s="69">
        <f>$E89</f>
        <v>2238.6999999999998</v>
      </c>
      <c r="G10" s="69">
        <f>$E103</f>
        <v>1305.6500000000001</v>
      </c>
      <c r="J10" s="55"/>
    </row>
    <row r="11" spans="1:13" ht="23.25" customHeight="1" x14ac:dyDescent="0.25">
      <c r="A11" s="64" t="s">
        <v>21</v>
      </c>
      <c r="B11" s="44">
        <f t="shared" ref="B11:F11" si="0">B10/(B9-B8)</f>
        <v>0.40868805848903333</v>
      </c>
      <c r="C11" s="44">
        <f t="shared" si="0"/>
        <v>0.57698669201520925</v>
      </c>
      <c r="D11" s="44">
        <f t="shared" si="0"/>
        <v>0.58620853080568724</v>
      </c>
      <c r="E11" s="44">
        <f t="shared" si="0"/>
        <v>0.60867278287461779</v>
      </c>
      <c r="F11" s="44">
        <f t="shared" si="0"/>
        <v>0.60966775599128531</v>
      </c>
      <c r="G11" s="44">
        <f>G10/(G9-G8)</f>
        <v>0.7753266033254157</v>
      </c>
      <c r="J11" s="55"/>
    </row>
    <row r="12" spans="1:13" s="55" customFormat="1" ht="23.25" customHeight="1" thickBot="1" x14ac:dyDescent="0.3">
      <c r="A12" s="61"/>
      <c r="B12" s="62"/>
      <c r="C12" s="62"/>
      <c r="D12" s="62"/>
      <c r="E12" s="62"/>
      <c r="F12" s="62"/>
      <c r="G12" s="62"/>
      <c r="H12" s="62"/>
      <c r="I12" s="62"/>
      <c r="K12" s="62"/>
      <c r="L12" s="62"/>
      <c r="M12" s="62"/>
    </row>
    <row r="13" spans="1:13" s="55" customFormat="1" ht="23.25" customHeight="1" thickTop="1" x14ac:dyDescent="0.25">
      <c r="A13" s="33" t="s">
        <v>18</v>
      </c>
      <c r="B13" s="34" t="s">
        <v>36</v>
      </c>
      <c r="C13" s="34" t="s">
        <v>30</v>
      </c>
      <c r="D13" s="34" t="s">
        <v>31</v>
      </c>
      <c r="E13" s="34" t="s">
        <v>32</v>
      </c>
      <c r="F13" s="34" t="s">
        <v>33</v>
      </c>
      <c r="G13" s="34" t="s">
        <v>34</v>
      </c>
      <c r="H13" s="62"/>
      <c r="I13" s="62"/>
      <c r="K13" s="62"/>
      <c r="L13" s="62"/>
      <c r="M13" s="62"/>
    </row>
    <row r="14" spans="1:13" s="55" customFormat="1" ht="23.25" customHeight="1" x14ac:dyDescent="0.25">
      <c r="A14" s="35" t="s">
        <v>23</v>
      </c>
      <c r="B14" s="43">
        <v>536</v>
      </c>
      <c r="C14" s="43">
        <v>538</v>
      </c>
      <c r="D14" s="43">
        <v>532</v>
      </c>
      <c r="E14" s="43">
        <v>532</v>
      </c>
      <c r="F14" s="43">
        <v>532</v>
      </c>
      <c r="G14" s="43">
        <v>532</v>
      </c>
      <c r="H14" s="62"/>
      <c r="I14" s="62"/>
      <c r="K14" s="62"/>
      <c r="L14" s="62"/>
      <c r="M14" s="62"/>
    </row>
    <row r="15" spans="1:13" s="55" customFormat="1" ht="23.25" customHeight="1" x14ac:dyDescent="0.25">
      <c r="A15" s="35" t="s">
        <v>24</v>
      </c>
      <c r="B15" s="63">
        <v>2944</v>
      </c>
      <c r="C15" s="43">
        <v>4114</v>
      </c>
      <c r="D15" s="43">
        <v>2818</v>
      </c>
      <c r="E15" s="43">
        <v>1198</v>
      </c>
      <c r="F15" s="43">
        <v>4160</v>
      </c>
      <c r="G15" s="43">
        <v>4408</v>
      </c>
      <c r="H15" s="62"/>
      <c r="I15" s="62"/>
      <c r="K15" s="62"/>
      <c r="L15" s="62"/>
      <c r="M15" s="62"/>
    </row>
    <row r="16" spans="1:13" s="55" customFormat="1" ht="23.25" customHeight="1" x14ac:dyDescent="0.25">
      <c r="A16" s="35" t="s">
        <v>22</v>
      </c>
      <c r="B16" s="68">
        <f>$E119</f>
        <v>937.31000000000006</v>
      </c>
      <c r="C16" s="68">
        <f>$E133</f>
        <v>2033.9899999999998</v>
      </c>
      <c r="D16" s="68">
        <f>$E147</f>
        <v>1824.5900000000001</v>
      </c>
      <c r="E16" s="68">
        <f>$E161</f>
        <v>474.34</v>
      </c>
      <c r="F16" s="68">
        <f>$E175</f>
        <v>2120.91</v>
      </c>
      <c r="G16" s="68">
        <f>$E189</f>
        <v>2449.84</v>
      </c>
      <c r="H16" s="62"/>
      <c r="I16" s="62"/>
      <c r="K16" s="62"/>
      <c r="L16" s="62"/>
      <c r="M16" s="62"/>
    </row>
    <row r="17" spans="1:23" s="55" customFormat="1" ht="23.25" customHeight="1" x14ac:dyDescent="0.25">
      <c r="A17" s="64" t="s">
        <v>21</v>
      </c>
      <c r="B17" s="44">
        <f t="shared" ref="B17:G17" si="1">B16/(B15-B14)</f>
        <v>0.38924833887043192</v>
      </c>
      <c r="C17" s="44">
        <f t="shared" si="1"/>
        <v>0.56878914988814311</v>
      </c>
      <c r="D17" s="44">
        <f t="shared" si="1"/>
        <v>0.79815835520559941</v>
      </c>
      <c r="E17" s="44">
        <f t="shared" si="1"/>
        <v>0.7122222222222222</v>
      </c>
      <c r="F17" s="44">
        <f t="shared" si="1"/>
        <v>0.58459481808158764</v>
      </c>
      <c r="G17" s="44">
        <f t="shared" si="1"/>
        <v>0.63205366357069148</v>
      </c>
      <c r="H17" s="62"/>
      <c r="I17" s="62"/>
      <c r="K17" s="62"/>
      <c r="L17" s="62"/>
      <c r="M17" s="62"/>
    </row>
    <row r="18" spans="1:23" s="55" customFormat="1" ht="39" customHeight="1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T18" s="55" t="s">
        <v>101</v>
      </c>
    </row>
    <row r="19" spans="1:23" s="55" customFormat="1" ht="15.75" thickBot="1" x14ac:dyDescent="0.3">
      <c r="F19" s="22"/>
      <c r="J19" s="55" t="s">
        <v>98</v>
      </c>
      <c r="T19" s="89" t="s">
        <v>102</v>
      </c>
      <c r="U19" s="89" t="s">
        <v>103</v>
      </c>
      <c r="V19" s="89" t="s">
        <v>106</v>
      </c>
      <c r="W19" s="89" t="s">
        <v>107</v>
      </c>
    </row>
    <row r="20" spans="1:23" s="55" customFormat="1" ht="30.75" thickBot="1" x14ac:dyDescent="0.3">
      <c r="B20" s="1" t="s">
        <v>0</v>
      </c>
      <c r="C20" s="117" t="s">
        <v>1</v>
      </c>
      <c r="D20" s="118"/>
      <c r="E20" s="2" t="s">
        <v>2</v>
      </c>
      <c r="F20" s="19" t="s">
        <v>14</v>
      </c>
      <c r="G20" s="2" t="s">
        <v>3</v>
      </c>
      <c r="H20" s="55" t="s">
        <v>97</v>
      </c>
      <c r="J20" s="55" t="s">
        <v>68</v>
      </c>
      <c r="K20" s="89" t="s">
        <v>70</v>
      </c>
      <c r="L20" s="89" t="s">
        <v>72</v>
      </c>
      <c r="M20" s="89" t="s">
        <v>74</v>
      </c>
      <c r="N20" s="89" t="s">
        <v>78</v>
      </c>
      <c r="O20" s="89" t="s">
        <v>82</v>
      </c>
      <c r="P20" s="89" t="s">
        <v>86</v>
      </c>
      <c r="Q20" s="89" t="s">
        <v>89</v>
      </c>
      <c r="R20" s="89" t="s">
        <v>92</v>
      </c>
    </row>
    <row r="21" spans="1:23" s="55" customFormat="1" ht="57" thickTop="1" x14ac:dyDescent="0.25">
      <c r="B21" s="34" t="s">
        <v>108</v>
      </c>
      <c r="C21" s="3" t="s">
        <v>16</v>
      </c>
      <c r="D21" s="4">
        <v>1180</v>
      </c>
      <c r="E21" s="5">
        <v>67.64</v>
      </c>
      <c r="F21" s="28">
        <f t="shared" ref="F21:F33" si="2">E21/$E$33</f>
        <v>6.7223884157067745E-2</v>
      </c>
      <c r="G21" s="30">
        <f>SUM(E22:E$32)/$E$33</f>
        <v>0.9327761158429323</v>
      </c>
    </row>
    <row r="22" spans="1:23" s="55" customFormat="1" x14ac:dyDescent="0.25">
      <c r="B22" s="16" t="s">
        <v>4</v>
      </c>
      <c r="C22" s="17" t="s">
        <v>15</v>
      </c>
      <c r="D22" s="4">
        <v>600</v>
      </c>
      <c r="E22" s="5">
        <v>111.49</v>
      </c>
      <c r="F22" s="28">
        <f t="shared" si="2"/>
        <v>0.11080412248183742</v>
      </c>
      <c r="G22" s="30">
        <f>SUM(E23:E$32)/$E$33</f>
        <v>0.82197199336109483</v>
      </c>
      <c r="J22" s="32"/>
    </row>
    <row r="23" spans="1:23" s="55" customFormat="1" x14ac:dyDescent="0.25">
      <c r="B23" s="18">
        <f>FORECAST(0.8,D22:D23,G22:G23)</f>
        <v>566.78770709932178</v>
      </c>
      <c r="C23" s="17" t="s">
        <v>11</v>
      </c>
      <c r="D23" s="4">
        <v>425</v>
      </c>
      <c r="E23" s="5">
        <v>116.49</v>
      </c>
      <c r="F23" s="28">
        <f t="shared" si="2"/>
        <v>0.11577336288374958</v>
      </c>
      <c r="G23" s="30">
        <f>SUM(E24:E$32)/$E$33</f>
        <v>0.70619863047734521</v>
      </c>
    </row>
    <row r="24" spans="1:23" s="55" customFormat="1" x14ac:dyDescent="0.25">
      <c r="B24" s="7"/>
      <c r="C24" s="17" t="s">
        <v>10</v>
      </c>
      <c r="D24" s="4">
        <v>300</v>
      </c>
      <c r="E24" s="5">
        <v>168.21</v>
      </c>
      <c r="F24" s="28">
        <f t="shared" si="2"/>
        <v>0.16717518560112901</v>
      </c>
      <c r="G24" s="30">
        <f>SUM(E25:E$32)/$E$33</f>
        <v>0.53902344487621623</v>
      </c>
    </row>
    <row r="25" spans="1:23" s="55" customFormat="1" x14ac:dyDescent="0.25">
      <c r="B25" s="7"/>
      <c r="C25" s="15" t="s">
        <v>5</v>
      </c>
      <c r="D25" s="8">
        <v>212</v>
      </c>
      <c r="E25" s="9">
        <v>137.16</v>
      </c>
      <c r="F25" s="28">
        <f t="shared" si="2"/>
        <v>0.13631620270525446</v>
      </c>
      <c r="G25" s="30">
        <f>SUM(E26:E$32)/$E$33</f>
        <v>0.40270724217096165</v>
      </c>
      <c r="H25" s="66">
        <f>SUM(F26:F32)*100</f>
        <v>40.270724217096166</v>
      </c>
    </row>
    <row r="26" spans="1:23" s="55" customFormat="1" x14ac:dyDescent="0.25">
      <c r="B26" s="7"/>
      <c r="C26" s="15" t="s">
        <v>12</v>
      </c>
      <c r="D26" s="8">
        <v>180</v>
      </c>
      <c r="E26" s="9">
        <v>34.6</v>
      </c>
      <c r="F26" s="28">
        <f t="shared" si="2"/>
        <v>3.4387143581232175E-2</v>
      </c>
      <c r="G26" s="30">
        <f>SUM(E27:E$32)/$E$33</f>
        <v>0.36832009858972958</v>
      </c>
    </row>
    <row r="27" spans="1:23" s="55" customFormat="1" x14ac:dyDescent="0.25">
      <c r="B27" s="7"/>
      <c r="C27" s="15" t="s">
        <v>13</v>
      </c>
      <c r="D27" s="8">
        <v>150</v>
      </c>
      <c r="E27" s="9">
        <v>47.15</v>
      </c>
      <c r="F27" s="28">
        <f t="shared" si="2"/>
        <v>4.68599369900317E-2</v>
      </c>
      <c r="G27" s="30">
        <f>SUM(E28:E$32)/$E$33</f>
        <v>0.32146016159969787</v>
      </c>
    </row>
    <row r="28" spans="1:23" s="55" customFormat="1" x14ac:dyDescent="0.25">
      <c r="B28" s="7"/>
      <c r="C28" s="15" t="s">
        <v>9</v>
      </c>
      <c r="D28" s="8">
        <v>106</v>
      </c>
      <c r="E28" s="9">
        <v>71.150000000000006</v>
      </c>
      <c r="F28" s="28">
        <f t="shared" si="2"/>
        <v>7.0712290919210094E-2</v>
      </c>
      <c r="G28" s="30">
        <f>SUM(E29:E$32)/$E$33</f>
        <v>0.25074787068048776</v>
      </c>
    </row>
    <row r="29" spans="1:23" s="55" customFormat="1" x14ac:dyDescent="0.25">
      <c r="B29" s="7"/>
      <c r="C29" s="15" t="s">
        <v>8</v>
      </c>
      <c r="D29" s="8">
        <v>75</v>
      </c>
      <c r="E29" s="9">
        <v>45.1</v>
      </c>
      <c r="F29" s="28">
        <f t="shared" si="2"/>
        <v>4.4822548425247716E-2</v>
      </c>
      <c r="G29" s="30">
        <f>SUM(E30:E$32)/$E$33</f>
        <v>0.20592532225524005</v>
      </c>
    </row>
    <row r="30" spans="1:23" s="55" customFormat="1" x14ac:dyDescent="0.25">
      <c r="B30" s="7"/>
      <c r="C30" s="15" t="s">
        <v>7</v>
      </c>
      <c r="D30" s="10">
        <v>53</v>
      </c>
      <c r="E30" s="9">
        <v>44.14</v>
      </c>
      <c r="F30" s="28">
        <f t="shared" si="2"/>
        <v>4.386845426808058E-2</v>
      </c>
      <c r="G30" s="30">
        <f>SUM(E31:E$32)/$E$33</f>
        <v>0.16205686798715949</v>
      </c>
    </row>
    <row r="31" spans="1:23" s="55" customFormat="1" x14ac:dyDescent="0.25">
      <c r="B31" s="7"/>
      <c r="C31" s="15" t="s">
        <v>17</v>
      </c>
      <c r="D31" s="10">
        <v>38</v>
      </c>
      <c r="E31" s="9">
        <v>29.21</v>
      </c>
      <c r="F31" s="28">
        <f t="shared" si="2"/>
        <v>2.9030302427970861E-2</v>
      </c>
      <c r="G31" s="30">
        <f>SUM(E32:E$32)/$E$33</f>
        <v>0.1330265655591886</v>
      </c>
    </row>
    <row r="32" spans="1:23" s="55" customFormat="1" x14ac:dyDescent="0.25">
      <c r="B32" s="23"/>
      <c r="C32" s="24">
        <v>-38</v>
      </c>
      <c r="D32" s="25"/>
      <c r="E32" s="26">
        <v>133.85</v>
      </c>
      <c r="F32" s="28">
        <f>E32/$E$33</f>
        <v>0.1330265655591886</v>
      </c>
      <c r="G32" s="27"/>
    </row>
    <row r="33" spans="2:23" s="55" customFormat="1" ht="15.75" thickBot="1" x14ac:dyDescent="0.3">
      <c r="B33" s="11"/>
      <c r="C33" s="12" t="s">
        <v>6</v>
      </c>
      <c r="D33" s="13"/>
      <c r="E33" s="14">
        <f>SUM(E21:E32)</f>
        <v>1006.19</v>
      </c>
      <c r="F33" s="28">
        <f t="shared" si="2"/>
        <v>1</v>
      </c>
      <c r="G33" s="14"/>
    </row>
    <row r="34" spans="2:23" ht="33" customHeight="1" thickBot="1" x14ac:dyDescent="0.3">
      <c r="B34" s="1" t="s">
        <v>0</v>
      </c>
      <c r="C34" s="117" t="s">
        <v>1</v>
      </c>
      <c r="D34" s="118"/>
      <c r="E34" s="2" t="s">
        <v>2</v>
      </c>
      <c r="F34" s="19" t="s">
        <v>14</v>
      </c>
      <c r="G34" s="2" t="s">
        <v>3</v>
      </c>
      <c r="J34" s="31"/>
      <c r="K34" s="31"/>
      <c r="L34" s="31"/>
      <c r="M34" s="31"/>
      <c r="N34" s="31"/>
      <c r="O34" s="31"/>
    </row>
    <row r="35" spans="2:23" ht="38.25" thickTop="1" x14ac:dyDescent="0.25">
      <c r="B35" s="34" t="s">
        <v>25</v>
      </c>
      <c r="C35" s="3" t="s">
        <v>16</v>
      </c>
      <c r="D35" s="4">
        <v>1180</v>
      </c>
      <c r="E35" s="5">
        <f>97.01+92.5</f>
        <v>189.51</v>
      </c>
      <c r="F35" s="28">
        <f>E35/$E$47</f>
        <v>0.10407090726371108</v>
      </c>
      <c r="G35" s="6">
        <f>SUM(E36:E$46)/$E$47</f>
        <v>0.89592909273628896</v>
      </c>
      <c r="J35" s="32"/>
      <c r="K35" s="32"/>
      <c r="L35" s="32"/>
      <c r="M35" s="32"/>
      <c r="N35" s="32"/>
      <c r="O35" s="32"/>
    </row>
    <row r="36" spans="2:23" x14ac:dyDescent="0.25">
      <c r="B36" s="16" t="s">
        <v>4</v>
      </c>
      <c r="C36" s="17" t="s">
        <v>15</v>
      </c>
      <c r="D36" s="4">
        <v>600</v>
      </c>
      <c r="E36" s="5">
        <f>154.87+163.38</f>
        <v>318.25</v>
      </c>
      <c r="F36" s="28">
        <f>E36/$E$47</f>
        <v>0.17476949098557359</v>
      </c>
      <c r="G36" s="6">
        <f>SUM(E37:E$46)/$E$47</f>
        <v>0.72115960175071536</v>
      </c>
    </row>
    <row r="37" spans="2:23" x14ac:dyDescent="0.25">
      <c r="B37" s="18">
        <f>FORECAST(0.8,D36:D37,G36:G37)</f>
        <v>669.56102220499463</v>
      </c>
      <c r="C37" s="17" t="s">
        <v>11</v>
      </c>
      <c r="D37" s="4">
        <v>425</v>
      </c>
      <c r="E37" s="5">
        <f>167.36+193.82</f>
        <v>361.18</v>
      </c>
      <c r="F37" s="28">
        <f t="shared" ref="F37:F47" si="3">E37/$E$47</f>
        <v>0.19834483819063464</v>
      </c>
      <c r="G37" s="6">
        <f>SUM(E38:E$46)/$E$47</f>
        <v>0.52281476356008061</v>
      </c>
      <c r="J37" s="32"/>
    </row>
    <row r="38" spans="2:23" x14ac:dyDescent="0.25">
      <c r="B38" s="7"/>
      <c r="C38" s="17" t="s">
        <v>10</v>
      </c>
      <c r="D38" s="4">
        <v>300</v>
      </c>
      <c r="E38" s="5">
        <f>211.13+244.56</f>
        <v>455.69</v>
      </c>
      <c r="F38" s="28">
        <f t="shared" si="3"/>
        <v>0.25024574814521927</v>
      </c>
      <c r="G38" s="6">
        <f>SUM(E39:E$46)/$E$47</f>
        <v>0.27256901541486128</v>
      </c>
      <c r="H38" s="32"/>
      <c r="J38" s="97">
        <f>SUM($F$21:F24)</f>
        <v>0.46097655512378377</v>
      </c>
      <c r="K38" s="97">
        <f>1-J38</f>
        <v>0.53902344487621623</v>
      </c>
      <c r="L38" s="97">
        <f>SUM($F$35:F38)</f>
        <v>0.72743098458513855</v>
      </c>
      <c r="M38" s="97">
        <v>1</v>
      </c>
      <c r="N38" s="98">
        <f>+(L38-J38)/(L38+M38-1)</f>
        <v>0.36629513329476404</v>
      </c>
      <c r="O38" s="99">
        <f>1-N38</f>
        <v>0.63370486670523596</v>
      </c>
      <c r="P38" s="98">
        <f>+N38*M38/K38</f>
        <v>0.67955324907784243</v>
      </c>
      <c r="Q38" s="98">
        <f>+O38*L38/J38</f>
        <v>1</v>
      </c>
      <c r="R38" s="100">
        <f t="shared" ref="R38:R45" si="4">+N38*M38+O38*L38</f>
        <v>0.82727168841854781</v>
      </c>
    </row>
    <row r="39" spans="2:23" x14ac:dyDescent="0.25">
      <c r="B39" s="7"/>
      <c r="C39" s="15" t="s">
        <v>5</v>
      </c>
      <c r="D39" s="8">
        <v>212</v>
      </c>
      <c r="E39" s="65">
        <f>101.8+113.69</f>
        <v>215.49</v>
      </c>
      <c r="F39" s="28">
        <f t="shared" si="3"/>
        <v>0.11833802863309115</v>
      </c>
      <c r="G39" s="6">
        <f>SUM(E40:E$46)/$E$47</f>
        <v>0.15423098678177014</v>
      </c>
      <c r="H39" s="66">
        <f>SUM(F40:F46)*100</f>
        <v>15.423098678177013</v>
      </c>
      <c r="I39" s="48">
        <f>($I$194-H39)/($I$194*(100-H39))*10000</f>
        <v>72.953088708822037</v>
      </c>
      <c r="J39" s="58">
        <f>SUM($F$21:F25)</f>
        <v>0.59729275782903823</v>
      </c>
      <c r="K39" s="58">
        <f>1-J39</f>
        <v>0.40270724217096177</v>
      </c>
      <c r="L39" s="58">
        <f>SUM($F$35:F39)</f>
        <v>0.84576901321822973</v>
      </c>
      <c r="M39" s="97">
        <v>0.87239999999999995</v>
      </c>
      <c r="N39" s="22">
        <f>+(L39-J39)/(L39+M39-1)</f>
        <v>0.34598576493258854</v>
      </c>
      <c r="O39" s="90">
        <f t="shared" ref="O39:O45" si="5">1-N39</f>
        <v>0.65401423506741141</v>
      </c>
      <c r="P39" s="22">
        <f t="shared" ref="P39:P44" si="6">+N39*M39/K39</f>
        <v>0.74952210866635116</v>
      </c>
      <c r="Q39" s="22">
        <f t="shared" ref="Q39:Q44" si="7">+O39*L39/J39</f>
        <v>0.92608685937217627</v>
      </c>
      <c r="R39" s="91">
        <f t="shared" si="4"/>
        <v>0.85498295555083004</v>
      </c>
    </row>
    <row r="40" spans="2:23" x14ac:dyDescent="0.25">
      <c r="B40" s="7"/>
      <c r="C40" s="15" t="s">
        <v>12</v>
      </c>
      <c r="D40" s="8">
        <v>180</v>
      </c>
      <c r="E40" s="65">
        <f>15.89+16.13</f>
        <v>32.019999999999996</v>
      </c>
      <c r="F40" s="28">
        <f t="shared" si="3"/>
        <v>1.7584034882507669E-2</v>
      </c>
      <c r="G40" s="6">
        <f>SUM(E41:E$46)/$E$47</f>
        <v>0.13664695189926249</v>
      </c>
      <c r="J40" s="58">
        <f>SUM($F$21:F26)</f>
        <v>0.63167990141027042</v>
      </c>
      <c r="K40" s="58">
        <f t="shared" ref="K40:K45" si="8">1-J40</f>
        <v>0.36832009858972958</v>
      </c>
      <c r="L40" s="58">
        <f>SUM($F$35:F40)</f>
        <v>0.86335304810073743</v>
      </c>
      <c r="M40" s="58">
        <v>1</v>
      </c>
      <c r="N40" s="22">
        <f t="shared" ref="N40:N44" si="9">+(L40-J40)/(L40+M40-1)</f>
        <v>0.2683411464175835</v>
      </c>
      <c r="O40" s="90">
        <f t="shared" si="5"/>
        <v>0.73165885358241645</v>
      </c>
      <c r="P40" s="22">
        <f t="shared" si="6"/>
        <v>0.72855417731761563</v>
      </c>
      <c r="Q40" s="22">
        <f t="shared" si="7"/>
        <v>1</v>
      </c>
      <c r="R40" s="91">
        <f t="shared" si="4"/>
        <v>0.90002104782785386</v>
      </c>
    </row>
    <row r="41" spans="2:23" x14ac:dyDescent="0.25">
      <c r="B41" s="7"/>
      <c r="C41" s="15" t="s">
        <v>13</v>
      </c>
      <c r="D41" s="8">
        <v>150</v>
      </c>
      <c r="E41" s="9">
        <f>11.48+17.22</f>
        <v>28.7</v>
      </c>
      <c r="F41" s="28">
        <f t="shared" si="3"/>
        <v>1.5760830766020306E-2</v>
      </c>
      <c r="G41" s="6">
        <f>SUM(E42:E$46)/$E$47</f>
        <v>0.12088612113324215</v>
      </c>
      <c r="J41" s="58">
        <f>SUM($F$21:F27)</f>
        <v>0.67853983840030208</v>
      </c>
      <c r="K41" s="58">
        <f t="shared" si="8"/>
        <v>0.32146016159969792</v>
      </c>
      <c r="L41" s="58">
        <f>SUM($F$35:F41)</f>
        <v>0.87911387886675774</v>
      </c>
      <c r="M41" s="58">
        <v>1</v>
      </c>
      <c r="N41" s="22">
        <f t="shared" si="9"/>
        <v>0.22815478777904211</v>
      </c>
      <c r="O41" s="90">
        <f t="shared" si="5"/>
        <v>0.77184521222095792</v>
      </c>
      <c r="P41" s="22">
        <f t="shared" si="6"/>
        <v>0.70974514118223631</v>
      </c>
      <c r="Q41" s="22">
        <f t="shared" si="7"/>
        <v>1</v>
      </c>
      <c r="R41" s="91">
        <f t="shared" si="4"/>
        <v>0.90669462617934415</v>
      </c>
    </row>
    <row r="42" spans="2:23" x14ac:dyDescent="0.25">
      <c r="B42" s="7"/>
      <c r="C42" s="15" t="s">
        <v>9</v>
      </c>
      <c r="D42" s="8">
        <v>106</v>
      </c>
      <c r="E42" s="9">
        <f>17.42+23.27</f>
        <v>40.69</v>
      </c>
      <c r="F42" s="28">
        <f t="shared" si="3"/>
        <v>2.2345233584298473E-2</v>
      </c>
      <c r="G42" s="6">
        <f>SUM(E43:E$46)/$E$47</f>
        <v>9.8540887548943676E-2</v>
      </c>
      <c r="J42" s="58">
        <f>SUM($F$21:F28)</f>
        <v>0.74925212931951213</v>
      </c>
      <c r="K42" s="58">
        <f t="shared" si="8"/>
        <v>0.25074787068048787</v>
      </c>
      <c r="L42" s="58">
        <f>SUM($F$35:F42)</f>
        <v>0.90145911245105625</v>
      </c>
      <c r="M42" s="58">
        <v>1</v>
      </c>
      <c r="N42" s="22">
        <f t="shared" si="9"/>
        <v>0.16884513232962414</v>
      </c>
      <c r="O42" s="90">
        <f t="shared" si="5"/>
        <v>0.83115486767037583</v>
      </c>
      <c r="P42" s="22">
        <f t="shared" si="6"/>
        <v>0.67336616606715993</v>
      </c>
      <c r="Q42" s="22">
        <f t="shared" si="7"/>
        <v>1</v>
      </c>
      <c r="R42" s="91">
        <f t="shared" si="4"/>
        <v>0.9180972616491363</v>
      </c>
    </row>
    <row r="43" spans="2:23" x14ac:dyDescent="0.25">
      <c r="B43" s="7"/>
      <c r="C43" s="15" t="s">
        <v>8</v>
      </c>
      <c r="D43" s="8">
        <v>75</v>
      </c>
      <c r="E43" s="9">
        <f>11.28+15.81</f>
        <v>27.09</v>
      </c>
      <c r="F43" s="28">
        <f t="shared" si="3"/>
        <v>1.4876686601097215E-2</v>
      </c>
      <c r="G43" s="6">
        <f>SUM(E44:E$46)/$E$47</f>
        <v>8.3664200947846476E-2</v>
      </c>
      <c r="J43" s="58">
        <f>SUM($F$21:F29)</f>
        <v>0.79407467774475982</v>
      </c>
      <c r="K43" s="58">
        <f t="shared" si="8"/>
        <v>0.20592532225524018</v>
      </c>
      <c r="L43" s="58">
        <f>SUM($F$35:F43)</f>
        <v>0.91633579905215345</v>
      </c>
      <c r="M43" s="58">
        <v>1</v>
      </c>
      <c r="N43" s="22">
        <f t="shared" si="9"/>
        <v>0.13342392759713093</v>
      </c>
      <c r="O43" s="90">
        <f t="shared" si="5"/>
        <v>0.86657607240286905</v>
      </c>
      <c r="P43" s="22">
        <f t="shared" si="6"/>
        <v>0.64792384994670404</v>
      </c>
      <c r="Q43" s="22">
        <f t="shared" si="7"/>
        <v>1</v>
      </c>
      <c r="R43" s="91">
        <f t="shared" si="4"/>
        <v>0.92749860534189077</v>
      </c>
    </row>
    <row r="44" spans="2:23" x14ac:dyDescent="0.25">
      <c r="B44" s="7"/>
      <c r="C44" s="15" t="s">
        <v>7</v>
      </c>
      <c r="D44" s="10">
        <v>53</v>
      </c>
      <c r="E44" s="9">
        <f>9+13.88</f>
        <v>22.880000000000003</v>
      </c>
      <c r="F44" s="28">
        <f t="shared" si="3"/>
        <v>1.2564731983503297E-2</v>
      </c>
      <c r="G44" s="6">
        <f>SUM(E45:E$46)/$E$47</f>
        <v>7.1099468964343188E-2</v>
      </c>
      <c r="J44" s="58">
        <f>SUM($F$21:F30)</f>
        <v>0.83794313201284043</v>
      </c>
      <c r="K44" s="58">
        <f t="shared" si="8"/>
        <v>0.16205686798715957</v>
      </c>
      <c r="L44" s="58">
        <f>SUM($F$35:F44)</f>
        <v>0.92890053103565673</v>
      </c>
      <c r="M44" s="58">
        <v>1</v>
      </c>
      <c r="N44" s="22">
        <f t="shared" si="9"/>
        <v>9.7919417616658469E-2</v>
      </c>
      <c r="O44" s="90">
        <f t="shared" si="5"/>
        <v>0.90208058238334154</v>
      </c>
      <c r="P44" s="22">
        <f t="shared" si="6"/>
        <v>0.60422874286585015</v>
      </c>
      <c r="Q44" s="22">
        <f t="shared" si="7"/>
        <v>1</v>
      </c>
      <c r="R44" s="91">
        <f t="shared" si="4"/>
        <v>0.93586254962949889</v>
      </c>
    </row>
    <row r="45" spans="2:23" x14ac:dyDescent="0.25">
      <c r="B45" s="7"/>
      <c r="C45" s="15" t="s">
        <v>17</v>
      </c>
      <c r="D45" s="10">
        <v>38</v>
      </c>
      <c r="E45" s="9">
        <f>8.74+9.82</f>
        <v>18.560000000000002</v>
      </c>
      <c r="F45" s="28">
        <f t="shared" si="3"/>
        <v>1.0192370000604073E-2</v>
      </c>
      <c r="G45" s="6">
        <f>SUM(E46:E$46)/$E$47</f>
        <v>6.0907098963739102E-2</v>
      </c>
      <c r="J45" s="58">
        <f>SUM($F$21:F31)</f>
        <v>0.86697343444081132</v>
      </c>
      <c r="K45" s="58">
        <f t="shared" si="8"/>
        <v>0.13302656555918868</v>
      </c>
      <c r="L45" s="58">
        <f>SUM($F$35:F45)</f>
        <v>0.93909290103626075</v>
      </c>
      <c r="M45" s="58">
        <v>1</v>
      </c>
      <c r="N45" s="22">
        <f>+(L45-J45)/(L45+M45-1)</f>
        <v>7.6796945771677935E-2</v>
      </c>
      <c r="O45" s="90">
        <f t="shared" si="5"/>
        <v>0.92320305422832205</v>
      </c>
      <c r="P45" s="22">
        <f>+N45*M45/K45</f>
        <v>0.57730533332838696</v>
      </c>
      <c r="Q45" s="22">
        <f>+O45*L45/J45</f>
        <v>1</v>
      </c>
      <c r="R45" s="91">
        <f t="shared" si="4"/>
        <v>0.94377038021248927</v>
      </c>
      <c r="T45" s="58">
        <f>SUM($F$21:$F$31)</f>
        <v>0.86697343444081132</v>
      </c>
      <c r="U45" s="58">
        <f>SUM(F35:F45)</f>
        <v>0.93909290103626075</v>
      </c>
      <c r="V45" s="22">
        <v>0.7</v>
      </c>
      <c r="W45" s="22">
        <f>U45*(T45-V45)*(1-V45)*(U45-T45)/T45/(U45-V45)^2/(1-T45)</f>
        <v>0.51457912765735148</v>
      </c>
    </row>
    <row r="46" spans="2:23" x14ac:dyDescent="0.25">
      <c r="B46" s="23"/>
      <c r="C46" s="24">
        <v>-38</v>
      </c>
      <c r="D46" s="25"/>
      <c r="E46" s="26">
        <f>107.12+3.79</f>
        <v>110.91000000000001</v>
      </c>
      <c r="F46" s="29">
        <f>E46/$E$47</f>
        <v>6.0907098963739102E-2</v>
      </c>
      <c r="G46" s="27"/>
    </row>
    <row r="47" spans="2:23" ht="15.75" thickBot="1" x14ac:dyDescent="0.3">
      <c r="B47" s="11"/>
      <c r="C47" s="12" t="s">
        <v>6</v>
      </c>
      <c r="D47" s="13"/>
      <c r="E47" s="14">
        <f>SUM(E35:E46)</f>
        <v>1820.9700000000003</v>
      </c>
      <c r="F47" s="21">
        <f t="shared" si="3"/>
        <v>1</v>
      </c>
      <c r="G47" s="14"/>
    </row>
    <row r="48" spans="2:23" ht="30.75" thickBot="1" x14ac:dyDescent="0.3">
      <c r="B48" s="1" t="s">
        <v>0</v>
      </c>
      <c r="C48" s="117" t="s">
        <v>1</v>
      </c>
      <c r="D48" s="118"/>
      <c r="E48" s="2" t="s">
        <v>2</v>
      </c>
      <c r="F48" s="19" t="s">
        <v>14</v>
      </c>
      <c r="G48" s="2" t="s">
        <v>3</v>
      </c>
    </row>
    <row r="49" spans="2:23" ht="38.25" thickTop="1" x14ac:dyDescent="0.25">
      <c r="B49" s="34" t="s">
        <v>26</v>
      </c>
      <c r="C49" s="3" t="s">
        <v>16</v>
      </c>
      <c r="D49" s="125">
        <v>1180</v>
      </c>
      <c r="E49" s="5">
        <f>95.39+81.07</f>
        <v>176.45999999999998</v>
      </c>
      <c r="F49" s="28">
        <f>E49/$E$61</f>
        <v>8.9164443366480703E-2</v>
      </c>
      <c r="G49" s="30">
        <f>SUM(E50:E$60)/$E$61</f>
        <v>0.91083555663351934</v>
      </c>
    </row>
    <row r="50" spans="2:23" x14ac:dyDescent="0.25">
      <c r="B50" s="16" t="s">
        <v>4</v>
      </c>
      <c r="C50" s="17" t="s">
        <v>15</v>
      </c>
      <c r="D50" s="125">
        <v>600</v>
      </c>
      <c r="E50" s="5">
        <f>177.28+160.9</f>
        <v>338.18</v>
      </c>
      <c r="F50" s="28">
        <f t="shared" ref="F50:F61" si="10">E50/$E$61</f>
        <v>0.17088083111003316</v>
      </c>
      <c r="G50" s="30">
        <f>SUM(E51:E$60)/$E$61</f>
        <v>0.73995472552348618</v>
      </c>
    </row>
    <row r="51" spans="2:23" x14ac:dyDescent="0.25">
      <c r="B51" s="18">
        <f>FORECAST(0.8,D49:D50,G49:G50)</f>
        <v>803.80436453959419</v>
      </c>
      <c r="C51" s="17" t="s">
        <v>11</v>
      </c>
      <c r="D51" s="125">
        <v>425</v>
      </c>
      <c r="E51" s="5">
        <f>200.65+183.31</f>
        <v>383.96000000000004</v>
      </c>
      <c r="F51" s="28">
        <f t="shared" si="10"/>
        <v>0.19401325895383623</v>
      </c>
      <c r="G51" s="30">
        <f>SUM(E52:E$60)/$E$61</f>
        <v>0.54594146656964992</v>
      </c>
    </row>
    <row r="52" spans="2:23" x14ac:dyDescent="0.25">
      <c r="B52" s="7"/>
      <c r="C52" s="17" t="s">
        <v>10</v>
      </c>
      <c r="D52" s="125">
        <v>300</v>
      </c>
      <c r="E52" s="5">
        <f>260.06+241.21</f>
        <v>501.27</v>
      </c>
      <c r="F52" s="28">
        <f t="shared" si="10"/>
        <v>0.25328947368421051</v>
      </c>
      <c r="G52" s="30">
        <f>SUM(E53:E$60)/$E$61</f>
        <v>0.29265199288543947</v>
      </c>
      <c r="H52" s="32"/>
      <c r="J52" s="58">
        <f>J38</f>
        <v>0.46097655512378377</v>
      </c>
      <c r="K52" s="58">
        <f>1-J52</f>
        <v>0.53902344487621623</v>
      </c>
      <c r="L52" s="58">
        <f>SUM($F$49:F52)</f>
        <v>0.70734800711456058</v>
      </c>
      <c r="M52" s="58">
        <v>1</v>
      </c>
      <c r="N52" s="22">
        <f>+(L52-J52)/(L52+M52-1)</f>
        <v>0.34830302695809395</v>
      </c>
      <c r="O52" s="90">
        <f>1-N52</f>
        <v>0.65169697304190599</v>
      </c>
      <c r="P52" s="22">
        <f>+N52*M52/K52</f>
        <v>0.64617416973037201</v>
      </c>
      <c r="Q52" s="22">
        <f>+O52*L52/J52</f>
        <v>0.99999999999999989</v>
      </c>
      <c r="R52" s="91">
        <f>+N52*M52+O52*L52</f>
        <v>0.80927958208187767</v>
      </c>
    </row>
    <row r="53" spans="2:23" x14ac:dyDescent="0.25">
      <c r="B53" s="7"/>
      <c r="C53" s="15" t="s">
        <v>5</v>
      </c>
      <c r="D53" s="126">
        <v>212</v>
      </c>
      <c r="E53" s="9">
        <f>136.9+138.33</f>
        <v>275.23</v>
      </c>
      <c r="F53" s="28">
        <f t="shared" si="10"/>
        <v>0.13907247958606195</v>
      </c>
      <c r="G53" s="30">
        <f>SUM(E54:E$60)/$E$61</f>
        <v>0.15357951329937747</v>
      </c>
      <c r="H53" s="66">
        <f>SUM(F54:F60)*100</f>
        <v>15.35795132993775</v>
      </c>
      <c r="I53" s="32">
        <f>($I$194-H53)/($I$194*(100-H53))*10000</f>
        <v>73.088064728112457</v>
      </c>
      <c r="J53" s="58">
        <f>J39</f>
        <v>0.59729275782903823</v>
      </c>
      <c r="K53" s="58">
        <f>1-J53</f>
        <v>0.40270724217096177</v>
      </c>
      <c r="L53" s="58">
        <f>SUM($F$49:F53)</f>
        <v>0.84642048670062253</v>
      </c>
      <c r="M53" s="97">
        <v>0.87239999999999995</v>
      </c>
      <c r="N53" s="22">
        <f>+(L53-J53)/(L53+M53-1)</f>
        <v>0.34657850392533696</v>
      </c>
      <c r="O53" s="90">
        <f t="shared" ref="O53:O59" si="11">1-N53</f>
        <v>0.65342149607466304</v>
      </c>
      <c r="P53" s="22">
        <f>+N53*M53/K53</f>
        <v>0.75080618166808333</v>
      </c>
      <c r="Q53" s="22">
        <f t="shared" ref="Q53:Q59" si="12">+O53*L53/J53</f>
        <v>0.9259602321956647</v>
      </c>
      <c r="R53" s="91">
        <f t="shared" ref="R53:R59" si="13">+N53*M53+O53*L53</f>
        <v>0.85542442755262904</v>
      </c>
    </row>
    <row r="54" spans="2:23" x14ac:dyDescent="0.25">
      <c r="B54" s="7"/>
      <c r="C54" s="15" t="s">
        <v>12</v>
      </c>
      <c r="D54" s="126">
        <v>180</v>
      </c>
      <c r="E54" s="9">
        <f>19.92+25.04</f>
        <v>44.96</v>
      </c>
      <c r="F54" s="28">
        <f t="shared" si="10"/>
        <v>2.2718085536421701E-2</v>
      </c>
      <c r="G54" s="30">
        <f>SUM(E55:E$60)/$E$61</f>
        <v>0.13086142776295576</v>
      </c>
      <c r="J54" s="58">
        <f t="shared" ref="J54:J59" si="14">J40</f>
        <v>0.63167990141027042</v>
      </c>
      <c r="K54" s="58">
        <f t="shared" ref="K54:K59" si="15">1-J54</f>
        <v>0.36832009858972958</v>
      </c>
      <c r="L54" s="58">
        <f>SUM($F$49:F54)</f>
        <v>0.86913857223704427</v>
      </c>
      <c r="M54" s="58">
        <v>1</v>
      </c>
      <c r="N54" s="22">
        <f t="shared" ref="N54:N59" si="16">+(L54-J54)/(L54+M54-1)</f>
        <v>0.27321152047778474</v>
      </c>
      <c r="O54" s="90">
        <f t="shared" si="11"/>
        <v>0.72678847952221526</v>
      </c>
      <c r="P54" s="22">
        <f t="shared" ref="P54:P59" si="17">+N54*M54/K54</f>
        <v>0.74177738745154409</v>
      </c>
      <c r="Q54" s="22">
        <f t="shared" si="12"/>
        <v>1</v>
      </c>
      <c r="R54" s="91">
        <f t="shared" si="13"/>
        <v>0.90489142188805516</v>
      </c>
    </row>
    <row r="55" spans="2:23" x14ac:dyDescent="0.25">
      <c r="B55" s="7"/>
      <c r="C55" s="15" t="s">
        <v>13</v>
      </c>
      <c r="D55" s="126">
        <v>150</v>
      </c>
      <c r="E55" s="9">
        <f>23.83+24.08</f>
        <v>47.91</v>
      </c>
      <c r="F55" s="28">
        <f t="shared" si="10"/>
        <v>2.4208707252000968E-2</v>
      </c>
      <c r="G55" s="30">
        <f>SUM(E56:E$60)/$E$61</f>
        <v>0.1066527205109548</v>
      </c>
      <c r="J55" s="58">
        <f t="shared" si="14"/>
        <v>0.67853983840030208</v>
      </c>
      <c r="K55" s="58">
        <f t="shared" si="15"/>
        <v>0.32146016159969792</v>
      </c>
      <c r="L55" s="58">
        <f>SUM($F$49:F55)</f>
        <v>0.89334727948904524</v>
      </c>
      <c r="M55" s="58">
        <v>1</v>
      </c>
      <c r="N55" s="22">
        <f t="shared" si="16"/>
        <v>0.24045233698098176</v>
      </c>
      <c r="O55" s="90">
        <f t="shared" si="11"/>
        <v>0.75954766301901822</v>
      </c>
      <c r="P55" s="22">
        <f t="shared" si="17"/>
        <v>0.74800042339432371</v>
      </c>
      <c r="Q55" s="22">
        <f t="shared" si="12"/>
        <v>0.99999999999999989</v>
      </c>
      <c r="R55" s="91">
        <f t="shared" si="13"/>
        <v>0.91899217538128375</v>
      </c>
    </row>
    <row r="56" spans="2:23" x14ac:dyDescent="0.25">
      <c r="B56" s="7"/>
      <c r="C56" s="15" t="s">
        <v>9</v>
      </c>
      <c r="D56" s="126">
        <v>106</v>
      </c>
      <c r="E56" s="9">
        <f>24.62+30.76</f>
        <v>55.38</v>
      </c>
      <c r="F56" s="28">
        <f t="shared" si="10"/>
        <v>2.7983264613145771E-2</v>
      </c>
      <c r="G56" s="30">
        <f>SUM(E57:E$60)/$E$61</f>
        <v>7.8669455897809035E-2</v>
      </c>
      <c r="J56" s="58">
        <f t="shared" si="14"/>
        <v>0.74925212931951213</v>
      </c>
      <c r="K56" s="58">
        <f t="shared" si="15"/>
        <v>0.25074787068048787</v>
      </c>
      <c r="L56" s="58">
        <f>SUM($F$49:F56)</f>
        <v>0.92133054410219106</v>
      </c>
      <c r="M56" s="58">
        <v>1</v>
      </c>
      <c r="N56" s="22">
        <f t="shared" si="16"/>
        <v>0.18677163791455995</v>
      </c>
      <c r="O56" s="90">
        <f t="shared" si="11"/>
        <v>0.81322836208544003</v>
      </c>
      <c r="P56" s="22">
        <f t="shared" si="17"/>
        <v>0.74485832086108206</v>
      </c>
      <c r="Q56" s="22">
        <f t="shared" si="12"/>
        <v>1</v>
      </c>
      <c r="R56" s="91">
        <f t="shared" si="13"/>
        <v>0.9360237672340721</v>
      </c>
    </row>
    <row r="57" spans="2:23" x14ac:dyDescent="0.25">
      <c r="B57" s="7"/>
      <c r="C57" s="15" t="s">
        <v>8</v>
      </c>
      <c r="D57" s="126">
        <v>75</v>
      </c>
      <c r="E57" s="9">
        <f>13.65+20.86</f>
        <v>34.51</v>
      </c>
      <c r="F57" s="28">
        <f t="shared" si="10"/>
        <v>1.7437747594793433E-2</v>
      </c>
      <c r="G57" s="30">
        <f>SUM(E58:E$60)/$E$61</f>
        <v>6.1231708303015608E-2</v>
      </c>
      <c r="J57" s="58">
        <f t="shared" si="14"/>
        <v>0.79407467774475982</v>
      </c>
      <c r="K57" s="58">
        <f t="shared" si="15"/>
        <v>0.20592532225524018</v>
      </c>
      <c r="L57" s="58">
        <f>SUM($F$49:F57)</f>
        <v>0.9387682916969845</v>
      </c>
      <c r="M57" s="58">
        <v>1</v>
      </c>
      <c r="N57" s="22">
        <f t="shared" si="16"/>
        <v>0.15413133915150268</v>
      </c>
      <c r="O57" s="90">
        <f t="shared" si="11"/>
        <v>0.84586866084849732</v>
      </c>
      <c r="P57" s="22">
        <f t="shared" si="17"/>
        <v>0.74848171882649805</v>
      </c>
      <c r="Q57" s="22">
        <f t="shared" si="12"/>
        <v>1</v>
      </c>
      <c r="R57" s="91">
        <f t="shared" si="13"/>
        <v>0.94820601689626249</v>
      </c>
    </row>
    <row r="58" spans="2:23" x14ac:dyDescent="0.25">
      <c r="B58" s="7"/>
      <c r="C58" s="15" t="s">
        <v>7</v>
      </c>
      <c r="D58" s="127">
        <v>53</v>
      </c>
      <c r="E58" s="9">
        <f>10.57+19.42</f>
        <v>29.990000000000002</v>
      </c>
      <c r="F58" s="28">
        <f t="shared" si="10"/>
        <v>1.5153811949227909E-2</v>
      </c>
      <c r="G58" s="30">
        <f>SUM(E59:E$60)/$E$61</f>
        <v>4.6077896353787694E-2</v>
      </c>
      <c r="J58" s="58">
        <f t="shared" si="14"/>
        <v>0.83794313201284043</v>
      </c>
      <c r="K58" s="58">
        <f t="shared" si="15"/>
        <v>0.16205686798715957</v>
      </c>
      <c r="L58" s="58">
        <f>SUM($F$49:F58)</f>
        <v>0.95392210364621244</v>
      </c>
      <c r="M58" s="58">
        <v>1</v>
      </c>
      <c r="N58" s="22">
        <f t="shared" si="16"/>
        <v>0.12158117648187541</v>
      </c>
      <c r="O58" s="90">
        <f t="shared" si="11"/>
        <v>0.87841882351812461</v>
      </c>
      <c r="P58" s="22">
        <f t="shared" si="17"/>
        <v>0.75023772822456858</v>
      </c>
      <c r="Q58" s="22">
        <f t="shared" si="12"/>
        <v>1</v>
      </c>
      <c r="R58" s="91">
        <f t="shared" si="13"/>
        <v>0.95952430849471582</v>
      </c>
    </row>
    <row r="59" spans="2:23" x14ac:dyDescent="0.25">
      <c r="B59" s="7"/>
      <c r="C59" s="15" t="s">
        <v>17</v>
      </c>
      <c r="D59" s="127">
        <v>38</v>
      </c>
      <c r="E59" s="9">
        <f>6.78+11.08</f>
        <v>17.86</v>
      </c>
      <c r="F59" s="28">
        <f t="shared" si="10"/>
        <v>9.0245775729646694E-3</v>
      </c>
      <c r="G59" s="30">
        <f>SUM(E60:E$60)/$E$61</f>
        <v>3.7053318780823026E-2</v>
      </c>
      <c r="J59" s="58">
        <f t="shared" si="14"/>
        <v>0.86697343444081132</v>
      </c>
      <c r="K59" s="58">
        <f t="shared" si="15"/>
        <v>0.13302656555918868</v>
      </c>
      <c r="L59" s="58">
        <f>SUM($F$49:F59)</f>
        <v>0.96294668121917715</v>
      </c>
      <c r="M59" s="58">
        <v>1</v>
      </c>
      <c r="N59" s="22">
        <f t="shared" si="16"/>
        <v>9.9666210653382242E-2</v>
      </c>
      <c r="O59" s="90">
        <f t="shared" si="11"/>
        <v>0.90033378934661779</v>
      </c>
      <c r="P59" s="22">
        <f t="shared" si="17"/>
        <v>0.74922035485488703</v>
      </c>
      <c r="Q59" s="22">
        <f t="shared" si="12"/>
        <v>1</v>
      </c>
      <c r="R59" s="91">
        <f t="shared" si="13"/>
        <v>0.96663964509419353</v>
      </c>
      <c r="T59" s="58">
        <f>SUM($F$21:$F$31)</f>
        <v>0.86697343444081132</v>
      </c>
      <c r="U59" s="58">
        <f>SUM(F49:F59)</f>
        <v>0.96294668121917715</v>
      </c>
      <c r="V59" s="22">
        <v>0.7</v>
      </c>
      <c r="W59" s="22">
        <f>U59*(T59-V59)*(1-V59)*(U59-T59)/T59/(U59-V59)^2/(1-T59)</f>
        <v>0.5805525092393784</v>
      </c>
    </row>
    <row r="60" spans="2:23" x14ac:dyDescent="0.25">
      <c r="B60" s="23"/>
      <c r="C60" s="24">
        <v>-38</v>
      </c>
      <c r="D60" s="25"/>
      <c r="E60" s="26">
        <f>69.73+3.6</f>
        <v>73.33</v>
      </c>
      <c r="F60" s="28">
        <f>E60/$E$61</f>
        <v>3.7053318780823026E-2</v>
      </c>
      <c r="G60" s="27"/>
    </row>
    <row r="61" spans="2:23" ht="15.75" thickBot="1" x14ac:dyDescent="0.3">
      <c r="B61" s="11"/>
      <c r="C61" s="12" t="s">
        <v>6</v>
      </c>
      <c r="D61" s="13"/>
      <c r="E61" s="14">
        <f>SUM(E49:E60)</f>
        <v>1979.04</v>
      </c>
      <c r="F61" s="28">
        <f t="shared" si="10"/>
        <v>1</v>
      </c>
      <c r="G61" s="14"/>
    </row>
    <row r="62" spans="2:23" ht="30.75" thickBot="1" x14ac:dyDescent="0.3">
      <c r="B62" s="1" t="s">
        <v>0</v>
      </c>
      <c r="C62" s="117" t="s">
        <v>1</v>
      </c>
      <c r="D62" s="118"/>
      <c r="E62" s="2" t="s">
        <v>2</v>
      </c>
      <c r="F62" s="19" t="s">
        <v>14</v>
      </c>
      <c r="G62" s="2" t="s">
        <v>3</v>
      </c>
    </row>
    <row r="63" spans="2:23" ht="38.25" thickTop="1" x14ac:dyDescent="0.25">
      <c r="B63" s="34" t="s">
        <v>27</v>
      </c>
      <c r="C63" s="3" t="s">
        <v>16</v>
      </c>
      <c r="D63" s="4">
        <v>1180</v>
      </c>
      <c r="E63" s="5">
        <f>113.58+134.28</f>
        <v>247.86</v>
      </c>
      <c r="F63" s="28">
        <f>E63/$E$75</f>
        <v>0.1245302357362487</v>
      </c>
      <c r="G63" s="6">
        <f>SUM(E64:E$74)/$E$75</f>
        <v>0.87546976426375123</v>
      </c>
    </row>
    <row r="64" spans="2:23" x14ac:dyDescent="0.25">
      <c r="B64" s="16" t="s">
        <v>4</v>
      </c>
      <c r="C64" s="17" t="s">
        <v>15</v>
      </c>
      <c r="D64" s="4">
        <v>600</v>
      </c>
      <c r="E64" s="5">
        <f>172.82+209.43</f>
        <v>382.25</v>
      </c>
      <c r="F64" s="28">
        <f t="shared" ref="F64:F75" si="18">E64/$E$75</f>
        <v>0.19205068429831787</v>
      </c>
      <c r="G64" s="6">
        <f>SUM(E65:E$74)/$E$75</f>
        <v>0.68341907996543338</v>
      </c>
    </row>
    <row r="65" spans="2:23" x14ac:dyDescent="0.25">
      <c r="B65" s="18">
        <f>FORECAST(0.8,D63:D64,G63:G64)</f>
        <v>952.07858731196848</v>
      </c>
      <c r="C65" s="17" t="s">
        <v>11</v>
      </c>
      <c r="D65" s="4">
        <v>425</v>
      </c>
      <c r="E65" s="5">
        <f>171.04+210.29</f>
        <v>381.33</v>
      </c>
      <c r="F65" s="28">
        <f t="shared" si="18"/>
        <v>0.19158845635965349</v>
      </c>
      <c r="G65" s="6">
        <f>SUM(E66:E$74)/$E$75</f>
        <v>0.49183062360577967</v>
      </c>
    </row>
    <row r="66" spans="2:23" x14ac:dyDescent="0.25">
      <c r="B66" s="7"/>
      <c r="C66" s="17" t="s">
        <v>10</v>
      </c>
      <c r="D66" s="4">
        <v>300</v>
      </c>
      <c r="E66" s="5">
        <f>212.29+251.75</f>
        <v>464.03999999999996</v>
      </c>
      <c r="F66" s="28">
        <f t="shared" si="18"/>
        <v>0.23314375288892455</v>
      </c>
      <c r="G66" s="6">
        <f>SUM(E67:E$74)/$E$75</f>
        <v>0.2586868707168552</v>
      </c>
      <c r="H66" s="32"/>
      <c r="J66" s="58">
        <f>J52</f>
        <v>0.46097655512378377</v>
      </c>
      <c r="K66" s="58">
        <f>1-J66</f>
        <v>0.53902344487621623</v>
      </c>
      <c r="L66" s="58">
        <f>SUM($F$63:F66)</f>
        <v>0.74131312928314463</v>
      </c>
      <c r="M66" s="58">
        <v>1</v>
      </c>
      <c r="N66" s="22">
        <f>+(L66-J66)/(L66+M66-1)</f>
        <v>0.37816215993698704</v>
      </c>
      <c r="O66" s="90">
        <f>1-N66</f>
        <v>0.6218378400630129</v>
      </c>
      <c r="P66" s="22">
        <f>+N66*M66/K66</f>
        <v>0.70156903847443941</v>
      </c>
      <c r="Q66" s="22">
        <f>+O66*L66/J66</f>
        <v>0.99999999999999989</v>
      </c>
      <c r="R66" s="91">
        <f>+N66*M66+O66*L66</f>
        <v>0.83913871506077076</v>
      </c>
    </row>
    <row r="67" spans="2:23" x14ac:dyDescent="0.25">
      <c r="B67" s="7"/>
      <c r="C67" s="15" t="s">
        <v>5</v>
      </c>
      <c r="D67" s="8">
        <v>212</v>
      </c>
      <c r="E67" s="9">
        <f>104.07+118.13</f>
        <v>222.2</v>
      </c>
      <c r="F67" s="28">
        <f t="shared" si="18"/>
        <v>0.11163809562089268</v>
      </c>
      <c r="G67" s="6">
        <f>SUM(E68:E$74)/$E$75</f>
        <v>0.14704877509596251</v>
      </c>
      <c r="H67" s="66">
        <f>SUM(F68:F74)*100</f>
        <v>14.704877509596251</v>
      </c>
      <c r="I67" s="32">
        <f>($I$194-H67)/($I$194*(100-H67))*10000</f>
        <v>74.429747119499652</v>
      </c>
      <c r="J67" s="58">
        <f t="shared" ref="J67:J73" si="19">J53</f>
        <v>0.59729275782903823</v>
      </c>
      <c r="K67" s="58">
        <f t="shared" ref="K67:K73" si="20">1-J67</f>
        <v>0.40270724217096177</v>
      </c>
      <c r="L67" s="58">
        <f>SUM($F$63:F67)</f>
        <v>0.8529512249040373</v>
      </c>
      <c r="M67" s="97">
        <v>0.87239999999999995</v>
      </c>
      <c r="N67" s="22">
        <f t="shared" ref="N67:N73" si="21">+(L67-J67)/(L67+M67-1)</f>
        <v>0.35246161900232847</v>
      </c>
      <c r="O67" s="90">
        <f t="shared" ref="O67:O73" si="22">1-N67</f>
        <v>0.64753838099767158</v>
      </c>
      <c r="P67" s="22">
        <f t="shared" ref="P67:P73" si="23">+N67*M67/K67</f>
        <v>0.76355099739451249</v>
      </c>
      <c r="Q67" s="22">
        <f t="shared" ref="Q67:Q73" si="24">+O67*L67/J67</f>
        <v>0.92470341889266661</v>
      </c>
      <c r="R67" s="91">
        <f t="shared" ref="R67:R73" si="25">+N67*M67+O67*L67</f>
        <v>0.85980617166197248</v>
      </c>
    </row>
    <row r="68" spans="2:23" x14ac:dyDescent="0.25">
      <c r="B68" s="7"/>
      <c r="C68" s="15" t="s">
        <v>12</v>
      </c>
      <c r="D68" s="8">
        <v>180</v>
      </c>
      <c r="E68" s="9">
        <f>15.12+17.67</f>
        <v>32.79</v>
      </c>
      <c r="F68" s="28">
        <f t="shared" si="18"/>
        <v>1.647440664000482E-2</v>
      </c>
      <c r="G68" s="6">
        <f>SUM(E69:E$74)/$E$75</f>
        <v>0.13057436845595768</v>
      </c>
      <c r="J68" s="58">
        <f t="shared" si="19"/>
        <v>0.63167990141027042</v>
      </c>
      <c r="K68" s="58">
        <f t="shared" si="20"/>
        <v>0.36832009858972958</v>
      </c>
      <c r="L68" s="58">
        <f>SUM($F$63:F68)</f>
        <v>0.86942563154404207</v>
      </c>
      <c r="M68" s="58">
        <v>1</v>
      </c>
      <c r="N68" s="22">
        <f t="shared" si="21"/>
        <v>0.27345148510465589</v>
      </c>
      <c r="O68" s="90">
        <f t="shared" si="22"/>
        <v>0.72654851489534411</v>
      </c>
      <c r="P68" s="22">
        <f t="shared" si="23"/>
        <v>0.74242889853603267</v>
      </c>
      <c r="Q68" s="22">
        <f t="shared" si="24"/>
        <v>1</v>
      </c>
      <c r="R68" s="91">
        <f t="shared" si="25"/>
        <v>0.90513138651492631</v>
      </c>
    </row>
    <row r="69" spans="2:23" x14ac:dyDescent="0.25">
      <c r="B69" s="7"/>
      <c r="C69" s="15" t="s">
        <v>13</v>
      </c>
      <c r="D69" s="8">
        <v>150</v>
      </c>
      <c r="E69" s="9">
        <f>17.52+21.73</f>
        <v>39.25</v>
      </c>
      <c r="F69" s="28">
        <f t="shared" si="18"/>
        <v>1.9720050644104582E-2</v>
      </c>
      <c r="G69" s="6">
        <f>SUM(E70:E$74)/$E$75</f>
        <v>0.11085431781185311</v>
      </c>
      <c r="J69" s="58">
        <f t="shared" si="19"/>
        <v>0.67853983840030208</v>
      </c>
      <c r="K69" s="58">
        <f t="shared" si="20"/>
        <v>0.32146016159969792</v>
      </c>
      <c r="L69" s="58">
        <f>SUM($F$63:F69)</f>
        <v>0.8891456821881466</v>
      </c>
      <c r="M69" s="58">
        <v>1</v>
      </c>
      <c r="N69" s="22">
        <f t="shared" si="21"/>
        <v>0.23686314628391747</v>
      </c>
      <c r="O69" s="90">
        <f t="shared" si="22"/>
        <v>0.76313685371608253</v>
      </c>
      <c r="P69" s="22">
        <f t="shared" si="23"/>
        <v>0.73683514966583674</v>
      </c>
      <c r="Q69" s="22">
        <f t="shared" si="24"/>
        <v>1</v>
      </c>
      <c r="R69" s="91">
        <f t="shared" si="25"/>
        <v>0.91540298468421955</v>
      </c>
    </row>
    <row r="70" spans="2:23" x14ac:dyDescent="0.25">
      <c r="B70" s="7"/>
      <c r="C70" s="15" t="s">
        <v>9</v>
      </c>
      <c r="D70" s="8">
        <v>106</v>
      </c>
      <c r="E70" s="9">
        <f>20.6+23.8</f>
        <v>44.400000000000006</v>
      </c>
      <c r="F70" s="28">
        <f t="shared" si="18"/>
        <v>2.2307522257280089E-2</v>
      </c>
      <c r="G70" s="6">
        <f>SUM(E71:E$74)/$E$75</f>
        <v>8.8546795554573024E-2</v>
      </c>
      <c r="J70" s="58">
        <f t="shared" si="19"/>
        <v>0.74925212931951213</v>
      </c>
      <c r="K70" s="58">
        <f t="shared" si="20"/>
        <v>0.25074787068048787</v>
      </c>
      <c r="L70" s="58">
        <f>SUM($F$63:F70)</f>
        <v>0.91145320444542666</v>
      </c>
      <c r="M70" s="58">
        <v>1</v>
      </c>
      <c r="N70" s="22">
        <f t="shared" si="21"/>
        <v>0.17795875239103001</v>
      </c>
      <c r="O70" s="90">
        <f t="shared" si="22"/>
        <v>0.82204124760897002</v>
      </c>
      <c r="P70" s="22">
        <f t="shared" si="23"/>
        <v>0.70971191862199934</v>
      </c>
      <c r="Q70" s="22">
        <f t="shared" si="24"/>
        <v>1</v>
      </c>
      <c r="R70" s="91">
        <f t="shared" si="25"/>
        <v>0.92721088171054211</v>
      </c>
    </row>
    <row r="71" spans="2:23" x14ac:dyDescent="0.25">
      <c r="B71" s="7"/>
      <c r="C71" s="15" t="s">
        <v>8</v>
      </c>
      <c r="D71" s="8">
        <v>75</v>
      </c>
      <c r="E71" s="9">
        <f>13.58+16.68</f>
        <v>30.259999999999998</v>
      </c>
      <c r="F71" s="28">
        <f t="shared" si="18"/>
        <v>1.5203279808677823E-2</v>
      </c>
      <c r="G71" s="6">
        <f>SUM(E72:E$74)/$E$75</f>
        <v>7.3343515745895191E-2</v>
      </c>
      <c r="J71" s="58">
        <f t="shared" si="19"/>
        <v>0.79407467774475982</v>
      </c>
      <c r="K71" s="58">
        <f t="shared" si="20"/>
        <v>0.20592532225524018</v>
      </c>
      <c r="L71" s="58">
        <f>SUM($F$63:F71)</f>
        <v>0.92665648425410452</v>
      </c>
      <c r="M71" s="58">
        <v>1</v>
      </c>
      <c r="N71" s="22">
        <f t="shared" si="21"/>
        <v>0.14307546406051866</v>
      </c>
      <c r="O71" s="90">
        <f t="shared" si="22"/>
        <v>0.85692453593948137</v>
      </c>
      <c r="P71" s="22">
        <f t="shared" si="23"/>
        <v>0.69479295937766983</v>
      </c>
      <c r="Q71" s="22">
        <f t="shared" si="24"/>
        <v>1</v>
      </c>
      <c r="R71" s="91">
        <f t="shared" si="25"/>
        <v>0.93715014180527845</v>
      </c>
    </row>
    <row r="72" spans="2:23" x14ac:dyDescent="0.25">
      <c r="B72" s="7"/>
      <c r="C72" s="15" t="s">
        <v>7</v>
      </c>
      <c r="D72" s="10">
        <v>53</v>
      </c>
      <c r="E72" s="9">
        <f>9.11+11.52</f>
        <v>20.63</v>
      </c>
      <c r="F72" s="28">
        <f t="shared" si="18"/>
        <v>1.0364959102875859E-2</v>
      </c>
      <c r="G72" s="6">
        <f>SUM(E73:E$74)/$E$75</f>
        <v>6.2978556643019337E-2</v>
      </c>
      <c r="J72" s="58">
        <f t="shared" si="19"/>
        <v>0.83794313201284043</v>
      </c>
      <c r="K72" s="58">
        <f t="shared" si="20"/>
        <v>0.16205686798715957</v>
      </c>
      <c r="L72" s="58">
        <f>SUM($F$63:F72)</f>
        <v>0.93702144335698034</v>
      </c>
      <c r="M72" s="58">
        <v>1</v>
      </c>
      <c r="N72" s="22">
        <f t="shared" si="21"/>
        <v>0.10573750691252186</v>
      </c>
      <c r="O72" s="90">
        <f t="shared" si="22"/>
        <v>0.89426249308747818</v>
      </c>
      <c r="P72" s="22">
        <f t="shared" si="23"/>
        <v>0.65247161830191536</v>
      </c>
      <c r="Q72" s="22">
        <f t="shared" si="24"/>
        <v>1</v>
      </c>
      <c r="R72" s="91">
        <f t="shared" si="25"/>
        <v>0.94368063892536225</v>
      </c>
    </row>
    <row r="73" spans="2:23" x14ac:dyDescent="0.25">
      <c r="B73" s="7"/>
      <c r="C73" s="15" t="s">
        <v>17</v>
      </c>
      <c r="D73" s="10">
        <v>38</v>
      </c>
      <c r="E73" s="9">
        <f>6.75+12.42</f>
        <v>19.170000000000002</v>
      </c>
      <c r="F73" s="28">
        <f t="shared" si="18"/>
        <v>9.6314234610824171E-3</v>
      </c>
      <c r="G73" s="6">
        <f>SUM(E74:E$74)/$E$75</f>
        <v>5.3347133181936922E-2</v>
      </c>
      <c r="J73" s="58">
        <f t="shared" si="19"/>
        <v>0.86697343444081132</v>
      </c>
      <c r="K73" s="58">
        <f t="shared" si="20"/>
        <v>0.13302656555918868</v>
      </c>
      <c r="L73" s="58">
        <f>SUM($F$63:F73)</f>
        <v>0.94665286681806271</v>
      </c>
      <c r="M73" s="58">
        <v>1</v>
      </c>
      <c r="N73" s="22">
        <f t="shared" si="21"/>
        <v>8.4169641449535676E-2</v>
      </c>
      <c r="O73" s="90">
        <f t="shared" si="22"/>
        <v>0.91583035855046435</v>
      </c>
      <c r="P73" s="22">
        <f t="shared" si="23"/>
        <v>0.63272806522307257</v>
      </c>
      <c r="Q73" s="22">
        <f t="shared" si="24"/>
        <v>1</v>
      </c>
      <c r="R73" s="91">
        <f t="shared" si="25"/>
        <v>0.95114307589034697</v>
      </c>
      <c r="T73" s="58">
        <f>SUM($F$21:$F$31)</f>
        <v>0.86697343444081132</v>
      </c>
      <c r="U73" s="58">
        <f>SUM(F63:F73)</f>
        <v>0.94665286681806271</v>
      </c>
      <c r="V73" s="22">
        <v>0.7</v>
      </c>
      <c r="W73" s="22">
        <f>U73*(T73-V73)*(1-V73)*(U73-T73)/T73/(U73-V73)^2/(1-T73)</f>
        <v>0.53850422725848202</v>
      </c>
    </row>
    <row r="74" spans="2:23" x14ac:dyDescent="0.25">
      <c r="B74" s="23"/>
      <c r="C74" s="24">
        <v>-38</v>
      </c>
      <c r="D74" s="25"/>
      <c r="E74" s="26">
        <f>2.83+103.35</f>
        <v>106.17999999999999</v>
      </c>
      <c r="F74" s="28">
        <f t="shared" si="18"/>
        <v>5.3347133181936922E-2</v>
      </c>
      <c r="G74" s="27"/>
    </row>
    <row r="75" spans="2:23" ht="15.75" thickBot="1" x14ac:dyDescent="0.3">
      <c r="B75" s="11"/>
      <c r="C75" s="12" t="s">
        <v>6</v>
      </c>
      <c r="D75" s="13"/>
      <c r="E75" s="14">
        <f>SUM(E63:E74)</f>
        <v>1990.3600000000004</v>
      </c>
      <c r="F75" s="20">
        <f t="shared" si="18"/>
        <v>1</v>
      </c>
      <c r="G75" s="14"/>
    </row>
    <row r="76" spans="2:23" ht="30.75" thickBot="1" x14ac:dyDescent="0.3">
      <c r="B76" s="1" t="s">
        <v>0</v>
      </c>
      <c r="C76" s="117" t="s">
        <v>1</v>
      </c>
      <c r="D76" s="118"/>
      <c r="E76" s="2" t="s">
        <v>2</v>
      </c>
      <c r="F76" s="19" t="s">
        <v>14</v>
      </c>
      <c r="G76" s="2" t="s">
        <v>3</v>
      </c>
    </row>
    <row r="77" spans="2:23" ht="38.25" thickTop="1" x14ac:dyDescent="0.25">
      <c r="B77" s="34" t="s">
        <v>28</v>
      </c>
      <c r="C77" s="3" t="s">
        <v>16</v>
      </c>
      <c r="D77" s="4">
        <v>1180</v>
      </c>
      <c r="E77" s="5">
        <f>158.92+113.32</f>
        <v>272.24</v>
      </c>
      <c r="F77" s="28">
        <f>E77/$E$89</f>
        <v>0.12160628936436325</v>
      </c>
      <c r="G77" s="30">
        <f>SUM(E78:E$88)/$E$89</f>
        <v>0.87839371063563698</v>
      </c>
    </row>
    <row r="78" spans="2:23" x14ac:dyDescent="0.25">
      <c r="B78" s="16" t="s">
        <v>4</v>
      </c>
      <c r="C78" s="17" t="s">
        <v>15</v>
      </c>
      <c r="D78" s="4">
        <v>600</v>
      </c>
      <c r="E78" s="5">
        <f>252.43+160.98</f>
        <v>413.40999999999997</v>
      </c>
      <c r="F78" s="28">
        <f t="shared" ref="F78:F88" si="26">E78/$E$89</f>
        <v>0.18466520748648768</v>
      </c>
      <c r="G78" s="30">
        <f>SUM(E79:E$88)/$E$89</f>
        <v>0.69372850314914924</v>
      </c>
    </row>
    <row r="79" spans="2:23" x14ac:dyDescent="0.25">
      <c r="B79" s="18">
        <f>FORECAST(0.8,D78:D79,G78:G79)</f>
        <v>701.71316541665635</v>
      </c>
      <c r="C79" s="17" t="s">
        <v>11</v>
      </c>
      <c r="D79" s="4">
        <v>425</v>
      </c>
      <c r="E79" s="5">
        <f>251.95+157.38</f>
        <v>409.33</v>
      </c>
      <c r="F79" s="28">
        <f t="shared" si="26"/>
        <v>0.18284272122213785</v>
      </c>
      <c r="G79" s="30">
        <f>SUM(E80:E$88)/$E$89</f>
        <v>0.51088578192701128</v>
      </c>
    </row>
    <row r="80" spans="2:23" x14ac:dyDescent="0.25">
      <c r="B80" s="7"/>
      <c r="C80" s="17" t="s">
        <v>10</v>
      </c>
      <c r="D80" s="4">
        <v>300</v>
      </c>
      <c r="E80" s="5">
        <f>311.17+207.75</f>
        <v>518.92000000000007</v>
      </c>
      <c r="F80" s="28">
        <f t="shared" si="26"/>
        <v>0.23179523830794663</v>
      </c>
      <c r="G80" s="30">
        <f>SUM(E81:E$88)/$E$89</f>
        <v>0.27909054361906466</v>
      </c>
      <c r="H80" s="32"/>
      <c r="J80" s="58">
        <f>J66</f>
        <v>0.46097655512378377</v>
      </c>
      <c r="K80" s="58">
        <f>1-J80</f>
        <v>0.53902344487621623</v>
      </c>
      <c r="L80" s="58">
        <f>SUM($F$77:F80)</f>
        <v>0.7209094563809354</v>
      </c>
      <c r="M80" s="58">
        <v>1</v>
      </c>
      <c r="N80" s="22">
        <f>+(L80-J80)/(L80+M80-1)</f>
        <v>0.36056247973504257</v>
      </c>
      <c r="O80" s="90">
        <f>1-N80</f>
        <v>0.63943752026495737</v>
      </c>
      <c r="P80" s="22">
        <f>+N80*M80/K80</f>
        <v>0.66891799078951708</v>
      </c>
      <c r="Q80" s="22">
        <f>+O80*L80/J80</f>
        <v>1</v>
      </c>
      <c r="R80" s="91">
        <f>+N80*M80+O80*L80</f>
        <v>0.82153903485882629</v>
      </c>
    </row>
    <row r="81" spans="2:23" x14ac:dyDescent="0.25">
      <c r="B81" s="7"/>
      <c r="C81" s="15" t="s">
        <v>5</v>
      </c>
      <c r="D81" s="8">
        <v>212</v>
      </c>
      <c r="E81" s="9">
        <f>155.65+116.5</f>
        <v>272.14999999999998</v>
      </c>
      <c r="F81" s="28">
        <f t="shared" si="26"/>
        <v>0.12156608746147318</v>
      </c>
      <c r="G81" s="30">
        <f>SUM(E82:E$88)/$E$89</f>
        <v>0.15752445615759147</v>
      </c>
      <c r="H81" s="66">
        <f>SUM(F82:F88)*100</f>
        <v>15.752445615759147</v>
      </c>
      <c r="I81" s="32">
        <f>($I$194-H81)/($I$194*(100-H81))*10000</f>
        <v>72.26753360838407</v>
      </c>
      <c r="J81" s="58">
        <f t="shared" ref="J81:J87" si="27">J67</f>
        <v>0.59729275782903823</v>
      </c>
      <c r="K81" s="58">
        <f t="shared" ref="K81:K87" si="28">1-J81</f>
        <v>0.40270724217096177</v>
      </c>
      <c r="L81" s="58">
        <f>SUM($F$77:F81)</f>
        <v>0.84247554384240853</v>
      </c>
      <c r="M81" s="97">
        <v>0.87239999999999995</v>
      </c>
      <c r="N81" s="22">
        <f t="shared" ref="N81:N87" si="29">+(L81-J81)/(L81+M81-1)</f>
        <v>0.34297268681976317</v>
      </c>
      <c r="O81" s="90">
        <f t="shared" ref="O81:O87" si="30">1-N81</f>
        <v>0.65702731318023688</v>
      </c>
      <c r="P81" s="22">
        <f t="shared" ref="P81:P87" si="31">+N81*M81/K81</f>
        <v>0.74299476306546708</v>
      </c>
      <c r="Q81" s="22">
        <f t="shared" ref="Q81:Q87" si="32">+O81*L81/J81</f>
        <v>0.92673054500565699</v>
      </c>
      <c r="R81" s="91">
        <f t="shared" ref="R81:R87" si="33">+N81*M81+O81*L81</f>
        <v>0.8527388149723979</v>
      </c>
    </row>
    <row r="82" spans="2:23" x14ac:dyDescent="0.25">
      <c r="B82" s="7"/>
      <c r="C82" s="15" t="s">
        <v>12</v>
      </c>
      <c r="D82" s="8">
        <v>180</v>
      </c>
      <c r="E82" s="9">
        <f>22.32+18.42</f>
        <v>40.74</v>
      </c>
      <c r="F82" s="28">
        <f t="shared" si="26"/>
        <v>1.8198061374905081E-2</v>
      </c>
      <c r="G82" s="30">
        <f>SUM(E83:E$88)/$E$89</f>
        <v>0.13932639478268641</v>
      </c>
      <c r="J82" s="58">
        <f t="shared" si="27"/>
        <v>0.63167990141027042</v>
      </c>
      <c r="K82" s="58">
        <f t="shared" si="28"/>
        <v>0.36832009858972958</v>
      </c>
      <c r="L82" s="58">
        <f>SUM($F$77:F82)</f>
        <v>0.86067360521731362</v>
      </c>
      <c r="M82" s="58">
        <v>1</v>
      </c>
      <c r="N82" s="22">
        <f t="shared" si="29"/>
        <v>0.26606335133191872</v>
      </c>
      <c r="O82" s="90">
        <f t="shared" si="30"/>
        <v>0.73393664866808128</v>
      </c>
      <c r="P82" s="22">
        <f t="shared" si="31"/>
        <v>0.72236989605143898</v>
      </c>
      <c r="Q82" s="22">
        <f t="shared" si="32"/>
        <v>1</v>
      </c>
      <c r="R82" s="91">
        <f t="shared" si="33"/>
        <v>0.89774325274218914</v>
      </c>
    </row>
    <row r="83" spans="2:23" x14ac:dyDescent="0.25">
      <c r="B83" s="7"/>
      <c r="C83" s="15" t="s">
        <v>13</v>
      </c>
      <c r="D83" s="8">
        <v>150</v>
      </c>
      <c r="E83" s="9">
        <f>26.08+19.87</f>
        <v>45.95</v>
      </c>
      <c r="F83" s="28">
        <f t="shared" si="26"/>
        <v>2.0525304864430254E-2</v>
      </c>
      <c r="G83" s="30">
        <f>SUM(E84:E$88)/$E$89</f>
        <v>0.11880108991825615</v>
      </c>
      <c r="J83" s="58">
        <f t="shared" si="27"/>
        <v>0.67853983840030208</v>
      </c>
      <c r="K83" s="58">
        <f t="shared" si="28"/>
        <v>0.32146016159969792</v>
      </c>
      <c r="L83" s="58">
        <f>SUM($F$77:F83)</f>
        <v>0.88119891008174389</v>
      </c>
      <c r="M83" s="58">
        <v>1</v>
      </c>
      <c r="N83" s="22">
        <f t="shared" si="29"/>
        <v>0.22998107392420886</v>
      </c>
      <c r="O83" s="90">
        <f t="shared" si="30"/>
        <v>0.77001892607579114</v>
      </c>
      <c r="P83" s="22">
        <f t="shared" si="31"/>
        <v>0.7154263619471315</v>
      </c>
      <c r="Q83" s="22">
        <f t="shared" si="32"/>
        <v>1</v>
      </c>
      <c r="R83" s="91">
        <f t="shared" si="33"/>
        <v>0.90852091232451093</v>
      </c>
    </row>
    <row r="84" spans="2:23" x14ac:dyDescent="0.25">
      <c r="B84" s="7"/>
      <c r="C84" s="15" t="s">
        <v>9</v>
      </c>
      <c r="D84" s="8">
        <v>106</v>
      </c>
      <c r="E84" s="9">
        <f>31.21+25.43</f>
        <v>56.64</v>
      </c>
      <c r="F84" s="28">
        <f t="shared" si="26"/>
        <v>2.5300397552150803E-2</v>
      </c>
      <c r="G84" s="30">
        <f>SUM(E85:E$88)/$E$89</f>
        <v>9.3500692366105337E-2</v>
      </c>
      <c r="J84" s="58">
        <f t="shared" si="27"/>
        <v>0.74925212931951213</v>
      </c>
      <c r="K84" s="58">
        <f t="shared" si="28"/>
        <v>0.25074787068048787</v>
      </c>
      <c r="L84" s="58">
        <f>SUM($F$77:F84)</f>
        <v>0.90649930763389475</v>
      </c>
      <c r="M84" s="58">
        <v>1</v>
      </c>
      <c r="N84" s="22">
        <f t="shared" si="29"/>
        <v>0.17346640751973921</v>
      </c>
      <c r="O84" s="90">
        <f t="shared" si="30"/>
        <v>0.82653359248026081</v>
      </c>
      <c r="P84" s="22">
        <f t="shared" si="31"/>
        <v>0.69179613389729022</v>
      </c>
      <c r="Q84" s="22">
        <f t="shared" si="32"/>
        <v>1</v>
      </c>
      <c r="R84" s="91">
        <f t="shared" si="33"/>
        <v>0.92271853683925131</v>
      </c>
    </row>
    <row r="85" spans="2:23" x14ac:dyDescent="0.25">
      <c r="B85" s="7"/>
      <c r="C85" s="15" t="s">
        <v>8</v>
      </c>
      <c r="D85" s="8">
        <v>75</v>
      </c>
      <c r="E85" s="9">
        <f>18.52+19.23</f>
        <v>37.75</v>
      </c>
      <c r="F85" s="28">
        <f t="shared" si="26"/>
        <v>1.6862464823334974E-2</v>
      </c>
      <c r="G85" s="30">
        <f>SUM(E86:E$88)/$E$89</f>
        <v>7.663822754277036E-2</v>
      </c>
      <c r="J85" s="58">
        <f t="shared" si="27"/>
        <v>0.79407467774475982</v>
      </c>
      <c r="K85" s="58">
        <f t="shared" si="28"/>
        <v>0.20592532225524018</v>
      </c>
      <c r="L85" s="58">
        <f>SUM($F$77:F85)</f>
        <v>0.92336177245722972</v>
      </c>
      <c r="M85" s="58">
        <v>1</v>
      </c>
      <c r="N85" s="22">
        <f t="shared" si="29"/>
        <v>0.14001781161939811</v>
      </c>
      <c r="O85" s="90">
        <f t="shared" si="30"/>
        <v>0.85998218838060192</v>
      </c>
      <c r="P85" s="22">
        <f t="shared" si="31"/>
        <v>0.6799446036357244</v>
      </c>
      <c r="Q85" s="22">
        <f t="shared" si="32"/>
        <v>1</v>
      </c>
      <c r="R85" s="91">
        <f t="shared" si="33"/>
        <v>0.9340924893641579</v>
      </c>
    </row>
    <row r="86" spans="2:23" x14ac:dyDescent="0.25">
      <c r="B86" s="7"/>
      <c r="C86" s="15" t="s">
        <v>7</v>
      </c>
      <c r="D86" s="10">
        <v>53</v>
      </c>
      <c r="E86" s="65">
        <f>14.89+12</f>
        <v>26.89</v>
      </c>
      <c r="F86" s="28">
        <f t="shared" si="26"/>
        <v>1.2011435207933177E-2</v>
      </c>
      <c r="G86" s="30">
        <f>SUM(E87:E$88)/$E$89</f>
        <v>6.4626792334837188E-2</v>
      </c>
      <c r="J86" s="58">
        <f t="shared" si="27"/>
        <v>0.83794313201284043</v>
      </c>
      <c r="K86" s="58">
        <f t="shared" si="28"/>
        <v>0.16205686798715957</v>
      </c>
      <c r="L86" s="58">
        <f>SUM($F$77:F86)</f>
        <v>0.93537320766516285</v>
      </c>
      <c r="M86" s="58">
        <v>1</v>
      </c>
      <c r="N86" s="22">
        <f t="shared" si="29"/>
        <v>0.1041617130509041</v>
      </c>
      <c r="O86" s="90">
        <f t="shared" si="30"/>
        <v>0.89583828694909595</v>
      </c>
      <c r="P86" s="22">
        <f t="shared" si="31"/>
        <v>0.64274790908063995</v>
      </c>
      <c r="Q86" s="22">
        <f t="shared" si="32"/>
        <v>1</v>
      </c>
      <c r="R86" s="91">
        <f t="shared" si="33"/>
        <v>0.94210484506374459</v>
      </c>
    </row>
    <row r="87" spans="2:23" x14ac:dyDescent="0.25">
      <c r="B87" s="7"/>
      <c r="C87" s="15" t="s">
        <v>17</v>
      </c>
      <c r="D87" s="10">
        <v>38</v>
      </c>
      <c r="E87" s="9">
        <f>9.75+12.02</f>
        <v>21.77</v>
      </c>
      <c r="F87" s="28">
        <f t="shared" si="26"/>
        <v>9.7243936212980751E-3</v>
      </c>
      <c r="G87" s="30">
        <f>SUM(E88:E$88)/$E$89</f>
        <v>5.4902398713539108E-2</v>
      </c>
      <c r="J87" s="58">
        <f t="shared" si="27"/>
        <v>0.86697343444081132</v>
      </c>
      <c r="K87" s="58">
        <f t="shared" si="28"/>
        <v>0.13302656555918868</v>
      </c>
      <c r="L87" s="58">
        <f>SUM($F$77:F87)</f>
        <v>0.94509760128646092</v>
      </c>
      <c r="M87" s="58">
        <v>1</v>
      </c>
      <c r="N87" s="22">
        <f t="shared" si="29"/>
        <v>8.2662538492646126E-2</v>
      </c>
      <c r="O87" s="90">
        <f t="shared" si="30"/>
        <v>0.91733746150735385</v>
      </c>
      <c r="P87" s="22">
        <f t="shared" si="31"/>
        <v>0.62139872697732956</v>
      </c>
      <c r="Q87" s="22">
        <f t="shared" si="32"/>
        <v>1</v>
      </c>
      <c r="R87" s="91">
        <f t="shared" si="33"/>
        <v>0.94963597293345747</v>
      </c>
      <c r="T87" s="58">
        <f>SUM($F$21:$F$31)</f>
        <v>0.86697343444081132</v>
      </c>
      <c r="U87" s="58">
        <f>SUM(F77:F87)</f>
        <v>0.94509760128646092</v>
      </c>
      <c r="V87" s="22">
        <v>0.7</v>
      </c>
      <c r="W87" s="22">
        <f>U87*(T87-V87)*(1-V87)*(U87-T87)/T87/(U87-V87)^2/(1-T87)</f>
        <v>0.53383667135435997</v>
      </c>
    </row>
    <row r="88" spans="2:23" x14ac:dyDescent="0.25">
      <c r="B88" s="23"/>
      <c r="C88" s="24">
        <v>-38</v>
      </c>
      <c r="D88" s="25"/>
      <c r="E88" s="26">
        <f>119.6+3.31</f>
        <v>122.91</v>
      </c>
      <c r="F88" s="28">
        <f t="shared" si="26"/>
        <v>5.4902398713539108E-2</v>
      </c>
      <c r="G88" s="27"/>
    </row>
    <row r="89" spans="2:23" ht="15.75" thickBot="1" x14ac:dyDescent="0.3">
      <c r="B89" s="11"/>
      <c r="C89" s="12" t="s">
        <v>6</v>
      </c>
      <c r="D89" s="13"/>
      <c r="E89" s="14">
        <f>SUM(E77:E88)</f>
        <v>2238.6999999999998</v>
      </c>
      <c r="F89" s="28">
        <f>E89/$E$89</f>
        <v>1</v>
      </c>
      <c r="G89" s="14"/>
    </row>
    <row r="90" spans="2:23" ht="30.75" thickBot="1" x14ac:dyDescent="0.3">
      <c r="B90" s="1" t="s">
        <v>0</v>
      </c>
      <c r="C90" s="117" t="s">
        <v>1</v>
      </c>
      <c r="D90" s="118"/>
      <c r="E90" s="2" t="s">
        <v>2</v>
      </c>
      <c r="F90" s="19" t="s">
        <v>14</v>
      </c>
      <c r="G90" s="2" t="s">
        <v>3</v>
      </c>
    </row>
    <row r="91" spans="2:23" ht="38.25" thickTop="1" x14ac:dyDescent="0.25">
      <c r="B91" s="34" t="s">
        <v>29</v>
      </c>
      <c r="C91" s="3" t="s">
        <v>16</v>
      </c>
      <c r="D91" s="4">
        <v>1180</v>
      </c>
      <c r="E91" s="5">
        <f>103.88+73.13</f>
        <v>177.01</v>
      </c>
      <c r="F91" s="28">
        <f>E91/$E$103</f>
        <v>0.13557232030023358</v>
      </c>
      <c r="G91" s="30">
        <f>SUM(E92:E$102)/$E$103</f>
        <v>0.86442767969976619</v>
      </c>
    </row>
    <row r="92" spans="2:23" x14ac:dyDescent="0.25">
      <c r="B92" s="16" t="s">
        <v>4</v>
      </c>
      <c r="C92" s="17" t="s">
        <v>15</v>
      </c>
      <c r="D92" s="4">
        <v>600</v>
      </c>
      <c r="E92" s="5">
        <f>144.42+119.59</f>
        <v>264.01</v>
      </c>
      <c r="F92" s="28">
        <f t="shared" ref="F92:F103" si="34">E92/$E$103</f>
        <v>0.20220579787845133</v>
      </c>
      <c r="G92" s="30">
        <f>SUM(E93:E$102)/$E$103</f>
        <v>0.66222188182131514</v>
      </c>
    </row>
    <row r="93" spans="2:23" x14ac:dyDescent="0.25">
      <c r="B93" s="18">
        <f>FORECAST(0.8,D91:D92,G91:G92)</f>
        <v>995.19790917010732</v>
      </c>
      <c r="C93" s="17" t="s">
        <v>11</v>
      </c>
      <c r="D93" s="4">
        <v>425</v>
      </c>
      <c r="E93" s="5">
        <f>134.97+126.99</f>
        <v>261.95999999999998</v>
      </c>
      <c r="F93" s="28">
        <f t="shared" si="34"/>
        <v>0.200635698694137</v>
      </c>
      <c r="G93" s="30">
        <f>SUM(E94:E$102)/$E$103</f>
        <v>0.46158618312717814</v>
      </c>
    </row>
    <row r="94" spans="2:23" x14ac:dyDescent="0.25">
      <c r="B94" s="7"/>
      <c r="C94" s="17" t="s">
        <v>10</v>
      </c>
      <c r="D94" s="4">
        <v>300</v>
      </c>
      <c r="E94" s="5">
        <f>169.02+170.78</f>
        <v>339.8</v>
      </c>
      <c r="F94" s="28">
        <f t="shared" si="34"/>
        <v>0.26025351357561366</v>
      </c>
      <c r="G94" s="30">
        <f>SUM(E95:E$102)/$E$103</f>
        <v>0.20133266955156434</v>
      </c>
      <c r="H94" s="32"/>
      <c r="J94" s="58">
        <f>J80</f>
        <v>0.46097655512378377</v>
      </c>
      <c r="K94" s="58">
        <f>1-J94</f>
        <v>0.53902344487621623</v>
      </c>
      <c r="L94" s="58">
        <f>SUM($F$92:F94)</f>
        <v>0.66309501014820205</v>
      </c>
      <c r="M94" s="58">
        <v>1</v>
      </c>
      <c r="N94" s="22">
        <f>+(L94-J94)/(L94+M94-1)</f>
        <v>0.30481070122853843</v>
      </c>
      <c r="O94" s="90">
        <f>1-N94</f>
        <v>0.69518929877146163</v>
      </c>
      <c r="P94" s="22">
        <f>+N94*M94/K94</f>
        <v>0.56548690808529956</v>
      </c>
      <c r="Q94" s="22">
        <f>+O94*L94/J94</f>
        <v>1.0000000000000002</v>
      </c>
      <c r="R94" s="91">
        <f>+N94*M94+O94*L94</f>
        <v>0.76578725635232225</v>
      </c>
    </row>
    <row r="95" spans="2:23" x14ac:dyDescent="0.25">
      <c r="B95" s="7"/>
      <c r="C95" s="15" t="s">
        <v>5</v>
      </c>
      <c r="D95" s="8">
        <v>212</v>
      </c>
      <c r="E95" s="9">
        <f>74.42+83.95</f>
        <v>158.37</v>
      </c>
      <c r="F95" s="28">
        <f t="shared" si="34"/>
        <v>0.12129590625359016</v>
      </c>
      <c r="G95" s="30">
        <f>SUM(E96:E$102)/$E$103</f>
        <v>8.0036763297974184E-2</v>
      </c>
      <c r="H95" s="66">
        <f>SUM(F96:F102)*100</f>
        <v>8.0036763297974183</v>
      </c>
      <c r="I95" s="32">
        <f>($I$194-H95)/($I$194*(100-H95))*10000</f>
        <v>87.096222857175476</v>
      </c>
      <c r="J95" s="58">
        <f t="shared" ref="J95:J101" si="35">J81</f>
        <v>0.59729275782903823</v>
      </c>
      <c r="K95" s="58">
        <f t="shared" ref="K95:K101" si="36">1-J95</f>
        <v>0.40270724217096177</v>
      </c>
      <c r="L95" s="58">
        <f>SUM($F$92:F95)</f>
        <v>0.78439091640179215</v>
      </c>
      <c r="M95" s="97">
        <v>0.87239999999999995</v>
      </c>
      <c r="N95" s="22">
        <f t="shared" ref="N95:N101" si="37">+(L95-J95)/(L95+M95-1)</f>
        <v>0.28486715315395211</v>
      </c>
      <c r="O95" s="90">
        <f t="shared" ref="O95:O101" si="38">1-N95</f>
        <v>0.71513284684604783</v>
      </c>
      <c r="P95" s="22">
        <f t="shared" ref="P95:P101" si="39">+N95*M95/K95</f>
        <v>0.61711853770438063</v>
      </c>
      <c r="Q95" s="22">
        <f t="shared" ref="Q95:Q101" si="40">+O95*L95/J95</f>
        <v>0.93914366403074923</v>
      </c>
      <c r="R95" s="91">
        <f t="shared" ref="R95:R101" si="41">+N95*M95+O95*L95</f>
        <v>0.80946181349810176</v>
      </c>
    </row>
    <row r="96" spans="2:23" x14ac:dyDescent="0.25">
      <c r="B96" s="7"/>
      <c r="C96" s="15" t="s">
        <v>12</v>
      </c>
      <c r="D96" s="8">
        <v>180</v>
      </c>
      <c r="E96" s="9">
        <f>8.83+12.08</f>
        <v>20.91</v>
      </c>
      <c r="F96" s="28">
        <f t="shared" si="34"/>
        <v>1.6015011680006127E-2</v>
      </c>
      <c r="G96" s="30">
        <f>SUM(E97:E$102)/$E$103</f>
        <v>6.4021751617968053E-2</v>
      </c>
      <c r="J96" s="58">
        <f t="shared" si="35"/>
        <v>0.63167990141027042</v>
      </c>
      <c r="K96" s="58">
        <f t="shared" si="36"/>
        <v>0.36832009858972958</v>
      </c>
      <c r="L96" s="58">
        <f>SUM($F$92:F96)</f>
        <v>0.80040592808179822</v>
      </c>
      <c r="M96" s="58">
        <v>1</v>
      </c>
      <c r="N96" s="22">
        <f t="shared" si="37"/>
        <v>0.21080057100012473</v>
      </c>
      <c r="O96" s="90">
        <f t="shared" si="38"/>
        <v>0.78919942899987527</v>
      </c>
      <c r="P96" s="22">
        <f t="shared" si="39"/>
        <v>0.57232980716302073</v>
      </c>
      <c r="Q96" s="22">
        <f t="shared" si="40"/>
        <v>1</v>
      </c>
      <c r="R96" s="91">
        <f t="shared" si="41"/>
        <v>0.84248047241039514</v>
      </c>
    </row>
    <row r="97" spans="2:23" x14ac:dyDescent="0.25">
      <c r="B97" s="7"/>
      <c r="C97" s="15" t="s">
        <v>13</v>
      </c>
      <c r="D97" s="8">
        <v>150</v>
      </c>
      <c r="E97" s="9">
        <f>8.58+12</f>
        <v>20.58</v>
      </c>
      <c r="F97" s="28">
        <f t="shared" si="34"/>
        <v>1.5762264006433574E-2</v>
      </c>
      <c r="G97" s="30">
        <f>SUM(E98:E$102)/$E$103</f>
        <v>4.8259487611534486E-2</v>
      </c>
      <c r="J97" s="58">
        <f t="shared" si="35"/>
        <v>0.67853983840030208</v>
      </c>
      <c r="K97" s="58">
        <f t="shared" si="36"/>
        <v>0.32146016159969792</v>
      </c>
      <c r="L97" s="58">
        <f>SUM($F$92:F97)</f>
        <v>0.81616819208823177</v>
      </c>
      <c r="M97" s="58">
        <v>1</v>
      </c>
      <c r="N97" s="22">
        <f t="shared" si="37"/>
        <v>0.1686274410373633</v>
      </c>
      <c r="O97" s="90">
        <f t="shared" si="38"/>
        <v>0.83137255896263673</v>
      </c>
      <c r="P97" s="22">
        <f t="shared" si="39"/>
        <v>0.52456715071072668</v>
      </c>
      <c r="Q97" s="22">
        <f t="shared" si="40"/>
        <v>1</v>
      </c>
      <c r="R97" s="91">
        <f t="shared" si="41"/>
        <v>0.84716727943766534</v>
      </c>
    </row>
    <row r="98" spans="2:23" x14ac:dyDescent="0.25">
      <c r="B98" s="7"/>
      <c r="C98" s="15" t="s">
        <v>9</v>
      </c>
      <c r="D98" s="8">
        <v>106</v>
      </c>
      <c r="E98" s="9">
        <f>6.55+11.93</f>
        <v>18.48</v>
      </c>
      <c r="F98" s="28">
        <f t="shared" si="34"/>
        <v>1.4153869720062804E-2</v>
      </c>
      <c r="G98" s="30">
        <f>SUM(E99:E$102)/$E$103</f>
        <v>3.4105617891471679E-2</v>
      </c>
      <c r="J98" s="58">
        <f t="shared" si="35"/>
        <v>0.74925212931951213</v>
      </c>
      <c r="K98" s="58">
        <f t="shared" si="36"/>
        <v>0.25074787068048787</v>
      </c>
      <c r="L98" s="58">
        <f>SUM($F$92:F98)</f>
        <v>0.8303220618082946</v>
      </c>
      <c r="M98" s="58">
        <v>1</v>
      </c>
      <c r="N98" s="22">
        <f t="shared" si="37"/>
        <v>9.7636731839000498E-2</v>
      </c>
      <c r="O98" s="90">
        <f t="shared" si="38"/>
        <v>0.90236326816099954</v>
      </c>
      <c r="P98" s="22">
        <f t="shared" si="39"/>
        <v>0.3893820975389769</v>
      </c>
      <c r="Q98" s="22">
        <f t="shared" si="40"/>
        <v>1</v>
      </c>
      <c r="R98" s="91">
        <f t="shared" si="41"/>
        <v>0.84688886115851258</v>
      </c>
    </row>
    <row r="99" spans="2:23" x14ac:dyDescent="0.25">
      <c r="B99" s="7"/>
      <c r="C99" s="15" t="s">
        <v>8</v>
      </c>
      <c r="D99" s="8">
        <v>75</v>
      </c>
      <c r="E99" s="9">
        <f>2.13+5.34</f>
        <v>7.47</v>
      </c>
      <c r="F99" s="28">
        <f t="shared" si="34"/>
        <v>5.7212882472331781E-3</v>
      </c>
      <c r="G99" s="30">
        <f>SUM(E100:E$102)/$E$103</f>
        <v>2.8384329644238503E-2</v>
      </c>
      <c r="J99" s="58">
        <f t="shared" si="35"/>
        <v>0.79407467774475982</v>
      </c>
      <c r="K99" s="58">
        <f t="shared" si="36"/>
        <v>0.20592532225524018</v>
      </c>
      <c r="L99" s="58">
        <f>SUM($F$92:F99)</f>
        <v>0.83604335005552777</v>
      </c>
      <c r="M99" s="58">
        <v>1</v>
      </c>
      <c r="N99" s="22">
        <f t="shared" si="37"/>
        <v>5.0199158103441055E-2</v>
      </c>
      <c r="O99" s="90">
        <f t="shared" si="38"/>
        <v>0.94980084189655889</v>
      </c>
      <c r="P99" s="22">
        <f t="shared" si="39"/>
        <v>0.24377360469160872</v>
      </c>
      <c r="Q99" s="22">
        <f t="shared" si="40"/>
        <v>1</v>
      </c>
      <c r="R99" s="91">
        <f t="shared" si="41"/>
        <v>0.84427383584820093</v>
      </c>
    </row>
    <row r="100" spans="2:23" x14ac:dyDescent="0.25">
      <c r="B100" s="7"/>
      <c r="C100" s="15" t="s">
        <v>7</v>
      </c>
      <c r="D100" s="10">
        <v>53</v>
      </c>
      <c r="E100" s="9">
        <f>1.16+4.17</f>
        <v>5.33</v>
      </c>
      <c r="F100" s="28">
        <f t="shared" si="34"/>
        <v>4.0822578792172482E-3</v>
      </c>
      <c r="G100" s="30">
        <f>SUM(E101:E$102)/$E$103</f>
        <v>2.4302071765021253E-2</v>
      </c>
      <c r="J100" s="58">
        <f t="shared" si="35"/>
        <v>0.83794313201284043</v>
      </c>
      <c r="K100" s="58">
        <f t="shared" si="36"/>
        <v>0.16205686798715957</v>
      </c>
      <c r="L100" s="58">
        <f>SUM($F$92:F100)</f>
        <v>0.840125607934745</v>
      </c>
      <c r="M100" s="58">
        <v>1</v>
      </c>
      <c r="N100" s="22">
        <f t="shared" si="37"/>
        <v>2.5977971642474787E-3</v>
      </c>
      <c r="O100" s="90">
        <f t="shared" si="38"/>
        <v>0.99740220283575254</v>
      </c>
      <c r="P100" s="22">
        <f t="shared" si="39"/>
        <v>1.6030157786668522E-2</v>
      </c>
      <c r="Q100" s="22">
        <f t="shared" si="40"/>
        <v>1</v>
      </c>
      <c r="R100" s="91">
        <f t="shared" si="41"/>
        <v>0.84054092917708789</v>
      </c>
    </row>
    <row r="101" spans="2:23" x14ac:dyDescent="0.25">
      <c r="B101" s="7"/>
      <c r="C101" s="15" t="s">
        <v>17</v>
      </c>
      <c r="D101" s="10">
        <v>38</v>
      </c>
      <c r="E101" s="9">
        <f>1.09+2.41</f>
        <v>3.5</v>
      </c>
      <c r="F101" s="28">
        <f t="shared" si="34"/>
        <v>2.6806571439512883E-3</v>
      </c>
      <c r="G101" s="30">
        <f>SUM(E102:E$102)/$E$103</f>
        <v>2.1621414621069965E-2</v>
      </c>
      <c r="J101" s="58">
        <f t="shared" si="35"/>
        <v>0.86697343444081132</v>
      </c>
      <c r="K101" s="58">
        <f t="shared" si="36"/>
        <v>0.13302656555918868</v>
      </c>
      <c r="L101" s="58">
        <f>SUM($F$92:F101)</f>
        <v>0.84280626507869627</v>
      </c>
      <c r="M101" s="58">
        <v>1</v>
      </c>
      <c r="N101" s="22">
        <f t="shared" si="37"/>
        <v>-2.8674643703388299E-2</v>
      </c>
      <c r="O101" s="90">
        <f t="shared" si="38"/>
        <v>1.0286746437033882</v>
      </c>
      <c r="P101" s="22">
        <f t="shared" si="39"/>
        <v>-0.21555576950251967</v>
      </c>
      <c r="Q101" s="22">
        <f t="shared" si="40"/>
        <v>1</v>
      </c>
      <c r="R101" s="91">
        <f t="shared" si="41"/>
        <v>0.83829879073742297</v>
      </c>
      <c r="T101" s="58">
        <f>SUM($F$21:$F$31)</f>
        <v>0.86697343444081132</v>
      </c>
      <c r="U101" s="58">
        <f>SUM(F91:F101)</f>
        <v>0.97837858537892974</v>
      </c>
      <c r="V101" s="22">
        <v>0.7</v>
      </c>
      <c r="W101" s="22">
        <f>U101*(T101-V101)*(1-V101)*(U101-T101)/T101/(U101-V101)^2/(1-T101)</f>
        <v>0.6108928309767544</v>
      </c>
    </row>
    <row r="102" spans="2:23" x14ac:dyDescent="0.25">
      <c r="B102" s="23"/>
      <c r="C102" s="24">
        <v>-38</v>
      </c>
      <c r="D102" s="25"/>
      <c r="E102" s="26">
        <f>0.42+27.81</f>
        <v>28.23</v>
      </c>
      <c r="F102" s="28">
        <f t="shared" si="34"/>
        <v>2.1621414621069965E-2</v>
      </c>
      <c r="G102" s="27"/>
    </row>
    <row r="103" spans="2:23" ht="15.75" thickBot="1" x14ac:dyDescent="0.3">
      <c r="B103" s="75"/>
      <c r="C103" s="76" t="s">
        <v>6</v>
      </c>
      <c r="D103" s="77"/>
      <c r="E103" s="78">
        <f>SUM(E91:E102)</f>
        <v>1305.6500000000001</v>
      </c>
      <c r="F103" s="79">
        <f t="shared" si="34"/>
        <v>1</v>
      </c>
      <c r="G103" s="78"/>
    </row>
    <row r="104" spans="2:23" s="55" customFormat="1" x14ac:dyDescent="0.25">
      <c r="B104" s="70"/>
      <c r="C104" s="71"/>
      <c r="D104" s="72"/>
      <c r="E104" s="73"/>
      <c r="F104" s="74"/>
      <c r="G104" s="73"/>
      <c r="H104" s="70"/>
      <c r="I104" s="70"/>
      <c r="J104" s="70"/>
    </row>
    <row r="105" spans="2:23" s="55" customFormat="1" x14ac:dyDescent="0.25">
      <c r="B105" s="70"/>
      <c r="C105" s="71"/>
      <c r="D105" s="72"/>
      <c r="E105" s="73"/>
      <c r="F105" s="74"/>
      <c r="G105" s="73"/>
      <c r="H105" s="70"/>
      <c r="I105" s="70"/>
      <c r="J105" s="70"/>
    </row>
    <row r="106" spans="2:23" s="55" customFormat="1" ht="30" x14ac:dyDescent="0.25">
      <c r="B106" s="86" t="s">
        <v>0</v>
      </c>
      <c r="C106" s="120" t="s">
        <v>1</v>
      </c>
      <c r="D106" s="120"/>
      <c r="E106" s="87" t="s">
        <v>2</v>
      </c>
      <c r="F106" s="88" t="s">
        <v>14</v>
      </c>
      <c r="G106" s="87" t="s">
        <v>3</v>
      </c>
    </row>
    <row r="107" spans="2:23" s="55" customFormat="1" ht="56.25" x14ac:dyDescent="0.25">
      <c r="B107" s="80" t="s">
        <v>109</v>
      </c>
      <c r="C107" s="81" t="s">
        <v>16</v>
      </c>
      <c r="D107" s="82">
        <v>1180</v>
      </c>
      <c r="E107" s="83">
        <v>68.180000000000007</v>
      </c>
      <c r="F107" s="84">
        <f t="shared" ref="F107:F119" si="42">E107/$E$119</f>
        <v>7.2740075321931913E-2</v>
      </c>
      <c r="G107" s="85">
        <f>SUM(E108:E$118)/$E$119</f>
        <v>0.92725992467806806</v>
      </c>
    </row>
    <row r="108" spans="2:23" s="55" customFormat="1" x14ac:dyDescent="0.25">
      <c r="B108" s="16" t="s">
        <v>4</v>
      </c>
      <c r="C108" s="17" t="s">
        <v>15</v>
      </c>
      <c r="D108" s="4">
        <v>600</v>
      </c>
      <c r="E108" s="5">
        <v>100.97</v>
      </c>
      <c r="F108" s="28">
        <f t="shared" si="42"/>
        <v>0.1077231652281529</v>
      </c>
      <c r="G108" s="30">
        <f>SUM(E109:E$118)/$E$119</f>
        <v>0.81953675944991522</v>
      </c>
    </row>
    <row r="109" spans="2:23" s="55" customFormat="1" x14ac:dyDescent="0.25">
      <c r="B109" s="18">
        <f>FORECAST(0.8,D108:D109,G108:G109)</f>
        <v>568.72340425531934</v>
      </c>
      <c r="C109" s="17" t="s">
        <v>11</v>
      </c>
      <c r="D109" s="4">
        <v>425</v>
      </c>
      <c r="E109" s="5">
        <v>102.46</v>
      </c>
      <c r="F109" s="28">
        <f t="shared" si="42"/>
        <v>0.10931282073166827</v>
      </c>
      <c r="G109" s="30">
        <f>SUM(E110:E$118)/$E$119</f>
        <v>0.71022393871824685</v>
      </c>
    </row>
    <row r="110" spans="2:23" s="55" customFormat="1" x14ac:dyDescent="0.25">
      <c r="B110" s="7"/>
      <c r="C110" s="17" t="s">
        <v>10</v>
      </c>
      <c r="D110" s="4">
        <v>300</v>
      </c>
      <c r="E110" s="5">
        <v>153.1</v>
      </c>
      <c r="F110" s="28">
        <f t="shared" si="42"/>
        <v>0.16333977019342585</v>
      </c>
      <c r="G110" s="30">
        <f>SUM(E111:E$118)/$E$119</f>
        <v>0.54688416852482091</v>
      </c>
    </row>
    <row r="111" spans="2:23" s="55" customFormat="1" x14ac:dyDescent="0.25">
      <c r="B111" s="7"/>
      <c r="C111" s="15" t="s">
        <v>5</v>
      </c>
      <c r="D111" s="8">
        <v>212</v>
      </c>
      <c r="E111" s="9">
        <v>126.15</v>
      </c>
      <c r="F111" s="28">
        <f t="shared" si="42"/>
        <v>0.13458727635467455</v>
      </c>
      <c r="G111" s="30">
        <f>SUM(E112:E$118)/$E$119</f>
        <v>0.41229689217014642</v>
      </c>
      <c r="H111" s="66">
        <f>SUM(F112:F118)*100</f>
        <v>41.229689217014645</v>
      </c>
      <c r="I111" s="32">
        <f>($I$194-H111)/($I$194*(100-H111))*10000</f>
        <v>-4.0518683806948186</v>
      </c>
    </row>
    <row r="112" spans="2:23" s="55" customFormat="1" x14ac:dyDescent="0.25">
      <c r="B112" s="7"/>
      <c r="C112" s="15" t="s">
        <v>12</v>
      </c>
      <c r="D112" s="8">
        <v>180</v>
      </c>
      <c r="E112" s="9">
        <v>31.27</v>
      </c>
      <c r="F112" s="28">
        <f t="shared" si="42"/>
        <v>3.3361427916057652E-2</v>
      </c>
      <c r="G112" s="30">
        <f>SUM(E113:E$118)/$E$119</f>
        <v>0.37893546425408875</v>
      </c>
    </row>
    <row r="113" spans="2:18" s="55" customFormat="1" x14ac:dyDescent="0.25">
      <c r="B113" s="7"/>
      <c r="C113" s="15" t="s">
        <v>13</v>
      </c>
      <c r="D113" s="8">
        <v>150</v>
      </c>
      <c r="E113" s="9">
        <v>44.95</v>
      </c>
      <c r="F113" s="28">
        <f t="shared" si="42"/>
        <v>4.795638582752771E-2</v>
      </c>
      <c r="G113" s="30">
        <f>SUM(E114:E$118)/$E$119</f>
        <v>0.3309790784265611</v>
      </c>
    </row>
    <row r="114" spans="2:18" s="55" customFormat="1" x14ac:dyDescent="0.25">
      <c r="B114" s="7"/>
      <c r="C114" s="15" t="s">
        <v>9</v>
      </c>
      <c r="D114" s="8">
        <v>106</v>
      </c>
      <c r="E114" s="9">
        <v>62.9</v>
      </c>
      <c r="F114" s="28">
        <f t="shared" si="42"/>
        <v>6.7106933671890828E-2</v>
      </c>
      <c r="G114" s="30">
        <f>SUM(E115:E$118)/$E$119</f>
        <v>0.26387214475467025</v>
      </c>
    </row>
    <row r="115" spans="2:18" s="55" customFormat="1" x14ac:dyDescent="0.25">
      <c r="B115" s="7"/>
      <c r="C115" s="15" t="s">
        <v>8</v>
      </c>
      <c r="D115" s="8">
        <v>75</v>
      </c>
      <c r="E115" s="9">
        <v>46.16</v>
      </c>
      <c r="F115" s="28">
        <f t="shared" si="42"/>
        <v>4.9247314122328786E-2</v>
      </c>
      <c r="G115" s="30">
        <f>SUM(E116:E$118)/$E$119</f>
        <v>0.2146248306323415</v>
      </c>
    </row>
    <row r="116" spans="2:18" s="55" customFormat="1" x14ac:dyDescent="0.25">
      <c r="B116" s="7"/>
      <c r="C116" s="15" t="s">
        <v>7</v>
      </c>
      <c r="D116" s="10">
        <v>53</v>
      </c>
      <c r="E116" s="9">
        <v>42.88</v>
      </c>
      <c r="F116" s="28">
        <f t="shared" si="42"/>
        <v>4.5747938248818426E-2</v>
      </c>
      <c r="G116" s="30">
        <f>SUM(E117:E$118)/$E$119</f>
        <v>0.16887689238352305</v>
      </c>
    </row>
    <row r="117" spans="2:18" s="55" customFormat="1" x14ac:dyDescent="0.25">
      <c r="B117" s="7"/>
      <c r="C117" s="15" t="s">
        <v>17</v>
      </c>
      <c r="D117" s="10">
        <v>38</v>
      </c>
      <c r="E117" s="9">
        <v>23.45</v>
      </c>
      <c r="F117" s="28">
        <f t="shared" si="42"/>
        <v>2.5018403729822575E-2</v>
      </c>
      <c r="G117" s="30">
        <f>SUM(E118:E$118)/$E$119</f>
        <v>0.14385848865370049</v>
      </c>
    </row>
    <row r="118" spans="2:18" s="55" customFormat="1" x14ac:dyDescent="0.25">
      <c r="B118" s="23"/>
      <c r="C118" s="24">
        <v>-38</v>
      </c>
      <c r="D118" s="25"/>
      <c r="E118" s="26">
        <v>134.84</v>
      </c>
      <c r="F118" s="28">
        <f t="shared" si="42"/>
        <v>0.14385848865370049</v>
      </c>
      <c r="G118" s="27"/>
    </row>
    <row r="119" spans="2:18" s="55" customFormat="1" ht="15.75" thickBot="1" x14ac:dyDescent="0.3">
      <c r="B119" s="11"/>
      <c r="C119" s="12" t="s">
        <v>6</v>
      </c>
      <c r="D119" s="13"/>
      <c r="E119" s="14">
        <f>SUM(E107:E118)</f>
        <v>937.31000000000006</v>
      </c>
      <c r="F119" s="28">
        <f t="shared" si="42"/>
        <v>1</v>
      </c>
      <c r="G119" s="14"/>
    </row>
    <row r="120" spans="2:18" ht="30.75" thickBot="1" x14ac:dyDescent="0.3">
      <c r="B120" s="1" t="s">
        <v>0</v>
      </c>
      <c r="C120" s="117" t="s">
        <v>1</v>
      </c>
      <c r="D120" s="118"/>
      <c r="E120" s="2" t="s">
        <v>2</v>
      </c>
      <c r="F120" s="19" t="s">
        <v>14</v>
      </c>
      <c r="G120" s="2" t="s">
        <v>3</v>
      </c>
    </row>
    <row r="121" spans="2:18" ht="30.75" customHeight="1" thickTop="1" x14ac:dyDescent="0.25">
      <c r="B121" s="34" t="s">
        <v>30</v>
      </c>
      <c r="C121" s="3" t="s">
        <v>16</v>
      </c>
      <c r="D121" s="4">
        <v>1180</v>
      </c>
      <c r="E121" s="5">
        <f>113.55+118.72</f>
        <v>232.26999999999998</v>
      </c>
      <c r="F121" s="28">
        <f>E121/$E$133</f>
        <v>0.11419426840839926</v>
      </c>
      <c r="G121" s="30">
        <f>SUM(E122:E$132)/$E$133</f>
        <v>0.8858057315916007</v>
      </c>
    </row>
    <row r="122" spans="2:18" x14ac:dyDescent="0.25">
      <c r="B122" s="16" t="s">
        <v>4</v>
      </c>
      <c r="C122" s="17" t="s">
        <v>15</v>
      </c>
      <c r="D122" s="4">
        <v>600</v>
      </c>
      <c r="E122" s="5">
        <f>179.84+184.9</f>
        <v>364.74</v>
      </c>
      <c r="F122" s="28">
        <f t="shared" ref="F122:F133" si="43">E122/$E$133</f>
        <v>0.17932241554776573</v>
      </c>
      <c r="G122" s="30">
        <f>SUM(E123:E$132)/$E$133</f>
        <v>0.70648331604383496</v>
      </c>
    </row>
    <row r="123" spans="2:18" x14ac:dyDescent="0.25">
      <c r="B123" s="18">
        <f>FORECAST(0.8,D121:D122,G121:G122)</f>
        <v>902.47014311564453</v>
      </c>
      <c r="C123" s="17" t="s">
        <v>11</v>
      </c>
      <c r="D123" s="4">
        <v>425</v>
      </c>
      <c r="E123" s="5">
        <f>198.02+202.08</f>
        <v>400.1</v>
      </c>
      <c r="F123" s="28">
        <f t="shared" si="43"/>
        <v>0.19670696512765554</v>
      </c>
      <c r="G123" s="30">
        <f>SUM(E124:E$132)/$E$133</f>
        <v>0.50977635091617968</v>
      </c>
    </row>
    <row r="124" spans="2:18" x14ac:dyDescent="0.25">
      <c r="B124" s="7"/>
      <c r="C124" s="17" t="s">
        <v>10</v>
      </c>
      <c r="D124" s="4">
        <v>300</v>
      </c>
      <c r="E124" s="5">
        <f>245.64+248.76</f>
        <v>494.4</v>
      </c>
      <c r="F124" s="28">
        <f t="shared" si="43"/>
        <v>0.24306904163737286</v>
      </c>
      <c r="G124" s="30">
        <f>SUM(E125:E$132)/$E$133</f>
        <v>0.2667073092788067</v>
      </c>
      <c r="H124" s="32"/>
      <c r="J124" s="58">
        <f>SUM($F$107:F110)</f>
        <v>0.45311583147517898</v>
      </c>
      <c r="K124" s="58">
        <f>1-J124</f>
        <v>0.54688416852482102</v>
      </c>
      <c r="L124" s="58">
        <f>SUM($F$121:F124)</f>
        <v>0.73329269072119341</v>
      </c>
      <c r="M124" s="58">
        <v>1</v>
      </c>
      <c r="N124" s="22">
        <f>+(L124-J124)/(L124+M124-1)</f>
        <v>0.38208052908649681</v>
      </c>
      <c r="O124" s="90">
        <f>1-N124</f>
        <v>0.61791947091350319</v>
      </c>
      <c r="P124" s="22">
        <f>+N124*M124/K124</f>
        <v>0.69864982582533031</v>
      </c>
      <c r="Q124" s="22">
        <f>+O124*L124/J124</f>
        <v>1</v>
      </c>
      <c r="R124" s="91">
        <f>+N124*M124+O124*L124</f>
        <v>0.83519636056167579</v>
      </c>
    </row>
    <row r="125" spans="2:18" x14ac:dyDescent="0.25">
      <c r="B125" s="7"/>
      <c r="C125" s="15" t="s">
        <v>5</v>
      </c>
      <c r="D125" s="8">
        <v>212</v>
      </c>
      <c r="E125" s="9">
        <f>106.39+107.7</f>
        <v>214.09</v>
      </c>
      <c r="F125" s="28">
        <f t="shared" si="43"/>
        <v>0.10525617136760752</v>
      </c>
      <c r="G125" s="30">
        <f>SUM(E126:E$132)/$E$133</f>
        <v>0.16145113791119919</v>
      </c>
      <c r="H125" s="66">
        <f>SUM(F126:F132)*100</f>
        <v>16.145113791119918</v>
      </c>
      <c r="I125" s="32">
        <f>($I$194-H125)/($I$194*(100-H125))*10000</f>
        <v>71.443133886006279</v>
      </c>
      <c r="J125" s="58">
        <f>SUM($F$107:F111)</f>
        <v>0.58770310782985358</v>
      </c>
      <c r="K125" s="58">
        <f t="shared" ref="K125:K131" si="44">1-J125</f>
        <v>0.41229689217014642</v>
      </c>
      <c r="L125" s="58">
        <f>SUM($F$121:F125)</f>
        <v>0.83854886208880097</v>
      </c>
      <c r="M125" s="97">
        <v>0.87239999999999995</v>
      </c>
      <c r="N125" s="22">
        <f t="shared" ref="N125:N131" si="45">+(L125-J125)/(L125+M125-1)</f>
        <v>0.352832345102784</v>
      </c>
      <c r="O125" s="90">
        <f t="shared" ref="O125:O131" si="46">1-N125</f>
        <v>0.64716765489721606</v>
      </c>
      <c r="P125" s="22">
        <f t="shared" ref="P125:P131" si="47">+N125*M125/K125</f>
        <v>0.74657593523805044</v>
      </c>
      <c r="Q125" s="22">
        <f t="shared" ref="Q125:Q131" si="48">+O125*L125/J125</f>
        <v>0.92339430124615007</v>
      </c>
      <c r="R125" s="91">
        <f t="shared" ref="R125:R131" si="49">+N125*M125+O125*L125</f>
        <v>0.85049263846240719</v>
      </c>
    </row>
    <row r="126" spans="2:18" x14ac:dyDescent="0.25">
      <c r="B126" s="7"/>
      <c r="C126" s="15" t="s">
        <v>12</v>
      </c>
      <c r="D126" s="8">
        <v>180</v>
      </c>
      <c r="E126" s="9">
        <f>16.49+17.55</f>
        <v>34.04</v>
      </c>
      <c r="F126" s="28">
        <f t="shared" si="43"/>
        <v>1.6735578837654072E-2</v>
      </c>
      <c r="G126" s="30">
        <f>SUM(E127:E$132)/$E$133</f>
        <v>0.14471555907354511</v>
      </c>
      <c r="J126" s="58">
        <f>SUM($F$107:F112)</f>
        <v>0.62106453574591125</v>
      </c>
      <c r="K126" s="58">
        <f t="shared" si="44"/>
        <v>0.37893546425408875</v>
      </c>
      <c r="L126" s="58">
        <f>SUM($F$121:F126)</f>
        <v>0.85528444092645506</v>
      </c>
      <c r="M126" s="58">
        <v>1</v>
      </c>
      <c r="N126" s="22">
        <f t="shared" si="45"/>
        <v>0.27385030520002657</v>
      </c>
      <c r="O126" s="90">
        <f t="shared" si="46"/>
        <v>0.72614969479997349</v>
      </c>
      <c r="P126" s="22">
        <f t="shared" si="47"/>
        <v>0.72268322981878752</v>
      </c>
      <c r="Q126" s="22">
        <f t="shared" si="48"/>
        <v>1</v>
      </c>
      <c r="R126" s="91">
        <f t="shared" si="49"/>
        <v>0.89491484094593776</v>
      </c>
    </row>
    <row r="127" spans="2:18" x14ac:dyDescent="0.25">
      <c r="B127" s="7"/>
      <c r="C127" s="15" t="s">
        <v>13</v>
      </c>
      <c r="D127" s="8">
        <v>150</v>
      </c>
      <c r="E127" s="9">
        <f>18.38+23.18</f>
        <v>41.56</v>
      </c>
      <c r="F127" s="28">
        <f t="shared" si="43"/>
        <v>2.043274549039081E-2</v>
      </c>
      <c r="G127" s="30">
        <f>SUM(E128:E$132)/$E$133</f>
        <v>0.12428281358315432</v>
      </c>
      <c r="J127" s="58">
        <f>SUM($F$107:F113)</f>
        <v>0.66902092157343895</v>
      </c>
      <c r="K127" s="58">
        <f t="shared" si="44"/>
        <v>0.33097907842656105</v>
      </c>
      <c r="L127" s="58">
        <f>SUM($F$121:F127)</f>
        <v>0.87571718641684582</v>
      </c>
      <c r="M127" s="58">
        <v>1</v>
      </c>
      <c r="N127" s="22">
        <f t="shared" si="45"/>
        <v>0.23603084197666802</v>
      </c>
      <c r="O127" s="90">
        <f t="shared" si="46"/>
        <v>0.76396915802333198</v>
      </c>
      <c r="P127" s="22">
        <f t="shared" si="47"/>
        <v>0.71312918961141969</v>
      </c>
      <c r="Q127" s="22">
        <f t="shared" si="48"/>
        <v>1</v>
      </c>
      <c r="R127" s="91">
        <f t="shared" si="49"/>
        <v>0.90505176355010697</v>
      </c>
    </row>
    <row r="128" spans="2:18" x14ac:dyDescent="0.25">
      <c r="B128" s="7"/>
      <c r="C128" s="15" t="s">
        <v>9</v>
      </c>
      <c r="D128" s="8">
        <v>106</v>
      </c>
      <c r="E128" s="9">
        <f>22.07+24.01</f>
        <v>46.08</v>
      </c>
      <c r="F128" s="28">
        <f t="shared" si="43"/>
        <v>2.2654978638046403E-2</v>
      </c>
      <c r="G128" s="30">
        <f>SUM(E129:E$132)/$E$133</f>
        <v>0.10162783494510789</v>
      </c>
      <c r="J128" s="58">
        <f>SUM($F$107:F114)</f>
        <v>0.73612785524532975</v>
      </c>
      <c r="K128" s="58">
        <f t="shared" si="44"/>
        <v>0.26387214475467025</v>
      </c>
      <c r="L128" s="58">
        <f>SUM($F$121:F128)</f>
        <v>0.89837216505489226</v>
      </c>
      <c r="M128" s="58">
        <v>1</v>
      </c>
      <c r="N128" s="22">
        <f t="shared" si="45"/>
        <v>0.18059810412720109</v>
      </c>
      <c r="O128" s="90">
        <f t="shared" si="46"/>
        <v>0.81940189587279888</v>
      </c>
      <c r="P128" s="22">
        <f t="shared" si="47"/>
        <v>0.68441519014865515</v>
      </c>
      <c r="Q128" s="22">
        <f t="shared" si="48"/>
        <v>1</v>
      </c>
      <c r="R128" s="91">
        <f t="shared" si="49"/>
        <v>0.91672595937253087</v>
      </c>
    </row>
    <row r="129" spans="2:23" x14ac:dyDescent="0.25">
      <c r="B129" s="7"/>
      <c r="C129" s="15" t="s">
        <v>8</v>
      </c>
      <c r="D129" s="8">
        <v>75</v>
      </c>
      <c r="E129" s="9">
        <f>13.95+18.91</f>
        <v>32.86</v>
      </c>
      <c r="F129" s="28">
        <f t="shared" si="43"/>
        <v>1.6155438325655486E-2</v>
      </c>
      <c r="G129" s="30">
        <f>SUM(E130:E$132)/$E$133</f>
        <v>8.5472396619452412E-2</v>
      </c>
      <c r="J129" s="58">
        <f>SUM($F$107:F115)</f>
        <v>0.7853751693676585</v>
      </c>
      <c r="K129" s="58">
        <f t="shared" si="44"/>
        <v>0.2146248306323415</v>
      </c>
      <c r="L129" s="58">
        <f>SUM($F$121:F129)</f>
        <v>0.91452760338054773</v>
      </c>
      <c r="M129" s="58">
        <v>1</v>
      </c>
      <c r="N129" s="22">
        <f t="shared" si="45"/>
        <v>0.14122311183990263</v>
      </c>
      <c r="O129" s="90">
        <f t="shared" si="46"/>
        <v>0.85877688816009734</v>
      </c>
      <c r="P129" s="22">
        <f t="shared" si="47"/>
        <v>0.65799987552149486</v>
      </c>
      <c r="Q129" s="22">
        <f t="shared" si="48"/>
        <v>1</v>
      </c>
      <c r="R129" s="91">
        <f t="shared" si="49"/>
        <v>0.92659828120756116</v>
      </c>
    </row>
    <row r="130" spans="2:23" x14ac:dyDescent="0.25">
      <c r="B130" s="7"/>
      <c r="C130" s="15" t="s">
        <v>7</v>
      </c>
      <c r="D130" s="10">
        <v>53</v>
      </c>
      <c r="E130" s="9">
        <f>12.08+15.06</f>
        <v>27.14</v>
      </c>
      <c r="F130" s="28">
        <f t="shared" si="43"/>
        <v>1.3343231775967435E-2</v>
      </c>
      <c r="G130" s="30">
        <f>SUM(E131:E$132)/$E$133</f>
        <v>7.2129164843484986E-2</v>
      </c>
      <c r="J130" s="58">
        <f>SUM($F$107:F116)</f>
        <v>0.8311231076164769</v>
      </c>
      <c r="K130" s="58">
        <f t="shared" si="44"/>
        <v>0.1688768923835231</v>
      </c>
      <c r="L130" s="58">
        <f>SUM($F$121:F130)</f>
        <v>0.92787083515651514</v>
      </c>
      <c r="M130" s="58">
        <v>1</v>
      </c>
      <c r="N130" s="22">
        <f t="shared" si="45"/>
        <v>0.1042685294917354</v>
      </c>
      <c r="O130" s="90">
        <f t="shared" si="46"/>
        <v>0.89573147050826463</v>
      </c>
      <c r="P130" s="22">
        <f t="shared" si="47"/>
        <v>0.61742330771304876</v>
      </c>
      <c r="Q130" s="22">
        <f t="shared" si="48"/>
        <v>1</v>
      </c>
      <c r="R130" s="91">
        <f t="shared" si="49"/>
        <v>0.93539163710821227</v>
      </c>
    </row>
    <row r="131" spans="2:23" x14ac:dyDescent="0.25">
      <c r="B131" s="7"/>
      <c r="C131" s="15" t="s">
        <v>17</v>
      </c>
      <c r="D131" s="10">
        <v>38</v>
      </c>
      <c r="E131" s="9">
        <f>7.86+13.96</f>
        <v>21.82</v>
      </c>
      <c r="F131" s="28">
        <f t="shared" si="43"/>
        <v>1.0727683026956869E-2</v>
      </c>
      <c r="G131" s="30">
        <f>SUM(E132:E$132)/$E$133</f>
        <v>6.140148181652811E-2</v>
      </c>
      <c r="J131" s="58">
        <f>SUM($F$107:F117)</f>
        <v>0.85614151134629946</v>
      </c>
      <c r="K131" s="58">
        <f t="shared" si="44"/>
        <v>0.14385848865370054</v>
      </c>
      <c r="L131" s="58">
        <f>SUM($F$121:F131)</f>
        <v>0.93859851818347195</v>
      </c>
      <c r="M131" s="58">
        <v>1</v>
      </c>
      <c r="N131" s="22">
        <f t="shared" si="45"/>
        <v>8.7851200742098623E-2</v>
      </c>
      <c r="O131" s="90">
        <f t="shared" si="46"/>
        <v>0.91214879925790138</v>
      </c>
      <c r="P131" s="22">
        <f t="shared" si="47"/>
        <v>0.61067790690875423</v>
      </c>
      <c r="Q131" s="22">
        <f t="shared" si="48"/>
        <v>1</v>
      </c>
      <c r="R131" s="91">
        <f t="shared" si="49"/>
        <v>0.94399271208839808</v>
      </c>
      <c r="T131" s="58">
        <f>SUM($F$107:$F$117)</f>
        <v>0.85614151134629946</v>
      </c>
      <c r="U131" s="58">
        <f>SUM(F121:F131)</f>
        <v>0.93859851818347195</v>
      </c>
      <c r="V131" s="22">
        <v>0.7</v>
      </c>
      <c r="W131" s="22">
        <f>U131*(T131-V131)*(1-V131)*(U131-T131)/T131/(U131-V131)^2/(1-T131)</f>
        <v>0.51704760523965154</v>
      </c>
    </row>
    <row r="132" spans="2:23" x14ac:dyDescent="0.25">
      <c r="B132" s="23"/>
      <c r="C132" s="24">
        <v>-38</v>
      </c>
      <c r="D132" s="25"/>
      <c r="E132" s="26">
        <f>121.72+3.17</f>
        <v>124.89</v>
      </c>
      <c r="F132" s="28">
        <f t="shared" si="43"/>
        <v>6.140148181652811E-2</v>
      </c>
      <c r="G132" s="27"/>
    </row>
    <row r="133" spans="2:23" ht="15.75" thickBot="1" x14ac:dyDescent="0.3">
      <c r="B133" s="11"/>
      <c r="C133" s="12" t="s">
        <v>6</v>
      </c>
      <c r="D133" s="13"/>
      <c r="E133" s="14">
        <f>SUM(E121:E132)</f>
        <v>2033.9899999999998</v>
      </c>
      <c r="F133" s="28">
        <f t="shared" si="43"/>
        <v>1</v>
      </c>
      <c r="G133" s="14"/>
    </row>
    <row r="134" spans="2:23" ht="30.75" thickBot="1" x14ac:dyDescent="0.3">
      <c r="B134" s="1" t="s">
        <v>0</v>
      </c>
      <c r="C134" s="117" t="s">
        <v>1</v>
      </c>
      <c r="D134" s="118"/>
      <c r="E134" s="2" t="s">
        <v>2</v>
      </c>
      <c r="F134" s="19" t="s">
        <v>14</v>
      </c>
      <c r="G134" s="2" t="s">
        <v>3</v>
      </c>
    </row>
    <row r="135" spans="2:23" ht="38.25" thickTop="1" x14ac:dyDescent="0.25">
      <c r="B135" s="34" t="s">
        <v>31</v>
      </c>
      <c r="C135" s="3" t="s">
        <v>16</v>
      </c>
      <c r="D135" s="4">
        <v>1180</v>
      </c>
      <c r="E135" s="5">
        <f>115.79+79.41</f>
        <v>195.2</v>
      </c>
      <c r="F135" s="28">
        <f>E135/$E$147</f>
        <v>0.10698293863278872</v>
      </c>
      <c r="G135" s="30">
        <f>SUM(E136:E$146)/$E$147</f>
        <v>0.89301706136721115</v>
      </c>
    </row>
    <row r="136" spans="2:23" x14ac:dyDescent="0.25">
      <c r="B136" s="16" t="s">
        <v>4</v>
      </c>
      <c r="C136" s="17" t="s">
        <v>15</v>
      </c>
      <c r="D136" s="4">
        <v>600</v>
      </c>
      <c r="E136" s="5">
        <f>222.34+153.96</f>
        <v>376.3</v>
      </c>
      <c r="F136" s="28">
        <f t="shared" ref="F136:F147" si="50">E136/$E$147</f>
        <v>0.20623811376802459</v>
      </c>
      <c r="G136" s="30">
        <f>SUM(E137:E$146)/$E$147</f>
        <v>0.68677894759918667</v>
      </c>
    </row>
    <row r="137" spans="2:23" x14ac:dyDescent="0.25">
      <c r="B137" s="18">
        <f>FORECAST(0.8,D135:D136,G135:G136)</f>
        <v>918.40967313313877</v>
      </c>
      <c r="C137" s="17" t="s">
        <v>11</v>
      </c>
      <c r="D137" s="4">
        <v>425</v>
      </c>
      <c r="E137" s="5">
        <f>251.14+164.08</f>
        <v>415.22</v>
      </c>
      <c r="F137" s="28">
        <f t="shared" si="50"/>
        <v>0.22756893329460318</v>
      </c>
      <c r="G137" s="30">
        <f>SUM(E138:E$146)/$E$147</f>
        <v>0.45921001430458341</v>
      </c>
    </row>
    <row r="138" spans="2:23" x14ac:dyDescent="0.25">
      <c r="B138" s="7"/>
      <c r="C138" s="17" t="s">
        <v>10</v>
      </c>
      <c r="D138" s="4">
        <v>300</v>
      </c>
      <c r="E138" s="5">
        <f>283.39+192.57</f>
        <v>475.96</v>
      </c>
      <c r="F138" s="28">
        <f t="shared" si="50"/>
        <v>0.26085860385072807</v>
      </c>
      <c r="G138" s="30">
        <f>SUM(E139:E$146)/$E$147</f>
        <v>0.19835141045385535</v>
      </c>
      <c r="H138" s="32"/>
      <c r="J138" s="58">
        <f>J124</f>
        <v>0.45311583147517898</v>
      </c>
      <c r="K138" s="58">
        <f>1-J138</f>
        <v>0.54688416852482102</v>
      </c>
      <c r="L138" s="58">
        <f>SUM($F$135:F138)</f>
        <v>0.80164858954614449</v>
      </c>
      <c r="M138" s="58">
        <v>1</v>
      </c>
      <c r="N138" s="22">
        <f>+(L138-J138)/(L138+M138-1)</f>
        <v>0.43477000099044427</v>
      </c>
      <c r="O138" s="90">
        <f>1-N138</f>
        <v>0.56522999900955573</v>
      </c>
      <c r="P138" s="22">
        <f>+N138*M138/K138</f>
        <v>0.7949946734848875</v>
      </c>
      <c r="Q138" s="22">
        <f>+O138*L138/J138</f>
        <v>1</v>
      </c>
      <c r="R138" s="91">
        <f>+N138*M138+O138*L138</f>
        <v>0.88788583246562325</v>
      </c>
    </row>
    <row r="139" spans="2:23" x14ac:dyDescent="0.25">
      <c r="B139" s="7"/>
      <c r="C139" s="15" t="s">
        <v>5</v>
      </c>
      <c r="D139" s="8">
        <v>212</v>
      </c>
      <c r="E139" s="9">
        <f>100.38+75.51</f>
        <v>175.89</v>
      </c>
      <c r="F139" s="28">
        <f t="shared" si="50"/>
        <v>9.6399739119473402E-2</v>
      </c>
      <c r="G139" s="30">
        <f>SUM(E140:E$146)/$E$147</f>
        <v>0.10195167133438195</v>
      </c>
      <c r="H139" s="66">
        <f>SUM(F140:F146)*100</f>
        <v>10.195167133438195</v>
      </c>
      <c r="I139" s="32">
        <f>($I$194-H139)/($I$194*(100-H139))*10000</f>
        <v>83.161924603545032</v>
      </c>
      <c r="J139" s="58">
        <f t="shared" ref="J139:J145" si="51">J125</f>
        <v>0.58770310782985358</v>
      </c>
      <c r="K139" s="58">
        <f t="shared" ref="K139:K145" si="52">1-J139</f>
        <v>0.41229689217014642</v>
      </c>
      <c r="L139" s="58">
        <f>SUM($F$135:F139)</f>
        <v>0.8980483286656179</v>
      </c>
      <c r="M139" s="97">
        <v>0.87239999999999995</v>
      </c>
      <c r="N139" s="22">
        <f t="shared" ref="N139:N145" si="53">+(L139-J139)/(L139+M139-1)</f>
        <v>0.40281120652603453</v>
      </c>
      <c r="O139" s="90">
        <f t="shared" ref="O139:O145" si="54">1-N139</f>
        <v>0.59718879347396547</v>
      </c>
      <c r="P139" s="22">
        <f t="shared" ref="P139:P145" si="55">+N139*M139/K139</f>
        <v>0.85232875446534251</v>
      </c>
      <c r="Q139" s="22">
        <f t="shared" ref="Q139:Q145" si="56">+O139*L139/J139</f>
        <v>0.91254306933561002</v>
      </c>
      <c r="R139" s="91">
        <f t="shared" ref="R139:R145" si="57">+N139*M139+O139*L139</f>
        <v>0.88771689445044411</v>
      </c>
    </row>
    <row r="140" spans="2:23" x14ac:dyDescent="0.25">
      <c r="B140" s="7"/>
      <c r="C140" s="15" t="s">
        <v>12</v>
      </c>
      <c r="D140" s="8">
        <v>180</v>
      </c>
      <c r="E140" s="9">
        <f>11.48+10.04</f>
        <v>21.52</v>
      </c>
      <c r="F140" s="28">
        <f t="shared" si="50"/>
        <v>1.1794430529598429E-2</v>
      </c>
      <c r="G140" s="30">
        <f>SUM(E141:E$146)/$E$147</f>
        <v>9.0157240804783531E-2</v>
      </c>
      <c r="J140" s="58">
        <f t="shared" si="51"/>
        <v>0.62106453574591125</v>
      </c>
      <c r="K140" s="58">
        <f t="shared" si="52"/>
        <v>0.37893546425408875</v>
      </c>
      <c r="L140" s="58">
        <f>SUM($F$135:F140)</f>
        <v>0.90984275919521629</v>
      </c>
      <c r="M140" s="58">
        <v>1</v>
      </c>
      <c r="N140" s="22">
        <f t="shared" si="53"/>
        <v>0.31739355018304283</v>
      </c>
      <c r="O140" s="90">
        <f t="shared" si="54"/>
        <v>0.68260644981695717</v>
      </c>
      <c r="P140" s="22">
        <f t="shared" si="55"/>
        <v>0.8375926249283967</v>
      </c>
      <c r="Q140" s="22">
        <f t="shared" si="56"/>
        <v>1</v>
      </c>
      <c r="R140" s="91">
        <f t="shared" si="57"/>
        <v>0.93845808592895408</v>
      </c>
    </row>
    <row r="141" spans="2:23" x14ac:dyDescent="0.25">
      <c r="B141" s="7"/>
      <c r="C141" s="15" t="s">
        <v>13</v>
      </c>
      <c r="D141" s="8">
        <v>150</v>
      </c>
      <c r="E141" s="9">
        <f>10.58+8.58</f>
        <v>19.16</v>
      </c>
      <c r="F141" s="28">
        <f t="shared" si="50"/>
        <v>1.0500989263341353E-2</v>
      </c>
      <c r="G141" s="30">
        <f>SUM(E142:E$146)/$E$147</f>
        <v>7.9656251541442166E-2</v>
      </c>
      <c r="J141" s="58">
        <f t="shared" si="51"/>
        <v>0.66902092157343895</v>
      </c>
      <c r="K141" s="58">
        <f t="shared" si="52"/>
        <v>0.33097907842656105</v>
      </c>
      <c r="L141" s="58">
        <f>SUM($F$135:F141)</f>
        <v>0.9203437484585576</v>
      </c>
      <c r="M141" s="58">
        <v>1</v>
      </c>
      <c r="N141" s="22">
        <f t="shared" si="53"/>
        <v>0.27307495412018384</v>
      </c>
      <c r="O141" s="90">
        <f t="shared" si="54"/>
        <v>0.72692504587981621</v>
      </c>
      <c r="P141" s="22">
        <f t="shared" si="55"/>
        <v>0.82505201059339706</v>
      </c>
      <c r="Q141" s="22">
        <f t="shared" si="56"/>
        <v>1.0000000000000002</v>
      </c>
      <c r="R141" s="91">
        <f t="shared" si="57"/>
        <v>0.94209587569362285</v>
      </c>
    </row>
    <row r="142" spans="2:23" x14ac:dyDescent="0.25">
      <c r="B142" s="7"/>
      <c r="C142" s="15" t="s">
        <v>9</v>
      </c>
      <c r="D142" s="8">
        <v>106</v>
      </c>
      <c r="E142" s="65">
        <f>8.26+8.59</f>
        <v>16.850000000000001</v>
      </c>
      <c r="F142" s="28">
        <f t="shared" si="50"/>
        <v>9.2349514137422661E-3</v>
      </c>
      <c r="G142" s="30">
        <f>SUM(E143:E$146)/$E$147</f>
        <v>7.0421300127699912E-2</v>
      </c>
      <c r="J142" s="58">
        <f t="shared" si="51"/>
        <v>0.73612785524532975</v>
      </c>
      <c r="K142" s="58">
        <f t="shared" si="52"/>
        <v>0.26387214475467025</v>
      </c>
      <c r="L142" s="58">
        <f>SUM($F$135:F142)</f>
        <v>0.92957869987229991</v>
      </c>
      <c r="M142" s="58">
        <v>1</v>
      </c>
      <c r="N142" s="22">
        <f t="shared" si="53"/>
        <v>0.20810593514410916</v>
      </c>
      <c r="O142" s="90">
        <f t="shared" si="54"/>
        <v>0.79189406485589087</v>
      </c>
      <c r="P142" s="22">
        <f t="shared" si="55"/>
        <v>0.78866200650921836</v>
      </c>
      <c r="Q142" s="22">
        <f t="shared" si="56"/>
        <v>1</v>
      </c>
      <c r="R142" s="91">
        <f t="shared" si="57"/>
        <v>0.94423379038943889</v>
      </c>
    </row>
    <row r="143" spans="2:23" x14ac:dyDescent="0.25">
      <c r="B143" s="7"/>
      <c r="C143" s="15" t="s">
        <v>8</v>
      </c>
      <c r="D143" s="8">
        <v>75</v>
      </c>
      <c r="E143" s="9">
        <f>3.32+4.69</f>
        <v>8.01</v>
      </c>
      <c r="F143" s="28">
        <f t="shared" si="50"/>
        <v>4.3900273486098245E-3</v>
      </c>
      <c r="G143" s="30">
        <f>SUM(E144:E$146)/$E$147</f>
        <v>6.6031272779090086E-2</v>
      </c>
      <c r="J143" s="58">
        <f t="shared" si="51"/>
        <v>0.7853751693676585</v>
      </c>
      <c r="K143" s="58">
        <f t="shared" si="52"/>
        <v>0.2146248306323415</v>
      </c>
      <c r="L143" s="58">
        <f>SUM($F$135:F143)</f>
        <v>0.93396872722090973</v>
      </c>
      <c r="M143" s="58">
        <v>1</v>
      </c>
      <c r="N143" s="22">
        <f t="shared" si="53"/>
        <v>0.15909907208071292</v>
      </c>
      <c r="O143" s="90">
        <f t="shared" si="54"/>
        <v>0.84090092791928706</v>
      </c>
      <c r="P143" s="22">
        <f t="shared" si="55"/>
        <v>0.74128921435588313</v>
      </c>
      <c r="Q143" s="22">
        <f t="shared" si="56"/>
        <v>1</v>
      </c>
      <c r="R143" s="91">
        <f t="shared" si="57"/>
        <v>0.94447424144837144</v>
      </c>
    </row>
    <row r="144" spans="2:23" x14ac:dyDescent="0.25">
      <c r="B144" s="7"/>
      <c r="C144" s="15" t="s">
        <v>7</v>
      </c>
      <c r="D144" s="10">
        <v>53</v>
      </c>
      <c r="E144" s="9">
        <f>2.06+4.27</f>
        <v>6.33</v>
      </c>
      <c r="F144" s="28">
        <f t="shared" si="50"/>
        <v>3.4692725489013968E-3</v>
      </c>
      <c r="G144" s="30">
        <f>SUM(E145:E$146)/$E$147</f>
        <v>6.2562000230188694E-2</v>
      </c>
      <c r="J144" s="58">
        <f t="shared" si="51"/>
        <v>0.8311231076164769</v>
      </c>
      <c r="K144" s="58">
        <f t="shared" si="52"/>
        <v>0.1688768923835231</v>
      </c>
      <c r="L144" s="58">
        <f>SUM($F$135:F144)</f>
        <v>0.93743799976981113</v>
      </c>
      <c r="M144" s="58">
        <v>1</v>
      </c>
      <c r="N144" s="22">
        <f t="shared" si="53"/>
        <v>0.11341005184283118</v>
      </c>
      <c r="O144" s="90">
        <f t="shared" si="54"/>
        <v>0.88658994815716885</v>
      </c>
      <c r="P144" s="22">
        <f t="shared" si="55"/>
        <v>0.67155458773645882</v>
      </c>
      <c r="Q144" s="22">
        <f t="shared" si="56"/>
        <v>1</v>
      </c>
      <c r="R144" s="91">
        <f t="shared" si="57"/>
        <v>0.94453315945930805</v>
      </c>
    </row>
    <row r="145" spans="2:23" x14ac:dyDescent="0.25">
      <c r="B145" s="7"/>
      <c r="C145" s="15" t="s">
        <v>17</v>
      </c>
      <c r="D145" s="10">
        <v>38</v>
      </c>
      <c r="E145" s="9">
        <f>1.48+3.22</f>
        <v>4.7</v>
      </c>
      <c r="F145" s="28">
        <f t="shared" si="50"/>
        <v>2.5759211658509581E-3</v>
      </c>
      <c r="G145" s="30">
        <f>SUM(E146:E$146)/$E$147</f>
        <v>5.9986079064337727E-2</v>
      </c>
      <c r="J145" s="58">
        <f t="shared" si="51"/>
        <v>0.85614151134629946</v>
      </c>
      <c r="K145" s="58">
        <f t="shared" si="52"/>
        <v>0.14385848865370054</v>
      </c>
      <c r="L145" s="58">
        <f>SUM($F$135:F145)</f>
        <v>0.94001392093566205</v>
      </c>
      <c r="M145" s="58">
        <v>1</v>
      </c>
      <c r="N145" s="22">
        <f t="shared" si="53"/>
        <v>8.9224646275321631E-2</v>
      </c>
      <c r="O145" s="90">
        <f t="shared" si="54"/>
        <v>0.91077535372467833</v>
      </c>
      <c r="P145" s="22">
        <f t="shared" si="55"/>
        <v>0.62022510531238273</v>
      </c>
      <c r="Q145" s="22">
        <f t="shared" si="56"/>
        <v>1</v>
      </c>
      <c r="R145" s="91">
        <f t="shared" si="57"/>
        <v>0.94536615762162113</v>
      </c>
      <c r="T145" s="58">
        <f>SUM($F$107:$F$117)</f>
        <v>0.85614151134629946</v>
      </c>
      <c r="U145" s="58">
        <f>SUM(F135:F145)</f>
        <v>0.94001392093566205</v>
      </c>
      <c r="V145" s="22">
        <v>0.7</v>
      </c>
      <c r="W145" s="22">
        <f>U145*(T145-V145)*(1-V145)*(U145-T145)/T145/(U145-V145)^2/(1-T145)</f>
        <v>0.52052204450363382</v>
      </c>
    </row>
    <row r="146" spans="2:23" x14ac:dyDescent="0.25">
      <c r="B146" s="23"/>
      <c r="C146" s="24">
        <v>-38</v>
      </c>
      <c r="D146" s="25"/>
      <c r="E146" s="26">
        <f>37.78+0.82+70.85</f>
        <v>109.44999999999999</v>
      </c>
      <c r="F146" s="28">
        <f t="shared" si="50"/>
        <v>5.9986079064337727E-2</v>
      </c>
      <c r="G146" s="27"/>
      <c r="J146" s="9"/>
    </row>
    <row r="147" spans="2:23" ht="15.75" thickBot="1" x14ac:dyDescent="0.3">
      <c r="B147" s="11"/>
      <c r="C147" s="12" t="s">
        <v>6</v>
      </c>
      <c r="D147" s="13"/>
      <c r="E147" s="14">
        <f>SUM(E135:E146)</f>
        <v>1824.5900000000001</v>
      </c>
      <c r="F147" s="28">
        <f t="shared" si="50"/>
        <v>1</v>
      </c>
      <c r="G147" s="14"/>
      <c r="J147" s="9"/>
    </row>
    <row r="148" spans="2:23" ht="30.75" thickBot="1" x14ac:dyDescent="0.3">
      <c r="B148" s="1" t="s">
        <v>0</v>
      </c>
      <c r="C148" s="117" t="s">
        <v>1</v>
      </c>
      <c r="D148" s="118"/>
      <c r="E148" s="2" t="s">
        <v>2</v>
      </c>
      <c r="F148" s="19" t="s">
        <v>14</v>
      </c>
      <c r="G148" s="2" t="s">
        <v>3</v>
      </c>
      <c r="J148" s="9"/>
    </row>
    <row r="149" spans="2:23" ht="38.25" thickTop="1" x14ac:dyDescent="0.25">
      <c r="B149" s="34" t="s">
        <v>32</v>
      </c>
      <c r="C149" s="3" t="s">
        <v>16</v>
      </c>
      <c r="D149" s="4">
        <v>1180</v>
      </c>
      <c r="E149" s="5">
        <v>33.08</v>
      </c>
      <c r="F149" s="28">
        <f>E149/$E$161</f>
        <v>6.9739005776447274E-2</v>
      </c>
      <c r="G149" s="30">
        <f>SUM(E150:E$160)/$E$161</f>
        <v>0.93026099422355268</v>
      </c>
      <c r="J149" s="9"/>
    </row>
    <row r="150" spans="2:23" x14ac:dyDescent="0.25">
      <c r="B150" s="16" t="s">
        <v>4</v>
      </c>
      <c r="C150" s="17" t="s">
        <v>15</v>
      </c>
      <c r="D150" s="4">
        <v>600</v>
      </c>
      <c r="E150" s="5">
        <v>84.06</v>
      </c>
      <c r="F150" s="28">
        <f t="shared" ref="F150:F161" si="58">E150/$E$161</f>
        <v>0.17721465615381374</v>
      </c>
      <c r="G150" s="30">
        <f>SUM(E151:E$160)/$E$161</f>
        <v>0.75304633806973897</v>
      </c>
      <c r="J150" s="9"/>
    </row>
    <row r="151" spans="2:23" x14ac:dyDescent="0.25">
      <c r="B151" s="18">
        <f>FORECAST(0.8,D149:D150,G149:G150)</f>
        <v>753.67309064953633</v>
      </c>
      <c r="C151" s="17" t="s">
        <v>11</v>
      </c>
      <c r="D151" s="4">
        <v>425</v>
      </c>
      <c r="E151" s="5">
        <v>106.75</v>
      </c>
      <c r="F151" s="28">
        <f t="shared" si="58"/>
        <v>0.22504954252224144</v>
      </c>
      <c r="G151" s="30">
        <f>SUM(E152:E$160)/$E$161</f>
        <v>0.52799679554749768</v>
      </c>
      <c r="J151" s="9"/>
    </row>
    <row r="152" spans="2:23" x14ac:dyDescent="0.25">
      <c r="B152" s="7"/>
      <c r="C152" s="17" t="s">
        <v>10</v>
      </c>
      <c r="D152" s="4">
        <v>300</v>
      </c>
      <c r="E152" s="5">
        <v>154.22</v>
      </c>
      <c r="F152" s="28">
        <f t="shared" si="58"/>
        <v>0.32512543744993044</v>
      </c>
      <c r="G152" s="30">
        <f>SUM(E153:E$160)/$E$161</f>
        <v>0.20287135809756718</v>
      </c>
      <c r="H152" s="32"/>
      <c r="J152" s="92">
        <f>J138</f>
        <v>0.45311583147517898</v>
      </c>
      <c r="K152" s="58">
        <f>1-J152</f>
        <v>0.54688416852482102</v>
      </c>
      <c r="L152" s="58">
        <f>SUM($F$149:F152)</f>
        <v>0.79712864190243282</v>
      </c>
      <c r="M152" s="58">
        <v>1</v>
      </c>
      <c r="N152" s="22">
        <f>+(L152-J152)/(L152+M152-1)</f>
        <v>0.4315649850521372</v>
      </c>
      <c r="O152" s="90">
        <f>1-N152</f>
        <v>0.56843501494786275</v>
      </c>
      <c r="P152" s="22">
        <f>+N152*M152/K152</f>
        <v>0.78913417116507745</v>
      </c>
      <c r="Q152" s="22">
        <f>+O152*L152/J152</f>
        <v>0.99999999999999989</v>
      </c>
      <c r="R152" s="91">
        <f>+N152*M152+O152*L152</f>
        <v>0.88468081652731612</v>
      </c>
    </row>
    <row r="153" spans="2:23" x14ac:dyDescent="0.25">
      <c r="B153" s="7"/>
      <c r="C153" s="15" t="s">
        <v>5</v>
      </c>
      <c r="D153" s="8">
        <v>212</v>
      </c>
      <c r="E153" s="9">
        <v>66.02</v>
      </c>
      <c r="F153" s="28">
        <f t="shared" si="58"/>
        <v>0.13918286461188178</v>
      </c>
      <c r="G153" s="30">
        <f>SUM(E154:E$160)/$E$161</f>
        <v>6.368849348568538E-2</v>
      </c>
      <c r="H153" s="66">
        <f>SUM(F154:F160)*100</f>
        <v>6.3688493485685367</v>
      </c>
      <c r="I153" s="32">
        <f>($I$194-H153)/($I$194*(100-H153))*10000</f>
        <v>89.911225278014484</v>
      </c>
      <c r="J153" s="92">
        <f t="shared" ref="J153:J159" si="59">J139</f>
        <v>0.58770310782985358</v>
      </c>
      <c r="K153" s="58">
        <f t="shared" ref="K153:K159" si="60">1-J153</f>
        <v>0.41229689217014642</v>
      </c>
      <c r="L153" s="58">
        <f>SUM($F$149:F153)</f>
        <v>0.93631150651431461</v>
      </c>
      <c r="M153" s="97">
        <v>0.87239999999999995</v>
      </c>
      <c r="N153" s="22">
        <f t="shared" ref="N153:N159" si="61">+(L153-J153)/(L153+M153-1)</f>
        <v>0.43106645061478477</v>
      </c>
      <c r="O153" s="90">
        <f t="shared" ref="O153:O159" si="62">1-N153</f>
        <v>0.56893354938521523</v>
      </c>
      <c r="P153" s="22">
        <f t="shared" ref="P153:P159" si="63">+N153*M153/K153</f>
        <v>0.91211546499153584</v>
      </c>
      <c r="Q153" s="22">
        <f t="shared" ref="Q153:Q159" si="64">+O153*L153/J153</f>
        <v>0.90640839164258635</v>
      </c>
      <c r="R153" s="91">
        <f t="shared" ref="R153:R159" si="65">+N153*M153+O153*L153</f>
        <v>0.90876140024774532</v>
      </c>
    </row>
    <row r="154" spans="2:23" x14ac:dyDescent="0.25">
      <c r="B154" s="7"/>
      <c r="C154" s="15" t="s">
        <v>12</v>
      </c>
      <c r="D154" s="8">
        <v>180</v>
      </c>
      <c r="E154" s="9">
        <v>6.72</v>
      </c>
      <c r="F154" s="28">
        <f t="shared" si="58"/>
        <v>1.4167053168613232E-2</v>
      </c>
      <c r="G154" s="30">
        <f>SUM(E155:E$160)/$E$161</f>
        <v>4.9521440317072146E-2</v>
      </c>
      <c r="J154" s="92">
        <f t="shared" si="59"/>
        <v>0.62106453574591125</v>
      </c>
      <c r="K154" s="58">
        <f t="shared" si="60"/>
        <v>0.37893546425408875</v>
      </c>
      <c r="L154" s="58">
        <f>SUM($F$149:F154)</f>
        <v>0.95047855968292783</v>
      </c>
      <c r="M154" s="58">
        <v>1</v>
      </c>
      <c r="N154" s="22">
        <f t="shared" si="61"/>
        <v>0.34657701699963278</v>
      </c>
      <c r="O154" s="90">
        <f t="shared" si="62"/>
        <v>0.65342298300036727</v>
      </c>
      <c r="P154" s="22">
        <f t="shared" si="63"/>
        <v>0.91460697056119677</v>
      </c>
      <c r="Q154" s="22">
        <f t="shared" si="64"/>
        <v>1.0000000000000002</v>
      </c>
      <c r="R154" s="91">
        <f t="shared" si="65"/>
        <v>0.9676415527455442</v>
      </c>
    </row>
    <row r="155" spans="2:23" x14ac:dyDescent="0.25">
      <c r="B155" s="7"/>
      <c r="C155" s="15" t="s">
        <v>13</v>
      </c>
      <c r="D155" s="8">
        <v>150</v>
      </c>
      <c r="E155" s="9">
        <v>4.09</v>
      </c>
      <c r="F155" s="28">
        <f t="shared" si="58"/>
        <v>8.6225070624446603E-3</v>
      </c>
      <c r="G155" s="30">
        <f>SUM(E156:E$160)/$E$161</f>
        <v>4.0898933254627484E-2</v>
      </c>
      <c r="J155" s="92">
        <f t="shared" si="59"/>
        <v>0.66902092157343895</v>
      </c>
      <c r="K155" s="58">
        <f t="shared" si="60"/>
        <v>0.33097907842656105</v>
      </c>
      <c r="L155" s="58">
        <f>SUM($F$149:F155)</f>
        <v>0.95910106674537243</v>
      </c>
      <c r="M155" s="58">
        <v>1</v>
      </c>
      <c r="N155" s="22">
        <f t="shared" si="61"/>
        <v>0.30245002870896154</v>
      </c>
      <c r="O155" s="90">
        <f t="shared" si="62"/>
        <v>0.69754997129103846</v>
      </c>
      <c r="P155" s="22">
        <f t="shared" si="63"/>
        <v>0.91380406926859681</v>
      </c>
      <c r="Q155" s="22">
        <f t="shared" si="64"/>
        <v>1</v>
      </c>
      <c r="R155" s="91">
        <f t="shared" si="65"/>
        <v>0.97147095028240049</v>
      </c>
    </row>
    <row r="156" spans="2:23" x14ac:dyDescent="0.25">
      <c r="B156" s="7"/>
      <c r="C156" s="15" t="s">
        <v>9</v>
      </c>
      <c r="D156" s="8">
        <v>106</v>
      </c>
      <c r="E156" s="9">
        <v>3.43</v>
      </c>
      <c r="F156" s="28">
        <f t="shared" si="58"/>
        <v>7.2311000548130038E-3</v>
      </c>
      <c r="G156" s="30">
        <f>SUM(E157:E$160)/$E$161</f>
        <v>3.3667833199814486E-2</v>
      </c>
      <c r="J156" s="92">
        <f t="shared" si="59"/>
        <v>0.73612785524532975</v>
      </c>
      <c r="K156" s="58">
        <f t="shared" si="60"/>
        <v>0.26387214475467025</v>
      </c>
      <c r="L156" s="58">
        <f>SUM($F$149:F156)</f>
        <v>0.96633216680018541</v>
      </c>
      <c r="M156" s="58">
        <v>1</v>
      </c>
      <c r="N156" s="22">
        <f t="shared" si="61"/>
        <v>0.23822482523491992</v>
      </c>
      <c r="O156" s="90">
        <f t="shared" si="62"/>
        <v>0.76177517476508005</v>
      </c>
      <c r="P156" s="22">
        <f t="shared" si="63"/>
        <v>0.90280399038104076</v>
      </c>
      <c r="Q156" s="22">
        <f t="shared" si="64"/>
        <v>1</v>
      </c>
      <c r="R156" s="91">
        <f t="shared" si="65"/>
        <v>0.9743526804802497</v>
      </c>
    </row>
    <row r="157" spans="2:23" x14ac:dyDescent="0.25">
      <c r="B157" s="7"/>
      <c r="C157" s="15" t="s">
        <v>8</v>
      </c>
      <c r="D157" s="8">
        <v>75</v>
      </c>
      <c r="E157" s="9">
        <v>1.58</v>
      </c>
      <c r="F157" s="28">
        <f t="shared" si="58"/>
        <v>3.3309440485727541E-3</v>
      </c>
      <c r="G157" s="30">
        <f>SUM(E158:E$160)/$E$161</f>
        <v>3.033688915124173E-2</v>
      </c>
      <c r="J157" s="92">
        <f t="shared" si="59"/>
        <v>0.7853751693676585</v>
      </c>
      <c r="K157" s="58">
        <f t="shared" si="60"/>
        <v>0.2146248306323415</v>
      </c>
      <c r="L157" s="58">
        <f>SUM($F$149:F157)</f>
        <v>0.96966311084875811</v>
      </c>
      <c r="M157" s="58">
        <v>1</v>
      </c>
      <c r="N157" s="22">
        <f t="shared" si="61"/>
        <v>0.19005357574115622</v>
      </c>
      <c r="O157" s="90">
        <f t="shared" si="62"/>
        <v>0.80994642425884378</v>
      </c>
      <c r="P157" s="22">
        <f t="shared" si="63"/>
        <v>0.88551532076325057</v>
      </c>
      <c r="Q157" s="22">
        <f t="shared" si="64"/>
        <v>1</v>
      </c>
      <c r="R157" s="91">
        <f t="shared" si="65"/>
        <v>0.97542874510881472</v>
      </c>
    </row>
    <row r="158" spans="2:23" x14ac:dyDescent="0.25">
      <c r="B158" s="7"/>
      <c r="C158" s="15" t="s">
        <v>7</v>
      </c>
      <c r="D158" s="10">
        <v>53</v>
      </c>
      <c r="E158" s="9">
        <v>1.33</v>
      </c>
      <c r="F158" s="28">
        <f t="shared" si="58"/>
        <v>2.8038959396213688E-3</v>
      </c>
      <c r="G158" s="30">
        <f>SUM(E159:E$160)/$E$161</f>
        <v>2.7532993211620359E-2</v>
      </c>
      <c r="J158" s="92">
        <f t="shared" si="59"/>
        <v>0.8311231076164769</v>
      </c>
      <c r="K158" s="58">
        <f t="shared" si="60"/>
        <v>0.1688768923835231</v>
      </c>
      <c r="L158" s="58">
        <f>SUM($F$149:F158)</f>
        <v>0.9724670067883795</v>
      </c>
      <c r="M158" s="58">
        <v>1</v>
      </c>
      <c r="N158" s="22">
        <f t="shared" si="61"/>
        <v>0.14534570138137418</v>
      </c>
      <c r="O158" s="90">
        <f t="shared" si="62"/>
        <v>0.85465429861862585</v>
      </c>
      <c r="P158" s="22">
        <f t="shared" si="63"/>
        <v>0.8606606820505136</v>
      </c>
      <c r="Q158" s="22">
        <f t="shared" si="64"/>
        <v>1</v>
      </c>
      <c r="R158" s="91">
        <f t="shared" si="65"/>
        <v>0.97646880899785105</v>
      </c>
    </row>
    <row r="159" spans="2:23" x14ac:dyDescent="0.25">
      <c r="B159" s="7"/>
      <c r="C159" s="15" t="s">
        <v>17</v>
      </c>
      <c r="D159" s="10">
        <v>38</v>
      </c>
      <c r="E159" s="9">
        <v>1.18</v>
      </c>
      <c r="F159" s="28">
        <f t="shared" si="58"/>
        <v>2.4876670742505374E-3</v>
      </c>
      <c r="G159" s="30">
        <f>SUM(E160:E$160)/$E$161</f>
        <v>2.5045326137369824E-2</v>
      </c>
      <c r="J159" s="92">
        <f t="shared" si="59"/>
        <v>0.85614151134629946</v>
      </c>
      <c r="K159" s="58">
        <f t="shared" si="60"/>
        <v>0.14385848865370054</v>
      </c>
      <c r="L159" s="58">
        <f>SUM($F$149:F159)</f>
        <v>0.97495467386263002</v>
      </c>
      <c r="M159" s="58">
        <v>1</v>
      </c>
      <c r="N159" s="22">
        <f t="shared" si="61"/>
        <v>0.12186531918002907</v>
      </c>
      <c r="O159" s="90">
        <f t="shared" si="62"/>
        <v>0.87813468081997093</v>
      </c>
      <c r="P159" s="22">
        <f t="shared" si="63"/>
        <v>0.84711941798155599</v>
      </c>
      <c r="Q159" s="22">
        <f t="shared" si="64"/>
        <v>1</v>
      </c>
      <c r="R159" s="91">
        <f t="shared" si="65"/>
        <v>0.97800683052632853</v>
      </c>
      <c r="T159" s="58">
        <f>SUM($F$107:$F$117)</f>
        <v>0.85614151134629946</v>
      </c>
      <c r="U159" s="58">
        <f>SUM(F149:F159)</f>
        <v>0.97495467386263002</v>
      </c>
      <c r="V159" s="22">
        <v>0.7</v>
      </c>
      <c r="W159" s="22">
        <f>U159*(T159-V159)*(1-V159)*(U159-T159)/T159/(U159-V159)^2/(1-T159)</f>
        <v>0.58275412124760317</v>
      </c>
    </row>
    <row r="160" spans="2:23" x14ac:dyDescent="0.25">
      <c r="B160" s="23"/>
      <c r="C160" s="24">
        <v>-38</v>
      </c>
      <c r="D160" s="25"/>
      <c r="E160" s="26">
        <v>11.88</v>
      </c>
      <c r="F160" s="28">
        <f t="shared" si="58"/>
        <v>2.5045326137369824E-2</v>
      </c>
      <c r="G160" s="27"/>
    </row>
    <row r="161" spans="2:23" ht="15.75" thickBot="1" x14ac:dyDescent="0.3">
      <c r="B161" s="11"/>
      <c r="C161" s="12" t="s">
        <v>6</v>
      </c>
      <c r="D161" s="13"/>
      <c r="E161" s="14">
        <f>SUM(E149:E160)</f>
        <v>474.34</v>
      </c>
      <c r="F161" s="28">
        <f t="shared" si="58"/>
        <v>1</v>
      </c>
      <c r="G161" s="14"/>
    </row>
    <row r="162" spans="2:23" ht="30.75" thickBot="1" x14ac:dyDescent="0.3">
      <c r="B162" s="1" t="s">
        <v>0</v>
      </c>
      <c r="C162" s="117" t="s">
        <v>1</v>
      </c>
      <c r="D162" s="118"/>
      <c r="E162" s="2" t="s">
        <v>2</v>
      </c>
      <c r="F162" s="19" t="s">
        <v>14</v>
      </c>
      <c r="G162" s="2" t="s">
        <v>3</v>
      </c>
    </row>
    <row r="163" spans="2:23" ht="38.25" thickTop="1" x14ac:dyDescent="0.25">
      <c r="B163" s="34" t="s">
        <v>33</v>
      </c>
      <c r="C163" s="3" t="s">
        <v>16</v>
      </c>
      <c r="D163" s="4">
        <v>1180</v>
      </c>
      <c r="E163" s="5">
        <f>107.82+86.63</f>
        <v>194.45</v>
      </c>
      <c r="F163" s="28">
        <f>E163/$E$175</f>
        <v>9.1682343899552557E-2</v>
      </c>
      <c r="G163" s="30">
        <f>SUM(E164:E$174)/$E$175</f>
        <v>0.90831765610044757</v>
      </c>
    </row>
    <row r="164" spans="2:23" x14ac:dyDescent="0.25">
      <c r="B164" s="16" t="s">
        <v>4</v>
      </c>
      <c r="C164" s="17" t="s">
        <v>15</v>
      </c>
      <c r="D164" s="4">
        <v>600</v>
      </c>
      <c r="E164" s="5">
        <f>213.26+174.6</f>
        <v>387.86</v>
      </c>
      <c r="F164" s="28">
        <f t="shared" ref="F164:F175" si="66">E164/$E$175</f>
        <v>0.18287433224417823</v>
      </c>
      <c r="G164" s="30">
        <f>SUM(E165:E$174)/$E$175</f>
        <v>0.72544332385626931</v>
      </c>
    </row>
    <row r="165" spans="2:23" x14ac:dyDescent="0.25">
      <c r="B165" s="18">
        <f>FORECAST(0.8,D163:D164,G163:G164)</f>
        <v>836.46222863919957</v>
      </c>
      <c r="C165" s="17" t="s">
        <v>11</v>
      </c>
      <c r="D165" s="4">
        <v>425</v>
      </c>
      <c r="E165" s="5">
        <f>246.26+185.44</f>
        <v>431.7</v>
      </c>
      <c r="F165" s="28">
        <f t="shared" si="66"/>
        <v>0.20354470486725038</v>
      </c>
      <c r="G165" s="30">
        <f>SUM(E166:E$174)/$E$175</f>
        <v>0.5218986189890189</v>
      </c>
    </row>
    <row r="166" spans="2:23" x14ac:dyDescent="0.25">
      <c r="B166" s="7"/>
      <c r="C166" s="17" t="s">
        <v>10</v>
      </c>
      <c r="D166" s="4">
        <v>300</v>
      </c>
      <c r="E166" s="5">
        <f>304.24+224.72</f>
        <v>528.96</v>
      </c>
      <c r="F166" s="28">
        <f t="shared" si="66"/>
        <v>0.24940237916743288</v>
      </c>
      <c r="G166" s="30">
        <f>SUM(E167:E$174)/$E$175</f>
        <v>0.27249623982158605</v>
      </c>
      <c r="H166" s="32"/>
      <c r="J166" s="90">
        <f>J152</f>
        <v>0.45311583147517898</v>
      </c>
      <c r="K166" s="58">
        <f>1-J166</f>
        <v>0.54688416852482102</v>
      </c>
      <c r="L166" s="58">
        <f>SUM($F$163:F166)</f>
        <v>0.72750376017841412</v>
      </c>
      <c r="M166" s="58">
        <v>1</v>
      </c>
      <c r="N166" s="22">
        <f>+(L166-J166)/(L166+M166-1)</f>
        <v>0.37716358831732205</v>
      </c>
      <c r="O166" s="90">
        <f>1-N166</f>
        <v>0.62283641168267789</v>
      </c>
      <c r="P166" s="22">
        <f>+N166*M166/K166</f>
        <v>0.68965899915276851</v>
      </c>
      <c r="Q166" s="22">
        <f>+O166*L166/J166</f>
        <v>0.99999999999999989</v>
      </c>
      <c r="R166" s="91">
        <f>+N166*M166+O166*L166</f>
        <v>0.83027941979250097</v>
      </c>
    </row>
    <row r="167" spans="2:23" x14ac:dyDescent="0.25">
      <c r="B167" s="7"/>
      <c r="C167" s="15" t="s">
        <v>5</v>
      </c>
      <c r="D167" s="8">
        <v>212</v>
      </c>
      <c r="E167" s="9">
        <f>130.46+103.26</f>
        <v>233.72000000000003</v>
      </c>
      <c r="F167" s="28">
        <f t="shared" si="66"/>
        <v>0.11019798105530175</v>
      </c>
      <c r="G167" s="30">
        <f>SUM(E168:E$174)/$E$175</f>
        <v>0.16229825876628431</v>
      </c>
      <c r="H167" s="66">
        <f>SUM(F168:F174)*100</f>
        <v>16.229825876628428</v>
      </c>
      <c r="I167" s="32">
        <f>($I$194-H167)/($I$194*(100-H167))*10000</f>
        <v>71.264268876221479</v>
      </c>
      <c r="J167" s="90">
        <f t="shared" ref="J167:J173" si="67">J153</f>
        <v>0.58770310782985358</v>
      </c>
      <c r="K167" s="58">
        <f t="shared" ref="K167:K173" si="68">1-J167</f>
        <v>0.41229689217014642</v>
      </c>
      <c r="L167" s="58">
        <f>SUM($F$163:F167)</f>
        <v>0.83770174123371588</v>
      </c>
      <c r="M167" s="97">
        <v>0.87239999999999995</v>
      </c>
      <c r="N167" s="22">
        <f t="shared" ref="N167:N173" si="69">+(L167-J167)/(L167+M167-1)</f>
        <v>0.35206030190761106</v>
      </c>
      <c r="O167" s="90">
        <f t="shared" ref="O167:O173" si="70">1-N167</f>
        <v>0.64793969809238894</v>
      </c>
      <c r="P167" s="22">
        <f t="shared" ref="P167:P173" si="71">+N167*M167/K167</f>
        <v>0.74494232970703689</v>
      </c>
      <c r="Q167" s="22">
        <f t="shared" ref="Q167:Q173" si="72">+O167*L167/J167</f>
        <v>0.92356192450760899</v>
      </c>
      <c r="R167" s="91">
        <f t="shared" ref="R167:R173" si="73">+N167*M167+O167*L167</f>
        <v>0.84991762069064225</v>
      </c>
    </row>
    <row r="168" spans="2:23" x14ac:dyDescent="0.25">
      <c r="B168" s="7"/>
      <c r="C168" s="15" t="s">
        <v>12</v>
      </c>
      <c r="D168" s="8">
        <v>180</v>
      </c>
      <c r="E168" s="9">
        <f>20.5+17.6</f>
        <v>38.1</v>
      </c>
      <c r="F168" s="28">
        <f t="shared" si="66"/>
        <v>1.7963987156456428E-2</v>
      </c>
      <c r="G168" s="30">
        <f>SUM(E169:E$174)/$E$175</f>
        <v>0.14433427160982787</v>
      </c>
      <c r="J168" s="90">
        <f t="shared" si="67"/>
        <v>0.62106453574591125</v>
      </c>
      <c r="K168" s="58">
        <f t="shared" si="68"/>
        <v>0.37893546425408875</v>
      </c>
      <c r="L168" s="58">
        <f>SUM($F$163:F168)</f>
        <v>0.8556657283901723</v>
      </c>
      <c r="M168" s="58">
        <v>1</v>
      </c>
      <c r="N168" s="22">
        <f t="shared" si="69"/>
        <v>0.2741738798930673</v>
      </c>
      <c r="O168" s="90">
        <f t="shared" si="70"/>
        <v>0.7258261201069327</v>
      </c>
      <c r="P168" s="22">
        <f t="shared" si="71"/>
        <v>0.72353713430534083</v>
      </c>
      <c r="Q168" s="22">
        <f t="shared" si="72"/>
        <v>1</v>
      </c>
      <c r="R168" s="91">
        <f t="shared" si="73"/>
        <v>0.89523841563897855</v>
      </c>
    </row>
    <row r="169" spans="2:23" x14ac:dyDescent="0.25">
      <c r="B169" s="7"/>
      <c r="C169" s="15" t="s">
        <v>13</v>
      </c>
      <c r="D169" s="8">
        <v>150</v>
      </c>
      <c r="E169" s="65">
        <f>19.7+20.21</f>
        <v>39.909999999999997</v>
      </c>
      <c r="F169" s="28">
        <f t="shared" si="66"/>
        <v>1.8817394420319579E-2</v>
      </c>
      <c r="G169" s="30">
        <f>SUM(E170:E$174)/$E$175</f>
        <v>0.12551687718950827</v>
      </c>
      <c r="J169" s="90">
        <f t="shared" si="67"/>
        <v>0.66902092157343895</v>
      </c>
      <c r="K169" s="58">
        <f t="shared" si="68"/>
        <v>0.33097907842656105</v>
      </c>
      <c r="L169" s="58">
        <f>SUM($F$163:F169)</f>
        <v>0.8744831228104919</v>
      </c>
      <c r="M169" s="58">
        <v>1</v>
      </c>
      <c r="N169" s="22">
        <f t="shared" si="69"/>
        <v>0.23495273479575018</v>
      </c>
      <c r="O169" s="90">
        <f t="shared" si="70"/>
        <v>0.76504726520424982</v>
      </c>
      <c r="P169" s="22">
        <f t="shared" si="71"/>
        <v>0.70987186233247801</v>
      </c>
      <c r="Q169" s="22">
        <f t="shared" si="72"/>
        <v>1</v>
      </c>
      <c r="R169" s="91">
        <f t="shared" si="73"/>
        <v>0.90397365636918914</v>
      </c>
    </row>
    <row r="170" spans="2:23" x14ac:dyDescent="0.25">
      <c r="B170" s="7"/>
      <c r="C170" s="15" t="s">
        <v>9</v>
      </c>
      <c r="D170" s="8">
        <v>106</v>
      </c>
      <c r="E170" s="9">
        <f>27.04+25.86</f>
        <v>52.9</v>
      </c>
      <c r="F170" s="28">
        <f t="shared" si="66"/>
        <v>2.494212389964685E-2</v>
      </c>
      <c r="G170" s="30">
        <f>SUM(E171:E$174)/$E$175</f>
        <v>0.10057475328986143</v>
      </c>
      <c r="J170" s="90">
        <f t="shared" si="67"/>
        <v>0.73612785524532975</v>
      </c>
      <c r="K170" s="58">
        <f t="shared" si="68"/>
        <v>0.26387214475467025</v>
      </c>
      <c r="L170" s="58">
        <f>SUM($F$163:F170)</f>
        <v>0.89942524671013879</v>
      </c>
      <c r="M170" s="58">
        <v>1</v>
      </c>
      <c r="N170" s="22">
        <f t="shared" si="69"/>
        <v>0.18155749136696792</v>
      </c>
      <c r="O170" s="90">
        <f t="shared" si="70"/>
        <v>0.81844250863303203</v>
      </c>
      <c r="P170" s="22">
        <f t="shared" si="71"/>
        <v>0.688050993543738</v>
      </c>
      <c r="Q170" s="22">
        <f t="shared" si="72"/>
        <v>1</v>
      </c>
      <c r="R170" s="91">
        <f t="shared" si="73"/>
        <v>0.91768534661229761</v>
      </c>
    </row>
    <row r="171" spans="2:23" x14ac:dyDescent="0.25">
      <c r="B171" s="7"/>
      <c r="C171" s="15" t="s">
        <v>8</v>
      </c>
      <c r="D171" s="8">
        <v>75</v>
      </c>
      <c r="E171" s="9">
        <f>15.96+21.5</f>
        <v>37.46</v>
      </c>
      <c r="F171" s="28">
        <f t="shared" si="66"/>
        <v>1.7662229891886032E-2</v>
      </c>
      <c r="G171" s="30">
        <f>SUM(E172:E$174)/$E$175</f>
        <v>8.2912523397975404E-2</v>
      </c>
      <c r="J171" s="90">
        <f t="shared" si="67"/>
        <v>0.7853751693676585</v>
      </c>
      <c r="K171" s="58">
        <f t="shared" si="68"/>
        <v>0.2146248306323415</v>
      </c>
      <c r="L171" s="58">
        <f>SUM($F$163:F171)</f>
        <v>0.91708747660202483</v>
      </c>
      <c r="M171" s="58">
        <v>1</v>
      </c>
      <c r="N171" s="22">
        <f t="shared" si="69"/>
        <v>0.14362022227408913</v>
      </c>
      <c r="O171" s="90">
        <f t="shared" si="70"/>
        <v>0.8563797777259109</v>
      </c>
      <c r="P171" s="22">
        <f t="shared" si="71"/>
        <v>0.66916871571171888</v>
      </c>
      <c r="Q171" s="22">
        <f t="shared" si="72"/>
        <v>1</v>
      </c>
      <c r="R171" s="91">
        <f t="shared" si="73"/>
        <v>0.9289953916417476</v>
      </c>
    </row>
    <row r="172" spans="2:23" x14ac:dyDescent="0.25">
      <c r="B172" s="7"/>
      <c r="C172" s="15" t="s">
        <v>7</v>
      </c>
      <c r="D172" s="10">
        <v>53</v>
      </c>
      <c r="E172" s="9">
        <f>12.95+13.33</f>
        <v>26.28</v>
      </c>
      <c r="F172" s="28">
        <f t="shared" si="66"/>
        <v>1.2390907676421915E-2</v>
      </c>
      <c r="G172" s="30">
        <f>SUM(E173:E$174)/$E$175</f>
        <v>7.0521615721553479E-2</v>
      </c>
      <c r="J172" s="90">
        <f t="shared" si="67"/>
        <v>0.8311231076164769</v>
      </c>
      <c r="K172" s="58">
        <f t="shared" si="68"/>
        <v>0.1688768923835231</v>
      </c>
      <c r="L172" s="58">
        <f>SUM($F$163:F172)</f>
        <v>0.92947838427844676</v>
      </c>
      <c r="M172" s="58">
        <v>1</v>
      </c>
      <c r="N172" s="22">
        <f t="shared" si="69"/>
        <v>0.10581771273607719</v>
      </c>
      <c r="O172" s="90">
        <f t="shared" si="70"/>
        <v>0.89418228726392279</v>
      </c>
      <c r="P172" s="22">
        <f t="shared" si="71"/>
        <v>0.62659675484650001</v>
      </c>
      <c r="Q172" s="22">
        <f t="shared" si="72"/>
        <v>1</v>
      </c>
      <c r="R172" s="91">
        <f t="shared" si="73"/>
        <v>0.9369408203525541</v>
      </c>
    </row>
    <row r="173" spans="2:23" x14ac:dyDescent="0.25">
      <c r="B173" s="7"/>
      <c r="C173" s="15" t="s">
        <v>17</v>
      </c>
      <c r="D173" s="10">
        <v>38</v>
      </c>
      <c r="E173" s="26">
        <f>8.72+15.59</f>
        <v>24.310000000000002</v>
      </c>
      <c r="F173" s="28">
        <f t="shared" si="66"/>
        <v>1.1462061096416162E-2</v>
      </c>
      <c r="G173" s="30">
        <f>SUM(E174:E$174)/$E$175</f>
        <v>5.9059554625137324E-2</v>
      </c>
      <c r="J173" s="90">
        <f t="shared" si="67"/>
        <v>0.85614151134629946</v>
      </c>
      <c r="K173" s="58">
        <f t="shared" si="68"/>
        <v>0.14385848865370054</v>
      </c>
      <c r="L173" s="58">
        <f>SUM($F$163:F173)</f>
        <v>0.94094044537486288</v>
      </c>
      <c r="M173" s="58">
        <v>1</v>
      </c>
      <c r="N173" s="22">
        <f t="shared" si="69"/>
        <v>9.0121467777676656E-2</v>
      </c>
      <c r="O173" s="90">
        <f t="shared" si="70"/>
        <v>0.90987853222232329</v>
      </c>
      <c r="P173" s="22">
        <f t="shared" si="71"/>
        <v>0.62645915872659497</v>
      </c>
      <c r="Q173" s="22">
        <f t="shared" si="72"/>
        <v>0.99999999999999989</v>
      </c>
      <c r="R173" s="91">
        <f t="shared" si="73"/>
        <v>0.94626297912397606</v>
      </c>
      <c r="T173" s="58">
        <f>SUM($F$107:$F$117)</f>
        <v>0.85614151134629946</v>
      </c>
      <c r="U173" s="58">
        <f>SUM(F163:F173)</f>
        <v>0.94094044537486288</v>
      </c>
      <c r="V173" s="22">
        <v>0.7</v>
      </c>
      <c r="W173" s="22">
        <f>U173*(T173-V173)*(1-V173)*(U173-T173)/T173/(U173-V173)^2/(1-T173)</f>
        <v>0.52274717809876348</v>
      </c>
    </row>
    <row r="174" spans="2:23" x14ac:dyDescent="0.25">
      <c r="B174" s="23"/>
      <c r="C174" s="24">
        <v>-38</v>
      </c>
      <c r="D174" s="25"/>
      <c r="E174" s="26">
        <f>120.63+4.63</f>
        <v>125.25999999999999</v>
      </c>
      <c r="F174" s="28">
        <f t="shared" si="66"/>
        <v>5.9059554625137324E-2</v>
      </c>
      <c r="G174" s="27"/>
    </row>
    <row r="175" spans="2:23" ht="15.75" thickBot="1" x14ac:dyDescent="0.3">
      <c r="B175" s="11"/>
      <c r="C175" s="12" t="s">
        <v>6</v>
      </c>
      <c r="D175" s="13"/>
      <c r="E175" s="14">
        <f>SUM(E163:E174)</f>
        <v>2120.91</v>
      </c>
      <c r="F175" s="28">
        <f t="shared" si="66"/>
        <v>1</v>
      </c>
      <c r="G175" s="14"/>
    </row>
    <row r="176" spans="2:23" ht="30.75" thickBot="1" x14ac:dyDescent="0.3">
      <c r="B176" s="1" t="s">
        <v>0</v>
      </c>
      <c r="C176" s="117" t="s">
        <v>1</v>
      </c>
      <c r="D176" s="118"/>
      <c r="E176" s="2" t="s">
        <v>2</v>
      </c>
      <c r="F176" s="19" t="s">
        <v>14</v>
      </c>
      <c r="G176" s="2" t="s">
        <v>3</v>
      </c>
    </row>
    <row r="177" spans="2:23" ht="38.25" thickTop="1" x14ac:dyDescent="0.25">
      <c r="B177" s="34" t="s">
        <v>34</v>
      </c>
      <c r="C177" s="3" t="s">
        <v>16</v>
      </c>
      <c r="D177" s="4">
        <v>1180</v>
      </c>
      <c r="E177" s="5">
        <f>139.08+189.04</f>
        <v>328.12</v>
      </c>
      <c r="F177" s="28">
        <f>E177/$E$189</f>
        <v>0.13393527740587141</v>
      </c>
      <c r="G177" s="30">
        <f>SUM(E178:E$188)/$E$189</f>
        <v>0.86606472259412848</v>
      </c>
    </row>
    <row r="178" spans="2:23" x14ac:dyDescent="0.25">
      <c r="B178" s="16" t="s">
        <v>4</v>
      </c>
      <c r="C178" s="17" t="s">
        <v>15</v>
      </c>
      <c r="D178" s="4">
        <v>600</v>
      </c>
      <c r="E178" s="5">
        <f>234.99+284.94</f>
        <v>519.93000000000006</v>
      </c>
      <c r="F178" s="28">
        <f t="shared" ref="F178:F189" si="74">E178/$E$189</f>
        <v>0.21223018646115666</v>
      </c>
      <c r="G178" s="30">
        <f>SUM(E179:E$188)/$E$189</f>
        <v>0.65383453613297182</v>
      </c>
    </row>
    <row r="179" spans="2:23" x14ac:dyDescent="0.25">
      <c r="B179" s="18">
        <f>FORECAST(0.8,D177:D178,G177:G178)</f>
        <v>999.45292635547139</v>
      </c>
      <c r="C179" s="17" t="s">
        <v>11</v>
      </c>
      <c r="D179" s="4">
        <v>425</v>
      </c>
      <c r="E179" s="5">
        <f>229.22+274.23</f>
        <v>503.45000000000005</v>
      </c>
      <c r="F179" s="28">
        <f t="shared" si="74"/>
        <v>0.20550321653659015</v>
      </c>
      <c r="G179" s="30">
        <f>SUM(E180:E$188)/$E$189</f>
        <v>0.44833131959638173</v>
      </c>
    </row>
    <row r="180" spans="2:23" x14ac:dyDescent="0.25">
      <c r="B180" s="7"/>
      <c r="C180" s="17" t="s">
        <v>10</v>
      </c>
      <c r="D180" s="4">
        <v>300</v>
      </c>
      <c r="E180" s="5">
        <f>259.16+303.43</f>
        <v>562.59</v>
      </c>
      <c r="F180" s="28">
        <f t="shared" si="74"/>
        <v>0.2296435685595794</v>
      </c>
      <c r="G180" s="30">
        <f>SUM(E181:E$188)/$E$189</f>
        <v>0.21868775103680238</v>
      </c>
      <c r="H180" s="32"/>
      <c r="J180" s="90">
        <f>+J166</f>
        <v>0.45311583147517898</v>
      </c>
      <c r="K180" s="58">
        <f>1-J180</f>
        <v>0.54688416852482102</v>
      </c>
      <c r="L180" s="58">
        <f>SUM($F$177:F180)</f>
        <v>0.78131224896319762</v>
      </c>
      <c r="M180" s="58">
        <v>1</v>
      </c>
      <c r="N180" s="22">
        <f>+(L180-J180)/(L180+M180-1)</f>
        <v>0.42005794472509</v>
      </c>
      <c r="O180" s="90">
        <f>1-N180</f>
        <v>0.57994205527490994</v>
      </c>
      <c r="P180" s="22">
        <f>+N180*M180/K180</f>
        <v>0.76809307875589961</v>
      </c>
      <c r="Q180" s="22">
        <f>+O180*L180/J180</f>
        <v>1</v>
      </c>
      <c r="R180" s="91">
        <f>+N180*M180+O180*L180</f>
        <v>0.87317377620026893</v>
      </c>
    </row>
    <row r="181" spans="2:23" x14ac:dyDescent="0.25">
      <c r="B181" s="7"/>
      <c r="C181" s="15" t="s">
        <v>5</v>
      </c>
      <c r="D181" s="8">
        <v>212</v>
      </c>
      <c r="E181" s="9">
        <f>111.02+122.58</f>
        <v>233.6</v>
      </c>
      <c r="F181" s="28">
        <f t="shared" si="74"/>
        <v>9.5353165921039734E-2</v>
      </c>
      <c r="G181" s="30">
        <f>SUM(E182:E$188)/$E$189</f>
        <v>0.12333458511576265</v>
      </c>
      <c r="H181" s="66">
        <f>SUM(F182:F188)*100</f>
        <v>12.333458511576264</v>
      </c>
      <c r="I181" s="32">
        <f>($H$181-H181)/($I$194*(100-H181))*10000</f>
        <v>0</v>
      </c>
      <c r="J181" s="90">
        <f t="shared" ref="J181:J187" si="75">+J167</f>
        <v>0.58770310782985358</v>
      </c>
      <c r="K181" s="58">
        <f t="shared" ref="K181:K187" si="76">1-J181</f>
        <v>0.41229689217014642</v>
      </c>
      <c r="L181" s="58">
        <f>SUM($F$177:F181)</f>
        <v>0.87666541488423733</v>
      </c>
      <c r="M181" s="97">
        <v>0.87239999999999995</v>
      </c>
      <c r="N181" s="22">
        <f t="shared" ref="N181:N187" si="77">+(L181-J181)/(L181+M181-1)</f>
        <v>0.3857637815237282</v>
      </c>
      <c r="O181" s="90">
        <f t="shared" ref="O181:O187" si="78">1-N181</f>
        <v>0.61423621847627174</v>
      </c>
      <c r="P181" s="22">
        <f t="shared" ref="P181:P187" si="79">+N181*M181/K181</f>
        <v>0.81625723936433947</v>
      </c>
      <c r="Q181" s="22">
        <f t="shared" ref="Q181:Q187" si="80">+O181*L181/J181</f>
        <v>0.91624434537331301</v>
      </c>
      <c r="R181" s="91">
        <f t="shared" ref="R181:R187" si="81">+N181*M181+O181*L181</f>
        <v>0.87501997230872619</v>
      </c>
    </row>
    <row r="182" spans="2:23" x14ac:dyDescent="0.25">
      <c r="B182" s="7"/>
      <c r="C182" s="15" t="s">
        <v>12</v>
      </c>
      <c r="D182" s="8">
        <v>180</v>
      </c>
      <c r="E182" s="9">
        <f>19.67+19.19</f>
        <v>38.86</v>
      </c>
      <c r="F182" s="28">
        <f t="shared" si="74"/>
        <v>1.5862260392515429E-2</v>
      </c>
      <c r="G182" s="30">
        <f>SUM(E183:E$188)/$E$189</f>
        <v>0.10747232472324721</v>
      </c>
      <c r="J182" s="90">
        <f t="shared" si="75"/>
        <v>0.62106453574591125</v>
      </c>
      <c r="K182" s="58">
        <f t="shared" si="76"/>
        <v>0.37893546425408875</v>
      </c>
      <c r="L182" s="58">
        <f>SUM($F$177:F182)</f>
        <v>0.89252767527675281</v>
      </c>
      <c r="M182" s="58">
        <v>1</v>
      </c>
      <c r="N182" s="22">
        <f t="shared" si="77"/>
        <v>0.30415094909708756</v>
      </c>
      <c r="O182" s="90">
        <f t="shared" si="78"/>
        <v>0.69584905090291249</v>
      </c>
      <c r="P182" s="22">
        <f t="shared" si="79"/>
        <v>0.80264577425021455</v>
      </c>
      <c r="Q182" s="22">
        <f t="shared" si="80"/>
        <v>1.0000000000000002</v>
      </c>
      <c r="R182" s="91">
        <f t="shared" si="81"/>
        <v>0.92521548484299898</v>
      </c>
    </row>
    <row r="183" spans="2:23" x14ac:dyDescent="0.25">
      <c r="B183" s="7"/>
      <c r="C183" s="15" t="s">
        <v>13</v>
      </c>
      <c r="D183" s="8">
        <v>150</v>
      </c>
      <c r="E183" s="9">
        <f>14.19+21.21</f>
        <v>35.4</v>
      </c>
      <c r="F183" s="28">
        <f t="shared" si="74"/>
        <v>1.4449923260294548E-2</v>
      </c>
      <c r="G183" s="30">
        <f>SUM(E184:E$188)/$E$189</f>
        <v>9.3022401462952667E-2</v>
      </c>
      <c r="J183" s="90">
        <f t="shared" si="75"/>
        <v>0.66902092157343895</v>
      </c>
      <c r="K183" s="58">
        <f t="shared" si="76"/>
        <v>0.33097907842656105</v>
      </c>
      <c r="L183" s="58">
        <f>SUM($F$177:F183)</f>
        <v>0.9069775985370474</v>
      </c>
      <c r="M183" s="58">
        <v>1</v>
      </c>
      <c r="N183" s="22">
        <f t="shared" si="77"/>
        <v>0.2623622428463856</v>
      </c>
      <c r="O183" s="90">
        <f t="shared" si="78"/>
        <v>0.73763775715361435</v>
      </c>
      <c r="P183" s="22">
        <f t="shared" si="79"/>
        <v>0.79268527815603174</v>
      </c>
      <c r="Q183" s="22">
        <f t="shared" si="80"/>
        <v>1</v>
      </c>
      <c r="R183" s="91">
        <f t="shared" si="81"/>
        <v>0.93138316441982449</v>
      </c>
    </row>
    <row r="184" spans="2:23" x14ac:dyDescent="0.25">
      <c r="B184" s="7"/>
      <c r="C184" s="15" t="s">
        <v>9</v>
      </c>
      <c r="D184" s="8">
        <v>106</v>
      </c>
      <c r="E184" s="9">
        <f>16.65+30.45</f>
        <v>47.099999999999994</v>
      </c>
      <c r="F184" s="28">
        <f t="shared" si="74"/>
        <v>1.9225745354798679E-2</v>
      </c>
      <c r="G184" s="30">
        <f>SUM(E185:E$188)/$E$189</f>
        <v>7.3796656108154002E-2</v>
      </c>
      <c r="J184" s="90">
        <f t="shared" si="75"/>
        <v>0.73612785524532975</v>
      </c>
      <c r="K184" s="58">
        <f t="shared" si="76"/>
        <v>0.26387214475467025</v>
      </c>
      <c r="L184" s="58">
        <f>SUM($F$177:F184)</f>
        <v>0.92620334389184611</v>
      </c>
      <c r="M184" s="58">
        <v>1</v>
      </c>
      <c r="N184" s="22">
        <f t="shared" si="77"/>
        <v>0.20522004147364822</v>
      </c>
      <c r="O184" s="90">
        <f t="shared" si="78"/>
        <v>0.79477995852635175</v>
      </c>
      <c r="P184" s="22">
        <f t="shared" si="79"/>
        <v>0.77772529443927241</v>
      </c>
      <c r="Q184" s="22">
        <f t="shared" si="80"/>
        <v>1</v>
      </c>
      <c r="R184" s="91">
        <f t="shared" si="81"/>
        <v>0.94134789671897801</v>
      </c>
    </row>
    <row r="185" spans="2:23" x14ac:dyDescent="0.25">
      <c r="B185" s="7"/>
      <c r="C185" s="15" t="s">
        <v>8</v>
      </c>
      <c r="D185" s="8">
        <v>75</v>
      </c>
      <c r="E185" s="9">
        <f>9.56+20.95</f>
        <v>30.509999999999998</v>
      </c>
      <c r="F185" s="28">
        <f t="shared" si="74"/>
        <v>1.2453874538745385E-2</v>
      </c>
      <c r="G185" s="30">
        <f>SUM(E186:E$188)/$E$189</f>
        <v>6.134278156940861E-2</v>
      </c>
      <c r="J185" s="90">
        <f t="shared" si="75"/>
        <v>0.7853751693676585</v>
      </c>
      <c r="K185" s="58">
        <f t="shared" si="76"/>
        <v>0.2146248306323415</v>
      </c>
      <c r="L185" s="58">
        <f>SUM($F$177:F185)</f>
        <v>0.93865721843059147</v>
      </c>
      <c r="M185" s="58">
        <v>1</v>
      </c>
      <c r="N185" s="22">
        <f t="shared" si="77"/>
        <v>0.16329928120002768</v>
      </c>
      <c r="O185" s="90">
        <f t="shared" si="78"/>
        <v>0.83670071879997232</v>
      </c>
      <c r="P185" s="22">
        <f t="shared" si="79"/>
        <v>0.76085921987173999</v>
      </c>
      <c r="Q185" s="22">
        <f t="shared" si="80"/>
        <v>1</v>
      </c>
      <c r="R185" s="91">
        <f t="shared" si="81"/>
        <v>0.94867445056768618</v>
      </c>
    </row>
    <row r="186" spans="2:23" x14ac:dyDescent="0.25">
      <c r="B186" s="7"/>
      <c r="C186" s="15" t="s">
        <v>7</v>
      </c>
      <c r="D186" s="10">
        <v>53</v>
      </c>
      <c r="E186" s="9">
        <f>5.14+14.9</f>
        <v>20.04</v>
      </c>
      <c r="F186" s="28">
        <f t="shared" si="74"/>
        <v>8.1801260490481E-3</v>
      </c>
      <c r="G186" s="30">
        <f>SUM(E187:E$188)/$E$189</f>
        <v>5.3162655520360515E-2</v>
      </c>
      <c r="J186" s="90">
        <f t="shared" si="75"/>
        <v>0.8311231076164769</v>
      </c>
      <c r="K186" s="58">
        <f t="shared" si="76"/>
        <v>0.1688768923835231</v>
      </c>
      <c r="L186" s="58">
        <f>SUM($F$177:F186)</f>
        <v>0.94683734447963952</v>
      </c>
      <c r="M186" s="58">
        <v>1</v>
      </c>
      <c r="N186" s="22">
        <f t="shared" si="77"/>
        <v>0.1222113148977627</v>
      </c>
      <c r="O186" s="90">
        <f t="shared" si="78"/>
        <v>0.87778868510223729</v>
      </c>
      <c r="P186" s="22">
        <f t="shared" si="79"/>
        <v>0.72367103144116451</v>
      </c>
      <c r="Q186" s="22">
        <f t="shared" si="80"/>
        <v>1</v>
      </c>
      <c r="R186" s="91">
        <f t="shared" si="81"/>
        <v>0.95333442251423961</v>
      </c>
    </row>
    <row r="187" spans="2:23" x14ac:dyDescent="0.25">
      <c r="B187" s="7"/>
      <c r="C187" s="15" t="s">
        <v>17</v>
      </c>
      <c r="D187" s="10">
        <v>38</v>
      </c>
      <c r="E187" s="9">
        <f>4.62+12.69</f>
        <v>17.309999999999999</v>
      </c>
      <c r="F187" s="28">
        <f t="shared" si="74"/>
        <v>7.0657675603304692E-3</v>
      </c>
      <c r="G187" s="30">
        <f>SUM(E188:E$188)/$E$189</f>
        <v>4.6096887960030045E-2</v>
      </c>
      <c r="J187" s="90">
        <f t="shared" si="75"/>
        <v>0.85614151134629946</v>
      </c>
      <c r="K187" s="58">
        <f t="shared" si="76"/>
        <v>0.14385848865370054</v>
      </c>
      <c r="L187" s="58">
        <f>SUM($F$177:F187)</f>
        <v>0.95390311203997002</v>
      </c>
      <c r="M187" s="58">
        <v>1</v>
      </c>
      <c r="N187" s="22">
        <f t="shared" si="77"/>
        <v>0.10248588086121496</v>
      </c>
      <c r="O187" s="90">
        <f t="shared" si="78"/>
        <v>0.89751411913878498</v>
      </c>
      <c r="P187" s="22">
        <f t="shared" si="79"/>
        <v>0.71240760152792459</v>
      </c>
      <c r="Q187" s="22">
        <f t="shared" si="80"/>
        <v>1</v>
      </c>
      <c r="R187" s="91">
        <f t="shared" si="81"/>
        <v>0.95862739220751436</v>
      </c>
      <c r="T187" s="58">
        <f>SUM($F$107:$F$117)</f>
        <v>0.85614151134629946</v>
      </c>
      <c r="U187" s="58">
        <f>SUM(F177:F187)</f>
        <v>0.95390311203997002</v>
      </c>
      <c r="V187" s="22">
        <v>0.7</v>
      </c>
      <c r="W187" s="22">
        <f>U187*(T187-V187)*(1-V187)*(U187-T187)/T187/(U187-V187)^2/(1-T187)</f>
        <v>0.5501677215104509</v>
      </c>
    </row>
    <row r="188" spans="2:23" x14ac:dyDescent="0.25">
      <c r="B188" s="23"/>
      <c r="C188" s="24">
        <v>-38</v>
      </c>
      <c r="D188" s="25"/>
      <c r="E188" s="26">
        <f>110.23+2.7</f>
        <v>112.93</v>
      </c>
      <c r="F188" s="28">
        <f t="shared" si="74"/>
        <v>4.6096887960030045E-2</v>
      </c>
      <c r="G188" s="27"/>
    </row>
    <row r="189" spans="2:23" x14ac:dyDescent="0.25">
      <c r="B189" s="11"/>
      <c r="C189" s="12" t="s">
        <v>6</v>
      </c>
      <c r="D189" s="13"/>
      <c r="E189" s="14">
        <f>SUM(E177:E188)</f>
        <v>2449.84</v>
      </c>
      <c r="F189" s="28">
        <f t="shared" si="74"/>
        <v>1</v>
      </c>
      <c r="G189" s="14"/>
    </row>
    <row r="192" spans="2:23" ht="15.75" thickBot="1" x14ac:dyDescent="0.3"/>
    <row r="193" spans="2:9" ht="30.75" thickBot="1" x14ac:dyDescent="0.3">
      <c r="B193" s="1" t="s">
        <v>0</v>
      </c>
      <c r="C193" s="117" t="s">
        <v>1</v>
      </c>
      <c r="D193" s="118"/>
      <c r="E193" s="2" t="s">
        <v>2</v>
      </c>
      <c r="F193" s="19" t="s">
        <v>14</v>
      </c>
      <c r="G193" s="2" t="s">
        <v>3</v>
      </c>
    </row>
    <row r="194" spans="2:9" ht="38.25" thickTop="1" x14ac:dyDescent="0.25">
      <c r="B194" s="34" t="s">
        <v>110</v>
      </c>
      <c r="C194" s="3" t="s">
        <v>16</v>
      </c>
      <c r="D194" s="4">
        <v>1180</v>
      </c>
      <c r="E194" s="5">
        <f>SUM(E35,E49,E63,E77,E91)</f>
        <v>1063.08</v>
      </c>
      <c r="F194" s="28">
        <f>E194/$E$206</f>
        <v>0.11388450858729558</v>
      </c>
      <c r="G194" s="30">
        <f>SUM(E195:$E$205)/$E$206</f>
        <v>0.8861154914127044</v>
      </c>
      <c r="I194">
        <f>I195*100</f>
        <v>40.270724217096166</v>
      </c>
    </row>
    <row r="195" spans="2:9" x14ac:dyDescent="0.25">
      <c r="B195" s="16" t="s">
        <v>4</v>
      </c>
      <c r="C195" s="17" t="s">
        <v>15</v>
      </c>
      <c r="D195" s="4">
        <v>600</v>
      </c>
      <c r="E195" s="5">
        <f t="shared" ref="E195:E204" si="82">SUM(E36,E50,E64,E78,E92)</f>
        <v>1716.1000000000001</v>
      </c>
      <c r="F195" s="28">
        <f t="shared" ref="F195:F205" si="83">E195/$E$206</f>
        <v>0.18384054369065167</v>
      </c>
      <c r="G195" s="30">
        <f>SUM(E196:$E$205)/$E$206</f>
        <v>0.70227494772205268</v>
      </c>
      <c r="I195" s="47">
        <f>SUM(F26:F32)</f>
        <v>0.40270724217096165</v>
      </c>
    </row>
    <row r="196" spans="2:9" x14ac:dyDescent="0.25">
      <c r="B196" s="18">
        <f>FORECAST(0.8,D194:D195,G194:G195)</f>
        <v>908.31354816152952</v>
      </c>
      <c r="C196" s="17" t="s">
        <v>11</v>
      </c>
      <c r="D196" s="4">
        <v>425</v>
      </c>
      <c r="E196" s="5">
        <f t="shared" si="82"/>
        <v>1797.76</v>
      </c>
      <c r="F196" s="28">
        <f t="shared" si="83"/>
        <v>0.19258852970415821</v>
      </c>
      <c r="G196" s="30">
        <f>SUM(E197:$E$205)/$E$206</f>
        <v>0.50968641801789449</v>
      </c>
    </row>
    <row r="197" spans="2:9" x14ac:dyDescent="0.25">
      <c r="B197" s="7"/>
      <c r="C197" s="17" t="s">
        <v>10</v>
      </c>
      <c r="D197" s="4">
        <v>300</v>
      </c>
      <c r="E197" s="5">
        <f t="shared" si="82"/>
        <v>2279.7200000000003</v>
      </c>
      <c r="F197" s="28">
        <f t="shared" si="83"/>
        <v>0.24421943025607623</v>
      </c>
      <c r="G197" s="30">
        <f>SUM(E198:$E$205)/$E$206</f>
        <v>0.26546698776181821</v>
      </c>
    </row>
    <row r="198" spans="2:9" x14ac:dyDescent="0.25">
      <c r="B198" s="7"/>
      <c r="C198" s="15" t="s">
        <v>5</v>
      </c>
      <c r="D198" s="8">
        <v>212</v>
      </c>
      <c r="E198" s="5">
        <f t="shared" si="82"/>
        <v>1143.44</v>
      </c>
      <c r="F198" s="28">
        <f t="shared" si="83"/>
        <v>0.12249322957731994</v>
      </c>
      <c r="G198" s="30">
        <f>SUM(E199:$E$205)/$E$206</f>
        <v>0.14297375818449828</v>
      </c>
    </row>
    <row r="199" spans="2:9" x14ac:dyDescent="0.25">
      <c r="B199" s="7"/>
      <c r="C199" s="15" t="s">
        <v>12</v>
      </c>
      <c r="D199" s="8">
        <v>180</v>
      </c>
      <c r="E199" s="5">
        <f t="shared" si="82"/>
        <v>171.42</v>
      </c>
      <c r="F199" s="28">
        <f t="shared" si="83"/>
        <v>1.836370025024853E-2</v>
      </c>
      <c r="G199" s="30">
        <f>SUM(E200:$E$205)/$E$206</f>
        <v>0.12461005793424976</v>
      </c>
    </row>
    <row r="200" spans="2:9" x14ac:dyDescent="0.25">
      <c r="B200" s="7"/>
      <c r="C200" s="15" t="s">
        <v>13</v>
      </c>
      <c r="D200" s="8">
        <v>150</v>
      </c>
      <c r="E200" s="5">
        <f t="shared" si="82"/>
        <v>182.39</v>
      </c>
      <c r="F200" s="28">
        <f t="shared" si="83"/>
        <v>1.9538882794556234E-2</v>
      </c>
      <c r="G200" s="30">
        <f>SUM(E201:$E$205)/$E$206</f>
        <v>0.10507117513969352</v>
      </c>
    </row>
    <row r="201" spans="2:9" x14ac:dyDescent="0.25">
      <c r="B201" s="7"/>
      <c r="C201" s="15" t="s">
        <v>9</v>
      </c>
      <c r="D201" s="8">
        <v>106</v>
      </c>
      <c r="E201" s="5">
        <f t="shared" si="82"/>
        <v>215.59</v>
      </c>
      <c r="F201" s="28">
        <f t="shared" si="83"/>
        <v>2.3095497240409994E-2</v>
      </c>
      <c r="G201" s="30">
        <f>SUM(E202:$E$205)/$E$206</f>
        <v>8.1975677899283533E-2</v>
      </c>
    </row>
    <row r="202" spans="2:9" x14ac:dyDescent="0.25">
      <c r="B202" s="7"/>
      <c r="C202" s="15" t="s">
        <v>8</v>
      </c>
      <c r="D202" s="8">
        <v>75</v>
      </c>
      <c r="E202" s="5">
        <f t="shared" si="82"/>
        <v>137.07999999999998</v>
      </c>
      <c r="F202" s="28">
        <f t="shared" si="83"/>
        <v>1.4684961091494975E-2</v>
      </c>
      <c r="G202" s="30">
        <f>SUM(E203:$E$205)/$E$206</f>
        <v>6.7290716807788559E-2</v>
      </c>
    </row>
    <row r="203" spans="2:9" x14ac:dyDescent="0.25">
      <c r="B203" s="7"/>
      <c r="C203" s="15" t="s">
        <v>7</v>
      </c>
      <c r="D203" s="10">
        <v>53</v>
      </c>
      <c r="E203" s="5">
        <f t="shared" si="82"/>
        <v>105.72</v>
      </c>
      <c r="F203" s="28">
        <f t="shared" si="83"/>
        <v>1.1325460217339137E-2</v>
      </c>
      <c r="G203" s="30">
        <f>SUM(E204:$E$205)/$E$206</f>
        <v>5.5965256590449416E-2</v>
      </c>
    </row>
    <row r="204" spans="2:9" x14ac:dyDescent="0.25">
      <c r="B204" s="7"/>
      <c r="C204" s="15" t="s">
        <v>17</v>
      </c>
      <c r="D204" s="10">
        <v>38</v>
      </c>
      <c r="E204" s="5">
        <f t="shared" si="82"/>
        <v>80.86</v>
      </c>
      <c r="F204" s="28">
        <f t="shared" si="83"/>
        <v>8.6622844605944247E-3</v>
      </c>
      <c r="G204" s="30">
        <f>SUM(E205:$E$205)/$E$206</f>
        <v>4.7302972129854993E-2</v>
      </c>
    </row>
    <row r="205" spans="2:9" x14ac:dyDescent="0.25">
      <c r="B205" s="23"/>
      <c r="C205" s="24">
        <v>-38</v>
      </c>
      <c r="D205" s="25"/>
      <c r="E205" s="5">
        <f>SUM(E46,E60,E74,E88,E102)</f>
        <v>441.56000000000006</v>
      </c>
      <c r="F205" s="28">
        <f t="shared" si="83"/>
        <v>4.7302972129854993E-2</v>
      </c>
      <c r="G205" s="27"/>
    </row>
    <row r="206" spans="2:9" x14ac:dyDescent="0.25">
      <c r="B206" s="11"/>
      <c r="C206" s="12" t="s">
        <v>6</v>
      </c>
      <c r="D206" s="13"/>
      <c r="E206" s="5">
        <f>SUM(E47,E61,E75,E89,E103)</f>
        <v>9334.7200000000012</v>
      </c>
      <c r="F206" s="28">
        <f>E206/$E$206</f>
        <v>1</v>
      </c>
      <c r="G206" s="14"/>
    </row>
    <row r="207" spans="2:9" x14ac:dyDescent="0.25">
      <c r="B207" s="55"/>
      <c r="C207" s="55"/>
      <c r="D207" s="55"/>
      <c r="E207" s="55"/>
      <c r="G207" s="55"/>
    </row>
    <row r="208" spans="2:9" ht="15.75" thickBot="1" x14ac:dyDescent="0.3">
      <c r="B208" s="55"/>
      <c r="C208" s="55"/>
      <c r="D208" s="55"/>
      <c r="E208" s="55"/>
      <c r="G208" s="55"/>
      <c r="H208" s="32"/>
    </row>
    <row r="209" spans="2:8" ht="30.75" thickBot="1" x14ac:dyDescent="0.3">
      <c r="B209" s="1" t="s">
        <v>0</v>
      </c>
      <c r="C209" s="117" t="s">
        <v>1</v>
      </c>
      <c r="D209" s="118"/>
      <c r="E209" s="2" t="s">
        <v>2</v>
      </c>
      <c r="F209" s="19" t="s">
        <v>14</v>
      </c>
      <c r="G209" s="2" t="s">
        <v>3</v>
      </c>
      <c r="H209" s="46"/>
    </row>
    <row r="210" spans="2:8" ht="38.25" thickTop="1" x14ac:dyDescent="0.25">
      <c r="B210" s="34" t="s">
        <v>111</v>
      </c>
      <c r="C210" s="3" t="s">
        <v>16</v>
      </c>
      <c r="D210" s="4">
        <v>1180</v>
      </c>
      <c r="E210" s="5">
        <f>SUM(E121,E135,E149,E163,E177)</f>
        <v>983.12</v>
      </c>
      <c r="F210" s="28">
        <f>E210/$E$222</f>
        <v>0.11041738968313067</v>
      </c>
      <c r="G210" s="30">
        <f>SUM(E211:$E$221)/$E$222</f>
        <v>0.88958261031686914</v>
      </c>
    </row>
    <row r="211" spans="2:8" x14ac:dyDescent="0.25">
      <c r="B211" s="16" t="s">
        <v>4</v>
      </c>
      <c r="C211" s="17" t="s">
        <v>15</v>
      </c>
      <c r="D211" s="4">
        <v>600</v>
      </c>
      <c r="E211" s="5">
        <f t="shared" ref="E211:E220" si="84">SUM(E122,E136,E150,E164,E178)</f>
        <v>1732.89</v>
      </c>
      <c r="F211" s="28">
        <f t="shared" ref="F211:F221" si="85">E211/$E$222</f>
        <v>0.19462648548295255</v>
      </c>
      <c r="G211" s="30">
        <f>SUM(E212:$E$221)/$E$222</f>
        <v>0.69495612483391667</v>
      </c>
    </row>
    <row r="212" spans="2:8" x14ac:dyDescent="0.25">
      <c r="B212" s="18">
        <f>FORECAST(0.8,D210:D211,G210:G211)</f>
        <v>913.03780389984422</v>
      </c>
      <c r="C212" s="17" t="s">
        <v>11</v>
      </c>
      <c r="D212" s="4">
        <v>425</v>
      </c>
      <c r="E212" s="5">
        <f t="shared" si="84"/>
        <v>1857.22</v>
      </c>
      <c r="F212" s="28">
        <f t="shared" si="85"/>
        <v>0.20859039025480505</v>
      </c>
      <c r="G212" s="30">
        <f>SUM(E213:$E$221)/$E$222</f>
        <v>0.48636573457911181</v>
      </c>
    </row>
    <row r="213" spans="2:8" x14ac:dyDescent="0.25">
      <c r="B213" s="7"/>
      <c r="C213" s="17" t="s">
        <v>10</v>
      </c>
      <c r="D213" s="4">
        <v>300</v>
      </c>
      <c r="E213" s="5">
        <f t="shared" si="84"/>
        <v>2216.13</v>
      </c>
      <c r="F213" s="28">
        <f t="shared" si="85"/>
        <v>0.24890073419163111</v>
      </c>
      <c r="G213" s="30">
        <f>SUM(E214:$E$221)/$E$222</f>
        <v>0.23746500038748067</v>
      </c>
    </row>
    <row r="214" spans="2:8" x14ac:dyDescent="0.25">
      <c r="B214" s="7"/>
      <c r="C214" s="15" t="s">
        <v>5</v>
      </c>
      <c r="D214" s="8">
        <v>212</v>
      </c>
      <c r="E214" s="5">
        <f t="shared" si="84"/>
        <v>923.32</v>
      </c>
      <c r="F214" s="28">
        <f t="shared" si="85"/>
        <v>0.10370105810300696</v>
      </c>
      <c r="G214" s="30">
        <f>SUM(E215:$E$221)/$E$222</f>
        <v>0.13376394228447372</v>
      </c>
    </row>
    <row r="215" spans="2:8" x14ac:dyDescent="0.25">
      <c r="B215" s="7"/>
      <c r="C215" s="15" t="s">
        <v>12</v>
      </c>
      <c r="D215" s="8">
        <v>180</v>
      </c>
      <c r="E215" s="5">
        <f t="shared" si="84"/>
        <v>139.24</v>
      </c>
      <c r="F215" s="28">
        <f t="shared" si="85"/>
        <v>1.56384951373984E-2</v>
      </c>
      <c r="G215" s="30">
        <f>SUM(E216:$E$221)/$E$222</f>
        <v>0.1181254471470753</v>
      </c>
    </row>
    <row r="216" spans="2:8" x14ac:dyDescent="0.25">
      <c r="B216" s="7"/>
      <c r="C216" s="15" t="s">
        <v>13</v>
      </c>
      <c r="D216" s="8">
        <v>150</v>
      </c>
      <c r="E216" s="5">
        <f t="shared" si="84"/>
        <v>140.12</v>
      </c>
      <c r="F216" s="28">
        <f t="shared" si="85"/>
        <v>1.5737330786069117E-2</v>
      </c>
      <c r="G216" s="30">
        <f>SUM(E217:$E$221)/$E$222</f>
        <v>0.10238811636100618</v>
      </c>
    </row>
    <row r="217" spans="2:8" x14ac:dyDescent="0.25">
      <c r="B217" s="7"/>
      <c r="C217" s="15" t="s">
        <v>9</v>
      </c>
      <c r="D217" s="8">
        <v>106</v>
      </c>
      <c r="E217" s="5">
        <f t="shared" si="84"/>
        <v>166.35999999999999</v>
      </c>
      <c r="F217" s="28">
        <f t="shared" si="85"/>
        <v>1.8684430128250485E-2</v>
      </c>
      <c r="G217" s="30">
        <f>SUM(E218:$E$221)/$E$222</f>
        <v>8.3703686232755703E-2</v>
      </c>
    </row>
    <row r="218" spans="2:8" x14ac:dyDescent="0.25">
      <c r="B218" s="7"/>
      <c r="C218" s="15" t="s">
        <v>8</v>
      </c>
      <c r="D218" s="8">
        <v>75</v>
      </c>
      <c r="E218" s="5">
        <f t="shared" si="84"/>
        <v>110.41999999999999</v>
      </c>
      <c r="F218" s="28">
        <f t="shared" si="85"/>
        <v>1.2401627643432426E-2</v>
      </c>
      <c r="G218" s="30">
        <f>SUM(E219:$E$221)/$E$222</f>
        <v>7.1302058589323272E-2</v>
      </c>
    </row>
    <row r="219" spans="2:8" x14ac:dyDescent="0.25">
      <c r="B219" s="7"/>
      <c r="C219" s="15" t="s">
        <v>7</v>
      </c>
      <c r="D219" s="10">
        <v>53</v>
      </c>
      <c r="E219" s="5">
        <f t="shared" si="84"/>
        <v>81.12</v>
      </c>
      <c r="F219" s="28">
        <f t="shared" si="85"/>
        <v>9.1108497956460654E-3</v>
      </c>
      <c r="G219" s="30">
        <f>SUM(E220:$E$221)/$E$222</f>
        <v>6.2191208793677219E-2</v>
      </c>
    </row>
    <row r="220" spans="2:8" x14ac:dyDescent="0.25">
      <c r="B220" s="7"/>
      <c r="C220" s="15" t="s">
        <v>17</v>
      </c>
      <c r="D220" s="10">
        <v>38</v>
      </c>
      <c r="E220" s="5">
        <f t="shared" si="84"/>
        <v>69.320000000000007</v>
      </c>
      <c r="F220" s="28">
        <f t="shared" si="85"/>
        <v>7.7855535975614558E-3</v>
      </c>
      <c r="G220" s="30">
        <f>SUM(E221:$E$221)/$E$222</f>
        <v>5.4405655196115753E-2</v>
      </c>
    </row>
    <row r="221" spans="2:8" x14ac:dyDescent="0.25">
      <c r="B221" s="23"/>
      <c r="C221" s="24">
        <v>-38</v>
      </c>
      <c r="D221" s="25"/>
      <c r="E221" s="5">
        <f>SUM(E132,E146,E160,E174,E188)</f>
        <v>484.40999999999997</v>
      </c>
      <c r="F221" s="28">
        <f t="shared" si="85"/>
        <v>5.4405655196115753E-2</v>
      </c>
      <c r="G221" s="27"/>
    </row>
    <row r="222" spans="2:8" x14ac:dyDescent="0.25">
      <c r="B222" s="11"/>
      <c r="C222" s="12" t="s">
        <v>6</v>
      </c>
      <c r="D222" s="13"/>
      <c r="E222" s="5">
        <f>SUM(E133,E147,E161,E175,E189)</f>
        <v>8903.67</v>
      </c>
      <c r="F222" s="28">
        <f>E222/$E$189</f>
        <v>3.6343883682199651</v>
      </c>
      <c r="G222" s="14"/>
    </row>
    <row r="225" spans="3:6" x14ac:dyDescent="0.25">
      <c r="C225">
        <f>69.52-100</f>
        <v>-30.480000000000004</v>
      </c>
      <c r="D225">
        <f>C225/C226</f>
        <v>0.38080959520239888</v>
      </c>
      <c r="E225">
        <f>19.96/69.52</f>
        <v>0.28711162255466055</v>
      </c>
      <c r="F225" s="45">
        <f>69.52/19.96</f>
        <v>3.4829659318637272</v>
      </c>
    </row>
    <row r="226" spans="3:6" x14ac:dyDescent="0.25">
      <c r="C226">
        <f>19.96-100</f>
        <v>-80.039999999999992</v>
      </c>
      <c r="D226">
        <f>D225*E225</f>
        <v>0.10933486076294421</v>
      </c>
    </row>
    <row r="228" spans="3:6" x14ac:dyDescent="0.25">
      <c r="E228">
        <f>D225*F225</f>
        <v>1.3263468466167718</v>
      </c>
    </row>
    <row r="229" spans="3:6" x14ac:dyDescent="0.25">
      <c r="D229">
        <f>D226*100</f>
        <v>10.933486076294422</v>
      </c>
    </row>
  </sheetData>
  <mergeCells count="15">
    <mergeCell ref="C193:D193"/>
    <mergeCell ref="C209:D209"/>
    <mergeCell ref="B1:G3"/>
    <mergeCell ref="C34:D34"/>
    <mergeCell ref="C48:D48"/>
    <mergeCell ref="C62:D62"/>
    <mergeCell ref="C76:D76"/>
    <mergeCell ref="C176:D176"/>
    <mergeCell ref="C20:D20"/>
    <mergeCell ref="C106:D106"/>
    <mergeCell ref="C90:D90"/>
    <mergeCell ref="C120:D120"/>
    <mergeCell ref="C134:D134"/>
    <mergeCell ref="C148:D148"/>
    <mergeCell ref="C162:D162"/>
  </mergeCells>
  <conditionalFormatting sqref="C11:G11 C17:G17">
    <cfRule type="cellIs" dxfId="1" priority="2" operator="greaterThan">
      <formula>70</formula>
    </cfRule>
    <cfRule type="cellIs" dxfId="0" priority="1" operator="greaterThan">
      <formula>0.7</formula>
    </cfRule>
  </conditionalFormatting>
  <pageMargins left="0.7" right="0.7" top="1.3" bottom="0.75" header="0.3" footer="0.3"/>
  <pageSetup scale="7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opLeftCell="A7" workbookViewId="0">
      <selection activeCell="C16" sqref="C16:D20"/>
    </sheetView>
  </sheetViews>
  <sheetFormatPr defaultRowHeight="15" x14ac:dyDescent="0.25"/>
  <cols>
    <col min="1" max="1" width="9.140625" style="55"/>
    <col min="3" max="3" width="19.140625" customWidth="1"/>
    <col min="4" max="4" width="19.7109375" customWidth="1"/>
    <col min="5" max="5" width="14.7109375" bestFit="1" customWidth="1"/>
  </cols>
  <sheetData>
    <row r="1" spans="1:15" ht="36" customHeight="1" x14ac:dyDescent="0.25">
      <c r="B1" s="43"/>
      <c r="C1" s="93" t="s">
        <v>25</v>
      </c>
      <c r="D1" s="93" t="s">
        <v>26</v>
      </c>
      <c r="E1" s="93" t="s">
        <v>27</v>
      </c>
      <c r="F1" s="93" t="s">
        <v>28</v>
      </c>
      <c r="G1" s="93" t="s">
        <v>29</v>
      </c>
      <c r="H1" s="43"/>
      <c r="I1" s="93" t="s">
        <v>30</v>
      </c>
      <c r="J1" s="93" t="s">
        <v>31</v>
      </c>
      <c r="K1" s="93" t="s">
        <v>32</v>
      </c>
      <c r="L1" s="93" t="s">
        <v>33</v>
      </c>
      <c r="M1" s="93" t="s">
        <v>34</v>
      </c>
      <c r="O1" s="59"/>
    </row>
    <row r="2" spans="1:15" s="55" customFormat="1" ht="15.75" customHeight="1" x14ac:dyDescent="0.25">
      <c r="B2" s="43"/>
      <c r="C2" s="93"/>
      <c r="D2" s="93"/>
      <c r="E2" s="93"/>
      <c r="F2" s="93"/>
      <c r="G2" s="93"/>
      <c r="H2" s="43"/>
      <c r="I2" s="94"/>
      <c r="J2" s="43"/>
      <c r="K2" s="43"/>
      <c r="L2" s="94"/>
      <c r="M2" s="43"/>
      <c r="O2" s="59"/>
    </row>
    <row r="3" spans="1:15" x14ac:dyDescent="0.25">
      <c r="B3" s="43" t="s">
        <v>68</v>
      </c>
      <c r="C3" s="44">
        <f>SUM(Data!F21:F25)</f>
        <v>0.59729275782903823</v>
      </c>
      <c r="D3" s="44">
        <f>$C$3</f>
        <v>0.59729275782903823</v>
      </c>
      <c r="E3" s="44">
        <f>$C$3</f>
        <v>0.59729275782903823</v>
      </c>
      <c r="F3" s="44">
        <f>$C$3</f>
        <v>0.59729275782903823</v>
      </c>
      <c r="G3" s="44">
        <f>$C$3</f>
        <v>0.59729275782903823</v>
      </c>
      <c r="H3" s="43"/>
      <c r="I3" s="44">
        <f>SUM(Data!F107:F111)</f>
        <v>0.58770310782985358</v>
      </c>
      <c r="J3" s="44">
        <f>+$I$3</f>
        <v>0.58770310782985358</v>
      </c>
      <c r="K3" s="44">
        <f>+$I$3</f>
        <v>0.58770310782985358</v>
      </c>
      <c r="L3" s="44">
        <f>+$I$3</f>
        <v>0.58770310782985358</v>
      </c>
      <c r="M3" s="44">
        <f>+$I$3</f>
        <v>0.58770310782985358</v>
      </c>
    </row>
    <row r="4" spans="1:15" x14ac:dyDescent="0.25">
      <c r="B4" s="43" t="s">
        <v>70</v>
      </c>
      <c r="C4" s="95">
        <f>1-C3</f>
        <v>0.40270724217096177</v>
      </c>
      <c r="D4" s="95">
        <f>1-D3</f>
        <v>0.40270724217096177</v>
      </c>
      <c r="E4" s="95">
        <f>1-E3</f>
        <v>0.40270724217096177</v>
      </c>
      <c r="F4" s="95">
        <f>1-F3</f>
        <v>0.40270724217096177</v>
      </c>
      <c r="G4" s="95">
        <f>1-G3</f>
        <v>0.40270724217096177</v>
      </c>
      <c r="H4" s="43"/>
      <c r="I4" s="44">
        <f>1-I3</f>
        <v>0.41229689217014642</v>
      </c>
      <c r="J4" s="44">
        <f>1-J3</f>
        <v>0.41229689217014642</v>
      </c>
      <c r="K4" s="44">
        <f>1-K3</f>
        <v>0.41229689217014642</v>
      </c>
      <c r="L4" s="44">
        <f>1-L3</f>
        <v>0.41229689217014642</v>
      </c>
      <c r="M4" s="44">
        <f>1-M3</f>
        <v>0.41229689217014642</v>
      </c>
    </row>
    <row r="5" spans="1:15" x14ac:dyDescent="0.25">
      <c r="B5" s="43" t="s">
        <v>72</v>
      </c>
      <c r="C5" s="95">
        <f>SUM(Data!$F35:$F39)</f>
        <v>0.84576901321822973</v>
      </c>
      <c r="D5" s="95">
        <f>SUM(Data!$F49:$F53)</f>
        <v>0.84642048670062253</v>
      </c>
      <c r="E5" s="95">
        <f>SUM(Data!$F63:$F67)</f>
        <v>0.8529512249040373</v>
      </c>
      <c r="F5" s="95">
        <f>SUM(Data!$F77:$F81)</f>
        <v>0.84247554384240853</v>
      </c>
      <c r="G5" s="95">
        <f>SUM(Data!$F91:$F95)</f>
        <v>0.91996323670202562</v>
      </c>
      <c r="H5" s="43"/>
      <c r="I5" s="44">
        <f>SUM(Data!$F121:$F125)</f>
        <v>0.83854886208880097</v>
      </c>
      <c r="J5" s="44">
        <f>SUM(Data!$F135:$F139)</f>
        <v>0.8980483286656179</v>
      </c>
      <c r="K5" s="44">
        <f>SUM(Data!$F149:$F153)</f>
        <v>0.93631150651431461</v>
      </c>
      <c r="L5" s="44">
        <f>SUM(Data!$F163:$F167)</f>
        <v>0.83770174123371588</v>
      </c>
      <c r="M5" s="44">
        <f>SUM(Data!$F177:$F181)</f>
        <v>0.87666541488423733</v>
      </c>
    </row>
    <row r="6" spans="1:15" x14ac:dyDescent="0.25">
      <c r="B6" s="43" t="s">
        <v>74</v>
      </c>
      <c r="C6" s="95">
        <v>0.87239999999999995</v>
      </c>
      <c r="D6" s="95">
        <v>0.87239999999999995</v>
      </c>
      <c r="E6" s="95">
        <v>0.87239999999999995</v>
      </c>
      <c r="F6" s="95">
        <v>0.87239999999999995</v>
      </c>
      <c r="G6" s="95">
        <v>0.87239999999999995</v>
      </c>
      <c r="H6" s="43"/>
      <c r="I6" s="95">
        <v>0.87239999999999995</v>
      </c>
      <c r="J6" s="95">
        <v>0.87239999999999995</v>
      </c>
      <c r="K6" s="95">
        <v>0.87239999999999995</v>
      </c>
      <c r="L6" s="95">
        <v>0.87239999999999995</v>
      </c>
      <c r="M6" s="95">
        <v>0.87239999999999995</v>
      </c>
    </row>
    <row r="7" spans="1:15" x14ac:dyDescent="0.2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1:15" x14ac:dyDescent="0.25">
      <c r="B8" s="43" t="s">
        <v>78</v>
      </c>
      <c r="C8" s="44">
        <f>+(C5-C3)/(C5+C6-1)</f>
        <v>0.34598576493258854</v>
      </c>
      <c r="D8" s="44">
        <f>+(D5-D3)/(D5+D6-1)</f>
        <v>0.34657850392533696</v>
      </c>
      <c r="E8" s="44">
        <f>+(E5-E3)/(E5+E6-1)</f>
        <v>0.35246161900232847</v>
      </c>
      <c r="F8" s="44">
        <f>+(F5-F3)/(F5+F6-1)</f>
        <v>0.34297268681976317</v>
      </c>
      <c r="G8" s="44">
        <f>+(G5-G3)/(G5+G6-1)</f>
        <v>0.40722545409351218</v>
      </c>
      <c r="H8" s="43"/>
      <c r="I8" s="44">
        <f>+(I5-I3)/(I5+I6-1)</f>
        <v>0.352832345102784</v>
      </c>
      <c r="J8" s="44">
        <f>+(J5-J3)/(J5+J6-1)</f>
        <v>0.40281120652603453</v>
      </c>
      <c r="K8" s="44">
        <f>+(K5-K3)/(K5+K6-1)</f>
        <v>0.43106645061478477</v>
      </c>
      <c r="L8" s="44">
        <f>+(L5-L3)/(L5+L6-1)</f>
        <v>0.35206030190761106</v>
      </c>
      <c r="M8" s="44">
        <f>+(M5-M3)/(M5+M6-1)</f>
        <v>0.3857637815237282</v>
      </c>
    </row>
    <row r="9" spans="1:15" x14ac:dyDescent="0.25">
      <c r="B9" s="43" t="s">
        <v>82</v>
      </c>
      <c r="C9" s="95">
        <f>1-C8</f>
        <v>0.65401423506741141</v>
      </c>
      <c r="D9" s="95">
        <f>1-D8</f>
        <v>0.65342149607466304</v>
      </c>
      <c r="E9" s="95">
        <f>1-E8</f>
        <v>0.64753838099767158</v>
      </c>
      <c r="F9" s="95">
        <f>1-F8</f>
        <v>0.65702731318023688</v>
      </c>
      <c r="G9" s="95">
        <f>1-G8</f>
        <v>0.59277454590648782</v>
      </c>
      <c r="H9" s="43"/>
      <c r="I9" s="95">
        <f>1-I8</f>
        <v>0.64716765489721606</v>
      </c>
      <c r="J9" s="95">
        <f>1-J8</f>
        <v>0.59718879347396547</v>
      </c>
      <c r="K9" s="95">
        <f>1-K8</f>
        <v>0.56893354938521523</v>
      </c>
      <c r="L9" s="95">
        <f>1-L8</f>
        <v>0.64793969809238894</v>
      </c>
      <c r="M9" s="95">
        <f>1-M8</f>
        <v>0.61423621847627174</v>
      </c>
    </row>
    <row r="10" spans="1:15" x14ac:dyDescent="0.25">
      <c r="B10" s="43" t="s">
        <v>86</v>
      </c>
      <c r="C10" s="95">
        <f>+C8*C6/C4</f>
        <v>0.74952210866635116</v>
      </c>
      <c r="D10" s="95">
        <f>+D8*D6/D4</f>
        <v>0.75080618166808333</v>
      </c>
      <c r="E10" s="95">
        <f>+E8*E6/E4</f>
        <v>0.76355099739451249</v>
      </c>
      <c r="F10" s="95">
        <f>+F8*F6/F4</f>
        <v>0.74299476306546708</v>
      </c>
      <c r="G10" s="95">
        <f>+G8*G6/G4</f>
        <v>0.8821879741620331</v>
      </c>
      <c r="H10" s="43"/>
      <c r="I10" s="95">
        <f>+I8*I6/I4</f>
        <v>0.74657593523805044</v>
      </c>
      <c r="J10" s="95">
        <f>+J8*J6/J4</f>
        <v>0.85232875446534251</v>
      </c>
      <c r="K10" s="95">
        <f>+K8*K6/K4</f>
        <v>0.91211546499153584</v>
      </c>
      <c r="L10" s="95">
        <f>+L8*L6/L4</f>
        <v>0.74494232970703689</v>
      </c>
      <c r="M10" s="95">
        <f>+M8*M6/M4</f>
        <v>0.81625723936433947</v>
      </c>
    </row>
    <row r="11" spans="1:15" x14ac:dyDescent="0.25">
      <c r="B11" s="43" t="s">
        <v>89</v>
      </c>
      <c r="C11" s="95">
        <f>+C9*C5/C3</f>
        <v>0.92608685937217627</v>
      </c>
      <c r="D11" s="95">
        <f>+D9*D5/D3</f>
        <v>0.9259602321956647</v>
      </c>
      <c r="E11" s="95">
        <f>+E9*E5/E3</f>
        <v>0.92470341889266661</v>
      </c>
      <c r="F11" s="95">
        <f>+F9*F5/F3</f>
        <v>0.92673054500565699</v>
      </c>
      <c r="G11" s="95">
        <f>+G9*G5/G3</f>
        <v>0.91300418888185286</v>
      </c>
      <c r="H11" s="43"/>
      <c r="I11" s="95">
        <f>+I9*I5/I3</f>
        <v>0.92339430124615007</v>
      </c>
      <c r="J11" s="95">
        <f>+J9*J5/J3</f>
        <v>0.91254306933561002</v>
      </c>
      <c r="K11" s="95">
        <f>+K9*K5/K3</f>
        <v>0.90640839164258635</v>
      </c>
      <c r="L11" s="95">
        <f>+L9*L5/L3</f>
        <v>0.92356192450760899</v>
      </c>
      <c r="M11" s="95">
        <f>+M9*M5/M3</f>
        <v>0.91624434537331301</v>
      </c>
    </row>
    <row r="12" spans="1:15" x14ac:dyDescent="0.25">
      <c r="B12" s="43" t="s">
        <v>92</v>
      </c>
      <c r="C12" s="95">
        <f>C$8*C$6+C$9*C$5</f>
        <v>0.85498295555083004</v>
      </c>
      <c r="D12" s="95">
        <f>D$8*D$6+D$9*D$5</f>
        <v>0.85542442755262904</v>
      </c>
      <c r="E12" s="95">
        <f>E$8*E$6+E$9*E$5</f>
        <v>0.85980617166197248</v>
      </c>
      <c r="F12" s="95">
        <f>F$8*F$6+F$9*F$5</f>
        <v>0.8527388149723979</v>
      </c>
      <c r="G12" s="95">
        <f>G$8*G$6+G$9*G$5</f>
        <v>0.900594276037886</v>
      </c>
      <c r="H12" s="43"/>
      <c r="I12" s="95">
        <f>I$8*I$6+I$9*I$5</f>
        <v>0.85049263846240719</v>
      </c>
      <c r="J12" s="95">
        <f>J$8*J$6+J$9*J$5</f>
        <v>0.88771689445044411</v>
      </c>
      <c r="K12" s="95">
        <f>K$8*K$6+K$9*K$5</f>
        <v>0.90876140024774532</v>
      </c>
      <c r="L12" s="95">
        <f>L$8*L$6+L$9*L$5</f>
        <v>0.84991762069064225</v>
      </c>
      <c r="M12" s="95">
        <f>M$8*M$6+M$9*M$5</f>
        <v>0.87501997230872619</v>
      </c>
    </row>
    <row r="13" spans="1:15" s="55" customFormat="1" x14ac:dyDescent="0.25">
      <c r="A13" s="36"/>
      <c r="B13" s="107"/>
      <c r="C13" s="108"/>
      <c r="D13" s="108"/>
      <c r="E13" s="108"/>
      <c r="F13" s="103"/>
      <c r="G13" s="103"/>
      <c r="H13" s="70"/>
      <c r="I13" s="103"/>
      <c r="J13" s="103"/>
      <c r="K13" s="103"/>
      <c r="L13" s="103"/>
      <c r="M13" s="103"/>
    </row>
    <row r="14" spans="1:15" s="55" customFormat="1" x14ac:dyDescent="0.25">
      <c r="A14" s="107"/>
      <c r="B14" s="107" t="s">
        <v>128</v>
      </c>
      <c r="C14" s="108"/>
      <c r="D14" s="108"/>
      <c r="E14" s="108"/>
      <c r="F14" s="58"/>
      <c r="G14" s="58"/>
      <c r="I14" s="58"/>
      <c r="J14" s="58"/>
      <c r="K14" s="58"/>
      <c r="L14" s="58"/>
      <c r="M14" s="58"/>
    </row>
    <row r="15" spans="1:15" x14ac:dyDescent="0.25">
      <c r="A15" s="107"/>
      <c r="B15" s="111" t="s">
        <v>114</v>
      </c>
      <c r="C15" s="111" t="s">
        <v>112</v>
      </c>
      <c r="D15" s="111" t="s">
        <v>113</v>
      </c>
      <c r="E15" s="107"/>
    </row>
    <row r="16" spans="1:15" x14ac:dyDescent="0.25">
      <c r="A16" s="107"/>
      <c r="B16" s="105">
        <v>1</v>
      </c>
      <c r="C16" s="106">
        <v>0.85498295555083004</v>
      </c>
      <c r="D16" s="106">
        <v>0.85049263846240719</v>
      </c>
      <c r="E16" s="107"/>
      <c r="G16" s="55"/>
      <c r="H16" s="49"/>
      <c r="I16" s="49"/>
    </row>
    <row r="17" spans="1:9" x14ac:dyDescent="0.25">
      <c r="A17" s="107"/>
      <c r="B17" s="105">
        <v>2</v>
      </c>
      <c r="C17" s="106">
        <v>0.85542442755262904</v>
      </c>
      <c r="D17" s="106">
        <v>0.88771689445044411</v>
      </c>
      <c r="E17" s="107"/>
      <c r="G17" s="55"/>
      <c r="H17" s="55"/>
      <c r="I17" s="55"/>
    </row>
    <row r="18" spans="1:9" x14ac:dyDescent="0.25">
      <c r="A18" s="107"/>
      <c r="B18" s="105">
        <v>3</v>
      </c>
      <c r="C18" s="106">
        <v>0.85980617166197248</v>
      </c>
      <c r="D18" s="106">
        <v>0.90876140024774532</v>
      </c>
      <c r="E18" s="107"/>
      <c r="G18" s="55"/>
      <c r="H18" s="55"/>
      <c r="I18" s="55"/>
    </row>
    <row r="19" spans="1:9" x14ac:dyDescent="0.25">
      <c r="A19" s="107"/>
      <c r="B19" s="105">
        <v>4</v>
      </c>
      <c r="C19" s="106">
        <v>0.8527388149723979</v>
      </c>
      <c r="D19" s="106">
        <v>0.84991762069064225</v>
      </c>
      <c r="E19" s="107"/>
      <c r="G19" s="55"/>
      <c r="H19" s="55"/>
      <c r="I19" s="55"/>
    </row>
    <row r="20" spans="1:9" x14ac:dyDescent="0.25">
      <c r="A20" s="107"/>
      <c r="B20" s="105">
        <v>5</v>
      </c>
      <c r="C20" s="106">
        <v>0.900594276037886</v>
      </c>
      <c r="D20" s="106">
        <v>0.87501997230872619</v>
      </c>
      <c r="E20" s="107"/>
      <c r="G20" s="55"/>
      <c r="H20" s="55"/>
      <c r="I20" s="55"/>
    </row>
    <row r="21" spans="1:9" x14ac:dyDescent="0.25">
      <c r="A21" s="107"/>
      <c r="B21" s="109" t="s">
        <v>119</v>
      </c>
      <c r="C21" s="110">
        <f>AVERAGE(C16:C20)</f>
        <v>0.8647093291551432</v>
      </c>
      <c r="D21" s="110">
        <f>AVERAGE(D16:D20)</f>
        <v>0.87438170523199299</v>
      </c>
      <c r="E21" s="107"/>
      <c r="G21" s="55"/>
      <c r="H21" s="55"/>
      <c r="I21" s="55"/>
    </row>
    <row r="22" spans="1:9" x14ac:dyDescent="0.25">
      <c r="A22" s="107"/>
      <c r="B22" s="107"/>
      <c r="C22" s="107"/>
      <c r="D22" s="107"/>
      <c r="E22" s="107"/>
    </row>
    <row r="23" spans="1:9" x14ac:dyDescent="0.25">
      <c r="C23" s="55" t="s">
        <v>95</v>
      </c>
    </row>
    <row r="24" spans="1:9" ht="15.75" thickBot="1" x14ac:dyDescent="0.3"/>
    <row r="25" spans="1:9" x14ac:dyDescent="0.25">
      <c r="C25" s="52"/>
      <c r="D25" s="52" t="s">
        <v>112</v>
      </c>
      <c r="E25" s="52" t="s">
        <v>113</v>
      </c>
    </row>
    <row r="26" spans="1:9" x14ac:dyDescent="0.25">
      <c r="C26" s="50" t="s">
        <v>51</v>
      </c>
      <c r="D26" s="96">
        <v>0.8647093291551432</v>
      </c>
      <c r="E26" s="96">
        <v>0.87438170523199299</v>
      </c>
      <c r="F26" s="60">
        <f>E26-D26</f>
        <v>9.6723760768497868E-3</v>
      </c>
    </row>
    <row r="27" spans="1:9" x14ac:dyDescent="0.25">
      <c r="C27" s="50" t="s">
        <v>52</v>
      </c>
      <c r="D27" s="96">
        <v>4.0896882930961616E-4</v>
      </c>
      <c r="E27" s="96">
        <v>6.323442573243417E-4</v>
      </c>
    </row>
    <row r="28" spans="1:9" x14ac:dyDescent="0.25">
      <c r="C28" s="50" t="s">
        <v>53</v>
      </c>
      <c r="D28" s="50">
        <v>5</v>
      </c>
      <c r="E28" s="50">
        <v>5</v>
      </c>
    </row>
    <row r="29" spans="1:9" x14ac:dyDescent="0.25">
      <c r="C29" s="50" t="s">
        <v>96</v>
      </c>
      <c r="D29" s="53">
        <v>0.12571418159168044</v>
      </c>
      <c r="E29" s="50"/>
    </row>
    <row r="30" spans="1:9" x14ac:dyDescent="0.25">
      <c r="C30" s="50" t="s">
        <v>54</v>
      </c>
      <c r="D30" s="116">
        <v>0</v>
      </c>
      <c r="E30" s="50"/>
    </row>
    <row r="31" spans="1:9" x14ac:dyDescent="0.25">
      <c r="C31" s="50" t="s">
        <v>55</v>
      </c>
      <c r="D31" s="53">
        <v>4</v>
      </c>
      <c r="E31" s="50"/>
    </row>
    <row r="32" spans="1:9" x14ac:dyDescent="0.25">
      <c r="C32" s="50" t="s">
        <v>56</v>
      </c>
      <c r="D32" s="53">
        <v>-0.71560794697513364</v>
      </c>
      <c r="E32" s="50"/>
      <c r="F32" s="55" t="s">
        <v>99</v>
      </c>
      <c r="H32" s="55" t="s">
        <v>100</v>
      </c>
    </row>
    <row r="33" spans="3:6" x14ac:dyDescent="0.25">
      <c r="C33" s="50" t="s">
        <v>57</v>
      </c>
      <c r="D33" s="53">
        <v>0.25689238934381542</v>
      </c>
      <c r="E33" s="50"/>
      <c r="F33" s="22">
        <f>1-D33</f>
        <v>0.74310761065618458</v>
      </c>
    </row>
    <row r="34" spans="3:6" x14ac:dyDescent="0.25">
      <c r="C34" s="50" t="s">
        <v>58</v>
      </c>
      <c r="D34" s="53">
        <v>2.1318467819039775</v>
      </c>
      <c r="E34" s="50"/>
    </row>
    <row r="35" spans="3:6" x14ac:dyDescent="0.25">
      <c r="C35" s="50" t="s">
        <v>59</v>
      </c>
      <c r="D35" s="53">
        <v>0.51378477868763084</v>
      </c>
      <c r="E35" s="50"/>
    </row>
    <row r="36" spans="3:6" ht="15.75" thickBot="1" x14ac:dyDescent="0.3">
      <c r="C36" s="51" t="s">
        <v>60</v>
      </c>
      <c r="D36" s="54">
        <v>2.7764451050438028</v>
      </c>
      <c r="E36" s="5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workbookViewId="0">
      <selection activeCell="B3" sqref="B3"/>
    </sheetView>
  </sheetViews>
  <sheetFormatPr defaultRowHeight="15" x14ac:dyDescent="0.25"/>
  <cols>
    <col min="1" max="1" width="9.7109375" bestFit="1" customWidth="1"/>
    <col min="2" max="6" width="15" customWidth="1"/>
    <col min="7" max="7" width="15" style="55" customWidth="1"/>
    <col min="8" max="12" width="15" customWidth="1"/>
  </cols>
  <sheetData>
    <row r="1" spans="1:12" x14ac:dyDescent="0.25">
      <c r="B1" s="121" t="s">
        <v>38</v>
      </c>
      <c r="C1" s="122"/>
      <c r="D1" s="122"/>
      <c r="E1" s="122"/>
      <c r="F1" s="123"/>
      <c r="H1" s="121" t="s">
        <v>39</v>
      </c>
      <c r="I1" s="122"/>
      <c r="J1" s="122"/>
      <c r="K1" s="122"/>
      <c r="L1" s="123"/>
    </row>
    <row r="2" spans="1:12" x14ac:dyDescent="0.25">
      <c r="B2" s="43" t="s">
        <v>41</v>
      </c>
      <c r="C2" s="43" t="s">
        <v>42</v>
      </c>
      <c r="D2" s="43" t="s">
        <v>43</v>
      </c>
      <c r="E2" s="43" t="s">
        <v>44</v>
      </c>
      <c r="F2" s="43" t="s">
        <v>45</v>
      </c>
      <c r="H2" s="43" t="s">
        <v>41</v>
      </c>
      <c r="I2" s="43" t="s">
        <v>42</v>
      </c>
      <c r="J2" s="43" t="s">
        <v>43</v>
      </c>
      <c r="K2" s="43" t="s">
        <v>44</v>
      </c>
      <c r="L2" s="43" t="s">
        <v>45</v>
      </c>
    </row>
    <row r="3" spans="1:12" x14ac:dyDescent="0.25">
      <c r="A3" t="s">
        <v>40</v>
      </c>
      <c r="B3" s="67">
        <f>'Derrick cal'!C$12*100</f>
        <v>85.498295555083004</v>
      </c>
      <c r="C3" s="67">
        <f>'Derrick cal'!D$12*100</f>
        <v>85.542442755262897</v>
      </c>
      <c r="D3" s="67">
        <f>'Derrick cal'!E$12*100</f>
        <v>85.980617166197248</v>
      </c>
      <c r="E3" s="67">
        <f>'Derrick cal'!F$12*100</f>
        <v>85.273881497239785</v>
      </c>
      <c r="F3" s="67">
        <f>'Derrick cal'!G$12*100</f>
        <v>90.059427603788606</v>
      </c>
      <c r="H3" s="67">
        <f>'Derrick cal'!I$12*100</f>
        <v>85.04926384624072</v>
      </c>
      <c r="I3" s="67">
        <f>'Derrick cal'!J$12*100</f>
        <v>88.771689445044416</v>
      </c>
      <c r="J3" s="67">
        <f>'Derrick cal'!K$12*100</f>
        <v>90.876140024774529</v>
      </c>
      <c r="K3" s="67">
        <f>'Derrick cal'!L$12*100</f>
        <v>84.991762069064222</v>
      </c>
      <c r="L3" s="67">
        <f>'Derrick cal'!M$12*100</f>
        <v>87.501997230872618</v>
      </c>
    </row>
    <row r="5" spans="1:12" x14ac:dyDescent="0.25">
      <c r="B5" s="49" t="s">
        <v>46</v>
      </c>
      <c r="C5" s="49" t="s">
        <v>47</v>
      </c>
    </row>
    <row r="6" spans="1:12" x14ac:dyDescent="0.25">
      <c r="A6" t="s">
        <v>41</v>
      </c>
      <c r="B6" s="67">
        <f>'Derrick cal'!C$12*100</f>
        <v>85.498295555083004</v>
      </c>
      <c r="C6" s="67">
        <f>'Derrick cal'!I$12*100</f>
        <v>85.04926384624072</v>
      </c>
    </row>
    <row r="7" spans="1:12" x14ac:dyDescent="0.25">
      <c r="A7" t="s">
        <v>42</v>
      </c>
      <c r="B7" s="67">
        <f>'Derrick cal'!D$12*100</f>
        <v>85.542442755262897</v>
      </c>
      <c r="C7" s="67">
        <f>'Derrick cal'!J$12*100</f>
        <v>88.771689445044416</v>
      </c>
    </row>
    <row r="8" spans="1:12" x14ac:dyDescent="0.25">
      <c r="A8" t="s">
        <v>43</v>
      </c>
      <c r="B8" s="67">
        <f>'Derrick cal'!E$12*100</f>
        <v>85.980617166197248</v>
      </c>
      <c r="C8" s="67">
        <f>'Derrick cal'!K$12*100</f>
        <v>90.876140024774529</v>
      </c>
    </row>
    <row r="9" spans="1:12" x14ac:dyDescent="0.25">
      <c r="A9" t="s">
        <v>44</v>
      </c>
      <c r="B9" s="67">
        <f>'Derrick cal'!F$12*100</f>
        <v>85.273881497239785</v>
      </c>
      <c r="C9" s="67">
        <f>'Derrick cal'!L$12*100</f>
        <v>84.991762069064222</v>
      </c>
    </row>
    <row r="10" spans="1:12" x14ac:dyDescent="0.25">
      <c r="A10" t="s">
        <v>45</v>
      </c>
      <c r="B10" s="67">
        <f>'Derrick cal'!G$12*100</f>
        <v>90.059427603788606</v>
      </c>
      <c r="C10" s="67">
        <f>'Derrick cal'!M$12*100</f>
        <v>87.501997230872618</v>
      </c>
    </row>
    <row r="11" spans="1:12" x14ac:dyDescent="0.25">
      <c r="A11" t="s">
        <v>48</v>
      </c>
      <c r="B11" s="32">
        <f>AVERAGE(B6:B10)</f>
        <v>86.470932915514311</v>
      </c>
      <c r="C11" s="32">
        <f>AVERAGE(C6:C10)</f>
        <v>87.438170523199318</v>
      </c>
    </row>
    <row r="12" spans="1:12" x14ac:dyDescent="0.25">
      <c r="A12" t="s">
        <v>49</v>
      </c>
      <c r="B12" s="32">
        <f>STDEV(B6:B10)</f>
        <v>2.022297775575145</v>
      </c>
      <c r="C12" s="32">
        <f>STDEV(C6:C10)</f>
        <v>2.5146456158360402</v>
      </c>
    </row>
    <row r="14" spans="1:12" x14ac:dyDescent="0.25">
      <c r="A14" t="s">
        <v>63</v>
      </c>
      <c r="B14" s="32">
        <f>B11+B12</f>
        <v>88.493230691089451</v>
      </c>
      <c r="C14" s="32">
        <f>C11+C12</f>
        <v>89.952816139035363</v>
      </c>
    </row>
    <row r="15" spans="1:12" x14ac:dyDescent="0.25">
      <c r="A15" t="s">
        <v>64</v>
      </c>
      <c r="B15" s="32">
        <f>B11-B12</f>
        <v>84.448635139939171</v>
      </c>
      <c r="C15" s="32">
        <f>C11-C12</f>
        <v>84.923524907363273</v>
      </c>
    </row>
    <row r="28" spans="2:5" x14ac:dyDescent="0.25">
      <c r="B28" t="s">
        <v>50</v>
      </c>
    </row>
    <row r="29" spans="2:5" ht="15.75" thickBot="1" x14ac:dyDescent="0.3"/>
    <row r="30" spans="2:5" x14ac:dyDescent="0.25">
      <c r="B30" s="52"/>
      <c r="C30" s="52" t="s">
        <v>46</v>
      </c>
      <c r="D30" s="52" t="s">
        <v>47</v>
      </c>
      <c r="E30" t="s">
        <v>61</v>
      </c>
    </row>
    <row r="31" spans="2:5" x14ac:dyDescent="0.25">
      <c r="B31" s="50" t="s">
        <v>51</v>
      </c>
      <c r="C31" s="53">
        <v>71.962000000000018</v>
      </c>
      <c r="D31" s="53">
        <v>84.666000000000011</v>
      </c>
      <c r="E31" s="32">
        <f>ABS(C31-D31)</f>
        <v>12.703999999999994</v>
      </c>
    </row>
    <row r="32" spans="2:5" x14ac:dyDescent="0.25">
      <c r="B32" s="50" t="s">
        <v>52</v>
      </c>
      <c r="C32" s="53">
        <v>138.05361999999877</v>
      </c>
      <c r="D32" s="53">
        <v>18.831529999997656</v>
      </c>
    </row>
    <row r="33" spans="2:6" x14ac:dyDescent="0.25">
      <c r="B33" s="50" t="s">
        <v>53</v>
      </c>
      <c r="C33" s="53">
        <v>5</v>
      </c>
      <c r="D33" s="53">
        <v>5</v>
      </c>
    </row>
    <row r="34" spans="2:6" x14ac:dyDescent="0.25">
      <c r="B34" s="50" t="s">
        <v>54</v>
      </c>
      <c r="C34" s="53">
        <v>0</v>
      </c>
      <c r="D34" s="53"/>
    </row>
    <row r="35" spans="2:6" x14ac:dyDescent="0.25">
      <c r="B35" s="50" t="s">
        <v>55</v>
      </c>
      <c r="C35" s="53">
        <v>5</v>
      </c>
      <c r="D35" s="53"/>
    </row>
    <row r="36" spans="2:6" x14ac:dyDescent="0.25">
      <c r="B36" s="50" t="s">
        <v>56</v>
      </c>
      <c r="C36" s="53">
        <v>-2.2679557072140222</v>
      </c>
      <c r="D36" s="53"/>
      <c r="E36" t="s">
        <v>65</v>
      </c>
    </row>
    <row r="37" spans="2:6" x14ac:dyDescent="0.25">
      <c r="B37" s="50" t="s">
        <v>57</v>
      </c>
      <c r="C37" s="53">
        <v>3.631221892708407E-2</v>
      </c>
      <c r="D37" s="53"/>
      <c r="E37" s="22">
        <f>1-C37</f>
        <v>0.96368778107291597</v>
      </c>
      <c r="F37" t="s">
        <v>62</v>
      </c>
    </row>
    <row r="38" spans="2:6" x14ac:dyDescent="0.25">
      <c r="B38" s="50" t="s">
        <v>58</v>
      </c>
      <c r="C38" s="53">
        <v>2.0150483720881205</v>
      </c>
      <c r="D38" s="53"/>
    </row>
    <row r="39" spans="2:6" x14ac:dyDescent="0.25">
      <c r="B39" s="50" t="s">
        <v>59</v>
      </c>
      <c r="C39" s="53">
        <v>7.2624437854168139E-2</v>
      </c>
      <c r="D39" s="53"/>
      <c r="E39" s="22"/>
    </row>
    <row r="40" spans="2:6" ht="15.75" thickBot="1" x14ac:dyDescent="0.3">
      <c r="B40" s="51" t="s">
        <v>60</v>
      </c>
      <c r="C40" s="54">
        <v>2.5705818346975402</v>
      </c>
      <c r="D40" s="54"/>
    </row>
  </sheetData>
  <mergeCells count="2">
    <mergeCell ref="B1:F1"/>
    <mergeCell ref="H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3"/>
  <sheetViews>
    <sheetView tabSelected="1" topLeftCell="C11" workbookViewId="0">
      <selection activeCell="D27" sqref="D27"/>
    </sheetView>
  </sheetViews>
  <sheetFormatPr defaultRowHeight="15" x14ac:dyDescent="0.25"/>
  <cols>
    <col min="1" max="1" width="9.140625" style="55"/>
    <col min="2" max="2" width="27.42578125" bestFit="1" customWidth="1"/>
    <col min="3" max="3" width="14.7109375" customWidth="1"/>
    <col min="4" max="4" width="15.42578125" customWidth="1"/>
    <col min="9" max="9" width="10.140625" customWidth="1"/>
    <col min="10" max="10" width="16" customWidth="1"/>
    <col min="11" max="11" width="16.28515625" customWidth="1"/>
  </cols>
  <sheetData>
    <row r="1" spans="2:13" ht="30" x14ac:dyDescent="0.25">
      <c r="B1" s="55"/>
      <c r="C1" s="93" t="s">
        <v>25</v>
      </c>
      <c r="D1" s="93" t="s">
        <v>26</v>
      </c>
      <c r="E1" s="93" t="s">
        <v>27</v>
      </c>
      <c r="F1" s="93" t="s">
        <v>28</v>
      </c>
      <c r="G1" s="93" t="s">
        <v>29</v>
      </c>
      <c r="H1" s="43"/>
      <c r="I1" s="93" t="s">
        <v>30</v>
      </c>
      <c r="J1" s="93" t="s">
        <v>31</v>
      </c>
      <c r="K1" s="93" t="s">
        <v>32</v>
      </c>
      <c r="L1" s="93" t="s">
        <v>33</v>
      </c>
      <c r="M1" s="93" t="s">
        <v>34</v>
      </c>
    </row>
    <row r="2" spans="2:13" x14ac:dyDescent="0.25">
      <c r="B2" s="55" t="s">
        <v>104</v>
      </c>
      <c r="C2" s="90">
        <f>Data!W45</f>
        <v>0.51457912765735148</v>
      </c>
      <c r="D2" s="90">
        <f>+Data!W59</f>
        <v>0.5805525092393784</v>
      </c>
      <c r="E2" s="90">
        <f>Data!W73</f>
        <v>0.53850422725848202</v>
      </c>
      <c r="F2" s="90">
        <f>Data!W87</f>
        <v>0.53383667135435997</v>
      </c>
      <c r="G2" s="101">
        <f>Data!W101</f>
        <v>0.6108928309767544</v>
      </c>
      <c r="H2" s="55"/>
      <c r="I2" s="90">
        <f>Data!W131</f>
        <v>0.51704760523965154</v>
      </c>
      <c r="J2" s="101">
        <f>Data!W145</f>
        <v>0.52052204450363382</v>
      </c>
      <c r="K2" s="101">
        <f>Data!W159</f>
        <v>0.58275412124760317</v>
      </c>
      <c r="L2" s="90">
        <f>Data!W173</f>
        <v>0.52274717809876348</v>
      </c>
      <c r="M2" s="90">
        <f>Data!W187</f>
        <v>0.5501677215104509</v>
      </c>
    </row>
    <row r="3" spans="2:13" x14ac:dyDescent="0.25"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2:13" x14ac:dyDescent="0.25">
      <c r="B4" s="55" t="s">
        <v>115</v>
      </c>
      <c r="C4" s="91">
        <f>Data!G45</f>
        <v>6.0907098963739102E-2</v>
      </c>
      <c r="D4" s="91">
        <f>Data!G59</f>
        <v>3.7053318780823026E-2</v>
      </c>
      <c r="E4" s="91">
        <f>Data!G73</f>
        <v>5.3347133181936922E-2</v>
      </c>
      <c r="F4" s="91">
        <f>Data!G87</f>
        <v>5.4902398713539108E-2</v>
      </c>
      <c r="G4" s="91">
        <f>Data!G101</f>
        <v>2.1621414621069965E-2</v>
      </c>
      <c r="H4" s="91"/>
      <c r="I4" s="91">
        <f>Data!G131</f>
        <v>6.140148181652811E-2</v>
      </c>
      <c r="J4" s="91">
        <f>Data!G145</f>
        <v>5.9986079064337727E-2</v>
      </c>
      <c r="K4" s="91">
        <f>Data!G159</f>
        <v>2.5045326137369824E-2</v>
      </c>
      <c r="L4" s="91">
        <f>Data!G173</f>
        <v>5.9059554625137324E-2</v>
      </c>
      <c r="M4" s="91">
        <f>Data!G187</f>
        <v>4.6096887960030045E-2</v>
      </c>
    </row>
    <row r="5" spans="2:13" x14ac:dyDescent="0.25"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</row>
    <row r="6" spans="2:13" s="36" customFormat="1" x14ac:dyDescent="0.25"/>
    <row r="7" spans="2:13" s="36" customFormat="1" x14ac:dyDescent="0.25">
      <c r="B7" s="36" t="s">
        <v>104</v>
      </c>
      <c r="I7" s="112" t="s">
        <v>120</v>
      </c>
      <c r="J7" s="112"/>
      <c r="K7" s="112"/>
    </row>
    <row r="8" spans="2:13" s="36" customFormat="1" x14ac:dyDescent="0.25">
      <c r="B8" s="104" t="s">
        <v>94</v>
      </c>
      <c r="C8" s="104" t="s">
        <v>116</v>
      </c>
      <c r="D8" s="104" t="s">
        <v>117</v>
      </c>
      <c r="I8" s="113" t="s">
        <v>94</v>
      </c>
      <c r="J8" s="113" t="s">
        <v>116</v>
      </c>
      <c r="K8" s="113" t="s">
        <v>117</v>
      </c>
    </row>
    <row r="9" spans="2:13" s="36" customFormat="1" x14ac:dyDescent="0.25">
      <c r="B9" s="105">
        <v>1</v>
      </c>
      <c r="C9" s="106">
        <v>0.51457912765735148</v>
      </c>
      <c r="D9" s="106">
        <v>0.51704760523965154</v>
      </c>
      <c r="I9" s="105">
        <v>1</v>
      </c>
      <c r="J9" s="106">
        <v>6.0907098963739102E-2</v>
      </c>
      <c r="K9" s="106">
        <v>6.140148181652811E-2</v>
      </c>
    </row>
    <row r="10" spans="2:13" s="36" customFormat="1" x14ac:dyDescent="0.25">
      <c r="B10" s="105">
        <v>2</v>
      </c>
      <c r="C10" s="106">
        <v>0.5805525092393784</v>
      </c>
      <c r="D10" s="106">
        <v>0.52052204450363382</v>
      </c>
      <c r="I10" s="105">
        <v>2</v>
      </c>
      <c r="J10" s="106">
        <v>3.7053318780823026E-2</v>
      </c>
      <c r="K10" s="106">
        <v>5.9986079064337727E-2</v>
      </c>
    </row>
    <row r="11" spans="2:13" s="36" customFormat="1" x14ac:dyDescent="0.25">
      <c r="B11" s="105">
        <v>3</v>
      </c>
      <c r="C11" s="106">
        <v>0.53850422725848202</v>
      </c>
      <c r="D11" s="106">
        <v>0.58275412124760317</v>
      </c>
      <c r="I11" s="105">
        <v>3</v>
      </c>
      <c r="J11" s="106">
        <v>5.3347133181936922E-2</v>
      </c>
      <c r="K11" s="106">
        <v>2.5045326137369824E-2</v>
      </c>
    </row>
    <row r="12" spans="2:13" s="36" customFormat="1" x14ac:dyDescent="0.25">
      <c r="B12" s="105">
        <v>4</v>
      </c>
      <c r="C12" s="106">
        <v>0.53383667135435997</v>
      </c>
      <c r="D12" s="106">
        <v>0.52274717809876348</v>
      </c>
      <c r="I12" s="105">
        <v>4</v>
      </c>
      <c r="J12" s="106">
        <v>5.4902398713539108E-2</v>
      </c>
      <c r="K12" s="106">
        <v>5.9059554625137324E-2</v>
      </c>
    </row>
    <row r="13" spans="2:13" s="36" customFormat="1" x14ac:dyDescent="0.25">
      <c r="B13" s="105">
        <v>5</v>
      </c>
      <c r="C13" s="106">
        <v>0.6108928309767544</v>
      </c>
      <c r="D13" s="106">
        <v>0.5501677215104509</v>
      </c>
      <c r="I13" s="105">
        <v>5</v>
      </c>
      <c r="J13" s="106">
        <v>2.1621414621069965E-2</v>
      </c>
      <c r="K13" s="106">
        <v>4.6096887960030045E-2</v>
      </c>
    </row>
    <row r="14" spans="2:13" s="36" customFormat="1" x14ac:dyDescent="0.25">
      <c r="I14" s="111" t="s">
        <v>119</v>
      </c>
      <c r="J14" s="110">
        <f>AVERAGE(J9:J13)</f>
        <v>4.5566272852221625E-2</v>
      </c>
      <c r="K14" s="110">
        <f>AVERAGE(K9:K13)</f>
        <v>5.0317865920680604E-2</v>
      </c>
    </row>
    <row r="15" spans="2:13" s="36" customFormat="1" x14ac:dyDescent="0.25"/>
    <row r="16" spans="2:13" s="36" customFormat="1" x14ac:dyDescent="0.25"/>
    <row r="17" spans="2:13" x14ac:dyDescent="0.25">
      <c r="B17" s="55"/>
      <c r="C17" s="55" t="s">
        <v>95</v>
      </c>
      <c r="F17" s="55"/>
      <c r="G17" s="55"/>
      <c r="H17" s="55"/>
      <c r="I17" s="55" t="s">
        <v>95</v>
      </c>
      <c r="L17" s="55"/>
      <c r="M17" s="55"/>
    </row>
    <row r="18" spans="2:13" ht="15.75" thickBot="1" x14ac:dyDescent="0.3">
      <c r="B18" s="55"/>
      <c r="F18" s="55"/>
      <c r="G18" s="55"/>
      <c r="H18" s="55"/>
      <c r="L18" s="55"/>
      <c r="M18" s="55"/>
    </row>
    <row r="19" spans="2:13" x14ac:dyDescent="0.25">
      <c r="B19" s="55"/>
      <c r="C19" s="52"/>
      <c r="D19" s="102" t="s">
        <v>116</v>
      </c>
      <c r="E19" s="102" t="s">
        <v>117</v>
      </c>
      <c r="F19" s="55"/>
      <c r="G19" s="55"/>
      <c r="H19" s="55"/>
      <c r="I19" s="52"/>
      <c r="J19" s="102" t="s">
        <v>116</v>
      </c>
      <c r="K19" s="102" t="s">
        <v>117</v>
      </c>
      <c r="L19" s="55"/>
      <c r="M19" s="55"/>
    </row>
    <row r="20" spans="2:13" x14ac:dyDescent="0.25">
      <c r="B20" s="55"/>
      <c r="C20" s="50" t="s">
        <v>51</v>
      </c>
      <c r="D20" s="96">
        <v>0.55567307329726523</v>
      </c>
      <c r="E20" s="96">
        <v>0.53864773412002065</v>
      </c>
      <c r="F20" s="91">
        <f>D20-E20</f>
        <v>1.7025339177244581E-2</v>
      </c>
      <c r="G20" s="55"/>
      <c r="H20" s="55"/>
      <c r="I20" s="50" t="s">
        <v>51</v>
      </c>
      <c r="J20" s="96">
        <v>4.5566272852221625E-2</v>
      </c>
      <c r="K20" s="96">
        <v>5.0317865920680604E-2</v>
      </c>
      <c r="L20" s="91">
        <f>J20-K20</f>
        <v>-4.7515930684589799E-3</v>
      </c>
      <c r="M20" s="55"/>
    </row>
    <row r="21" spans="2:13" x14ac:dyDescent="0.25">
      <c r="B21" s="55"/>
      <c r="C21" s="50" t="s">
        <v>52</v>
      </c>
      <c r="D21" s="96">
        <v>1.5321295158377546E-3</v>
      </c>
      <c r="E21" s="96">
        <v>7.8150434210672026E-4</v>
      </c>
      <c r="F21" s="55"/>
      <c r="G21" s="55"/>
      <c r="H21" s="55"/>
      <c r="I21" s="50" t="s">
        <v>52</v>
      </c>
      <c r="J21" s="96">
        <v>2.5721815052110212E-4</v>
      </c>
      <c r="K21" s="96">
        <v>2.3731398254170453E-4</v>
      </c>
      <c r="L21" s="55"/>
      <c r="M21" s="55"/>
    </row>
    <row r="22" spans="2:13" x14ac:dyDescent="0.25">
      <c r="B22" s="55"/>
      <c r="C22" s="50" t="s">
        <v>53</v>
      </c>
      <c r="D22" s="50">
        <v>5</v>
      </c>
      <c r="E22" s="50">
        <v>5</v>
      </c>
      <c r="F22" s="55"/>
      <c r="G22" s="55"/>
      <c r="H22" s="55"/>
      <c r="I22" s="50" t="s">
        <v>53</v>
      </c>
      <c r="J22" s="50">
        <v>5</v>
      </c>
      <c r="K22" s="50">
        <v>5</v>
      </c>
      <c r="L22" s="55"/>
      <c r="M22" s="55"/>
    </row>
    <row r="23" spans="2:13" x14ac:dyDescent="0.25">
      <c r="B23" s="55"/>
      <c r="C23" s="50" t="s">
        <v>96</v>
      </c>
      <c r="D23" s="50">
        <v>0.15142070397772914</v>
      </c>
      <c r="E23" s="50"/>
      <c r="F23" s="55"/>
      <c r="G23" s="55"/>
      <c r="H23" s="55"/>
      <c r="I23" s="50" t="s">
        <v>96</v>
      </c>
      <c r="J23" s="50">
        <v>7.464501361861775E-2</v>
      </c>
      <c r="K23" s="50"/>
      <c r="L23" s="55"/>
      <c r="M23" s="55"/>
    </row>
    <row r="24" spans="2:13" x14ac:dyDescent="0.25">
      <c r="B24" s="55"/>
      <c r="C24" s="50" t="s">
        <v>54</v>
      </c>
      <c r="D24" s="50">
        <v>0</v>
      </c>
      <c r="E24" s="50"/>
      <c r="F24" s="55"/>
      <c r="G24" s="55"/>
      <c r="H24" s="55"/>
      <c r="I24" s="50" t="s">
        <v>54</v>
      </c>
      <c r="J24" s="50">
        <v>0</v>
      </c>
      <c r="K24" s="50"/>
      <c r="L24" s="55"/>
      <c r="M24" s="55"/>
    </row>
    <row r="25" spans="2:13" x14ac:dyDescent="0.25">
      <c r="B25" s="55"/>
      <c r="C25" s="50" t="s">
        <v>55</v>
      </c>
      <c r="D25" s="50">
        <v>4</v>
      </c>
      <c r="E25" s="50"/>
      <c r="F25" s="55"/>
      <c r="G25" s="55"/>
      <c r="H25" s="55"/>
      <c r="I25" s="50" t="s">
        <v>55</v>
      </c>
      <c r="J25" s="50">
        <v>4</v>
      </c>
      <c r="K25" s="50"/>
      <c r="L25" s="55"/>
      <c r="M25" s="55"/>
    </row>
    <row r="26" spans="2:13" x14ac:dyDescent="0.25">
      <c r="B26" s="55"/>
      <c r="C26" s="50" t="s">
        <v>56</v>
      </c>
      <c r="D26" s="50">
        <v>0.85506935030221476</v>
      </c>
      <c r="E26" s="50"/>
      <c r="F26" s="55" t="s">
        <v>105</v>
      </c>
      <c r="G26" s="55"/>
      <c r="H26" s="55"/>
      <c r="I26" s="50" t="s">
        <v>56</v>
      </c>
      <c r="J26" s="50">
        <v>-0.49665933930634465</v>
      </c>
      <c r="K26" s="50"/>
      <c r="L26" s="55" t="s">
        <v>118</v>
      </c>
      <c r="M26" s="55"/>
    </row>
    <row r="27" spans="2:13" x14ac:dyDescent="0.25">
      <c r="B27" s="55"/>
      <c r="C27" s="50" t="s">
        <v>57</v>
      </c>
      <c r="D27" s="50">
        <v>0.22035245884001525</v>
      </c>
      <c r="E27" s="50"/>
      <c r="F27" s="55"/>
      <c r="G27" s="55"/>
      <c r="H27" s="55"/>
      <c r="I27" s="50" t="s">
        <v>57</v>
      </c>
      <c r="J27" s="50">
        <v>0.32274260555179751</v>
      </c>
      <c r="K27" s="50"/>
      <c r="L27" s="55"/>
      <c r="M27" s="55"/>
    </row>
    <row r="28" spans="2:13" x14ac:dyDescent="0.25">
      <c r="B28" s="55"/>
      <c r="C28" s="50" t="s">
        <v>58</v>
      </c>
      <c r="D28" s="50">
        <v>2.1318467819039775</v>
      </c>
      <c r="E28" s="50"/>
      <c r="F28" s="55"/>
      <c r="G28" s="55"/>
      <c r="H28" s="55"/>
      <c r="I28" s="50" t="s">
        <v>58</v>
      </c>
      <c r="J28" s="50">
        <v>2.1318467819039775</v>
      </c>
      <c r="K28" s="50"/>
      <c r="L28" s="55"/>
      <c r="M28" s="55"/>
    </row>
    <row r="29" spans="2:13" x14ac:dyDescent="0.25">
      <c r="B29" s="55"/>
      <c r="C29" s="50" t="s">
        <v>59</v>
      </c>
      <c r="D29" s="50">
        <v>0.44070491768003051</v>
      </c>
      <c r="E29" s="50"/>
      <c r="F29" s="55"/>
      <c r="G29" s="55"/>
      <c r="H29" s="55"/>
      <c r="I29" s="50" t="s">
        <v>59</v>
      </c>
      <c r="J29" s="50">
        <v>0.64548521110359502</v>
      </c>
      <c r="K29" s="50"/>
      <c r="L29" s="55"/>
      <c r="M29" s="55"/>
    </row>
    <row r="30" spans="2:13" ht="15.75" thickBot="1" x14ac:dyDescent="0.3">
      <c r="B30" s="55"/>
      <c r="C30" s="51" t="s">
        <v>60</v>
      </c>
      <c r="D30" s="51">
        <v>2.7764451050438028</v>
      </c>
      <c r="E30" s="51"/>
      <c r="F30" s="55"/>
      <c r="G30" s="55"/>
      <c r="H30" s="55"/>
      <c r="I30" s="51" t="s">
        <v>60</v>
      </c>
      <c r="J30" s="51">
        <v>2.7764451050438028</v>
      </c>
      <c r="K30" s="51"/>
      <c r="L30" s="55"/>
      <c r="M30" s="55"/>
    </row>
    <row r="31" spans="2:13" x14ac:dyDescent="0.25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5" spans="9:11" x14ac:dyDescent="0.25">
      <c r="I35" s="112" t="s">
        <v>120</v>
      </c>
      <c r="J35" s="112"/>
      <c r="K35" s="112"/>
    </row>
    <row r="36" spans="9:11" x14ac:dyDescent="0.25">
      <c r="I36" s="113" t="s">
        <v>121</v>
      </c>
      <c r="J36" s="113" t="s">
        <v>116</v>
      </c>
      <c r="K36" s="113" t="s">
        <v>117</v>
      </c>
    </row>
    <row r="37" spans="9:11" s="55" customFormat="1" x14ac:dyDescent="0.25">
      <c r="I37" s="115" t="s">
        <v>122</v>
      </c>
      <c r="J37" s="114">
        <f>Data!G31</f>
        <v>0.1330265655591886</v>
      </c>
      <c r="K37" s="114">
        <f>Data!G117</f>
        <v>0.14385848865370049</v>
      </c>
    </row>
    <row r="38" spans="9:11" x14ac:dyDescent="0.25">
      <c r="I38" s="105" t="s">
        <v>123</v>
      </c>
      <c r="J38" s="106">
        <v>6.0907098963739102E-2</v>
      </c>
      <c r="K38" s="106">
        <v>6.140148181652811E-2</v>
      </c>
    </row>
    <row r="39" spans="9:11" x14ac:dyDescent="0.25">
      <c r="I39" s="105" t="s">
        <v>124</v>
      </c>
      <c r="J39" s="106">
        <v>3.7053318780823026E-2</v>
      </c>
      <c r="K39" s="106">
        <v>5.9986079064337727E-2</v>
      </c>
    </row>
    <row r="40" spans="9:11" x14ac:dyDescent="0.25">
      <c r="I40" s="105" t="s">
        <v>125</v>
      </c>
      <c r="J40" s="106">
        <v>5.3347133181936922E-2</v>
      </c>
      <c r="K40" s="106">
        <v>2.5045326137369824E-2</v>
      </c>
    </row>
    <row r="41" spans="9:11" x14ac:dyDescent="0.25">
      <c r="I41" s="105" t="s">
        <v>126</v>
      </c>
      <c r="J41" s="106">
        <v>5.4902398713539108E-2</v>
      </c>
      <c r="K41" s="106">
        <v>5.9059554625137324E-2</v>
      </c>
    </row>
    <row r="42" spans="9:11" x14ac:dyDescent="0.25">
      <c r="I42" s="105" t="s">
        <v>127</v>
      </c>
      <c r="J42" s="106">
        <v>2.1621414621069965E-2</v>
      </c>
      <c r="K42" s="106">
        <v>4.6096887960030045E-2</v>
      </c>
    </row>
    <row r="43" spans="9:11" x14ac:dyDescent="0.25">
      <c r="I43" s="111" t="s">
        <v>119</v>
      </c>
      <c r="J43" s="110">
        <f>AVERAGE(J38:J42)</f>
        <v>4.5566272852221625E-2</v>
      </c>
      <c r="K43" s="110">
        <f>AVERAGE(K38:K42)</f>
        <v>5.0317865920680604E-2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6" zoomScale="90" zoomScaleNormal="90" workbookViewId="0">
      <selection activeCell="G40" sqref="G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5"/>
  <sheetViews>
    <sheetView workbookViewId="0">
      <selection activeCell="B5" sqref="B5"/>
    </sheetView>
  </sheetViews>
  <sheetFormatPr defaultRowHeight="15" x14ac:dyDescent="0.25"/>
  <sheetData>
    <row r="1" spans="1:15" ht="18.75" x14ac:dyDescent="0.3">
      <c r="A1" s="124" t="s">
        <v>66</v>
      </c>
      <c r="B1" s="124"/>
      <c r="C1" s="124"/>
      <c r="D1" s="124"/>
      <c r="E1" s="124"/>
      <c r="F1" s="124"/>
      <c r="G1" s="124"/>
      <c r="H1" s="55"/>
      <c r="I1" s="55"/>
      <c r="J1" s="55"/>
      <c r="K1" s="55" t="s">
        <v>67</v>
      </c>
      <c r="L1" s="55"/>
      <c r="M1" s="55"/>
      <c r="N1" s="55"/>
      <c r="O1" s="55"/>
    </row>
    <row r="2" spans="1:15" x14ac:dyDescent="0.25">
      <c r="A2" s="55" t="s">
        <v>68</v>
      </c>
      <c r="B2" s="55" t="s">
        <v>69</v>
      </c>
      <c r="C2" s="55"/>
      <c r="D2" s="55"/>
      <c r="E2" s="55"/>
      <c r="F2" s="55"/>
      <c r="G2" s="55"/>
      <c r="H2" s="55"/>
      <c r="I2" s="55"/>
      <c r="J2" s="55"/>
    </row>
    <row r="3" spans="1:15" x14ac:dyDescent="0.25">
      <c r="A3" s="55" t="s">
        <v>70</v>
      </c>
      <c r="B3" s="55" t="s">
        <v>71</v>
      </c>
      <c r="C3" s="55"/>
      <c r="D3" s="55"/>
      <c r="E3" s="55"/>
      <c r="F3" s="55"/>
      <c r="G3" s="55"/>
      <c r="H3" s="55"/>
      <c r="I3" s="55"/>
      <c r="J3" s="55"/>
    </row>
    <row r="4" spans="1:15" x14ac:dyDescent="0.25">
      <c r="A4" s="55" t="s">
        <v>72</v>
      </c>
      <c r="B4" s="55" t="s">
        <v>73</v>
      </c>
      <c r="C4" s="55"/>
      <c r="D4" s="55"/>
      <c r="E4" s="55"/>
      <c r="F4" s="55"/>
      <c r="G4" s="55"/>
      <c r="H4" s="55"/>
      <c r="I4" s="55"/>
      <c r="J4" s="55"/>
    </row>
    <row r="5" spans="1:15" x14ac:dyDescent="0.25">
      <c r="A5" s="55" t="s">
        <v>74</v>
      </c>
      <c r="B5" s="55" t="s">
        <v>75</v>
      </c>
      <c r="C5" s="55"/>
      <c r="D5" s="55"/>
      <c r="E5" s="55"/>
      <c r="F5" s="55"/>
      <c r="G5" s="55"/>
      <c r="H5" s="55"/>
      <c r="I5" s="55"/>
      <c r="J5" s="55"/>
    </row>
    <row r="7" spans="1:15" x14ac:dyDescent="0.25">
      <c r="A7" s="55" t="s">
        <v>76</v>
      </c>
      <c r="B7" s="55"/>
      <c r="C7" s="55"/>
      <c r="D7" s="55"/>
      <c r="E7" s="55"/>
      <c r="F7" s="55"/>
      <c r="G7" s="55"/>
      <c r="H7" s="55"/>
      <c r="I7" s="55"/>
      <c r="J7" s="55"/>
    </row>
    <row r="8" spans="1:15" ht="18.75" x14ac:dyDescent="0.3">
      <c r="A8" s="55"/>
      <c r="B8" s="55"/>
      <c r="C8" s="55"/>
      <c r="D8" s="55"/>
      <c r="E8" s="56"/>
      <c r="F8" s="56" t="s">
        <v>77</v>
      </c>
      <c r="G8" s="56"/>
      <c r="H8" s="55"/>
      <c r="I8" s="55"/>
      <c r="J8" s="55"/>
    </row>
    <row r="9" spans="1:15" ht="18.75" x14ac:dyDescent="0.3">
      <c r="A9" s="55" t="s">
        <v>78</v>
      </c>
      <c r="B9" s="55" t="s">
        <v>79</v>
      </c>
      <c r="C9" s="55"/>
      <c r="D9" s="55"/>
      <c r="E9" s="56" t="s">
        <v>80</v>
      </c>
      <c r="F9" s="56"/>
      <c r="G9" s="56"/>
      <c r="H9" s="55"/>
      <c r="I9" s="55"/>
      <c r="J9" s="55"/>
    </row>
    <row r="10" spans="1:15" ht="18.75" x14ac:dyDescent="0.3">
      <c r="A10" s="55"/>
      <c r="B10" s="55"/>
      <c r="C10" s="55"/>
      <c r="D10" s="55"/>
      <c r="E10" s="56"/>
      <c r="F10" s="56" t="s">
        <v>81</v>
      </c>
      <c r="G10" s="56"/>
      <c r="H10" s="55"/>
      <c r="I10" s="55"/>
      <c r="J10" s="55"/>
    </row>
    <row r="11" spans="1:15" ht="18.75" x14ac:dyDescent="0.3">
      <c r="A11" s="55"/>
      <c r="B11" s="55"/>
      <c r="C11" s="55"/>
      <c r="D11" s="55"/>
      <c r="E11" s="56"/>
      <c r="F11" s="56"/>
      <c r="G11" s="56"/>
      <c r="H11" s="55"/>
      <c r="I11" s="55"/>
      <c r="J11" s="55"/>
    </row>
    <row r="12" spans="1:15" ht="18.75" x14ac:dyDescent="0.3">
      <c r="A12" s="55" t="s">
        <v>82</v>
      </c>
      <c r="B12" s="55" t="s">
        <v>83</v>
      </c>
      <c r="C12" s="55"/>
      <c r="D12" s="55"/>
      <c r="E12" s="56" t="s">
        <v>80</v>
      </c>
      <c r="F12" s="56" t="s">
        <v>84</v>
      </c>
      <c r="G12" s="56"/>
      <c r="H12" s="55"/>
      <c r="I12" s="55"/>
      <c r="J12" s="55"/>
    </row>
    <row r="13" spans="1:15" ht="18.75" x14ac:dyDescent="0.3">
      <c r="A13" s="55"/>
      <c r="B13" s="55"/>
      <c r="C13" s="55"/>
      <c r="D13" s="55"/>
      <c r="E13" s="56"/>
      <c r="F13" s="56"/>
      <c r="G13" s="56"/>
      <c r="H13" s="55"/>
      <c r="I13" s="55"/>
      <c r="J13" s="55"/>
    </row>
    <row r="14" spans="1:15" ht="18.75" x14ac:dyDescent="0.3">
      <c r="A14" s="55"/>
      <c r="B14" s="55"/>
      <c r="C14" s="55"/>
      <c r="D14" s="55"/>
      <c r="E14" s="56"/>
      <c r="F14" s="56" t="s">
        <v>85</v>
      </c>
      <c r="G14" s="56"/>
      <c r="H14" s="55"/>
      <c r="I14" s="55"/>
      <c r="J14" s="55"/>
    </row>
    <row r="15" spans="1:15" ht="18.75" x14ac:dyDescent="0.3">
      <c r="A15" s="55" t="s">
        <v>86</v>
      </c>
      <c r="B15" s="55" t="s">
        <v>87</v>
      </c>
      <c r="C15" s="55"/>
      <c r="D15" s="55"/>
      <c r="E15" s="56" t="s">
        <v>80</v>
      </c>
      <c r="F15" s="56"/>
      <c r="G15" s="56"/>
      <c r="H15" s="55"/>
      <c r="I15" s="55"/>
      <c r="J15" s="55"/>
    </row>
    <row r="16" spans="1:15" ht="18.75" x14ac:dyDescent="0.3">
      <c r="A16" s="55"/>
      <c r="B16" s="55"/>
      <c r="C16" s="55"/>
      <c r="D16" s="55"/>
      <c r="E16" s="56"/>
      <c r="F16" s="56" t="s">
        <v>70</v>
      </c>
      <c r="G16" s="56"/>
      <c r="H16" s="55"/>
      <c r="I16" s="55"/>
      <c r="J16" s="55"/>
    </row>
    <row r="17" spans="1:15" ht="18.75" x14ac:dyDescent="0.3">
      <c r="A17" s="55"/>
      <c r="B17" s="55"/>
      <c r="C17" s="55"/>
      <c r="D17" s="55"/>
      <c r="E17" s="56"/>
      <c r="F17" s="56"/>
      <c r="G17" s="56"/>
      <c r="H17" s="55"/>
      <c r="I17" s="55"/>
      <c r="J17" s="55"/>
    </row>
    <row r="18" spans="1:15" ht="18.75" x14ac:dyDescent="0.3">
      <c r="A18" s="55"/>
      <c r="B18" s="55"/>
      <c r="C18" s="55"/>
      <c r="D18" s="55"/>
      <c r="E18" s="56"/>
      <c r="F18" s="56" t="s">
        <v>88</v>
      </c>
      <c r="G18" s="56"/>
      <c r="H18" s="55"/>
      <c r="I18" s="55"/>
      <c r="J18" s="55"/>
    </row>
    <row r="19" spans="1:15" ht="18.75" x14ac:dyDescent="0.3">
      <c r="A19" s="55" t="s">
        <v>89</v>
      </c>
      <c r="B19" s="55" t="s">
        <v>90</v>
      </c>
      <c r="C19" s="55"/>
      <c r="D19" s="55"/>
      <c r="E19" s="56" t="s">
        <v>80</v>
      </c>
      <c r="F19" s="56"/>
      <c r="G19" s="56"/>
      <c r="H19" s="55"/>
      <c r="I19" s="55"/>
      <c r="J19" s="55"/>
    </row>
    <row r="20" spans="1:15" ht="18.75" x14ac:dyDescent="0.3">
      <c r="A20" s="55"/>
      <c r="B20" s="55"/>
      <c r="C20" s="55"/>
      <c r="D20" s="55"/>
      <c r="E20" s="56"/>
      <c r="F20" s="56" t="s">
        <v>68</v>
      </c>
      <c r="G20" s="56"/>
      <c r="H20" s="55"/>
      <c r="I20" s="55"/>
      <c r="J20" s="55"/>
    </row>
    <row r="21" spans="1:15" ht="18.75" x14ac:dyDescent="0.3">
      <c r="A21" s="55"/>
      <c r="B21" s="55"/>
      <c r="C21" s="55"/>
      <c r="D21" s="55"/>
      <c r="E21" s="56"/>
      <c r="F21" s="56"/>
      <c r="G21" s="56"/>
      <c r="H21" s="55"/>
      <c r="I21" s="55"/>
      <c r="J21" s="55"/>
    </row>
    <row r="22" spans="1:15" ht="18.75" x14ac:dyDescent="0.3">
      <c r="A22" s="55"/>
      <c r="B22" s="55"/>
      <c r="C22" s="55"/>
      <c r="D22" s="55"/>
      <c r="E22" s="56"/>
      <c r="F22" s="56" t="s">
        <v>91</v>
      </c>
      <c r="G22" s="56"/>
      <c r="H22" s="55"/>
      <c r="I22" s="55"/>
      <c r="J22" s="55"/>
    </row>
    <row r="23" spans="1:15" ht="18.75" x14ac:dyDescent="0.3">
      <c r="A23" s="55" t="s">
        <v>92</v>
      </c>
      <c r="B23" s="55" t="s">
        <v>93</v>
      </c>
      <c r="C23" s="55"/>
      <c r="D23" s="55"/>
      <c r="E23" s="56" t="s">
        <v>80</v>
      </c>
      <c r="F23" s="56"/>
      <c r="G23" s="56"/>
      <c r="H23" s="55"/>
      <c r="I23" s="55"/>
      <c r="J23" s="55"/>
    </row>
    <row r="24" spans="1:15" ht="18.75" x14ac:dyDescent="0.3">
      <c r="A24" s="55"/>
      <c r="B24" s="55"/>
      <c r="C24" s="55"/>
      <c r="D24" s="55"/>
      <c r="E24" s="56"/>
      <c r="F24" s="57">
        <v>100</v>
      </c>
      <c r="G24" s="56"/>
      <c r="H24" s="55"/>
      <c r="I24" s="55"/>
      <c r="J24" s="55"/>
      <c r="K24" s="55"/>
      <c r="L24" s="55"/>
      <c r="M24" s="55"/>
      <c r="N24" s="55"/>
      <c r="O24" s="55"/>
    </row>
    <row r="25" spans="1:15" ht="18.75" x14ac:dyDescent="0.3">
      <c r="A25" s="55"/>
      <c r="B25" s="55"/>
      <c r="C25" s="55"/>
      <c r="D25" s="55"/>
      <c r="E25" s="56"/>
      <c r="F25" s="56"/>
      <c r="G25" s="56"/>
      <c r="H25" s="55"/>
      <c r="I25" s="55"/>
      <c r="J25" s="55"/>
      <c r="K25" s="55"/>
      <c r="L25" s="55"/>
      <c r="M25" s="55"/>
      <c r="N25" s="55"/>
      <c r="O25" s="55"/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Derrick cal</vt:lpstr>
      <vt:lpstr>Efficiency</vt:lpstr>
      <vt:lpstr>Fines Recovery</vt:lpstr>
      <vt:lpstr>% commulative passing</vt:lpstr>
      <vt:lpstr>Derrick Fomula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quyen.nguyen</dc:creator>
  <cp:lastModifiedBy>Michael Smit</cp:lastModifiedBy>
  <cp:lastPrinted>2014-10-14T05:58:48Z</cp:lastPrinted>
  <dcterms:created xsi:type="dcterms:W3CDTF">2014-06-01T04:40:25Z</dcterms:created>
  <dcterms:modified xsi:type="dcterms:W3CDTF">2020-02-22T02:58:32Z</dcterms:modified>
</cp:coreProperties>
</file>