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queryTables/queryTable1.xml" ContentType="application/vnd.openxmlformats-officedocument.spreadsheetml.queryTable+xml"/>
  <Override PartName="/xl/queryTables/queryTable2.xml" ContentType="application/vnd.openxmlformats-officedocument.spreadsheetml.query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queryTables/queryTable7.xml" ContentType="application/vnd.openxmlformats-officedocument.spreadsheetml.queryTable+xml"/>
  <Override PartName="/xl/calcChain.xml" ContentType="application/vnd.openxmlformats-officedocument.spreadsheetml.calcChain+xml"/>
  <Override PartName="/xl/sharedStrings.xml" ContentType="application/vnd.openxmlformats-officedocument.spreadsheetml.sharedStrings+xml"/>
  <Override PartName="/xl/queryTables/queryTable5.xml" ContentType="application/vnd.openxmlformats-officedocument.spreadsheetml.queryTable+xml"/>
  <Override PartName="/xl/queryTables/queryTable6.xml" ContentType="application/vnd.openxmlformats-officedocument.spreadsheetml.queryTable+xml"/>
  <Override PartName="/xl/charts/chart8.xml" ContentType="application/vnd.openxmlformats-officedocument.drawingml.chart+xml"/>
  <Override PartName="/xl/queryTables/queryTable3.xml" ContentType="application/vnd.openxmlformats-officedocument.spreadsheetml.queryTable+xml"/>
  <Override PartName="/xl/queryTables/queryTable4.xml" ContentType="application/vnd.openxmlformats-officedocument.spreadsheetml.queryTable+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65" yWindow="660" windowWidth="23040" windowHeight="6210" firstSheet="1" activeTab="4"/>
  </bookViews>
  <sheets>
    <sheet name="Sheet5" sheetId="13" r:id="rId1"/>
    <sheet name="Process data" sheetId="6" r:id="rId2"/>
    <sheet name="Data" sheetId="1" r:id="rId3"/>
    <sheet name="Feed variability" sheetId="10" r:id="rId4"/>
    <sheet name="Derrick cal" sheetId="5" r:id="rId5"/>
    <sheet name="Efficiency" sheetId="2" r:id="rId6"/>
    <sheet name="% Commulative passing" sheetId="3" r:id="rId7"/>
    <sheet name="Derrick Fomula" sheetId="4" r:id="rId8"/>
    <sheet name="XXXDataSheetXXX" sheetId="9" state="veryHidden" r:id="rId9"/>
    <sheet name="PCS" sheetId="8" r:id="rId10"/>
    <sheet name="alternative methods" sheetId="11" r:id="rId11"/>
    <sheet name="Sheet2" sheetId="7" state="hidden" r:id="rId12"/>
  </sheets>
  <definedNames>
    <definedName name="ExternalData_10" localSheetId="8">XXXDataSheetXXX!$F$1:$G$10</definedName>
    <definedName name="ExternalData_11" localSheetId="8">XXXDataSheetXXX!$H$1:$H$5</definedName>
    <definedName name="ExternalData_12" localSheetId="8">XXXDataSheetXXX!$S$1:$V$2</definedName>
    <definedName name="ExternalData_5" localSheetId="9">PCS!$A$3:$C$15</definedName>
    <definedName name="ExternalData_6" localSheetId="9">PCS!$E$6:$G$17</definedName>
    <definedName name="ExternalData_7" localSheetId="9">PCS!$J$6:$K$17</definedName>
    <definedName name="ExternalData_8" localSheetId="9">PCS!$M$6:$N$17</definedName>
    <definedName name="_xlnm.Print_Area" localSheetId="2">Data!$A$10:$G$21</definedName>
  </definedNames>
  <calcPr calcId="125725"/>
</workbook>
</file>

<file path=xl/calcChain.xml><?xml version="1.0" encoding="utf-8"?>
<calcChain xmlns="http://schemas.openxmlformats.org/spreadsheetml/2006/main">
  <c r="H5" i="5"/>
  <c r="D13" i="6"/>
  <c r="D15"/>
  <c r="F22" i="10"/>
  <c r="F21"/>
  <c r="F20"/>
  <c r="F19"/>
  <c r="F18"/>
  <c r="E22"/>
  <c r="E21"/>
  <c r="E20"/>
  <c r="E19"/>
  <c r="E18"/>
  <c r="D22"/>
  <c r="D21"/>
  <c r="D20"/>
  <c r="D19"/>
  <c r="D18"/>
  <c r="D12" i="5"/>
  <c r="D11"/>
  <c r="D10"/>
  <c r="E22"/>
  <c r="F22"/>
  <c r="F21"/>
  <c r="F20"/>
  <c r="F19"/>
  <c r="F18"/>
  <c r="F17"/>
  <c r="E21"/>
  <c r="E20"/>
  <c r="E19"/>
  <c r="E18"/>
  <c r="E17"/>
  <c r="D21"/>
  <c r="D20"/>
  <c r="D19"/>
  <c r="D18"/>
  <c r="B100" i="1"/>
  <c r="B85"/>
  <c r="B70"/>
  <c r="B55"/>
  <c r="B40"/>
  <c r="B25"/>
  <c r="T7" i="5"/>
  <c r="D27" i="6"/>
  <c r="D26"/>
  <c r="G7" i="10"/>
  <c r="I7" s="1"/>
  <c r="E15"/>
  <c r="G12"/>
  <c r="I12" s="1"/>
  <c r="G13"/>
  <c r="I13" s="1"/>
  <c r="D14"/>
  <c r="M9" s="1"/>
  <c r="E14"/>
  <c r="G10" s="1"/>
  <c r="I10" s="1"/>
  <c r="D15"/>
  <c r="F12" l="1"/>
  <c r="H12" s="1"/>
  <c r="M13"/>
  <c r="F11"/>
  <c r="H11" s="1"/>
  <c r="F9"/>
  <c r="F10"/>
  <c r="H10" s="1"/>
  <c r="G11"/>
  <c r="I11" s="1"/>
  <c r="F13"/>
  <c r="H13" s="1"/>
  <c r="G9"/>
  <c r="F7"/>
  <c r="H7" s="1"/>
  <c r="M11"/>
  <c r="M10"/>
  <c r="M12"/>
  <c r="F15" i="6"/>
  <c r="F12"/>
  <c r="F10"/>
  <c r="F9"/>
  <c r="G14" i="10" l="1"/>
  <c r="I9"/>
  <c r="I14" s="1"/>
  <c r="H9"/>
  <c r="H14" s="1"/>
  <c r="F14"/>
  <c r="N7" i="5"/>
  <c r="B2" i="8"/>
  <c r="D9" i="6" s="1"/>
  <c r="N2" i="8"/>
  <c r="D10" i="6" s="1"/>
  <c r="K2" i="8"/>
  <c r="D7" i="6" s="1"/>
  <c r="G2" i="8"/>
  <c r="D12" i="6" s="1"/>
  <c r="A2" i="8"/>
  <c r="A1"/>
  <c r="D11" i="6" l="1"/>
  <c r="D23" s="1"/>
  <c r="E202" i="1"/>
  <c r="E187"/>
  <c r="E182"/>
  <c r="E172"/>
  <c r="E166"/>
  <c r="E165"/>
  <c r="E164"/>
  <c r="E163"/>
  <c r="E162"/>
  <c r="E161"/>
  <c r="E151"/>
  <c r="E150"/>
  <c r="E149"/>
  <c r="E148"/>
  <c r="E147"/>
  <c r="E146"/>
  <c r="E142"/>
  <c r="E127"/>
  <c r="E111"/>
  <c r="E105"/>
  <c r="E104"/>
  <c r="E103"/>
  <c r="E102"/>
  <c r="E101"/>
  <c r="E100"/>
  <c r="E96"/>
  <c r="E90"/>
  <c r="E89"/>
  <c r="E88"/>
  <c r="E87"/>
  <c r="E86"/>
  <c r="E85"/>
  <c r="E81"/>
  <c r="E75"/>
  <c r="E74"/>
  <c r="E73"/>
  <c r="E72"/>
  <c r="E71"/>
  <c r="E70"/>
  <c r="E66"/>
  <c r="E60"/>
  <c r="E59"/>
  <c r="E58"/>
  <c r="E57"/>
  <c r="E56"/>
  <c r="E55"/>
  <c r="E51"/>
  <c r="E45"/>
  <c r="E44"/>
  <c r="E43"/>
  <c r="E42"/>
  <c r="E41"/>
  <c r="E40"/>
  <c r="E36"/>
  <c r="E30"/>
  <c r="E29"/>
  <c r="E28"/>
  <c r="E27"/>
  <c r="E26"/>
  <c r="E25"/>
  <c r="D16" i="6" l="1"/>
  <c r="D18" l="1"/>
  <c r="D24"/>
  <c r="E188" i="1"/>
  <c r="E37" i="2"/>
  <c r="F177" i="1" l="1"/>
  <c r="F181"/>
  <c r="F185"/>
  <c r="F183"/>
  <c r="F178"/>
  <c r="F186"/>
  <c r="F176"/>
  <c r="F180"/>
  <c r="F184"/>
  <c r="F179"/>
  <c r="F187"/>
  <c r="F182"/>
  <c r="F239"/>
  <c r="E239"/>
  <c r="C240"/>
  <c r="C239"/>
  <c r="E128"/>
  <c r="E37"/>
  <c r="E203"/>
  <c r="G20" s="1"/>
  <c r="E173"/>
  <c r="E20" s="1"/>
  <c r="E158"/>
  <c r="E143"/>
  <c r="E112"/>
  <c r="G14" s="1"/>
  <c r="E97"/>
  <c r="E82"/>
  <c r="E67"/>
  <c r="D14" s="1"/>
  <c r="E52"/>
  <c r="C14" s="1"/>
  <c r="G7" i="5" l="1"/>
  <c r="S7"/>
  <c r="M7"/>
  <c r="F14" i="1"/>
  <c r="E14"/>
  <c r="F49"/>
  <c r="F43"/>
  <c r="F51"/>
  <c r="F42"/>
  <c r="F50"/>
  <c r="F48"/>
  <c r="F52"/>
  <c r="F47"/>
  <c r="F46"/>
  <c r="F45"/>
  <c r="F44"/>
  <c r="F41"/>
  <c r="F40"/>
  <c r="F109"/>
  <c r="F102"/>
  <c r="F110"/>
  <c r="F108"/>
  <c r="F107"/>
  <c r="F106"/>
  <c r="F100"/>
  <c r="F105"/>
  <c r="F111"/>
  <c r="F101"/>
  <c r="F103"/>
  <c r="F104"/>
  <c r="F192"/>
  <c r="F196"/>
  <c r="F200"/>
  <c r="F193"/>
  <c r="F197"/>
  <c r="F191"/>
  <c r="F195"/>
  <c r="F199"/>
  <c r="F194"/>
  <c r="F198"/>
  <c r="F201"/>
  <c r="F202"/>
  <c r="F94"/>
  <c r="F92"/>
  <c r="F87"/>
  <c r="F93"/>
  <c r="F91"/>
  <c r="F95"/>
  <c r="F88"/>
  <c r="F90"/>
  <c r="F89"/>
  <c r="F96"/>
  <c r="F86"/>
  <c r="F85"/>
  <c r="F170"/>
  <c r="F168"/>
  <c r="F171"/>
  <c r="F169"/>
  <c r="F164"/>
  <c r="F167"/>
  <c r="F172"/>
  <c r="F161"/>
  <c r="F163"/>
  <c r="F166"/>
  <c r="F162"/>
  <c r="F165"/>
  <c r="E15"/>
  <c r="F79"/>
  <c r="F73"/>
  <c r="F80"/>
  <c r="F78"/>
  <c r="G71"/>
  <c r="F77"/>
  <c r="F76"/>
  <c r="F71"/>
  <c r="F70"/>
  <c r="F81"/>
  <c r="F72"/>
  <c r="F75"/>
  <c r="F74"/>
  <c r="F155"/>
  <c r="F153"/>
  <c r="F152"/>
  <c r="F154"/>
  <c r="F157"/>
  <c r="F148"/>
  <c r="F156"/>
  <c r="F149"/>
  <c r="F150"/>
  <c r="F151"/>
  <c r="F146"/>
  <c r="F147"/>
  <c r="F117"/>
  <c r="F121"/>
  <c r="F125"/>
  <c r="F123"/>
  <c r="F122"/>
  <c r="F116"/>
  <c r="F120"/>
  <c r="F124"/>
  <c r="F119"/>
  <c r="F127"/>
  <c r="F118"/>
  <c r="F126"/>
  <c r="F61"/>
  <c r="F65"/>
  <c r="F63"/>
  <c r="F62"/>
  <c r="F64"/>
  <c r="F67"/>
  <c r="F58"/>
  <c r="F66"/>
  <c r="F57"/>
  <c r="F56"/>
  <c r="F59"/>
  <c r="F55"/>
  <c r="F60"/>
  <c r="C21"/>
  <c r="F132"/>
  <c r="F136"/>
  <c r="F140"/>
  <c r="F134"/>
  <c r="F133"/>
  <c r="F141"/>
  <c r="F131"/>
  <c r="F135"/>
  <c r="F139"/>
  <c r="F138"/>
  <c r="F137"/>
  <c r="F142"/>
  <c r="F32"/>
  <c r="F33"/>
  <c r="F31"/>
  <c r="F35"/>
  <c r="F34"/>
  <c r="G35"/>
  <c r="F29"/>
  <c r="F25"/>
  <c r="F27"/>
  <c r="F30"/>
  <c r="F26"/>
  <c r="F28"/>
  <c r="F36"/>
  <c r="G15"/>
  <c r="G88"/>
  <c r="F15"/>
  <c r="D15"/>
  <c r="C15"/>
  <c r="G195"/>
  <c r="G21"/>
  <c r="G178"/>
  <c r="F21"/>
  <c r="G118"/>
  <c r="G165"/>
  <c r="E21"/>
  <c r="G150"/>
  <c r="D21"/>
  <c r="G29"/>
  <c r="B15"/>
  <c r="D239"/>
  <c r="E242" s="1"/>
  <c r="G117"/>
  <c r="F128"/>
  <c r="G119"/>
  <c r="G123"/>
  <c r="G124"/>
  <c r="G125"/>
  <c r="G120"/>
  <c r="G116"/>
  <c r="G121"/>
  <c r="G126"/>
  <c r="G122"/>
  <c r="G34"/>
  <c r="G26"/>
  <c r="G30"/>
  <c r="G31"/>
  <c r="G27"/>
  <c r="F37"/>
  <c r="G25"/>
  <c r="G32"/>
  <c r="G28"/>
  <c r="G33"/>
  <c r="G196"/>
  <c r="G200"/>
  <c r="G197"/>
  <c r="F203"/>
  <c r="G191"/>
  <c r="G198"/>
  <c r="G194"/>
  <c r="G192"/>
  <c r="G201"/>
  <c r="G193"/>
  <c r="G199"/>
  <c r="G179"/>
  <c r="G183"/>
  <c r="G176"/>
  <c r="B178" s="1"/>
  <c r="F188"/>
  <c r="G184"/>
  <c r="G180"/>
  <c r="G185"/>
  <c r="G181"/>
  <c r="G177"/>
  <c r="G186"/>
  <c r="G182"/>
  <c r="G170"/>
  <c r="G166"/>
  <c r="G162"/>
  <c r="G171"/>
  <c r="G167"/>
  <c r="G163"/>
  <c r="F173"/>
  <c r="G161"/>
  <c r="G168"/>
  <c r="G164"/>
  <c r="G169"/>
  <c r="G147"/>
  <c r="G155"/>
  <c r="G151"/>
  <c r="G156"/>
  <c r="G148"/>
  <c r="G152"/>
  <c r="F158"/>
  <c r="G146"/>
  <c r="G153"/>
  <c r="G149"/>
  <c r="G154"/>
  <c r="G140"/>
  <c r="G132"/>
  <c r="G141"/>
  <c r="G133"/>
  <c r="G136"/>
  <c r="G137"/>
  <c r="F143"/>
  <c r="G131"/>
  <c r="G138"/>
  <c r="G134"/>
  <c r="G139"/>
  <c r="G135"/>
  <c r="G108"/>
  <c r="G104"/>
  <c r="G109"/>
  <c r="G105"/>
  <c r="G101"/>
  <c r="G110"/>
  <c r="G106"/>
  <c r="G102"/>
  <c r="G100"/>
  <c r="B102" s="1"/>
  <c r="G107"/>
  <c r="G103"/>
  <c r="F112"/>
  <c r="F97"/>
  <c r="G94"/>
  <c r="G64"/>
  <c r="G42"/>
  <c r="G49"/>
  <c r="G43"/>
  <c r="G50"/>
  <c r="G45"/>
  <c r="G56"/>
  <c r="B57" s="1"/>
  <c r="G86"/>
  <c r="G40"/>
  <c r="G46"/>
  <c r="G41"/>
  <c r="G60"/>
  <c r="G90"/>
  <c r="G47"/>
  <c r="G70"/>
  <c r="B72" s="1"/>
  <c r="G48"/>
  <c r="G44"/>
  <c r="G55"/>
  <c r="G62"/>
  <c r="G58"/>
  <c r="G79"/>
  <c r="G75"/>
  <c r="G85"/>
  <c r="G92"/>
  <c r="G77"/>
  <c r="G73"/>
  <c r="G65"/>
  <c r="G61"/>
  <c r="G57"/>
  <c r="F82"/>
  <c r="G78"/>
  <c r="G74"/>
  <c r="G95"/>
  <c r="G91"/>
  <c r="G87"/>
  <c r="G63"/>
  <c r="G59"/>
  <c r="G80"/>
  <c r="G76"/>
  <c r="G72"/>
  <c r="G93"/>
  <c r="G89"/>
  <c r="Q7" i="5" l="1"/>
  <c r="K7"/>
  <c r="K10" s="1"/>
  <c r="R5"/>
  <c r="R6" s="1"/>
  <c r="L5"/>
  <c r="L6" s="1"/>
  <c r="Q5"/>
  <c r="Q6" s="1"/>
  <c r="K5"/>
  <c r="K6" s="1"/>
  <c r="R7"/>
  <c r="R10" s="1"/>
  <c r="L7"/>
  <c r="G5"/>
  <c r="S5"/>
  <c r="S6" s="1"/>
  <c r="M5"/>
  <c r="M6" s="1"/>
  <c r="P7"/>
  <c r="P10" s="1"/>
  <c r="J7"/>
  <c r="T5"/>
  <c r="P5"/>
  <c r="P6" s="1"/>
  <c r="N5"/>
  <c r="J5"/>
  <c r="J6" s="1"/>
  <c r="B148" i="1"/>
  <c r="L61"/>
  <c r="L65"/>
  <c r="E5" i="5"/>
  <c r="L60" i="1"/>
  <c r="L64"/>
  <c r="L59"/>
  <c r="L63"/>
  <c r="L58"/>
  <c r="L62"/>
  <c r="H7" i="5"/>
  <c r="L195" i="1"/>
  <c r="L196"/>
  <c r="J46"/>
  <c r="J43"/>
  <c r="J47"/>
  <c r="J44"/>
  <c r="J48"/>
  <c r="J45"/>
  <c r="J49"/>
  <c r="J50"/>
  <c r="L45"/>
  <c r="N45" s="1"/>
  <c r="L49"/>
  <c r="N49" s="1"/>
  <c r="L46"/>
  <c r="L50"/>
  <c r="L44"/>
  <c r="L47"/>
  <c r="N47" s="1"/>
  <c r="D5" i="5"/>
  <c r="L43" i="1"/>
  <c r="L48"/>
  <c r="F5" i="5"/>
  <c r="B42" i="1"/>
  <c r="F7" i="5"/>
  <c r="B133" i="1"/>
  <c r="B27"/>
  <c r="B118"/>
  <c r="E7" i="5"/>
  <c r="F8"/>
  <c r="H8"/>
  <c r="E8"/>
  <c r="D8"/>
  <c r="G8"/>
  <c r="B87" i="1"/>
  <c r="B163"/>
  <c r="D7" i="5"/>
  <c r="B193" i="1"/>
  <c r="J134"/>
  <c r="L106"/>
  <c r="L110"/>
  <c r="L104"/>
  <c r="L108"/>
  <c r="L107"/>
  <c r="L103"/>
  <c r="L105"/>
  <c r="L109"/>
  <c r="L92"/>
  <c r="L88"/>
  <c r="L91"/>
  <c r="L95"/>
  <c r="L90"/>
  <c r="L94"/>
  <c r="L89"/>
  <c r="L93"/>
  <c r="H89"/>
  <c r="L77"/>
  <c r="L73"/>
  <c r="L76"/>
  <c r="L80"/>
  <c r="L75"/>
  <c r="L79"/>
  <c r="L74"/>
  <c r="L78"/>
  <c r="L198"/>
  <c r="L194"/>
  <c r="L197"/>
  <c r="L201"/>
  <c r="L200"/>
  <c r="L199"/>
  <c r="L182"/>
  <c r="L186"/>
  <c r="L181"/>
  <c r="L185"/>
  <c r="L180"/>
  <c r="L184"/>
  <c r="L183"/>
  <c r="L179"/>
  <c r="L166"/>
  <c r="L170"/>
  <c r="L165"/>
  <c r="L169"/>
  <c r="L168"/>
  <c r="L164"/>
  <c r="L167"/>
  <c r="L171"/>
  <c r="L150"/>
  <c r="L154"/>
  <c r="L151"/>
  <c r="L153"/>
  <c r="L149"/>
  <c r="L152"/>
  <c r="L156"/>
  <c r="L155"/>
  <c r="L135"/>
  <c r="L139"/>
  <c r="L138"/>
  <c r="L134"/>
  <c r="L137"/>
  <c r="L141"/>
  <c r="L136"/>
  <c r="L140"/>
  <c r="J135"/>
  <c r="J137"/>
  <c r="J139"/>
  <c r="J141"/>
  <c r="J136"/>
  <c r="J138"/>
  <c r="J140"/>
  <c r="I209"/>
  <c r="I208" s="1"/>
  <c r="H29"/>
  <c r="H104"/>
  <c r="H59"/>
  <c r="H150"/>
  <c r="H120"/>
  <c r="H74"/>
  <c r="H165"/>
  <c r="H44"/>
  <c r="H135"/>
  <c r="H180"/>
  <c r="H195"/>
  <c r="D240"/>
  <c r="D243" s="1"/>
  <c r="T6" i="5" l="1"/>
  <c r="T10"/>
  <c r="R11"/>
  <c r="R13" s="1"/>
  <c r="R12"/>
  <c r="R14"/>
  <c r="J10"/>
  <c r="N6"/>
  <c r="N10"/>
  <c r="P11"/>
  <c r="P13" s="1"/>
  <c r="P12"/>
  <c r="P14"/>
  <c r="K12"/>
  <c r="K11"/>
  <c r="K13" s="1"/>
  <c r="K14"/>
  <c r="N43" i="1"/>
  <c r="N50"/>
  <c r="O50" s="1"/>
  <c r="Q50" s="1"/>
  <c r="S10" i="5"/>
  <c r="L10"/>
  <c r="M10"/>
  <c r="Q10"/>
  <c r="O43" i="1"/>
  <c r="Q43" s="1"/>
  <c r="K48"/>
  <c r="J63"/>
  <c r="K63" s="1"/>
  <c r="K46"/>
  <c r="J61"/>
  <c r="K61" s="1"/>
  <c r="O45"/>
  <c r="Q45" s="1"/>
  <c r="P45"/>
  <c r="K45"/>
  <c r="J60"/>
  <c r="K60" s="1"/>
  <c r="K43"/>
  <c r="P43" s="1"/>
  <c r="J58"/>
  <c r="K58" s="1"/>
  <c r="O47"/>
  <c r="Q47" s="1"/>
  <c r="O49"/>
  <c r="Q49" s="1"/>
  <c r="K49"/>
  <c r="P49" s="1"/>
  <c r="J64"/>
  <c r="K64" s="1"/>
  <c r="K47"/>
  <c r="P47" s="1"/>
  <c r="J62"/>
  <c r="K62" s="1"/>
  <c r="N61"/>
  <c r="N48"/>
  <c r="N44"/>
  <c r="K50"/>
  <c r="J65"/>
  <c r="K65" s="1"/>
  <c r="K44"/>
  <c r="J59"/>
  <c r="K59" s="1"/>
  <c r="N46"/>
  <c r="N58"/>
  <c r="N140"/>
  <c r="J155"/>
  <c r="K140"/>
  <c r="K134"/>
  <c r="J149"/>
  <c r="N134"/>
  <c r="N141"/>
  <c r="J156"/>
  <c r="K141"/>
  <c r="N135"/>
  <c r="J150"/>
  <c r="K135"/>
  <c r="N136"/>
  <c r="J151"/>
  <c r="K136"/>
  <c r="N137"/>
  <c r="J152"/>
  <c r="K137"/>
  <c r="N138"/>
  <c r="J153"/>
  <c r="K138"/>
  <c r="N139"/>
  <c r="J154"/>
  <c r="K139"/>
  <c r="I104"/>
  <c r="I44"/>
  <c r="I59"/>
  <c r="I135"/>
  <c r="I120"/>
  <c r="I74"/>
  <c r="I150"/>
  <c r="I180"/>
  <c r="I165"/>
  <c r="I89"/>
  <c r="E6" i="5"/>
  <c r="H6"/>
  <c r="F6"/>
  <c r="D6"/>
  <c r="G6"/>
  <c r="I195" i="1"/>
  <c r="Q12" i="5" l="1"/>
  <c r="Q11"/>
  <c r="Q13" s="1"/>
  <c r="N60" i="1"/>
  <c r="O60" s="1"/>
  <c r="Q60" s="1"/>
  <c r="M12" i="5"/>
  <c r="M11"/>
  <c r="M13" s="1"/>
  <c r="N12"/>
  <c r="N11"/>
  <c r="N13" s="1"/>
  <c r="N14"/>
  <c r="R45" i="1"/>
  <c r="L11" i="5"/>
  <c r="L13" s="1"/>
  <c r="L12"/>
  <c r="J12"/>
  <c r="J11"/>
  <c r="J13" s="1"/>
  <c r="T12"/>
  <c r="T11"/>
  <c r="T13" s="1"/>
  <c r="T14"/>
  <c r="P50" i="1"/>
  <c r="N64"/>
  <c r="P64" s="1"/>
  <c r="S11" i="5"/>
  <c r="S13" s="1"/>
  <c r="S12"/>
  <c r="R47" i="1"/>
  <c r="N59"/>
  <c r="N62"/>
  <c r="P62" s="1"/>
  <c r="O46"/>
  <c r="Q46" s="1"/>
  <c r="P46"/>
  <c r="O58"/>
  <c r="Q58" s="1"/>
  <c r="P58"/>
  <c r="O59"/>
  <c r="Q59" s="1"/>
  <c r="P59"/>
  <c r="R59"/>
  <c r="O64"/>
  <c r="Q64" s="1"/>
  <c r="P60"/>
  <c r="P61"/>
  <c r="O61"/>
  <c r="Q61" s="1"/>
  <c r="O48"/>
  <c r="Q48" s="1"/>
  <c r="P48"/>
  <c r="N65"/>
  <c r="R50"/>
  <c r="R43"/>
  <c r="N63"/>
  <c r="R49"/>
  <c r="O44"/>
  <c r="Q44" s="1"/>
  <c r="P44"/>
  <c r="D13" i="5"/>
  <c r="D14"/>
  <c r="B6" i="2" s="1"/>
  <c r="H10" i="5"/>
  <c r="G10"/>
  <c r="G12" s="1"/>
  <c r="J80" i="1"/>
  <c r="J79"/>
  <c r="J75"/>
  <c r="J73"/>
  <c r="J76"/>
  <c r="J74"/>
  <c r="J78"/>
  <c r="J77"/>
  <c r="P138"/>
  <c r="P141"/>
  <c r="P135"/>
  <c r="N153"/>
  <c r="J168"/>
  <c r="K153"/>
  <c r="O137"/>
  <c r="Q137" s="1"/>
  <c r="N156"/>
  <c r="J171"/>
  <c r="K156"/>
  <c r="N152"/>
  <c r="J167"/>
  <c r="K152"/>
  <c r="O136"/>
  <c r="Q136" s="1"/>
  <c r="P136"/>
  <c r="J164"/>
  <c r="K149"/>
  <c r="N149"/>
  <c r="O140"/>
  <c r="Q140" s="1"/>
  <c r="P139"/>
  <c r="O139"/>
  <c r="Q139" s="1"/>
  <c r="N151"/>
  <c r="J166"/>
  <c r="K151"/>
  <c r="O135"/>
  <c r="Q135" s="1"/>
  <c r="P134"/>
  <c r="O134"/>
  <c r="R134" s="1"/>
  <c r="N155"/>
  <c r="J170"/>
  <c r="K155"/>
  <c r="N154"/>
  <c r="J169"/>
  <c r="K154"/>
  <c r="O138"/>
  <c r="Q138" s="1"/>
  <c r="N150"/>
  <c r="J165"/>
  <c r="K150"/>
  <c r="O141"/>
  <c r="Q141" s="1"/>
  <c r="P137"/>
  <c r="P140"/>
  <c r="F10" i="5"/>
  <c r="E10"/>
  <c r="R64" i="1" l="1"/>
  <c r="O62"/>
  <c r="Q62" s="1"/>
  <c r="M14" i="5"/>
  <c r="Q14"/>
  <c r="L14"/>
  <c r="R44" i="1"/>
  <c r="R48"/>
  <c r="S14" i="5"/>
  <c r="J14"/>
  <c r="P63" i="1"/>
  <c r="O63"/>
  <c r="Q63" s="1"/>
  <c r="R63"/>
  <c r="P65"/>
  <c r="O65"/>
  <c r="Q65" s="1"/>
  <c r="R58"/>
  <c r="R61"/>
  <c r="R60"/>
  <c r="R62"/>
  <c r="R46"/>
  <c r="B3" i="2"/>
  <c r="H11" i="5"/>
  <c r="H14" s="1"/>
  <c r="D17" s="1"/>
  <c r="D22" s="1"/>
  <c r="H12"/>
  <c r="G11"/>
  <c r="G13" s="1"/>
  <c r="N78" i="1"/>
  <c r="J93"/>
  <c r="K78"/>
  <c r="N79"/>
  <c r="J94"/>
  <c r="K79"/>
  <c r="N76"/>
  <c r="J91"/>
  <c r="K76"/>
  <c r="N73"/>
  <c r="J88"/>
  <c r="K73"/>
  <c r="N80"/>
  <c r="J95"/>
  <c r="K80"/>
  <c r="N74"/>
  <c r="J89"/>
  <c r="K74"/>
  <c r="N75"/>
  <c r="J90"/>
  <c r="K75"/>
  <c r="N77"/>
  <c r="J92"/>
  <c r="K77"/>
  <c r="Q134"/>
  <c r="P156"/>
  <c r="R141"/>
  <c r="O150"/>
  <c r="Q150" s="1"/>
  <c r="N169"/>
  <c r="J184"/>
  <c r="K169"/>
  <c r="O155"/>
  <c r="Q155" s="1"/>
  <c r="N166"/>
  <c r="J181"/>
  <c r="K166"/>
  <c r="N165"/>
  <c r="J180"/>
  <c r="J195" s="1"/>
  <c r="K165"/>
  <c r="N170"/>
  <c r="J185"/>
  <c r="K170"/>
  <c r="O149"/>
  <c r="Q149" s="1"/>
  <c r="P149"/>
  <c r="O152"/>
  <c r="Q152" s="1"/>
  <c r="P152"/>
  <c r="O153"/>
  <c r="Q153" s="1"/>
  <c r="N167"/>
  <c r="J182"/>
  <c r="K167"/>
  <c r="O156"/>
  <c r="Q156" s="1"/>
  <c r="N168"/>
  <c r="J183"/>
  <c r="K168"/>
  <c r="P154"/>
  <c r="O154"/>
  <c r="Q154" s="1"/>
  <c r="O151"/>
  <c r="Q151" s="1"/>
  <c r="P151"/>
  <c r="J179"/>
  <c r="K164"/>
  <c r="N164"/>
  <c r="N171"/>
  <c r="J186"/>
  <c r="K171"/>
  <c r="R137"/>
  <c r="P150"/>
  <c r="P155"/>
  <c r="R139"/>
  <c r="R136"/>
  <c r="R138"/>
  <c r="R135"/>
  <c r="R140"/>
  <c r="P153"/>
  <c r="F11" i="5"/>
  <c r="F13" s="1"/>
  <c r="F12"/>
  <c r="E11"/>
  <c r="E13" s="1"/>
  <c r="E12"/>
  <c r="R65" i="1" l="1"/>
  <c r="H13" i="5"/>
  <c r="G14"/>
  <c r="P76" i="1"/>
  <c r="P74"/>
  <c r="O79"/>
  <c r="Q79" s="1"/>
  <c r="P78"/>
  <c r="O78"/>
  <c r="Q78" s="1"/>
  <c r="K92"/>
  <c r="J107"/>
  <c r="N92"/>
  <c r="K90"/>
  <c r="J105"/>
  <c r="N90"/>
  <c r="O74"/>
  <c r="Q74" s="1"/>
  <c r="K95"/>
  <c r="J110"/>
  <c r="N95"/>
  <c r="P73"/>
  <c r="O73"/>
  <c r="Q73" s="1"/>
  <c r="K93"/>
  <c r="J108"/>
  <c r="N93"/>
  <c r="P79"/>
  <c r="K91"/>
  <c r="J106"/>
  <c r="N91"/>
  <c r="O77"/>
  <c r="Q77" s="1"/>
  <c r="P75"/>
  <c r="O75"/>
  <c r="Q75" s="1"/>
  <c r="O80"/>
  <c r="Q80" s="1"/>
  <c r="K94"/>
  <c r="J109"/>
  <c r="N94"/>
  <c r="K89"/>
  <c r="J104"/>
  <c r="N89"/>
  <c r="K88"/>
  <c r="J103"/>
  <c r="N88"/>
  <c r="O76"/>
  <c r="Q76" s="1"/>
  <c r="P77"/>
  <c r="P80"/>
  <c r="P168"/>
  <c r="P170"/>
  <c r="P171"/>
  <c r="R154"/>
  <c r="R149"/>
  <c r="R155"/>
  <c r="N186"/>
  <c r="J201"/>
  <c r="K186"/>
  <c r="J194"/>
  <c r="K179"/>
  <c r="N179"/>
  <c r="N183"/>
  <c r="J198"/>
  <c r="K183"/>
  <c r="N185"/>
  <c r="J200"/>
  <c r="K185"/>
  <c r="O165"/>
  <c r="Q165" s="1"/>
  <c r="O169"/>
  <c r="Q169" s="1"/>
  <c r="P169"/>
  <c r="N180"/>
  <c r="K180"/>
  <c r="O166"/>
  <c r="Q166" s="1"/>
  <c r="P166"/>
  <c r="N184"/>
  <c r="J199"/>
  <c r="K184"/>
  <c r="O164"/>
  <c r="Q164" s="1"/>
  <c r="P164"/>
  <c r="P167"/>
  <c r="O167"/>
  <c r="Q167" s="1"/>
  <c r="N181"/>
  <c r="J196"/>
  <c r="K181"/>
  <c r="O171"/>
  <c r="Q171" s="1"/>
  <c r="O168"/>
  <c r="Q168" s="1"/>
  <c r="N182"/>
  <c r="J197"/>
  <c r="K182"/>
  <c r="O170"/>
  <c r="Q170" s="1"/>
  <c r="R153"/>
  <c r="R156"/>
  <c r="P165"/>
  <c r="R151"/>
  <c r="R152"/>
  <c r="R150"/>
  <c r="F14" i="5"/>
  <c r="D3" i="2" s="1"/>
  <c r="E14" i="5"/>
  <c r="C3" i="2" s="1"/>
  <c r="F3"/>
  <c r="B10"/>
  <c r="R76" i="1" l="1"/>
  <c r="E3" i="2"/>
  <c r="B9"/>
  <c r="R77" i="1"/>
  <c r="R79"/>
  <c r="O94"/>
  <c r="Q94" s="1"/>
  <c r="P94"/>
  <c r="O95"/>
  <c r="Q95" s="1"/>
  <c r="P95"/>
  <c r="N103"/>
  <c r="K103"/>
  <c r="N106"/>
  <c r="K106"/>
  <c r="K108"/>
  <c r="N108"/>
  <c r="R80"/>
  <c r="R74"/>
  <c r="R78"/>
  <c r="O92"/>
  <c r="Q92" s="1"/>
  <c r="P92"/>
  <c r="O88"/>
  <c r="Q88" s="1"/>
  <c r="P88"/>
  <c r="K104"/>
  <c r="N104"/>
  <c r="O91"/>
  <c r="Q91" s="1"/>
  <c r="P91"/>
  <c r="P93"/>
  <c r="O93"/>
  <c r="Q93" s="1"/>
  <c r="K105"/>
  <c r="N105"/>
  <c r="P89"/>
  <c r="O89"/>
  <c r="Q89" s="1"/>
  <c r="K109"/>
  <c r="N109"/>
  <c r="K110"/>
  <c r="N110"/>
  <c r="O90"/>
  <c r="Q90" s="1"/>
  <c r="P90"/>
  <c r="K107"/>
  <c r="N107"/>
  <c r="R75"/>
  <c r="R73"/>
  <c r="P186"/>
  <c r="R168"/>
  <c r="R166"/>
  <c r="R171"/>
  <c r="P185"/>
  <c r="K195"/>
  <c r="N195"/>
  <c r="K200"/>
  <c r="N200"/>
  <c r="O183"/>
  <c r="Q183" s="1"/>
  <c r="P183"/>
  <c r="O182"/>
  <c r="Q182" s="1"/>
  <c r="P184"/>
  <c r="O184"/>
  <c r="Q184" s="1"/>
  <c r="N198"/>
  <c r="K198"/>
  <c r="K194"/>
  <c r="N194"/>
  <c r="K197"/>
  <c r="N197"/>
  <c r="O181"/>
  <c r="Q181" s="1"/>
  <c r="P181"/>
  <c r="K199"/>
  <c r="N199"/>
  <c r="O186"/>
  <c r="Q186" s="1"/>
  <c r="K196"/>
  <c r="N196"/>
  <c r="O180"/>
  <c r="Q180" s="1"/>
  <c r="P180"/>
  <c r="O185"/>
  <c r="Q185" s="1"/>
  <c r="O179"/>
  <c r="Q179" s="1"/>
  <c r="P179"/>
  <c r="N201"/>
  <c r="K201"/>
  <c r="R170"/>
  <c r="R167"/>
  <c r="R164"/>
  <c r="R169"/>
  <c r="P182"/>
  <c r="R165"/>
  <c r="B7" i="2"/>
  <c r="B8"/>
  <c r="R91" i="1" l="1"/>
  <c r="R90"/>
  <c r="B11" i="2"/>
  <c r="R88" i="1"/>
  <c r="P109"/>
  <c r="O109"/>
  <c r="Q109" s="1"/>
  <c r="P108"/>
  <c r="O108"/>
  <c r="Q108" s="1"/>
  <c r="O110"/>
  <c r="Q110" s="1"/>
  <c r="P110"/>
  <c r="R93"/>
  <c r="R89"/>
  <c r="R92"/>
  <c r="R95"/>
  <c r="P106"/>
  <c r="O106"/>
  <c r="Q106" s="1"/>
  <c r="O107"/>
  <c r="P107"/>
  <c r="P105"/>
  <c r="O105"/>
  <c r="Q105" s="1"/>
  <c r="P104"/>
  <c r="O104"/>
  <c r="Q104" s="1"/>
  <c r="P103"/>
  <c r="O103"/>
  <c r="Q103" s="1"/>
  <c r="R94"/>
  <c r="R179"/>
  <c r="R183"/>
  <c r="O196"/>
  <c r="Q196" s="1"/>
  <c r="P196"/>
  <c r="P199"/>
  <c r="O199"/>
  <c r="Q199" s="1"/>
  <c r="O201"/>
  <c r="Q201" s="1"/>
  <c r="P201"/>
  <c r="O194"/>
  <c r="Q194" s="1"/>
  <c r="P194"/>
  <c r="O200"/>
  <c r="Q200" s="1"/>
  <c r="P200"/>
  <c r="O198"/>
  <c r="P198"/>
  <c r="P197"/>
  <c r="O197"/>
  <c r="Q197" s="1"/>
  <c r="P195"/>
  <c r="O195"/>
  <c r="Q195" s="1"/>
  <c r="R185"/>
  <c r="R184"/>
  <c r="R186"/>
  <c r="R181"/>
  <c r="R182"/>
  <c r="R180"/>
  <c r="B12" i="2"/>
  <c r="B14" l="1"/>
  <c r="R106" i="1"/>
  <c r="R110"/>
  <c r="R108"/>
  <c r="R107"/>
  <c r="Q107"/>
  <c r="B15" i="2"/>
  <c r="R105" i="1"/>
  <c r="R103"/>
  <c r="R104"/>
  <c r="R109"/>
  <c r="R197"/>
  <c r="R195"/>
  <c r="R194"/>
  <c r="R196"/>
  <c r="R200"/>
  <c r="R198"/>
  <c r="Q198"/>
  <c r="R201"/>
  <c r="R199"/>
</calcChain>
</file>

<file path=xl/connections.xml><?xml version="1.0" encoding="utf-8"?>
<connections xmlns="http://schemas.openxmlformats.org/spreadsheetml/2006/main">
  <connection id="1" name="Connection" type="4" refreshedVersion="3" background="1" saveData="1">
    <webPr xl2000="1" url="http://172.16.15.192/km/Components/Cimselement.asp?classname=SEOExcelAddIn2.CGetPTypes&amp;infotype=ptypes" htmlTables="1" htmlFormat="all"/>
  </connection>
  <connection id="2" name="Connection1" type="4" refreshedVersion="3" background="1" saveData="1">
    <webPr xl2000="1" url="http://172.16.15.192/km/Components/Cimselement.asp?classname=SEOExcelAddIn2.CGetServerDateFormat" htmlTables="1" htmlFormat="all"/>
  </connection>
  <connection id="3" name="Connection2" type="4" refreshedVersion="3" background="1" saveData="1">
    <webPr xl2000="1" url="http://172.16.15.192/km/Components/Cimselement.asp?classname=SEOExcelAddIn2.CGetRepItems&amp;names=-1&amp;aliases=-1&amp;descrs=-1" post="ricodes=10371" htmlTables="1" htmlFormat="all"/>
  </connection>
  <connection id="4" name="Connection3" type="4" refreshedVersion="3" background="1" saveData="1">
    <webPr xl2000="1" url="http://172.16.15.192/km/Components/Cimselement.asp?classname=SEOExcelAddIn2.CBodyExcelData&amp;noricodes=2&amp;ptype=PRI&amp;sortnames=0&amp;sigavail=0&amp;locations=0&amp;sampleids=0&amp;locfilter=&amp;matfilter=&amp;pinststarts=0&amp;pinstends=-1&amp;names=-1&amp;aliases=0&amp;descrs=-1&amp;units=-1&amp;df=d\/MM\/yyyy h\:NN\:ss AMPM&amp;decf=.&amp;rw=0&amp;sq=0&amp;mpc=0&amp;ml=&amp;sa=&amp;red=0&amp;rl=1&amp;rf=AVG&amp;hl=0&amp;rlu=h&amp;rhu=h&amp;csd=19/10/2014 9:47:00 AM&amp;ced=19/10/2014 9:57:00 AM&amp;budget=&amp;pptype=&amp;adm=&amp;startDateFromCell=-1&amp;endDateFromCell=-1&amp;periodTypeFromCell=0&amp;startCell=PCS!A1&amp;endCell=PCS!A2&amp;periodTypeCell=&amp;oneSampleAnalysis=0&amp;ricodeListForAnalysis=&amp;typeListOfAnalysis=&amp;nullHypotesisListForAnalysis=&amp;StartDate=19.10.2014 09:47:00&amp;EndDate=19.10.2014 09:57:00&amp;footers=0&amp;" post="ricodes=10389,10403" htmlTables="1" htmlFormat="all"/>
  </connection>
  <connection id="5" name="Connection4" type="4" refreshedVersion="3" background="1" saveData="1">
    <webPr xl2000="1" url="http://172.16.15.192/km/Components/Cimselement.asp?classname=SEOExcelAddIn2.CBodyExcelData&amp;noricodes=2&amp;ptype=PRI&amp;sortnames=0&amp;sigavail=0&amp;locations=0&amp;sampleids=0&amp;locfilter=&amp;matfilter=&amp;pinststarts=0&amp;pinstends=-1&amp;names=-1&amp;aliases=0&amp;descrs=0&amp;units=-1&amp;df=d\/MM\/yyyy h\:NN\:ss AMPM&amp;decf=.&amp;rw=0&amp;sq=0&amp;mpc=0&amp;ml=&amp;sa=&amp;red=0&amp;rl=1&amp;rf=AVG&amp;hl=0&amp;rlu=h&amp;rhu=h&amp;csd=19/10/2014 9:47:00 AM&amp;ced=19/10/2014 9:57:00 AM&amp;budget=&amp;pptype=&amp;adm=&amp;startDateFromCell=-1&amp;endDateFromCell=-1&amp;periodTypeFromCell=0&amp;startCell=PCS!A1&amp;endCell=PCS!A2&amp;periodTypeCell=&amp;oneSampleAnalysis=0&amp;ricodeListForAnalysis=&amp;typeListOfAnalysis=&amp;nullHypotesisListForAnalysis=&amp;StartDate=19.10.2014 09:47:00&amp;EndDate=19.10.2014 09:57:00&amp;footers=0&amp;" post="ricodes=10441,10480" htmlTables="1" htmlFormat="all"/>
  </connection>
  <connection id="6" name="Connection5" type="4" refreshedVersion="3" background="1" saveData="1">
    <webPr xl2000="1" url="http://172.16.15.192/km/Components/Cimselement.asp?classname=SEOExcelAddIn2.CBodyExcelData&amp;noricodes=1&amp;ptype=PRI&amp;sortnames=0&amp;sigavail=0&amp;locations=0&amp;sampleids=0&amp;locfilter=&amp;matfilter=&amp;pinststarts=0&amp;pinstends=-1&amp;names=-1&amp;aliases=0&amp;descrs=0&amp;units=-1&amp;df=d\/MM\/yyyy h\:NN\:ss AMPM&amp;decf=.&amp;rw=0&amp;sq=0&amp;mpc=0&amp;ml=&amp;sa=&amp;red=0&amp;rl=1&amp;rf=AVG&amp;hl=0&amp;rlu=h&amp;rhu=h&amp;csd=19/10/2014 9:47:00 AM&amp;ced=19/10/2014 9:57:00 AM&amp;budget=&amp;pptype=&amp;adm=&amp;startDateFromCell=-1&amp;endDateFromCell=-1&amp;periodTypeFromCell=0&amp;startCell=PCS!A1&amp;endCell=PCS!A2&amp;periodTypeCell=&amp;oneSampleAnalysis=0&amp;ricodeListForAnalysis=&amp;typeListOfAnalysis=&amp;nullHypotesisListForAnalysis=&amp;StartDate=19.10.2014 09:47:00&amp;EndDate=19.10.2014 09:57:00&amp;footers=0&amp;" post="ricodes=10519" htmlTables="1" htmlFormat="all"/>
  </connection>
  <connection id="7" name="Connection6" type="4" refreshedVersion="3" background="1" saveData="1">
    <webPr xl2000="1" url="http://172.16.15.192/km/Components/Cimselement.asp?classname=SEOExcelAddIn2.CBodyExcelData&amp;noricodes=1&amp;ptype=PRI&amp;sortnames=0&amp;sigavail=0&amp;locations=0&amp;sampleids=0&amp;locfilter=&amp;matfilter=&amp;pinststarts=0&amp;pinstends=-1&amp;names=-1&amp;aliases=0&amp;descrs=0&amp;units=-1&amp;df=d\/MM\/yyyy h\:NN\:ss AMPM&amp;decf=.&amp;rw=0&amp;sq=0&amp;mpc=0&amp;ml=&amp;sa=&amp;red=0&amp;rl=1&amp;rf=AVG&amp;hl=0&amp;rlu=h&amp;rhu=h&amp;csd=19/10/2014 9:47:00 AM&amp;ced=19/10/2014 9:57:00 AM&amp;budget=&amp;pptype=&amp;adm=&amp;startDateFromCell=-1&amp;endDateFromCell=-1&amp;periodTypeFromCell=0&amp;startCell=PCS!A1&amp;endCell=PCS!A2&amp;periodTypeCell=&amp;oneSampleAnalysis=0&amp;ricodeListForAnalysis=&amp;typeListOfAnalysis=&amp;nullHypotesisListForAnalysis=&amp;StartDate=19.10.2014 09:47:00&amp;EndDate=19.10.2014 09:57:00&amp;footers=0&amp;" post="ricodes=10371" htmlTables="1" htmlFormat="all"/>
  </connection>
</connections>
</file>

<file path=xl/sharedStrings.xml><?xml version="1.0" encoding="utf-8"?>
<sst xmlns="http://schemas.openxmlformats.org/spreadsheetml/2006/main" count="662" uniqueCount="296">
  <si>
    <t>Sample Description</t>
  </si>
  <si>
    <t>Size Fraction</t>
  </si>
  <si>
    <t>Weight (g)</t>
  </si>
  <si>
    <t>Cum % Passing</t>
  </si>
  <si>
    <t>P80</t>
  </si>
  <si>
    <t>212-300</t>
  </si>
  <si>
    <t>Head</t>
  </si>
  <si>
    <t>53-75</t>
  </si>
  <si>
    <t>75-106</t>
  </si>
  <si>
    <t>106-150</t>
  </si>
  <si>
    <t>300-425</t>
  </si>
  <si>
    <t>425-600</t>
  </si>
  <si>
    <t>180-212</t>
  </si>
  <si>
    <t>150-180</t>
  </si>
  <si>
    <t>Retain %</t>
  </si>
  <si>
    <t>600-1180</t>
  </si>
  <si>
    <t>+1180</t>
  </si>
  <si>
    <t>38-53</t>
  </si>
  <si>
    <t>Take sample</t>
  </si>
  <si>
    <t>Date</t>
  </si>
  <si>
    <t>Percent solid</t>
  </si>
  <si>
    <t xml:space="preserve">Dry sample weight </t>
  </si>
  <si>
    <t>Mass bucket</t>
  </si>
  <si>
    <t>Mass bucket+slurry</t>
  </si>
  <si>
    <t>efficiency</t>
  </si>
  <si>
    <t>D1</t>
  </si>
  <si>
    <t>D2</t>
  </si>
  <si>
    <t>D3</t>
  </si>
  <si>
    <t>D4</t>
  </si>
  <si>
    <t>D5</t>
  </si>
  <si>
    <t>SC013</t>
  </si>
  <si>
    <t>average</t>
  </si>
  <si>
    <t>stdev</t>
  </si>
  <si>
    <t>t-Test: Two-Sample Assuming Unequal Variances</t>
  </si>
  <si>
    <t>Mean</t>
  </si>
  <si>
    <t>Variance</t>
  </si>
  <si>
    <t>Observations</t>
  </si>
  <si>
    <t>Hypothesized Mean Difference</t>
  </si>
  <si>
    <t>df</t>
  </si>
  <si>
    <t>t Stat</t>
  </si>
  <si>
    <t>P(T&lt;=t) one-tail</t>
  </si>
  <si>
    <t>t Critical one-tail</t>
  </si>
  <si>
    <t>P(T&lt;=t) two-tail</t>
  </si>
  <si>
    <t>t Critical two-tail</t>
  </si>
  <si>
    <t>cònfidence</t>
  </si>
  <si>
    <t>high</t>
  </si>
  <si>
    <t>low</t>
  </si>
  <si>
    <t>tstat&gt;tcritical 1 tails, ínignificant</t>
  </si>
  <si>
    <t>A</t>
  </si>
  <si>
    <t>B</t>
  </si>
  <si>
    <t>C</t>
  </si>
  <si>
    <t>D</t>
  </si>
  <si>
    <t>The weight splits and efficiency value are calculated as follows:</t>
  </si>
  <si>
    <t>100*(C-A)</t>
  </si>
  <si>
    <t>U</t>
  </si>
  <si>
    <t>=</t>
  </si>
  <si>
    <t>C+D-100</t>
  </si>
  <si>
    <t>O</t>
  </si>
  <si>
    <t>100-U</t>
  </si>
  <si>
    <t>U*D</t>
  </si>
  <si>
    <t>Eu</t>
  </si>
  <si>
    <t>O*C</t>
  </si>
  <si>
    <t>Eo</t>
  </si>
  <si>
    <t>U*D+O*C</t>
  </si>
  <si>
    <t>E</t>
  </si>
  <si>
    <t>Overall efficiency</t>
  </si>
  <si>
    <t>%  undersize in the feed</t>
  </si>
  <si>
    <t>Screen efficiency per size fraction</t>
  </si>
  <si>
    <t>Survey grinding screen 004</t>
  </si>
  <si>
    <t>SC 004 O/S D1</t>
  </si>
  <si>
    <t>SC 004 O/S D2</t>
  </si>
  <si>
    <t>SC 004 O/S D3</t>
  </si>
  <si>
    <t>SC 004 O/S D4</t>
  </si>
  <si>
    <t>SC 004 O/S D5</t>
  </si>
  <si>
    <t>GTU/F</t>
  </si>
  <si>
    <t>ML-01 feed rate</t>
  </si>
  <si>
    <t>Flowrate Pu-08A</t>
  </si>
  <si>
    <t>Flowrate Pu-08B</t>
  </si>
  <si>
    <t>m3/hr</t>
  </si>
  <si>
    <t>Data collected from the PCS:</t>
  </si>
  <si>
    <t>Density Screen feed</t>
  </si>
  <si>
    <t>t/m3</t>
  </si>
  <si>
    <t>:</t>
  </si>
  <si>
    <t>SC 004</t>
  </si>
  <si>
    <t>SC004</t>
  </si>
  <si>
    <t>Weight (1)</t>
  </si>
  <si>
    <t>Weight (2)</t>
  </si>
  <si>
    <t>Weight (3)</t>
  </si>
  <si>
    <t>GT U/F</t>
  </si>
  <si>
    <t>% of oversize in the feed</t>
  </si>
  <si>
    <t>% of undersize in the feed</t>
  </si>
  <si>
    <t>% of oversize in the oversize product</t>
  </si>
  <si>
    <t>% of undersize in the undersize product</t>
  </si>
  <si>
    <t>(calculate based on 212um lab screen)</t>
  </si>
  <si>
    <t>End Time</t>
  </si>
  <si>
    <t>FIC321016_MV</t>
  </si>
  <si>
    <t>FIC321015X_MV</t>
  </si>
  <si>
    <t>Slurry to ML-002</t>
  </si>
  <si>
    <t>Slurry to ML-003</t>
  </si>
  <si>
    <t>DIC321014X_MV</t>
  </si>
  <si>
    <t>DIC321014_MV</t>
  </si>
  <si>
    <t>WIC241152_MV</t>
  </si>
  <si>
    <t>FIC321015_MV</t>
  </si>
  <si>
    <t>Time start</t>
  </si>
  <si>
    <t>Time finnish</t>
  </si>
  <si>
    <t>PRI</t>
  </si>
  <si>
    <t>Primary log values</t>
  </si>
  <si>
    <t>15M</t>
  </si>
  <si>
    <t>Quarter hour values</t>
  </si>
  <si>
    <t>30M</t>
  </si>
  <si>
    <t>Half hour values</t>
  </si>
  <si>
    <t>HRS</t>
  </si>
  <si>
    <t>Hourly values</t>
  </si>
  <si>
    <t>SHT</t>
  </si>
  <si>
    <t>Shift values</t>
  </si>
  <si>
    <t>DAY</t>
  </si>
  <si>
    <t>Daily values</t>
  </si>
  <si>
    <t>WEK</t>
  </si>
  <si>
    <t>Weekly values</t>
  </si>
  <si>
    <t>MTH</t>
  </si>
  <si>
    <t>Monthly values</t>
  </si>
  <si>
    <t>YER</t>
  </si>
  <si>
    <t>Yearly values</t>
  </si>
  <si>
    <t>DD\.MM\.YYYY HH\:NN\:SS</t>
  </si>
  <si>
    <t>.</t>
  </si>
  <si>
    <t>Comments</t>
  </si>
  <si>
    <t>PCS data</t>
  </si>
  <si>
    <t>Flowrate Screen Feed</t>
  </si>
  <si>
    <t>Calc Pu-08A + B</t>
  </si>
  <si>
    <t>t/hr</t>
  </si>
  <si>
    <t>Solids density</t>
  </si>
  <si>
    <t>solids</t>
  </si>
  <si>
    <t xml:space="preserve">calculation </t>
  </si>
  <si>
    <t>Solids mass flowrate pulp screen feed</t>
  </si>
  <si>
    <t>Pulp mass flowrate  screen feed</t>
  </si>
  <si>
    <t>Recirculating solids load</t>
  </si>
  <si>
    <t>of new feed</t>
  </si>
  <si>
    <t>Std deviation</t>
  </si>
  <si>
    <t>deck 1</t>
  </si>
  <si>
    <t>deck 2</t>
  </si>
  <si>
    <t>deck 3</t>
  </si>
  <si>
    <t>deck 4</t>
  </si>
  <si>
    <t>deck 5</t>
  </si>
  <si>
    <t>DI-040</t>
  </si>
  <si>
    <t>Secondary distributor</t>
  </si>
  <si>
    <t>DI-027</t>
  </si>
  <si>
    <t>Primary distributor</t>
  </si>
  <si>
    <t>Feed -38um (%)</t>
  </si>
  <si>
    <t>Sizing data</t>
  </si>
  <si>
    <t>Checks</t>
  </si>
  <si>
    <t>Feed start to DI-040</t>
  </si>
  <si>
    <t>Feed -38um</t>
  </si>
  <si>
    <t>Screen feed variabilty</t>
  </si>
  <si>
    <t>Feed p80 (um)</t>
  </si>
  <si>
    <t>Feed p80</t>
  </si>
  <si>
    <t>Variance from mean of DI-040 sizing data</t>
  </si>
  <si>
    <r>
      <rPr>
        <b/>
        <sz val="11"/>
        <color theme="1"/>
        <rFont val="Calibri"/>
        <family val="2"/>
        <charset val="163"/>
        <scheme val="minor"/>
      </rPr>
      <t xml:space="preserve">% </t>
    </r>
    <r>
      <rPr>
        <sz val="11"/>
        <color theme="1"/>
        <rFont val="Calibri"/>
        <family val="2"/>
        <scheme val="minor"/>
      </rPr>
      <t>Variance from mean of DI-40 sizing data</t>
    </r>
  </si>
  <si>
    <t>Feed rates</t>
  </si>
  <si>
    <t>Slurry to deck</t>
  </si>
  <si>
    <t>Solids to deck</t>
  </si>
  <si>
    <t>stacks</t>
  </si>
  <si>
    <t>Slurry to stack</t>
  </si>
  <si>
    <t>Solids to stack</t>
  </si>
  <si>
    <t>decks per stack</t>
  </si>
  <si>
    <t xml:space="preserve">Derrick Calculate efficiency </t>
  </si>
  <si>
    <t>% of O/S in feed</t>
  </si>
  <si>
    <t>% of U/S in feed</t>
  </si>
  <si>
    <t>% of O/S in the O/S product</t>
  </si>
  <si>
    <t>% of U/S in U/S product</t>
  </si>
  <si>
    <t xml:space="preserve">U/S efficiency </t>
  </si>
  <si>
    <t>U/S weight %</t>
  </si>
  <si>
    <t>O/S weight %</t>
  </si>
  <si>
    <t>O/S efficiency</t>
  </si>
  <si>
    <t>Ted Krapkat says</t>
  </si>
  <si>
    <t>re vibrating screen efficiency calculation</t>
  </si>
  <si>
    <t>Overall screen efficiency is then calculated by multiplying these two efficiencies together ie;-</t>
  </si>
  <si>
    <t>(Where oversize = +30mm fraction and undersize = -30mm fraction.)</t>
  </si>
  <si>
    <t>Mu(f) * Qms(f) = Mu(o) * Qms(o) + Mu(u) * Qms(u)</t>
  </si>
  <si>
    <t>or...</t>
  </si>
  <si>
    <t>therefore,</t>
  </si>
  <si>
    <t>Similarly, using Equation 2, we can calculate the screen efficiency based on undersize (-30mm);-</t>
  </si>
  <si>
    <t>Regards,</t>
  </si>
  <si>
    <t>Ted.</t>
  </si>
  <si>
    <t>Dear Raj</t>
  </si>
  <si>
    <t>Mr Ted is right to find the actual efficiency of any vibrating screen.</t>
  </si>
  <si>
    <t>but if TPH is not known than feed material undersize, product undersize and overproduct undersize % can be used to find the efficiency. I am giving an example below for your understanding.</t>
  </si>
  <si>
    <t>In limestone separation for (-) 30mm .</t>
  </si>
  <si>
    <t>The Feed material to the screen contains 60% (- 30mm).</t>
  </si>
  <si>
    <t>After screening the oversized fraction contains 10% (-30mm)</t>
  </si>
  <si>
    <t>undersized contains 95% of (-30mm).</t>
  </si>
  <si>
    <t xml:space="preserve">Calculation: </t>
  </si>
  <si>
    <t>A= 60/100 , B = 95/100 , C = 10/100</t>
  </si>
  <si>
    <t>Efficiency -1 = (A-B)/(C-B) = (0.6-0.95)/(0.1-0.95) = 0.411</t>
  </si>
  <si>
    <t>Efficiency -2 = (C-A)/(C-B) = (0.1-0.6)/(0.1-0.95) = 0.588</t>
  </si>
  <si>
    <t>Efficiency -3 = (1-C)/(1-A) = (1-0.1)/(1-0.6) = 2.25</t>
  </si>
  <si>
    <t>Efficiency -4 = B/A = 0.95/0.6 = 1.587</t>
  </si>
  <si>
    <t>Overall efficiency = Eff 1 x Eff 2 x Eff 3 x Eff 4 x 100</t>
  </si>
  <si>
    <t>Overall all efficiency = 0.411 x 0.588 x 2.25 x 1.587 x 100 = 86.3%</t>
  </si>
  <si>
    <t>Thanks Chari,</t>
  </si>
  <si>
    <t>regregSubscription</t>
  </si>
  <si>
    <t xml:space="preserve"> </t>
  </si>
  <si>
    <t>Screen efficiency is obtained using different equations, depending on whether your product is the oversize or undersize fraction from the screen. The following information is required to calculate the two screen efficiencies;-</t>
  </si>
  <si>
    <t xml:space="preserve">•Qms(f)  = Mass flow rate of solid feed. </t>
  </si>
  <si>
    <t xml:space="preserve">•Qms(o) = Mass flow rate of solid in the screen overflow. </t>
  </si>
  <si>
    <t xml:space="preserve">•Qms(u) = Mass flow rate of solid in the screen underflow. </t>
  </si>
  <si>
    <t xml:space="preserve">•Mu(f)    = Mass fraction of undersize in the feed. </t>
  </si>
  <si>
    <t xml:space="preserve">•Mu(o)    = Mass fraction of undersize in the overflow. </t>
  </si>
  <si>
    <t xml:space="preserve">•Mu(u)    = Mass fraction of undersize in the underflow. </t>
  </si>
  <si>
    <t>The screen efficiency based on the oversize (Eo) is then given by the equation;-</t>
  </si>
  <si>
    <t xml:space="preserve">            Qms(o) * [1 - Mu(o)]</t>
  </si>
  <si>
    <t xml:space="preserve"> Eo =     -----------------------------                           ( Equation 1)</t>
  </si>
  <si>
    <t xml:space="preserve">              Qms(f) * [1 - Mu(f)] </t>
  </si>
  <si>
    <t>and the screen efficiency based on the undersize (Eu) is then given by;</t>
  </si>
  <si>
    <t xml:space="preserve">            Qms(u) *  Mu(u)</t>
  </si>
  <si>
    <t xml:space="preserve"> Eu =  -------------------------------                        ( Equation 2)</t>
  </si>
  <si>
    <t xml:space="preserve">              Qms(f) *  Mu(f)</t>
  </si>
  <si>
    <t>E = Eo * Eu                                               ( Equation 3)</t>
  </si>
  <si>
    <t xml:space="preserve">In your case the following values are given;-  </t>
  </si>
  <si>
    <t xml:space="preserve">•Qms(f)  = 2900 t/d </t>
  </si>
  <si>
    <t xml:space="preserve">•Qms(o) = 2412 t/d </t>
  </si>
  <si>
    <t xml:space="preserve">•Qms(u) =  488t /d </t>
  </si>
  <si>
    <t xml:space="preserve">•Mu(o)    =  8% = 0.08 </t>
  </si>
  <si>
    <t xml:space="preserve">•Mu(u)    =  94% = 0.94 </t>
  </si>
  <si>
    <t>However we need to also know the mass fraction of undersize in the feed, Mu(f). This can be calculated from the values already given by a simple mass balance based on the undersize, ie;-</t>
  </si>
  <si>
    <t xml:space="preserve">               Mu(o) * Qms(o) + Mu(u) * Qms(u)</t>
  </si>
  <si>
    <t xml:space="preserve"> Mu(f)  =  ---------------------------------------------</t>
  </si>
  <si>
    <t xml:space="preserve">                                   Qms(f)</t>
  </si>
  <si>
    <t xml:space="preserve">                [ (0.08 * 2412) + (0.94 * 488) ]            (192.96  + 458.72)            651.68</t>
  </si>
  <si>
    <t xml:space="preserve"> Mu(f) =  --------------------------------------------   =   ---------------------------   =   -----------  =  0.2247</t>
  </si>
  <si>
    <t xml:space="preserve">                                   2900                                                  2900                         2900  </t>
  </si>
  <si>
    <t xml:space="preserve"> So now we can calculate your screen efficiency based on oversize (+30mm), according to Equation 1;-</t>
  </si>
  <si>
    <t xml:space="preserve">                 2412 * (1 - 0.08)                    2412 * 0.92               2219</t>
  </si>
  <si>
    <t xml:space="preserve"> Eo  =   ------------------------------      =  ----------------------  =    ----------   =  0.987  =  98.7%</t>
  </si>
  <si>
    <t xml:space="preserve">                2900 * (1 - 0.2247)               2900 * 0.7753           2248.4</t>
  </si>
  <si>
    <t xml:space="preserve">                 488 * 0.94                     458.72</t>
  </si>
  <si>
    <t xml:space="preserve"> Eu  =   -----------------------      =  --------------  =   0.704  =  70.4%</t>
  </si>
  <si>
    <t xml:space="preserve">                2900 * 0.2247                651.63</t>
  </si>
  <si>
    <t>Therefore, using Equation 3 we can calculate the overall efficiency of your screen based on the given data;-</t>
  </si>
  <si>
    <t>E  =  98.7 * 70.4  =  69.5%</t>
  </si>
  <si>
    <t xml:space="preserve"> Reply </t>
  </si>
  <si>
    <t xml:space="preserve"> Let us find the Values of A,B and C for calculating Efficiency,</t>
  </si>
  <si>
    <t>Ted Krapkat</t>
  </si>
  <si>
    <t xml:space="preserve"> 486 posts</t>
  </si>
  <si>
    <t>TimePosted  09/11/2012 02:57:13</t>
  </si>
  <si>
    <t>You are quite correct. The equation you provided can be derived fairly easily from the basic screen efficiency equations. I can post this derivation if anyone is interested in the mathematics behind it.</t>
  </si>
  <si>
    <t xml:space="preserve">Page 1 of 1  1  </t>
  </si>
  <si>
    <t>Subscribe to International Cement Review</t>
  </si>
  <si>
    <t>from International Cement Review</t>
  </si>
  <si>
    <t xml:space="preserve"> http://www.cemnet.com/Forum/thread/150906/vibrating-screen-efficiency-calculation.html</t>
  </si>
  <si>
    <t>below are two calculation methods for screening efficiency determination</t>
  </si>
  <si>
    <t>mass flowrates known</t>
  </si>
  <si>
    <t>mass flowrates unknown</t>
  </si>
  <si>
    <t>MSmit</t>
  </si>
  <si>
    <t>==&gt;</t>
  </si>
  <si>
    <t>% of O/S in the feed</t>
  </si>
  <si>
    <t>% of U/S in the feed</t>
  </si>
  <si>
    <t>% of U/S in the U/S product</t>
  </si>
  <si>
    <t xml:space="preserve">O/S weight % </t>
  </si>
  <si>
    <t>Sample</t>
  </si>
  <si>
    <t>Method 1</t>
  </si>
  <si>
    <t>Description</t>
  </si>
  <si>
    <t>Sample- and efficiency data unsing: 
a) newly installed U/S sample point data;
b) individual deck feed start sample data.</t>
  </si>
  <si>
    <t>SC-04 Feed</t>
  </si>
  <si>
    <t>SC-04 Combined U/S</t>
  </si>
  <si>
    <t>SC-04 O/S D2</t>
  </si>
  <si>
    <t>SC-04 O/S D3</t>
  </si>
  <si>
    <t>SC-04 O/S D4</t>
  </si>
  <si>
    <t>SC-04 O/S D5</t>
  </si>
  <si>
    <t>SC-04 feed to deck1</t>
  </si>
  <si>
    <t>SC-04 feed to deck2</t>
  </si>
  <si>
    <t>SC-04 feed to deck3</t>
  </si>
  <si>
    <t>SC-04 feed to deck4</t>
  </si>
  <si>
    <t>SC-04 feed to deck5</t>
  </si>
  <si>
    <t>one stach (SC-04) sampled</t>
  </si>
  <si>
    <t>all five decks samoled for over size</t>
  </si>
  <si>
    <t>all feed streams sampled</t>
  </si>
  <si>
    <t>Distributor</t>
  </si>
  <si>
    <t>feed sample data</t>
  </si>
  <si>
    <t>O/S sample data</t>
  </si>
  <si>
    <t>U/S sample data</t>
  </si>
  <si>
    <t>SC-04 O/S D1</t>
  </si>
  <si>
    <t>SC-04 O/S from deck1</t>
  </si>
  <si>
    <t>SC-04 O/S from deck2</t>
  </si>
  <si>
    <t>SC-04 O/S from deck3</t>
  </si>
  <si>
    <t>SC-04 O/S from deck4</t>
  </si>
  <si>
    <t>SC-04 O/S from deck5</t>
  </si>
  <si>
    <t>SC-04 method1</t>
  </si>
  <si>
    <t>SC-04 method 2</t>
  </si>
  <si>
    <t xml:space="preserve">deck efficiencies </t>
  </si>
  <si>
    <t>Average</t>
  </si>
  <si>
    <t>Sample- and efficiency data with out U/S sample point (assuming the % of U/S in the U/S product =100%)</t>
  </si>
  <si>
    <t>O/S product p80 (um)</t>
  </si>
  <si>
    <t>O/S -38um (%)</t>
  </si>
  <si>
    <t>O/S -212um (%)</t>
  </si>
  <si>
    <t>Smallest lab screen as O/S</t>
  </si>
  <si>
    <t>212um</t>
  </si>
</sst>
</file>

<file path=xl/styles.xml><?xml version="1.0" encoding="utf-8"?>
<styleSheet xmlns="http://schemas.openxmlformats.org/spreadsheetml/2006/main">
  <numFmts count="4">
    <numFmt numFmtId="164" formatCode="0.0%"/>
    <numFmt numFmtId="165" formatCode="[$-C09]dd\-mmm\-yy;@"/>
    <numFmt numFmtId="166" formatCode="0.000"/>
    <numFmt numFmtId="167" formatCode="0.0"/>
  </numFmts>
  <fonts count="14">
    <font>
      <sz val="11"/>
      <color theme="1"/>
      <name val="Calibri"/>
      <family val="2"/>
      <scheme val="minor"/>
    </font>
    <font>
      <sz val="11"/>
      <color theme="1"/>
      <name val="Calibri"/>
      <family val="2"/>
      <scheme val="minor"/>
    </font>
    <font>
      <b/>
      <sz val="11"/>
      <color theme="1"/>
      <name val="Calibri"/>
      <family val="2"/>
      <scheme val="minor"/>
    </font>
    <font>
      <sz val="11"/>
      <color rgb="FF0000FF"/>
      <name val="Calibri"/>
      <family val="2"/>
      <scheme val="minor"/>
    </font>
    <font>
      <sz val="14"/>
      <color theme="1"/>
      <name val="Calibri"/>
      <family val="2"/>
      <scheme val="minor"/>
    </font>
    <font>
      <i/>
      <sz val="11"/>
      <color theme="1"/>
      <name val="Calibri"/>
      <family val="2"/>
      <scheme val="minor"/>
    </font>
    <font>
      <b/>
      <sz val="14"/>
      <color theme="1"/>
      <name val="Calibri"/>
      <family val="2"/>
      <scheme val="minor"/>
    </font>
    <font>
      <sz val="10"/>
      <color theme="1"/>
      <name val="Calibri"/>
      <family val="2"/>
      <scheme val="minor"/>
    </font>
    <font>
      <sz val="10"/>
      <color rgb="FF000000"/>
      <name val="Calibri"/>
      <family val="2"/>
      <scheme val="minor"/>
    </font>
    <font>
      <sz val="8"/>
      <color theme="1"/>
      <name val="Calibri"/>
      <family val="2"/>
      <scheme val="minor"/>
    </font>
    <font>
      <b/>
      <sz val="11"/>
      <color theme="1"/>
      <name val="Calibri"/>
      <family val="2"/>
      <charset val="163"/>
      <scheme val="minor"/>
    </font>
    <font>
      <sz val="11"/>
      <color theme="1"/>
      <name val="Calibri"/>
      <family val="2"/>
      <charset val="163"/>
      <scheme val="minor"/>
    </font>
    <font>
      <b/>
      <sz val="8"/>
      <color theme="1"/>
      <name val="Calibri"/>
      <family val="2"/>
      <scheme val="minor"/>
    </font>
    <font>
      <sz val="8"/>
      <color rgb="FF0000FF"/>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theme="3" tint="0.39997558519241921"/>
        <bgColor indexed="64"/>
      </patternFill>
    </fill>
    <fill>
      <patternFill patternType="solid">
        <fgColor theme="9" tint="-0.249977111117893"/>
        <bgColor indexed="64"/>
      </patternFill>
    </fill>
    <fill>
      <patternFill patternType="solid">
        <fgColor theme="0" tint="-0.34998626667073579"/>
        <bgColor indexed="64"/>
      </patternFill>
    </fill>
    <fill>
      <patternFill patternType="solid">
        <fgColor rgb="FFFF0000"/>
        <bgColor indexed="64"/>
      </patternFill>
    </fill>
  </fills>
  <borders count="27">
    <border>
      <left/>
      <right/>
      <top/>
      <bottom/>
      <diagonal/>
    </border>
    <border>
      <left/>
      <right style="thin">
        <color auto="1"/>
      </right>
      <top style="medium">
        <color auto="1"/>
      </top>
      <bottom style="thin">
        <color indexed="64"/>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indexed="64"/>
      </bottom>
      <diagonal/>
    </border>
    <border>
      <left style="thin">
        <color auto="1"/>
      </left>
      <right style="thin">
        <color auto="1"/>
      </right>
      <top style="hair">
        <color auto="1"/>
      </top>
      <bottom/>
      <diagonal/>
    </border>
    <border>
      <left style="double">
        <color auto="1"/>
      </left>
      <right style="thin">
        <color indexed="64"/>
      </right>
      <top style="double">
        <color auto="1"/>
      </top>
      <bottom style="thin">
        <color auto="1"/>
      </bottom>
      <diagonal/>
    </border>
    <border>
      <left style="thin">
        <color indexed="64"/>
      </left>
      <right style="thin">
        <color indexed="64"/>
      </right>
      <top style="double">
        <color auto="1"/>
      </top>
      <bottom style="thin">
        <color indexed="64"/>
      </bottom>
      <diagonal/>
    </border>
    <border>
      <left style="double">
        <color auto="1"/>
      </left>
      <right style="thin">
        <color indexed="64"/>
      </right>
      <top style="thin">
        <color auto="1"/>
      </top>
      <bottom style="thin">
        <color auto="1"/>
      </bottom>
      <diagonal/>
    </border>
    <border>
      <left style="thin">
        <color indexed="64"/>
      </left>
      <right style="thin">
        <color indexed="64"/>
      </right>
      <top style="thin">
        <color auto="1"/>
      </top>
      <bottom style="thin">
        <color indexed="64"/>
      </bottom>
      <diagonal/>
    </border>
    <border>
      <left/>
      <right/>
      <top/>
      <bottom style="double">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style="dotted">
        <color indexed="64"/>
      </right>
      <top style="dotted">
        <color indexed="64"/>
      </top>
      <bottom style="dotted">
        <color indexed="64"/>
      </bottom>
      <diagonal/>
    </border>
    <border>
      <left style="thin">
        <color indexed="64"/>
      </left>
      <right style="thin">
        <color indexed="64"/>
      </right>
      <top/>
      <bottom style="thin">
        <color indexed="64"/>
      </bottom>
      <diagonal/>
    </border>
    <border>
      <left style="thin">
        <color auto="1"/>
      </left>
      <right style="thin">
        <color auto="1"/>
      </right>
      <top/>
      <bottom style="hair">
        <color auto="1"/>
      </bottom>
      <diagonal/>
    </border>
    <border>
      <left style="double">
        <color auto="1"/>
      </left>
      <right style="thin">
        <color indexed="64"/>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204">
    <xf numFmtId="0" fontId="0" fillId="0" borderId="0" xfId="0"/>
    <xf numFmtId="0" fontId="0" fillId="0" borderId="2" xfId="0" applyFont="1" applyBorder="1" applyAlignment="1">
      <alignment horizontal="center" vertical="top" wrapText="1"/>
    </xf>
    <xf numFmtId="2" fontId="3" fillId="0" borderId="2" xfId="0" applyNumberFormat="1" applyFont="1" applyBorder="1" applyAlignment="1">
      <alignment horizontal="center" vertical="top" wrapText="1"/>
    </xf>
    <xf numFmtId="0" fontId="0" fillId="0" borderId="2" xfId="0" applyBorder="1"/>
    <xf numFmtId="0" fontId="0" fillId="0" borderId="2" xfId="0" quotePrefix="1" applyNumberFormat="1" applyFont="1" applyBorder="1" applyAlignment="1">
      <alignment horizontal="center" vertical="center"/>
    </xf>
    <xf numFmtId="2" fontId="3" fillId="0" borderId="2" xfId="0" quotePrefix="1" applyNumberFormat="1" applyFont="1" applyBorder="1" applyAlignment="1">
      <alignment horizontal="center" vertical="center"/>
    </xf>
    <xf numFmtId="0" fontId="0" fillId="0" borderId="2" xfId="0" quotePrefix="1" applyNumberFormat="1" applyBorder="1" applyAlignment="1">
      <alignment horizontal="center" vertical="center"/>
    </xf>
    <xf numFmtId="0" fontId="0" fillId="0" borderId="3" xfId="0" applyBorder="1"/>
    <xf numFmtId="0" fontId="0" fillId="0" borderId="3" xfId="0" quotePrefix="1" applyNumberFormat="1" applyBorder="1" applyAlignment="1">
      <alignment horizontal="center" vertical="center"/>
    </xf>
    <xf numFmtId="2" fontId="0" fillId="0" borderId="3" xfId="0" quotePrefix="1" applyNumberFormat="1" applyFont="1" applyBorder="1" applyAlignment="1">
      <alignment horizontal="center" vertical="center"/>
    </xf>
    <xf numFmtId="9" fontId="0" fillId="0" borderId="0" xfId="1" applyFont="1"/>
    <xf numFmtId="0" fontId="0" fillId="0" borderId="4" xfId="0" applyBorder="1"/>
    <xf numFmtId="0" fontId="0" fillId="0" borderId="4" xfId="0" quotePrefix="1" applyBorder="1" applyAlignment="1">
      <alignment horizontal="center"/>
    </xf>
    <xf numFmtId="2" fontId="3" fillId="0" borderId="4" xfId="0" quotePrefix="1" applyNumberFormat="1" applyFont="1" applyBorder="1" applyAlignment="1">
      <alignment horizontal="center" vertical="center"/>
    </xf>
    <xf numFmtId="164" fontId="1" fillId="0" borderId="4" xfId="1" quotePrefix="1" applyNumberFormat="1" applyFont="1" applyBorder="1" applyAlignment="1">
      <alignment horizontal="center" vertical="center"/>
    </xf>
    <xf numFmtId="10" fontId="1" fillId="0" borderId="2" xfId="1" quotePrefix="1" applyNumberFormat="1" applyFont="1" applyBorder="1" applyAlignment="1">
      <alignment horizontal="center" vertical="center"/>
    </xf>
    <xf numFmtId="2" fontId="0" fillId="0" borderId="0" xfId="0" applyNumberFormat="1"/>
    <xf numFmtId="0" fontId="0" fillId="0" borderId="8" xfId="0" applyBorder="1"/>
    <xf numFmtId="10" fontId="0" fillId="0" borderId="8" xfId="1" applyNumberFormat="1" applyFont="1" applyBorder="1"/>
    <xf numFmtId="0" fontId="0" fillId="0" borderId="0" xfId="0" applyAlignment="1">
      <alignment horizontal="center"/>
    </xf>
    <xf numFmtId="0" fontId="0" fillId="0" borderId="0" xfId="0" applyFill="1" applyBorder="1" applyAlignment="1"/>
    <xf numFmtId="0" fontId="0" fillId="0" borderId="13" xfId="0" applyFill="1" applyBorder="1" applyAlignment="1"/>
    <xf numFmtId="0" fontId="5" fillId="0" borderId="14" xfId="0" applyFont="1" applyFill="1" applyBorder="1" applyAlignment="1">
      <alignment horizontal="center"/>
    </xf>
    <xf numFmtId="2" fontId="0" fillId="0" borderId="0" xfId="0" applyNumberFormat="1" applyFill="1" applyBorder="1" applyAlignment="1"/>
    <xf numFmtId="2" fontId="0" fillId="0" borderId="13" xfId="0" applyNumberFormat="1" applyFill="1" applyBorder="1" applyAlignment="1"/>
    <xf numFmtId="0" fontId="0" fillId="0" borderId="0" xfId="0"/>
    <xf numFmtId="0" fontId="4" fillId="0" borderId="0" xfId="0" applyFont="1"/>
    <xf numFmtId="2" fontId="0" fillId="0" borderId="8" xfId="0" applyNumberFormat="1" applyBorder="1"/>
    <xf numFmtId="0" fontId="0" fillId="0" borderId="0" xfId="0" applyBorder="1"/>
    <xf numFmtId="0" fontId="4" fillId="0" borderId="16" xfId="0" applyFont="1" applyBorder="1" applyAlignment="1">
      <alignment horizontal="center" vertical="center" wrapText="1"/>
    </xf>
    <xf numFmtId="0" fontId="0" fillId="0" borderId="17" xfId="0" applyFont="1" applyBorder="1" applyAlignment="1">
      <alignment horizontal="center" vertical="top" wrapText="1"/>
    </xf>
    <xf numFmtId="2" fontId="3" fillId="0" borderId="17" xfId="0" applyNumberFormat="1" applyFont="1" applyBorder="1" applyAlignment="1">
      <alignment horizontal="center" vertical="top" wrapText="1"/>
    </xf>
    <xf numFmtId="10" fontId="1" fillId="0" borderId="17" xfId="1" quotePrefix="1" applyNumberFormat="1" applyFont="1" applyBorder="1" applyAlignment="1">
      <alignment horizontal="center" vertical="center"/>
    </xf>
    <xf numFmtId="0" fontId="2" fillId="0" borderId="8" xfId="0" applyFont="1" applyBorder="1" applyAlignment="1">
      <alignment horizontal="center" vertical="center" wrapText="1"/>
    </xf>
    <xf numFmtId="0" fontId="2" fillId="0" borderId="8" xfId="0" applyFont="1" applyBorder="1" applyAlignment="1">
      <alignment horizontal="center" vertical="top" wrapText="1"/>
    </xf>
    <xf numFmtId="14" fontId="0" fillId="0" borderId="0" xfId="0" applyNumberFormat="1"/>
    <xf numFmtId="20" fontId="0" fillId="0" borderId="0" xfId="0" applyNumberFormat="1"/>
    <xf numFmtId="0" fontId="2" fillId="0" borderId="14" xfId="0" applyFont="1" applyBorder="1" applyAlignment="1">
      <alignment horizontal="center" vertical="center" wrapText="1"/>
    </xf>
    <xf numFmtId="2" fontId="2" fillId="0" borderId="1" xfId="0" applyNumberFormat="1" applyFont="1" applyBorder="1" applyAlignment="1">
      <alignment horizontal="center" vertical="center" wrapText="1"/>
    </xf>
    <xf numFmtId="0" fontId="2" fillId="0" borderId="14" xfId="0" applyFont="1" applyBorder="1" applyAlignment="1">
      <alignment horizontal="center" vertical="top" wrapText="1"/>
    </xf>
    <xf numFmtId="0" fontId="2" fillId="0" borderId="10" xfId="0" applyFont="1" applyBorder="1" applyAlignment="1">
      <alignment horizontal="center" vertical="center" wrapText="1"/>
    </xf>
    <xf numFmtId="2" fontId="2" fillId="0" borderId="8" xfId="0" applyNumberFormat="1" applyFont="1" applyBorder="1" applyAlignment="1">
      <alignment horizontal="center" vertical="center" wrapText="1"/>
    </xf>
    <xf numFmtId="0" fontId="7" fillId="0" borderId="0" xfId="0" applyFont="1" applyAlignment="1">
      <alignment wrapText="1"/>
    </xf>
    <xf numFmtId="0" fontId="0" fillId="0" borderId="0" xfId="0" applyAlignment="1">
      <alignment wrapText="1"/>
    </xf>
    <xf numFmtId="22" fontId="7" fillId="0" borderId="0" xfId="0" applyNumberFormat="1" applyFont="1" applyAlignment="1">
      <alignment wrapText="1"/>
    </xf>
    <xf numFmtId="0" fontId="8" fillId="0" borderId="0" xfId="0" applyFont="1" applyAlignment="1">
      <alignment wrapText="1"/>
    </xf>
    <xf numFmtId="11" fontId="8" fillId="0" borderId="0" xfId="0" applyNumberFormat="1" applyFont="1" applyAlignment="1">
      <alignment wrapText="1"/>
    </xf>
    <xf numFmtId="0" fontId="8" fillId="2" borderId="0" xfId="0" applyFont="1" applyFill="1" applyAlignment="1">
      <alignment wrapText="1"/>
    </xf>
    <xf numFmtId="1" fontId="0" fillId="0" borderId="0" xfId="0" applyNumberFormat="1"/>
    <xf numFmtId="22" fontId="0" fillId="0" borderId="0" xfId="0" applyNumberFormat="1"/>
    <xf numFmtId="0" fontId="0" fillId="0" borderId="10" xfId="0" applyBorder="1"/>
    <xf numFmtId="0" fontId="0" fillId="0" borderId="11" xfId="0" applyBorder="1"/>
    <xf numFmtId="0" fontId="0" fillId="0" borderId="12" xfId="0" applyBorder="1"/>
    <xf numFmtId="0" fontId="0" fillId="4" borderId="0" xfId="0" applyFill="1" applyAlignment="1">
      <alignment wrapText="1"/>
    </xf>
    <xf numFmtId="0" fontId="9" fillId="0" borderId="8" xfId="0" applyFont="1" applyBorder="1"/>
    <xf numFmtId="0" fontId="9" fillId="0" borderId="8" xfId="0" applyFont="1" applyBorder="1" applyAlignment="1">
      <alignment horizontal="center" vertical="center" wrapText="1"/>
    </xf>
    <xf numFmtId="0" fontId="9" fillId="0" borderId="0" xfId="0" applyFont="1"/>
    <xf numFmtId="0" fontId="9" fillId="0" borderId="8" xfId="0" applyFont="1" applyBorder="1" applyAlignment="1"/>
    <xf numFmtId="10" fontId="9" fillId="0" borderId="8" xfId="1" applyNumberFormat="1" applyFont="1" applyBorder="1"/>
    <xf numFmtId="10" fontId="9" fillId="0" borderId="8" xfId="0" applyNumberFormat="1" applyFont="1" applyBorder="1"/>
    <xf numFmtId="10" fontId="9" fillId="0" borderId="0" xfId="0" applyNumberFormat="1" applyFont="1"/>
    <xf numFmtId="0" fontId="9" fillId="0" borderId="0" xfId="0" applyFont="1" applyAlignment="1">
      <alignment horizontal="center"/>
    </xf>
    <xf numFmtId="9" fontId="9" fillId="0" borderId="0" xfId="1" applyFont="1"/>
    <xf numFmtId="0" fontId="9" fillId="2" borderId="8" xfId="0" applyFont="1" applyFill="1" applyBorder="1"/>
    <xf numFmtId="10" fontId="9" fillId="2" borderId="8" xfId="0" applyNumberFormat="1" applyFont="1" applyFill="1" applyBorder="1"/>
    <xf numFmtId="0" fontId="9" fillId="0" borderId="8" xfId="0" applyFont="1" applyBorder="1" applyAlignment="1">
      <alignment horizontal="center"/>
    </xf>
    <xf numFmtId="0" fontId="0" fillId="0" borderId="19" xfId="0" applyBorder="1"/>
    <xf numFmtId="0" fontId="0" fillId="0" borderId="20" xfId="0" applyBorder="1"/>
    <xf numFmtId="0" fontId="4" fillId="0" borderId="20" xfId="0" applyFont="1" applyBorder="1"/>
    <xf numFmtId="0" fontId="4" fillId="0" borderId="21" xfId="0" applyFont="1" applyBorder="1"/>
    <xf numFmtId="0" fontId="0" fillId="0" borderId="22" xfId="0" applyBorder="1"/>
    <xf numFmtId="0" fontId="4" fillId="0" borderId="0" xfId="0" applyFont="1" applyBorder="1"/>
    <xf numFmtId="0" fontId="4" fillId="0" borderId="23" xfId="0" applyFont="1" applyBorder="1"/>
    <xf numFmtId="0" fontId="0" fillId="0" borderId="24" xfId="0" applyBorder="1"/>
    <xf numFmtId="0" fontId="0" fillId="0" borderId="25" xfId="0" applyBorder="1"/>
    <xf numFmtId="0" fontId="4" fillId="0" borderId="25" xfId="0" applyFont="1" applyBorder="1"/>
    <xf numFmtId="0" fontId="4" fillId="0" borderId="26" xfId="0" applyFont="1" applyBorder="1"/>
    <xf numFmtId="0" fontId="4" fillId="0" borderId="25" xfId="0" applyFont="1" applyBorder="1" applyAlignment="1">
      <alignment horizontal="left"/>
    </xf>
    <xf numFmtId="164" fontId="9" fillId="0" borderId="8" xfId="1" applyNumberFormat="1" applyFont="1" applyBorder="1"/>
    <xf numFmtId="164" fontId="9" fillId="0" borderId="8" xfId="0" applyNumberFormat="1" applyFont="1" applyBorder="1"/>
    <xf numFmtId="167" fontId="0" fillId="0" borderId="0" xfId="0" applyNumberFormat="1"/>
    <xf numFmtId="0" fontId="0" fillId="0" borderId="0" xfId="0" applyBorder="1" applyAlignment="1">
      <alignment horizontal="center" wrapText="1"/>
    </xf>
    <xf numFmtId="1" fontId="0" fillId="0" borderId="8" xfId="0" applyNumberFormat="1" applyBorder="1"/>
    <xf numFmtId="167" fontId="0" fillId="0" borderId="8" xfId="0" applyNumberFormat="1" applyBorder="1"/>
    <xf numFmtId="9" fontId="0" fillId="0" borderId="8" xfId="1" applyFont="1" applyBorder="1"/>
    <xf numFmtId="0" fontId="0" fillId="0" borderId="8" xfId="0" applyBorder="1" applyAlignment="1">
      <alignment wrapText="1"/>
    </xf>
    <xf numFmtId="0" fontId="0" fillId="0" borderId="21" xfId="0" applyBorder="1"/>
    <xf numFmtId="0" fontId="0" fillId="0" borderId="23" xfId="0" applyBorder="1"/>
    <xf numFmtId="0" fontId="0" fillId="0" borderId="26" xfId="0" applyBorder="1"/>
    <xf numFmtId="0" fontId="0" fillId="0" borderId="0" xfId="0" quotePrefix="1"/>
    <xf numFmtId="0" fontId="0" fillId="2" borderId="0" xfId="0" applyFill="1"/>
    <xf numFmtId="0" fontId="9" fillId="0" borderId="10" xfId="0" applyFont="1" applyBorder="1"/>
    <xf numFmtId="0" fontId="9" fillId="0" borderId="0" xfId="0" applyFont="1" applyBorder="1" applyAlignment="1">
      <alignment horizontal="center" vertical="center" wrapText="1"/>
    </xf>
    <xf numFmtId="10" fontId="9" fillId="0" borderId="0" xfId="1" applyNumberFormat="1" applyFont="1" applyBorder="1"/>
    <xf numFmtId="10" fontId="9" fillId="0" borderId="0" xfId="0" applyNumberFormat="1" applyFont="1" applyBorder="1"/>
    <xf numFmtId="0" fontId="9" fillId="0" borderId="0" xfId="0" applyFont="1" applyBorder="1"/>
    <xf numFmtId="0" fontId="9" fillId="2" borderId="10" xfId="0" applyFont="1" applyFill="1" applyBorder="1"/>
    <xf numFmtId="0" fontId="9" fillId="0" borderId="8" xfId="0" applyFont="1" applyBorder="1" applyAlignment="1">
      <alignment horizontal="center" wrapText="1"/>
    </xf>
    <xf numFmtId="0" fontId="9" fillId="0" borderId="0" xfId="0" applyFont="1" applyAlignment="1">
      <alignment wrapText="1"/>
    </xf>
    <xf numFmtId="0" fontId="9" fillId="3" borderId="0" xfId="0" applyFont="1" applyFill="1"/>
    <xf numFmtId="0" fontId="9" fillId="3" borderId="0" xfId="0" applyFont="1" applyFill="1" applyAlignment="1">
      <alignment horizontal="center" vertical="center"/>
    </xf>
    <xf numFmtId="165" fontId="9" fillId="3" borderId="0" xfId="0" applyNumberFormat="1" applyFont="1" applyFill="1" applyAlignment="1">
      <alignment horizontal="center" vertical="center"/>
    </xf>
    <xf numFmtId="20" fontId="9" fillId="3" borderId="0" xfId="0" applyNumberFormat="1" applyFont="1" applyFill="1" applyAlignment="1">
      <alignment horizontal="center" vertical="center"/>
    </xf>
    <xf numFmtId="0" fontId="9" fillId="3" borderId="9" xfId="0" applyFont="1" applyFill="1" applyBorder="1" applyAlignment="1">
      <alignment vertical="center"/>
    </xf>
    <xf numFmtId="0" fontId="9" fillId="3" borderId="0" xfId="0" applyFont="1" applyFill="1" applyBorder="1" applyAlignment="1">
      <alignment vertical="center"/>
    </xf>
    <xf numFmtId="0" fontId="9" fillId="0" borderId="5" xfId="0" applyFont="1" applyBorder="1" applyAlignment="1">
      <alignment horizontal="left" vertical="center"/>
    </xf>
    <xf numFmtId="0" fontId="9" fillId="0" borderId="6" xfId="0" applyFont="1" applyBorder="1" applyAlignment="1">
      <alignment horizontal="center" vertical="center" wrapText="1"/>
    </xf>
    <xf numFmtId="0" fontId="9" fillId="0" borderId="18" xfId="0" applyFont="1" applyBorder="1" applyAlignment="1">
      <alignment horizontal="left" vertical="center"/>
    </xf>
    <xf numFmtId="0" fontId="9" fillId="0" borderId="16" xfId="0" applyFont="1" applyBorder="1" applyAlignment="1">
      <alignment horizontal="center" vertical="center" wrapText="1"/>
    </xf>
    <xf numFmtId="0" fontId="9" fillId="0" borderId="7" xfId="0" applyFont="1" applyBorder="1" applyAlignment="1">
      <alignment horizontal="left" vertical="center"/>
    </xf>
    <xf numFmtId="2" fontId="9" fillId="0" borderId="16" xfId="0" applyNumberFormat="1" applyFont="1" applyFill="1" applyBorder="1"/>
    <xf numFmtId="0" fontId="9" fillId="0" borderId="8" xfId="0" applyFont="1" applyFill="1" applyBorder="1" applyAlignment="1">
      <alignment horizontal="left" vertical="center"/>
    </xf>
    <xf numFmtId="0" fontId="9" fillId="0" borderId="0" xfId="0" applyFont="1" applyFill="1" applyBorder="1" applyAlignment="1">
      <alignment horizontal="left" vertical="center"/>
    </xf>
    <xf numFmtId="0" fontId="9" fillId="0" borderId="15" xfId="0" applyFont="1" applyBorder="1"/>
    <xf numFmtId="2" fontId="9" fillId="0" borderId="8" xfId="0" applyNumberFormat="1" applyFont="1" applyFill="1" applyBorder="1"/>
    <xf numFmtId="0" fontId="9" fillId="0" borderId="10" xfId="0" applyFont="1" applyBorder="1" applyAlignment="1">
      <alignment wrapText="1"/>
    </xf>
    <xf numFmtId="0" fontId="9" fillId="0" borderId="11" xfId="0" applyFont="1" applyBorder="1" applyAlignment="1">
      <alignment wrapText="1"/>
    </xf>
    <xf numFmtId="0" fontId="9" fillId="0" borderId="12" xfId="0" applyFont="1" applyBorder="1" applyAlignment="1">
      <alignment wrapText="1"/>
    </xf>
    <xf numFmtId="0" fontId="9" fillId="0" borderId="0" xfId="0" applyFont="1" applyFill="1" applyBorder="1"/>
    <xf numFmtId="0" fontId="9" fillId="0" borderId="2" xfId="0" quotePrefix="1" applyFont="1" applyBorder="1" applyAlignment="1">
      <alignment horizontal="center" vertical="top" wrapText="1"/>
    </xf>
    <xf numFmtId="0" fontId="9" fillId="0" borderId="2" xfId="0" applyFont="1" applyBorder="1" applyAlignment="1">
      <alignment horizontal="center" vertical="top" wrapText="1"/>
    </xf>
    <xf numFmtId="2" fontId="13" fillId="0" borderId="2" xfId="0" applyNumberFormat="1" applyFont="1" applyBorder="1" applyAlignment="1">
      <alignment horizontal="center" vertical="top" wrapText="1"/>
    </xf>
    <xf numFmtId="10" fontId="13" fillId="0" borderId="2" xfId="1" applyNumberFormat="1" applyFont="1" applyBorder="1" applyAlignment="1">
      <alignment horizontal="center" vertical="top" wrapText="1"/>
    </xf>
    <xf numFmtId="10" fontId="9" fillId="0" borderId="2" xfId="1" quotePrefix="1" applyNumberFormat="1" applyFont="1" applyBorder="1" applyAlignment="1">
      <alignment horizontal="center" vertical="center"/>
    </xf>
    <xf numFmtId="0" fontId="12" fillId="2" borderId="2" xfId="0" applyFont="1" applyFill="1" applyBorder="1" applyAlignment="1">
      <alignment horizontal="center" vertical="center" wrapText="1"/>
    </xf>
    <xf numFmtId="2" fontId="9" fillId="0" borderId="0" xfId="0" applyNumberFormat="1" applyFont="1"/>
    <xf numFmtId="2" fontId="12" fillId="2" borderId="2" xfId="0" applyNumberFormat="1" applyFont="1" applyFill="1" applyBorder="1" applyAlignment="1">
      <alignment horizontal="center" vertical="center" wrapText="1"/>
    </xf>
    <xf numFmtId="0" fontId="9" fillId="0" borderId="2" xfId="0" applyFont="1" applyBorder="1"/>
    <xf numFmtId="0" fontId="9" fillId="0" borderId="2" xfId="0" applyFont="1" applyBorder="1" applyAlignment="1">
      <alignment horizontal="center"/>
    </xf>
    <xf numFmtId="0" fontId="9" fillId="0" borderId="2" xfId="0" quotePrefix="1" applyNumberFormat="1" applyFont="1" applyBorder="1" applyAlignment="1">
      <alignment horizontal="center" vertical="center"/>
    </xf>
    <xf numFmtId="2" fontId="13" fillId="0" borderId="2" xfId="0" quotePrefix="1" applyNumberFormat="1" applyFont="1" applyBorder="1" applyAlignment="1">
      <alignment horizontal="center" vertical="center"/>
    </xf>
    <xf numFmtId="2" fontId="9" fillId="0" borderId="0" xfId="1" applyNumberFormat="1" applyFont="1" applyAlignment="1">
      <alignment horizontal="center"/>
    </xf>
    <xf numFmtId="0" fontId="9" fillId="0" borderId="4" xfId="0" applyFont="1" applyBorder="1"/>
    <xf numFmtId="0" fontId="9" fillId="0" borderId="4" xfId="0" quotePrefix="1" applyFont="1" applyBorder="1" applyAlignment="1">
      <alignment horizontal="center"/>
    </xf>
    <xf numFmtId="0" fontId="9" fillId="0" borderId="4" xfId="0" quotePrefix="1" applyNumberFormat="1" applyFont="1" applyBorder="1" applyAlignment="1">
      <alignment horizontal="center" vertical="center"/>
    </xf>
    <xf numFmtId="2" fontId="13" fillId="0" borderId="4" xfId="0" quotePrefix="1" applyNumberFormat="1" applyFont="1" applyBorder="1" applyAlignment="1">
      <alignment horizontal="center" vertical="center"/>
    </xf>
    <xf numFmtId="164" fontId="9" fillId="0" borderId="4" xfId="1" quotePrefix="1" applyNumberFormat="1" applyFont="1" applyBorder="1" applyAlignment="1">
      <alignment horizontal="center" vertical="center"/>
    </xf>
    <xf numFmtId="0" fontId="9" fillId="0" borderId="3" xfId="0" applyFont="1" applyBorder="1"/>
    <xf numFmtId="0" fontId="9" fillId="0" borderId="3" xfId="0" applyFont="1" applyBorder="1" applyAlignment="1">
      <alignment horizontal="center"/>
    </xf>
    <xf numFmtId="0" fontId="9" fillId="0" borderId="3" xfId="0" quotePrefix="1" applyNumberFormat="1" applyFont="1" applyBorder="1" applyAlignment="1">
      <alignment horizontal="center" vertical="center"/>
    </xf>
    <xf numFmtId="2" fontId="9" fillId="0" borderId="3" xfId="0" quotePrefix="1" applyNumberFormat="1" applyFont="1" applyBorder="1" applyAlignment="1">
      <alignment horizontal="center" vertical="center"/>
    </xf>
    <xf numFmtId="0" fontId="9" fillId="0" borderId="0" xfId="0" applyFont="1" applyAlignment="1">
      <alignment horizontal="center" vertical="center" wrapText="1"/>
    </xf>
    <xf numFmtId="164" fontId="9" fillId="0" borderId="2" xfId="1" quotePrefix="1" applyNumberFormat="1" applyFont="1" applyBorder="1" applyAlignment="1">
      <alignment horizontal="center" vertical="center"/>
    </xf>
    <xf numFmtId="9" fontId="9" fillId="0" borderId="0" xfId="0" applyNumberFormat="1" applyFont="1"/>
    <xf numFmtId="164" fontId="9" fillId="0" borderId="0" xfId="0" applyNumberFormat="1" applyFont="1"/>
    <xf numFmtId="2" fontId="13" fillId="0" borderId="2" xfId="0" applyNumberFormat="1" applyFont="1" applyBorder="1" applyAlignment="1">
      <alignment horizontal="center" vertical="center"/>
    </xf>
    <xf numFmtId="166" fontId="9" fillId="0" borderId="0" xfId="0" applyNumberFormat="1" applyFont="1"/>
    <xf numFmtId="0" fontId="9" fillId="0" borderId="0" xfId="0" applyFont="1" applyBorder="1" applyAlignment="1">
      <alignment horizontal="center"/>
    </xf>
    <xf numFmtId="0" fontId="9" fillId="0" borderId="0" xfId="0" quotePrefix="1" applyNumberFormat="1" applyFont="1" applyBorder="1" applyAlignment="1">
      <alignment horizontal="center" vertical="center"/>
    </xf>
    <xf numFmtId="2" fontId="9" fillId="0" borderId="0" xfId="0" quotePrefix="1" applyNumberFormat="1" applyFont="1" applyBorder="1" applyAlignment="1">
      <alignment horizontal="center" vertical="center"/>
    </xf>
    <xf numFmtId="10" fontId="13" fillId="0" borderId="0" xfId="1" applyNumberFormat="1" applyFont="1" applyBorder="1" applyAlignment="1">
      <alignment horizontal="center" vertical="top" wrapText="1"/>
    </xf>
    <xf numFmtId="0" fontId="12" fillId="0" borderId="8" xfId="0" applyFont="1" applyBorder="1" applyAlignment="1">
      <alignment horizontal="center" vertical="center" wrapText="1"/>
    </xf>
    <xf numFmtId="2" fontId="12" fillId="0" borderId="8" xfId="0" applyNumberFormat="1" applyFont="1" applyBorder="1" applyAlignment="1">
      <alignment horizontal="center" vertical="top" wrapText="1"/>
    </xf>
    <xf numFmtId="9" fontId="12" fillId="0" borderId="8" xfId="1" applyFont="1" applyBorder="1" applyAlignment="1">
      <alignment horizontal="center" vertical="top" wrapText="1"/>
    </xf>
    <xf numFmtId="0" fontId="9" fillId="0" borderId="17" xfId="0" quotePrefix="1" applyFont="1" applyBorder="1" applyAlignment="1">
      <alignment horizontal="center" vertical="top" wrapText="1"/>
    </xf>
    <xf numFmtId="0" fontId="9" fillId="0" borderId="17" xfId="0" applyFont="1" applyBorder="1" applyAlignment="1">
      <alignment horizontal="center" vertical="top" wrapText="1"/>
    </xf>
    <xf numFmtId="2" fontId="13" fillId="0" borderId="17" xfId="0" applyNumberFormat="1" applyFont="1" applyBorder="1" applyAlignment="1">
      <alignment horizontal="center" vertical="top" wrapText="1"/>
    </xf>
    <xf numFmtId="10" fontId="9" fillId="0" borderId="17" xfId="1" quotePrefix="1" applyNumberFormat="1" applyFont="1" applyBorder="1" applyAlignment="1">
      <alignment horizontal="center" vertical="center"/>
    </xf>
    <xf numFmtId="10" fontId="9" fillId="0" borderId="0" xfId="1" applyNumberFormat="1" applyFont="1"/>
    <xf numFmtId="0" fontId="9" fillId="0" borderId="0" xfId="1" applyNumberFormat="1" applyFont="1"/>
    <xf numFmtId="9" fontId="13" fillId="0" borderId="0" xfId="1" applyFont="1" applyBorder="1" applyAlignment="1">
      <alignment horizontal="center" vertical="top" wrapText="1"/>
    </xf>
    <xf numFmtId="2" fontId="12" fillId="0" borderId="12" xfId="0" applyNumberFormat="1" applyFont="1" applyBorder="1" applyAlignment="1">
      <alignment horizontal="center" vertical="top" wrapText="1"/>
    </xf>
    <xf numFmtId="9" fontId="12" fillId="0" borderId="12" xfId="1" applyFont="1" applyBorder="1" applyAlignment="1">
      <alignment horizontal="center" vertical="top" wrapText="1"/>
    </xf>
    <xf numFmtId="10" fontId="13" fillId="0" borderId="3" xfId="1" applyNumberFormat="1" applyFont="1" applyBorder="1" applyAlignment="1">
      <alignment horizontal="center" vertical="top" wrapText="1"/>
    </xf>
    <xf numFmtId="9" fontId="13" fillId="0" borderId="3" xfId="1" applyFont="1" applyBorder="1" applyAlignment="1">
      <alignment horizontal="center" vertical="top" wrapText="1"/>
    </xf>
    <xf numFmtId="0" fontId="9" fillId="0" borderId="17" xfId="0" applyFont="1" applyBorder="1"/>
    <xf numFmtId="0" fontId="9" fillId="5" borderId="8" xfId="0" applyFont="1" applyFill="1" applyBorder="1" applyAlignment="1">
      <alignment horizontal="center" wrapText="1"/>
    </xf>
    <xf numFmtId="1" fontId="9" fillId="5" borderId="8" xfId="0" applyNumberFormat="1" applyFont="1" applyFill="1" applyBorder="1" applyAlignment="1">
      <alignment horizontal="center" wrapText="1"/>
    </xf>
    <xf numFmtId="0" fontId="9" fillId="3" borderId="8" xfId="0" applyFont="1" applyFill="1" applyBorder="1" applyAlignment="1">
      <alignment wrapText="1"/>
    </xf>
    <xf numFmtId="0" fontId="9" fillId="3" borderId="8" xfId="0" applyFont="1" applyFill="1" applyBorder="1" applyAlignment="1">
      <alignment horizontal="center" wrapText="1"/>
    </xf>
    <xf numFmtId="0" fontId="9" fillId="6" borderId="8" xfId="0" applyFont="1" applyFill="1" applyBorder="1" applyAlignment="1">
      <alignment horizontal="center" wrapText="1"/>
    </xf>
    <xf numFmtId="1" fontId="9" fillId="6" borderId="8" xfId="0" applyNumberFormat="1" applyFont="1" applyFill="1" applyBorder="1" applyAlignment="1">
      <alignment horizontal="center" wrapText="1"/>
    </xf>
    <xf numFmtId="0" fontId="9" fillId="7" borderId="2" xfId="0" quotePrefix="1" applyNumberFormat="1" applyFont="1" applyFill="1" applyBorder="1" applyAlignment="1">
      <alignment horizontal="center" vertical="center"/>
    </xf>
    <xf numFmtId="2" fontId="13" fillId="7" borderId="2" xfId="0" applyNumberFormat="1" applyFont="1" applyFill="1" applyBorder="1" applyAlignment="1">
      <alignment horizontal="center" vertical="center"/>
    </xf>
    <xf numFmtId="10" fontId="13" fillId="7" borderId="2" xfId="1" applyNumberFormat="1" applyFont="1" applyFill="1" applyBorder="1" applyAlignment="1">
      <alignment horizontal="center" vertical="top" wrapText="1"/>
    </xf>
    <xf numFmtId="164" fontId="9" fillId="7" borderId="2" xfId="1" quotePrefix="1" applyNumberFormat="1" applyFont="1" applyFill="1" applyBorder="1" applyAlignment="1">
      <alignment horizontal="center" vertical="center"/>
    </xf>
    <xf numFmtId="2" fontId="13" fillId="7" borderId="2" xfId="0" quotePrefix="1" applyNumberFormat="1" applyFont="1" applyFill="1" applyBorder="1" applyAlignment="1">
      <alignment horizontal="center" vertical="center"/>
    </xf>
    <xf numFmtId="10" fontId="9" fillId="7" borderId="2" xfId="1" quotePrefix="1" applyNumberFormat="1" applyFont="1" applyFill="1" applyBorder="1" applyAlignment="1">
      <alignment horizontal="center" vertical="center"/>
    </xf>
    <xf numFmtId="0" fontId="9" fillId="2" borderId="6" xfId="0" applyFont="1" applyFill="1" applyBorder="1" applyAlignment="1">
      <alignment horizontal="center" vertical="center" wrapText="1"/>
    </xf>
    <xf numFmtId="164" fontId="0" fillId="0" borderId="8" xfId="0" applyNumberFormat="1" applyBorder="1"/>
    <xf numFmtId="164" fontId="0" fillId="8" borderId="8" xfId="0" applyNumberFormat="1" applyFill="1" applyBorder="1"/>
    <xf numFmtId="0" fontId="12" fillId="0" borderId="10" xfId="0" applyFont="1" applyBorder="1" applyAlignment="1">
      <alignment horizontal="center" vertical="top" wrapText="1"/>
    </xf>
    <xf numFmtId="0" fontId="12" fillId="0" borderId="12" xfId="0" applyFont="1" applyBorder="1" applyAlignment="1">
      <alignment horizontal="center" vertical="top" wrapText="1"/>
    </xf>
    <xf numFmtId="0" fontId="12" fillId="0" borderId="8" xfId="0" applyFont="1" applyBorder="1" applyAlignment="1">
      <alignment horizontal="center" vertical="top" wrapText="1"/>
    </xf>
    <xf numFmtId="0" fontId="9" fillId="3" borderId="0" xfId="0" applyFont="1" applyFill="1" applyAlignment="1">
      <alignment horizontal="center" vertical="center"/>
    </xf>
    <xf numFmtId="0" fontId="9" fillId="2" borderId="10" xfId="0" applyFont="1" applyFill="1" applyBorder="1" applyAlignment="1">
      <alignment horizontal="center" wrapText="1"/>
    </xf>
    <xf numFmtId="0" fontId="9" fillId="2" borderId="12" xfId="0" applyFont="1" applyFill="1" applyBorder="1" applyAlignment="1">
      <alignment horizontal="center" wrapText="1"/>
    </xf>
    <xf numFmtId="0" fontId="9" fillId="5" borderId="10" xfId="0" applyFont="1" applyFill="1" applyBorder="1" applyAlignment="1">
      <alignment horizontal="center" wrapText="1"/>
    </xf>
    <xf numFmtId="0" fontId="9" fillId="5" borderId="12" xfId="0" applyFont="1" applyFill="1" applyBorder="1" applyAlignment="1">
      <alignment horizontal="center" wrapText="1"/>
    </xf>
    <xf numFmtId="0" fontId="9" fillId="6" borderId="10" xfId="0" applyFont="1" applyFill="1" applyBorder="1" applyAlignment="1">
      <alignment horizontal="center" wrapText="1"/>
    </xf>
    <xf numFmtId="0" fontId="9" fillId="6" borderId="12" xfId="0" applyFont="1" applyFill="1" applyBorder="1" applyAlignment="1">
      <alignment horizontal="center" wrapText="1"/>
    </xf>
    <xf numFmtId="0" fontId="9" fillId="7" borderId="8" xfId="0" applyFont="1" applyFill="1" applyBorder="1" applyAlignment="1">
      <alignment horizontal="center"/>
    </xf>
    <xf numFmtId="0" fontId="0" fillId="0" borderId="10" xfId="0" applyBorder="1" applyAlignment="1">
      <alignment horizontal="center" wrapText="1"/>
    </xf>
    <xf numFmtId="0" fontId="0" fillId="0" borderId="12" xfId="0" applyBorder="1" applyAlignment="1">
      <alignment horizontal="center" wrapText="1"/>
    </xf>
    <xf numFmtId="0" fontId="11" fillId="0" borderId="10" xfId="0" applyFont="1" applyBorder="1" applyAlignment="1">
      <alignment horizontal="center" wrapText="1"/>
    </xf>
    <xf numFmtId="0" fontId="9" fillId="0" borderId="10" xfId="0" applyFont="1" applyBorder="1" applyAlignment="1">
      <alignment horizontal="center" wrapText="1"/>
    </xf>
    <xf numFmtId="0" fontId="9" fillId="0" borderId="11" xfId="0" applyFont="1" applyBorder="1" applyAlignment="1">
      <alignment horizontal="center" wrapText="1"/>
    </xf>
    <xf numFmtId="0" fontId="9" fillId="0" borderId="12" xfId="0" applyFont="1" applyBorder="1" applyAlignment="1">
      <alignment horizontal="center"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AU"/>
              <a:t>Efficiency comparison using different methods of determining</a:t>
            </a:r>
            <a:r>
              <a:rPr lang="en-AU" baseline="0"/>
              <a:t> a screen cluster's efficiency.</a:t>
            </a:r>
            <a:endParaRPr lang="en-AU"/>
          </a:p>
        </c:rich>
      </c:tx>
      <c:layout/>
      <c:spPr>
        <a:noFill/>
        <a:ln>
          <a:noFill/>
        </a:ln>
        <a:effectLst/>
      </c:spPr>
    </c:title>
    <c:plotArea>
      <c:layout/>
      <c:scatterChart>
        <c:scatterStyle val="smoothMarker"/>
        <c:ser>
          <c:idx val="1"/>
          <c:order val="0"/>
          <c:tx>
            <c:strRef>
              <c:f>'Derrick cal'!$D$16</c:f>
              <c:strCache>
                <c:ptCount val="1"/>
                <c:pt idx="0">
                  <c:v>SC-04 method1</c:v>
                </c:pt>
              </c:strCache>
            </c:strRef>
          </c:tx>
          <c:spPr>
            <a:ln w="9525" cap="flat" cmpd="sng" algn="ctr">
              <a:solidFill>
                <a:schemeClr val="accent2">
                  <a:alpha val="70000"/>
                </a:schemeClr>
              </a:solidFill>
              <a:prstDash val="sysDot"/>
              <a:round/>
            </a:ln>
            <a:effectLst>
              <a:outerShdw blurRad="40000" dist="20000" dir="5400000" rotWithShape="0">
                <a:srgbClr val="000000">
                  <a:alpha val="38000"/>
                </a:srgbClr>
              </a:outerShdw>
            </a:effectLst>
          </c:spPr>
          <c:marker>
            <c:symbol val="circle"/>
            <c:size val="5"/>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xVal>
            <c:strRef>
              <c:f>'Derrick cal'!$C$17:$C$21</c:f>
              <c:strCache>
                <c:ptCount val="5"/>
                <c:pt idx="0">
                  <c:v>deck 5</c:v>
                </c:pt>
                <c:pt idx="1">
                  <c:v>deck 4</c:v>
                </c:pt>
                <c:pt idx="2">
                  <c:v>deck 3</c:v>
                </c:pt>
                <c:pt idx="3">
                  <c:v>deck 2</c:v>
                </c:pt>
                <c:pt idx="4">
                  <c:v>deck 1</c:v>
                </c:pt>
              </c:strCache>
            </c:strRef>
          </c:xVal>
          <c:yVal>
            <c:numRef>
              <c:f>'Derrick cal'!$D$17:$D$21</c:f>
              <c:numCache>
                <c:formatCode>0.0%</c:formatCode>
                <c:ptCount val="5"/>
                <c:pt idx="0">
                  <c:v>0.91971696457910701</c:v>
                </c:pt>
                <c:pt idx="1">
                  <c:v>0.90905139868497564</c:v>
                </c:pt>
                <c:pt idx="2">
                  <c:v>0.86531115805269687</c:v>
                </c:pt>
                <c:pt idx="3">
                  <c:v>0.90333773436227416</c:v>
                </c:pt>
                <c:pt idx="4">
                  <c:v>0.91244145334915472</c:v>
                </c:pt>
              </c:numCache>
            </c:numRef>
          </c:yVal>
          <c:smooth val="1"/>
        </c:ser>
        <c:ser>
          <c:idx val="0"/>
          <c:order val="1"/>
          <c:tx>
            <c:strRef>
              <c:f>'Derrick cal'!$E$16</c:f>
              <c:strCache>
                <c:ptCount val="1"/>
                <c:pt idx="0">
                  <c:v>SC-04 method 2</c:v>
                </c:pt>
              </c:strCache>
            </c:strRef>
          </c:tx>
          <c:spPr>
            <a:ln w="9525" cap="flat" cmpd="sng" algn="ctr">
              <a:solidFill>
                <a:schemeClr val="accent1">
                  <a:alpha val="70000"/>
                </a:schemeClr>
              </a:solidFill>
              <a:prstDash val="sysDot"/>
              <a:round/>
            </a:ln>
            <a:effectLst>
              <a:outerShdw blurRad="40000" dist="20000" dir="5400000" rotWithShape="0">
                <a:srgbClr val="000000">
                  <a:alpha val="38000"/>
                </a:srgbClr>
              </a:outerShdw>
            </a:effectLst>
          </c:spPr>
          <c:marker>
            <c:symbol val="circle"/>
            <c:size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xVal>
            <c:strRef>
              <c:f>'Derrick cal'!$C$17:$C$21</c:f>
              <c:strCache>
                <c:ptCount val="5"/>
                <c:pt idx="0">
                  <c:v>deck 5</c:v>
                </c:pt>
                <c:pt idx="1">
                  <c:v>deck 4</c:v>
                </c:pt>
                <c:pt idx="2">
                  <c:v>deck 3</c:v>
                </c:pt>
                <c:pt idx="3">
                  <c:v>deck 2</c:v>
                </c:pt>
                <c:pt idx="4">
                  <c:v>deck 1</c:v>
                </c:pt>
              </c:strCache>
            </c:strRef>
          </c:xVal>
          <c:yVal>
            <c:numRef>
              <c:f>'Derrick cal'!$E$17:$E$21</c:f>
              <c:numCache>
                <c:formatCode>0.0%</c:formatCode>
                <c:ptCount val="5"/>
                <c:pt idx="0">
                  <c:v>0.9574824319294345</c:v>
                </c:pt>
                <c:pt idx="1">
                  <c:v>0.95429344088433465</c:v>
                </c:pt>
                <c:pt idx="2">
                  <c:v>0.89235085802751657</c:v>
                </c:pt>
                <c:pt idx="3">
                  <c:v>0.94453951021164984</c:v>
                </c:pt>
                <c:pt idx="4">
                  <c:v>0.94922158470944262</c:v>
                </c:pt>
              </c:numCache>
            </c:numRef>
          </c:yVal>
          <c:smooth val="1"/>
        </c:ser>
        <c:axId val="166521088"/>
        <c:axId val="166630144"/>
      </c:scatterChart>
      <c:valAx>
        <c:axId val="166521088"/>
        <c:scaling>
          <c:orientation val="minMax"/>
          <c:max val="5"/>
          <c:min val="1"/>
        </c:scaling>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AU"/>
                  <a:t>Deck</a:t>
                </a:r>
                <a:r>
                  <a:rPr lang="en-AU" baseline="0"/>
                  <a:t> number in stack (deck numbering from bottom upwards)</a:t>
                </a:r>
                <a:endParaRPr lang="en-AU"/>
              </a:p>
            </c:rich>
          </c:tx>
          <c:layout/>
          <c:spPr>
            <a:noFill/>
            <a:ln>
              <a:noFill/>
            </a:ln>
            <a:effectLst/>
          </c:spPr>
        </c:title>
        <c:maj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66630144"/>
        <c:crosses val="autoZero"/>
        <c:crossBetween val="midCat"/>
        <c:majorUnit val="1"/>
      </c:valAx>
      <c:valAx>
        <c:axId val="166630144"/>
        <c:scaling>
          <c:orientation val="minMax"/>
          <c:min val="0.8"/>
        </c:scaling>
        <c:axPos val="l"/>
        <c:majorGridlines>
          <c:spPr>
            <a:ln w="9525" cap="flat" cmpd="sng" algn="ctr">
              <a:solidFill>
                <a:schemeClr val="dk1">
                  <a:lumMod val="15000"/>
                  <a:lumOff val="85000"/>
                </a:schemeClr>
              </a:solidFill>
              <a:round/>
            </a:ln>
            <a:effectLst/>
          </c:spPr>
        </c:majorGridlines>
        <c:title>
          <c:layout/>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0%" sourceLinked="0"/>
        <c:maj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0"/>
          <a:lstStyle/>
          <a:p>
            <a:pPr>
              <a:defRPr sz="900" b="0" i="0" u="none" strike="noStrike" kern="1200" spc="0" baseline="0">
                <a:solidFill>
                  <a:schemeClr val="dk1">
                    <a:lumMod val="65000"/>
                    <a:lumOff val="35000"/>
                  </a:schemeClr>
                </a:solidFill>
                <a:latin typeface="+mn-lt"/>
                <a:ea typeface="+mn-ea"/>
                <a:cs typeface="+mn-cs"/>
              </a:defRPr>
            </a:pPr>
            <a:endParaRPr lang="en-US"/>
          </a:p>
        </c:txPr>
        <c:crossAx val="166521088"/>
        <c:crosses val="autoZero"/>
        <c:crossBetween val="midCat"/>
      </c:valAx>
      <c:spPr>
        <a:gradFill>
          <a:gsLst>
            <a:gs pos="100000">
              <a:schemeClr val="lt1">
                <a:lumMod val="95000"/>
              </a:schemeClr>
            </a:gs>
            <a:gs pos="0">
              <a:schemeClr val="lt1">
                <a:alpha val="0"/>
              </a:schemeClr>
            </a:gs>
          </a:gsLst>
          <a:lin ang="5400000" scaled="0"/>
        </a:grad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legend>
    <c:plotVisOnly val="1"/>
    <c:dispBlanksAs val="gap"/>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Efficiency screening of SC 004</a:t>
            </a:r>
          </a:p>
        </c:rich>
      </c:tx>
      <c:overlay val="1"/>
    </c:title>
    <c:plotArea>
      <c:layout>
        <c:manualLayout>
          <c:layoutTarget val="inner"/>
          <c:xMode val="edge"/>
          <c:yMode val="edge"/>
          <c:x val="0.1037076326711027"/>
          <c:y val="0.10919224382666522"/>
          <c:w val="0.74846317831731457"/>
          <c:h val="0.80559805024372177"/>
        </c:manualLayout>
      </c:layout>
      <c:lineChart>
        <c:grouping val="standard"/>
        <c:ser>
          <c:idx val="0"/>
          <c:order val="0"/>
          <c:tx>
            <c:strRef>
              <c:f>Efficiency!$B$1</c:f>
              <c:strCache>
                <c:ptCount val="1"/>
                <c:pt idx="0">
                  <c:v>SC 004</c:v>
                </c:pt>
              </c:strCache>
            </c:strRef>
          </c:tx>
          <c:cat>
            <c:strRef>
              <c:f>Efficiency!$B$2:$F$2</c:f>
              <c:strCache>
                <c:ptCount val="5"/>
                <c:pt idx="0">
                  <c:v>D1</c:v>
                </c:pt>
                <c:pt idx="1">
                  <c:v>D2</c:v>
                </c:pt>
                <c:pt idx="2">
                  <c:v>D3</c:v>
                </c:pt>
                <c:pt idx="3">
                  <c:v>D4</c:v>
                </c:pt>
                <c:pt idx="4">
                  <c:v>D5</c:v>
                </c:pt>
              </c:strCache>
            </c:strRef>
          </c:cat>
          <c:val>
            <c:numRef>
              <c:f>Efficiency!$B$3:$F$3</c:f>
              <c:numCache>
                <c:formatCode>0.00</c:formatCode>
                <c:ptCount val="5"/>
                <c:pt idx="0">
                  <c:v>91.244145334915473</c:v>
                </c:pt>
                <c:pt idx="1">
                  <c:v>90.333773436227418</c:v>
                </c:pt>
                <c:pt idx="2">
                  <c:v>86.531115805269692</c:v>
                </c:pt>
                <c:pt idx="3">
                  <c:v>90.905139868497571</c:v>
                </c:pt>
                <c:pt idx="4">
                  <c:v>91.971696457910696</c:v>
                </c:pt>
              </c:numCache>
            </c:numRef>
          </c:val>
        </c:ser>
        <c:marker val="1"/>
        <c:axId val="166707200"/>
        <c:axId val="166708736"/>
      </c:lineChart>
      <c:catAx>
        <c:axId val="166707200"/>
        <c:scaling>
          <c:orientation val="minMax"/>
        </c:scaling>
        <c:axPos val="b"/>
        <c:numFmt formatCode="General" sourceLinked="1"/>
        <c:tickLblPos val="nextTo"/>
        <c:crossAx val="166708736"/>
        <c:crosses val="autoZero"/>
        <c:auto val="1"/>
        <c:lblAlgn val="ctr"/>
        <c:lblOffset val="100"/>
      </c:catAx>
      <c:valAx>
        <c:axId val="166708736"/>
        <c:scaling>
          <c:orientation val="minMax"/>
        </c:scaling>
        <c:axPos val="l"/>
        <c:majorGridlines/>
        <c:title>
          <c:tx>
            <c:rich>
              <a:bodyPr rot="-5400000" vert="horz"/>
              <a:lstStyle/>
              <a:p>
                <a:pPr>
                  <a:defRPr/>
                </a:pPr>
                <a:r>
                  <a:rPr lang="en-US"/>
                  <a:t>% Efficiency</a:t>
                </a:r>
              </a:p>
            </c:rich>
          </c:tx>
        </c:title>
        <c:numFmt formatCode="0.00" sourceLinked="1"/>
        <c:tickLblPos val="nextTo"/>
        <c:crossAx val="166707200"/>
        <c:crosses val="autoZero"/>
        <c:crossBetween val="between"/>
      </c:valAx>
    </c:plotArea>
    <c:legend>
      <c:legendPos val="r"/>
    </c:legend>
    <c:plotVisOnly val="1"/>
    <c:dispBlanksAs val="gap"/>
  </c:chart>
  <c:printSettings>
    <c:headerFooter/>
    <c:pageMargins b="0.75000000000000255" l="0.70000000000000062" r="0.70000000000000062" t="0.750000000000002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 commulative</a:t>
            </a:r>
            <a:r>
              <a:rPr lang="en-US" baseline="0"/>
              <a:t> passing </a:t>
            </a:r>
            <a:r>
              <a:rPr lang="en-US"/>
              <a:t>SC O/S D1</a:t>
            </a:r>
          </a:p>
        </c:rich>
      </c:tx>
    </c:title>
    <c:plotArea>
      <c:layout/>
      <c:lineChart>
        <c:grouping val="standard"/>
        <c:ser>
          <c:idx val="1"/>
          <c:order val="0"/>
          <c:tx>
            <c:strRef>
              <c:f>Data!$B$40</c:f>
              <c:strCache>
                <c:ptCount val="1"/>
                <c:pt idx="0">
                  <c:v>SC-04 feed to deck1 (DI-040)</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Data!$G$40:$G$50</c:f>
              <c:numCache>
                <c:formatCode>0.0%</c:formatCode>
                <c:ptCount val="11"/>
                <c:pt idx="0">
                  <c:v>0.90666451087328304</c:v>
                </c:pt>
                <c:pt idx="1">
                  <c:v>0.78847935724191132</c:v>
                </c:pt>
                <c:pt idx="2">
                  <c:v>0.6984770563470496</c:v>
                </c:pt>
                <c:pt idx="3">
                  <c:v>0.58181546823210439</c:v>
                </c:pt>
                <c:pt idx="4">
                  <c:v>0.47174563296373917</c:v>
                </c:pt>
                <c:pt idx="5">
                  <c:v>0.43477584931004254</c:v>
                </c:pt>
                <c:pt idx="6">
                  <c:v>0.38295596584725794</c:v>
                </c:pt>
                <c:pt idx="7">
                  <c:v>0.3061558265498393</c:v>
                </c:pt>
                <c:pt idx="8">
                  <c:v>0.24840336552513265</c:v>
                </c:pt>
                <c:pt idx="9">
                  <c:v>0.20379087975025967</c:v>
                </c:pt>
                <c:pt idx="10">
                  <c:v>0.1720882797390661</c:v>
                </c:pt>
              </c:numCache>
            </c:numRef>
          </c:val>
        </c:ser>
        <c:ser>
          <c:idx val="0"/>
          <c:order val="1"/>
          <c:tx>
            <c:strRef>
              <c:f>Data!$B$131</c:f>
              <c:strCache>
                <c:ptCount val="1"/>
                <c:pt idx="0">
                  <c:v>SC-04 O/S D1</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Data!$G$131:$G$141</c:f>
              <c:numCache>
                <c:formatCode>0.00%</c:formatCode>
                <c:ptCount val="11"/>
                <c:pt idx="0">
                  <c:v>0.80784776326859065</c:v>
                </c:pt>
                <c:pt idx="1">
                  <c:v>0.56851018691246935</c:v>
                </c:pt>
                <c:pt idx="2">
                  <c:v>0.38615165148688679</c:v>
                </c:pt>
                <c:pt idx="3">
                  <c:v>0.19327700354804497</c:v>
                </c:pt>
                <c:pt idx="4">
                  <c:v>8.7695233914920068E-2</c:v>
                </c:pt>
                <c:pt idx="5">
                  <c:v>7.1783898460075352E-2</c:v>
                </c:pt>
                <c:pt idx="6">
                  <c:v>5.5424485167709134E-2</c:v>
                </c:pt>
                <c:pt idx="7">
                  <c:v>4.0537327627199242E-2</c:v>
                </c:pt>
                <c:pt idx="8">
                  <c:v>3.3807015618713195E-2</c:v>
                </c:pt>
                <c:pt idx="9">
                  <c:v>2.9271370569516075E-2</c:v>
                </c:pt>
                <c:pt idx="10">
                  <c:v>2.6079959032883428E-2</c:v>
                </c:pt>
              </c:numCache>
            </c:numRef>
          </c:val>
        </c:ser>
        <c:marker val="1"/>
        <c:axId val="166738560"/>
        <c:axId val="166764928"/>
      </c:lineChart>
      <c:catAx>
        <c:axId val="166738560"/>
        <c:scaling>
          <c:orientation val="maxMin"/>
        </c:scaling>
        <c:axPos val="b"/>
        <c:numFmt formatCode="General" sourceLinked="1"/>
        <c:tickLblPos val="nextTo"/>
        <c:crossAx val="166764928"/>
        <c:crosses val="autoZero"/>
        <c:auto val="1"/>
        <c:lblAlgn val="ctr"/>
        <c:lblOffset val="100"/>
      </c:catAx>
      <c:valAx>
        <c:axId val="166764928"/>
        <c:scaling>
          <c:orientation val="minMax"/>
        </c:scaling>
        <c:axPos val="l"/>
        <c:majorGridlines/>
        <c:title>
          <c:tx>
            <c:rich>
              <a:bodyPr rot="-5400000" vert="horz"/>
              <a:lstStyle/>
              <a:p>
                <a:pPr>
                  <a:defRPr/>
                </a:pPr>
                <a:r>
                  <a:rPr lang="en-US"/>
                  <a:t>% commulative passing</a:t>
                </a:r>
              </a:p>
            </c:rich>
          </c:tx>
        </c:title>
        <c:numFmt formatCode="0.0%" sourceLinked="1"/>
        <c:tickLblPos val="nextTo"/>
        <c:crossAx val="166738560"/>
        <c:crosses val="max"/>
        <c:crossBetween val="between"/>
      </c:valAx>
    </c:plotArea>
    <c:legend>
      <c:legendPos val="r"/>
      <c:layout>
        <c:manualLayout>
          <c:xMode val="edge"/>
          <c:yMode val="edge"/>
          <c:x val="0.78109215017064848"/>
          <c:y val="0.49027927688814182"/>
          <c:w val="0.20525597269624574"/>
          <c:h val="0.13545253472529492"/>
        </c:manualLayout>
      </c:layout>
    </c:legend>
    <c:plotVisOnly val="1"/>
    <c:dispBlanksAs val="gap"/>
  </c:chart>
  <c:printSettings>
    <c:headerFooter/>
    <c:pageMargins b="0.75000000000000278" l="0.70000000000000062" r="0.70000000000000062" t="0.750000000000002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SC O/S D2</a:t>
            </a:r>
          </a:p>
        </c:rich>
      </c:tx>
    </c:title>
    <c:plotArea>
      <c:layout/>
      <c:lineChart>
        <c:grouping val="standard"/>
        <c:ser>
          <c:idx val="1"/>
          <c:order val="0"/>
          <c:tx>
            <c:strRef>
              <c:f>Data!$B$55</c:f>
              <c:strCache>
                <c:ptCount val="1"/>
                <c:pt idx="0">
                  <c:v>SC-04 feed to deck2 (DI-040)</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Data!$G$55:$G$65</c:f>
              <c:numCache>
                <c:formatCode>0.00%</c:formatCode>
                <c:ptCount val="11"/>
                <c:pt idx="0">
                  <c:v>0.94621548714693748</c:v>
                </c:pt>
                <c:pt idx="1">
                  <c:v>0.85205490320533162</c:v>
                </c:pt>
                <c:pt idx="2">
                  <c:v>0.76658997143763885</c:v>
                </c:pt>
                <c:pt idx="3">
                  <c:v>0.65353062519834981</c:v>
                </c:pt>
                <c:pt idx="4">
                  <c:v>0.53884481117105687</c:v>
                </c:pt>
                <c:pt idx="5">
                  <c:v>0.49760393525864804</c:v>
                </c:pt>
                <c:pt idx="6">
                  <c:v>0.44369247857822913</c:v>
                </c:pt>
                <c:pt idx="7">
                  <c:v>0.35792605522056486</c:v>
                </c:pt>
                <c:pt idx="8">
                  <c:v>0.29986512218343386</c:v>
                </c:pt>
                <c:pt idx="9">
                  <c:v>0.24827039035226911</c:v>
                </c:pt>
                <c:pt idx="10">
                  <c:v>0.20775150745794985</c:v>
                </c:pt>
              </c:numCache>
            </c:numRef>
          </c:val>
        </c:ser>
        <c:ser>
          <c:idx val="0"/>
          <c:order val="1"/>
          <c:tx>
            <c:strRef>
              <c:f>Data!$B$146</c:f>
              <c:strCache>
                <c:ptCount val="1"/>
                <c:pt idx="0">
                  <c:v>SC-04 O/S D2</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Data!$G$146:$G$156</c:f>
              <c:numCache>
                <c:formatCode>0.00%</c:formatCode>
                <c:ptCount val="11"/>
                <c:pt idx="0">
                  <c:v>0.84640919096441558</c:v>
                </c:pt>
                <c:pt idx="1">
                  <c:v>0.63027791837839753</c:v>
                </c:pt>
                <c:pt idx="2">
                  <c:v>0.46277353360093232</c:v>
                </c:pt>
                <c:pt idx="3">
                  <c:v>0.24919661459866044</c:v>
                </c:pt>
                <c:pt idx="4">
                  <c:v>0.10735347780537474</c:v>
                </c:pt>
                <c:pt idx="5">
                  <c:v>8.0668134144762399E-2</c:v>
                </c:pt>
                <c:pt idx="6">
                  <c:v>6.5012418631478594E-2</c:v>
                </c:pt>
                <c:pt idx="7">
                  <c:v>4.9439101620896264E-2</c:v>
                </c:pt>
                <c:pt idx="8">
                  <c:v>4.2223347027179732E-2</c:v>
                </c:pt>
                <c:pt idx="9">
                  <c:v>3.669087613150801E-2</c:v>
                </c:pt>
                <c:pt idx="10">
                  <c:v>3.2853460148552734E-2</c:v>
                </c:pt>
              </c:numCache>
            </c:numRef>
          </c:val>
        </c:ser>
        <c:marker val="1"/>
        <c:axId val="169088128"/>
        <c:axId val="169089664"/>
      </c:lineChart>
      <c:catAx>
        <c:axId val="169088128"/>
        <c:scaling>
          <c:orientation val="maxMin"/>
        </c:scaling>
        <c:axPos val="b"/>
        <c:numFmt formatCode="General" sourceLinked="1"/>
        <c:tickLblPos val="nextTo"/>
        <c:crossAx val="169089664"/>
        <c:crosses val="autoZero"/>
        <c:auto val="1"/>
        <c:lblAlgn val="ctr"/>
        <c:lblOffset val="100"/>
      </c:catAx>
      <c:valAx>
        <c:axId val="169089664"/>
        <c:scaling>
          <c:orientation val="minMax"/>
        </c:scaling>
        <c:axPos val="l"/>
        <c:majorGridlines/>
        <c:title>
          <c:tx>
            <c:rich>
              <a:bodyPr rot="-5400000" vert="horz"/>
              <a:lstStyle/>
              <a:p>
                <a:pPr>
                  <a:defRPr/>
                </a:pPr>
                <a:r>
                  <a:rPr lang="en-US"/>
                  <a:t>% commulative passing</a:t>
                </a:r>
              </a:p>
            </c:rich>
          </c:tx>
        </c:title>
        <c:numFmt formatCode="0.00%" sourceLinked="1"/>
        <c:tickLblPos val="nextTo"/>
        <c:crossAx val="169088128"/>
        <c:crosses val="max"/>
        <c:crossBetween val="between"/>
      </c:valAx>
    </c:plotArea>
    <c:legend>
      <c:legendPos val="r"/>
    </c:legend>
    <c:plotVisOnly val="1"/>
    <c:dispBlanksAs val="gap"/>
  </c:chart>
  <c:printSettings>
    <c:headerFooter/>
    <c:pageMargins b="0.750000000000003" l="0.70000000000000062" r="0.70000000000000062" t="0.750000000000003"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SC O/S D3</a:t>
            </a:r>
          </a:p>
        </c:rich>
      </c:tx>
    </c:title>
    <c:plotArea>
      <c:layout/>
      <c:lineChart>
        <c:grouping val="standard"/>
        <c:ser>
          <c:idx val="1"/>
          <c:order val="0"/>
          <c:tx>
            <c:strRef>
              <c:f>Data!$B$70</c:f>
              <c:strCache>
                <c:ptCount val="1"/>
                <c:pt idx="0">
                  <c:v>SC-04 feed to deck3 (DI-040)</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Data!$G$70:$G$80</c:f>
              <c:numCache>
                <c:formatCode>0.0%</c:formatCode>
                <c:ptCount val="11"/>
                <c:pt idx="0">
                  <c:v>0.90163784006973435</c:v>
                </c:pt>
                <c:pt idx="1">
                  <c:v>0.77862549892186994</c:v>
                </c:pt>
                <c:pt idx="2">
                  <c:v>0.68261228609441649</c:v>
                </c:pt>
                <c:pt idx="3">
                  <c:v>0.56236638069459088</c:v>
                </c:pt>
                <c:pt idx="4">
                  <c:v>0.45245676010460145</c:v>
                </c:pt>
                <c:pt idx="5">
                  <c:v>0.41474056062760922</c:v>
                </c:pt>
                <c:pt idx="6">
                  <c:v>0.36384364820846898</c:v>
                </c:pt>
                <c:pt idx="7">
                  <c:v>0.28086892691654808</c:v>
                </c:pt>
                <c:pt idx="8">
                  <c:v>0.22345735651695181</c:v>
                </c:pt>
                <c:pt idx="9">
                  <c:v>0.18658072211772256</c:v>
                </c:pt>
                <c:pt idx="10">
                  <c:v>0.16380235812267741</c:v>
                </c:pt>
              </c:numCache>
            </c:numRef>
          </c:val>
        </c:ser>
        <c:ser>
          <c:idx val="0"/>
          <c:order val="1"/>
          <c:tx>
            <c:strRef>
              <c:f>Data!$B$161</c:f>
              <c:strCache>
                <c:ptCount val="1"/>
                <c:pt idx="0">
                  <c:v>SC-04 O/S D3</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Data!$G$161:$G$171</c:f>
              <c:numCache>
                <c:formatCode>0.00%</c:formatCode>
                <c:ptCount val="11"/>
                <c:pt idx="0">
                  <c:v>0.81454272591391275</c:v>
                </c:pt>
                <c:pt idx="1">
                  <c:v>0.61373909991467512</c:v>
                </c:pt>
                <c:pt idx="2">
                  <c:v>0.4550774276706343</c:v>
                </c:pt>
                <c:pt idx="3">
                  <c:v>0.27014057403586056</c:v>
                </c:pt>
                <c:pt idx="4">
                  <c:v>0.16430157760013553</c:v>
                </c:pt>
                <c:pt idx="5">
                  <c:v>0.14505812370273097</c:v>
                </c:pt>
                <c:pt idx="6">
                  <c:v>0.12236537146522561</c:v>
                </c:pt>
                <c:pt idx="7">
                  <c:v>9.8940399755523406E-2</c:v>
                </c:pt>
                <c:pt idx="8">
                  <c:v>8.4453346727099976E-2</c:v>
                </c:pt>
                <c:pt idx="9">
                  <c:v>7.2326339931377118E-2</c:v>
                </c:pt>
                <c:pt idx="10">
                  <c:v>6.3164519428021607E-2</c:v>
                </c:pt>
              </c:numCache>
            </c:numRef>
          </c:val>
        </c:ser>
        <c:marker val="1"/>
        <c:axId val="169119104"/>
        <c:axId val="169133184"/>
      </c:lineChart>
      <c:catAx>
        <c:axId val="169119104"/>
        <c:scaling>
          <c:orientation val="maxMin"/>
        </c:scaling>
        <c:axPos val="b"/>
        <c:numFmt formatCode="General" sourceLinked="1"/>
        <c:tickLblPos val="nextTo"/>
        <c:crossAx val="169133184"/>
        <c:crosses val="autoZero"/>
        <c:auto val="1"/>
        <c:lblAlgn val="ctr"/>
        <c:lblOffset val="100"/>
      </c:catAx>
      <c:valAx>
        <c:axId val="169133184"/>
        <c:scaling>
          <c:orientation val="minMax"/>
        </c:scaling>
        <c:axPos val="l"/>
        <c:majorGridlines/>
        <c:numFmt formatCode="0.0%" sourceLinked="1"/>
        <c:tickLblPos val="nextTo"/>
        <c:crossAx val="169119104"/>
        <c:crosses val="max"/>
        <c:crossBetween val="midCat"/>
      </c:valAx>
    </c:plotArea>
    <c:legend>
      <c:legendPos val="r"/>
    </c:legend>
    <c:plotVisOnly val="1"/>
    <c:dispBlanksAs val="gap"/>
  </c:chart>
  <c:printSettings>
    <c:headerFooter/>
    <c:pageMargins b="0.75000000000000322" l="0.70000000000000062" r="0.70000000000000062" t="0.75000000000000322"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SC O/S D4</a:t>
            </a:r>
          </a:p>
        </c:rich>
      </c:tx>
    </c:title>
    <c:plotArea>
      <c:layout/>
      <c:lineChart>
        <c:grouping val="standard"/>
        <c:ser>
          <c:idx val="1"/>
          <c:order val="0"/>
          <c:tx>
            <c:strRef>
              <c:f>Data!$B$85</c:f>
              <c:strCache>
                <c:ptCount val="1"/>
                <c:pt idx="0">
                  <c:v>SC-04 feed to deck4 (DI-040)</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Data!$G$85:$G$95</c:f>
              <c:numCache>
                <c:formatCode>0.00%</c:formatCode>
                <c:ptCount val="11"/>
                <c:pt idx="0">
                  <c:v>0.95209292574791715</c:v>
                </c:pt>
                <c:pt idx="1">
                  <c:v>0.87072078017873922</c:v>
                </c:pt>
                <c:pt idx="2">
                  <c:v>0.79274172884751259</c:v>
                </c:pt>
                <c:pt idx="3">
                  <c:v>0.68057550605244155</c:v>
                </c:pt>
                <c:pt idx="4">
                  <c:v>0.56873539300106368</c:v>
                </c:pt>
                <c:pt idx="5">
                  <c:v>0.52860836549137746</c:v>
                </c:pt>
                <c:pt idx="6">
                  <c:v>0.47000955035677949</c:v>
                </c:pt>
                <c:pt idx="7">
                  <c:v>0.38019737404011145</c:v>
                </c:pt>
                <c:pt idx="8">
                  <c:v>0.31404368317661946</c:v>
                </c:pt>
                <c:pt idx="9">
                  <c:v>0.25851185253627967</c:v>
                </c:pt>
                <c:pt idx="10">
                  <c:v>0.22245343230505235</c:v>
                </c:pt>
              </c:numCache>
            </c:numRef>
          </c:val>
        </c:ser>
        <c:ser>
          <c:idx val="0"/>
          <c:order val="1"/>
          <c:tx>
            <c:strRef>
              <c:f>Data!$B$176</c:f>
              <c:strCache>
                <c:ptCount val="1"/>
                <c:pt idx="0">
                  <c:v>SC-04 O/S D4</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Data!$G$176:$G$186</c:f>
              <c:numCache>
                <c:formatCode>0.00%</c:formatCode>
                <c:ptCount val="11"/>
                <c:pt idx="0">
                  <c:v>0.89639437328207228</c:v>
                </c:pt>
                <c:pt idx="1">
                  <c:v>0.70184862475971443</c:v>
                </c:pt>
                <c:pt idx="2">
                  <c:v>0.50133841151213543</c:v>
                </c:pt>
                <c:pt idx="3">
                  <c:v>0.24806424375258254</c:v>
                </c:pt>
                <c:pt idx="4">
                  <c:v>9.5826671217864659E-2</c:v>
                </c:pt>
                <c:pt idx="5">
                  <c:v>7.2417943696890225E-2</c:v>
                </c:pt>
                <c:pt idx="6">
                  <c:v>5.9572786231428414E-2</c:v>
                </c:pt>
                <c:pt idx="7">
                  <c:v>4.5380234626232863E-2</c:v>
                </c:pt>
                <c:pt idx="8">
                  <c:v>3.8391750354813785E-2</c:v>
                </c:pt>
                <c:pt idx="9">
                  <c:v>3.310996532705747E-2</c:v>
                </c:pt>
                <c:pt idx="10">
                  <c:v>2.9355226990999406E-2</c:v>
                </c:pt>
              </c:numCache>
            </c:numRef>
          </c:val>
        </c:ser>
        <c:marker val="1"/>
        <c:axId val="169346560"/>
        <c:axId val="169348096"/>
      </c:lineChart>
      <c:catAx>
        <c:axId val="169346560"/>
        <c:scaling>
          <c:orientation val="maxMin"/>
        </c:scaling>
        <c:axPos val="b"/>
        <c:numFmt formatCode="General" sourceLinked="1"/>
        <c:tickLblPos val="nextTo"/>
        <c:crossAx val="169348096"/>
        <c:crosses val="autoZero"/>
        <c:auto val="1"/>
        <c:lblAlgn val="ctr"/>
        <c:lblOffset val="100"/>
      </c:catAx>
      <c:valAx>
        <c:axId val="169348096"/>
        <c:scaling>
          <c:orientation val="minMax"/>
        </c:scaling>
        <c:axPos val="l"/>
        <c:majorGridlines/>
        <c:numFmt formatCode="0.00%" sourceLinked="1"/>
        <c:tickLblPos val="nextTo"/>
        <c:crossAx val="169346560"/>
        <c:crosses val="max"/>
        <c:crossBetween val="between"/>
      </c:valAx>
    </c:plotArea>
    <c:legend>
      <c:legendPos val="r"/>
    </c:legend>
    <c:plotVisOnly val="1"/>
    <c:dispBlanksAs val="gap"/>
  </c:chart>
  <c:printSettings>
    <c:headerFooter/>
    <c:pageMargins b="0.75000000000000344" l="0.70000000000000062" r="0.70000000000000062" t="0.75000000000000344"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SC O/S D5</a:t>
            </a:r>
          </a:p>
        </c:rich>
      </c:tx>
    </c:title>
    <c:plotArea>
      <c:layout/>
      <c:lineChart>
        <c:grouping val="standard"/>
        <c:ser>
          <c:idx val="1"/>
          <c:order val="0"/>
          <c:tx>
            <c:strRef>
              <c:f>Data!$B$100</c:f>
              <c:strCache>
                <c:ptCount val="1"/>
                <c:pt idx="0">
                  <c:v>SC-04 feed to deck5 (DI-040)</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Data!$G$100:$G$110</c:f>
              <c:numCache>
                <c:formatCode>0.00%</c:formatCode>
                <c:ptCount val="11"/>
                <c:pt idx="0">
                  <c:v>0.90581111666323733</c:v>
                </c:pt>
                <c:pt idx="1">
                  <c:v>0.78512683342641298</c:v>
                </c:pt>
                <c:pt idx="2">
                  <c:v>0.68869815702066361</c:v>
                </c:pt>
                <c:pt idx="3">
                  <c:v>0.56399282795920169</c:v>
                </c:pt>
                <c:pt idx="4">
                  <c:v>0.45047470679874191</c:v>
                </c:pt>
                <c:pt idx="5">
                  <c:v>0.41206313747391315</c:v>
                </c:pt>
                <c:pt idx="6">
                  <c:v>0.36017165868140266</c:v>
                </c:pt>
                <c:pt idx="7">
                  <c:v>0.28377178801328584</c:v>
                </c:pt>
                <c:pt idx="8">
                  <c:v>0.22810029099673729</c:v>
                </c:pt>
                <c:pt idx="9">
                  <c:v>0.18834837306369592</c:v>
                </c:pt>
                <c:pt idx="10">
                  <c:v>0.15568619382146318</c:v>
                </c:pt>
              </c:numCache>
            </c:numRef>
          </c:val>
        </c:ser>
        <c:ser>
          <c:idx val="0"/>
          <c:order val="1"/>
          <c:tx>
            <c:strRef>
              <c:f>Data!$B$191</c:f>
              <c:strCache>
                <c:ptCount val="1"/>
                <c:pt idx="0">
                  <c:v>SC-04 O/S D5</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Data!$G$191:$G$201</c:f>
              <c:numCache>
                <c:formatCode>0.00%</c:formatCode>
                <c:ptCount val="11"/>
                <c:pt idx="0">
                  <c:v>0.81155012518071878</c:v>
                </c:pt>
                <c:pt idx="1">
                  <c:v>0.5736626820409747</c:v>
                </c:pt>
                <c:pt idx="2">
                  <c:v>0.38939137487217468</c:v>
                </c:pt>
                <c:pt idx="3">
                  <c:v>0.16617299622694737</c:v>
                </c:pt>
                <c:pt idx="4">
                  <c:v>7.4491343136217789E-2</c:v>
                </c:pt>
                <c:pt idx="5">
                  <c:v>6.1479600832187328E-2</c:v>
                </c:pt>
                <c:pt idx="6">
                  <c:v>4.7374731125921221E-2</c:v>
                </c:pt>
                <c:pt idx="7">
                  <c:v>3.4548115236785498E-2</c:v>
                </c:pt>
                <c:pt idx="8">
                  <c:v>2.8668147677985829E-2</c:v>
                </c:pt>
                <c:pt idx="9">
                  <c:v>2.4630628724567161E-2</c:v>
                </c:pt>
                <c:pt idx="10">
                  <c:v>2.1906625762544523E-2</c:v>
                </c:pt>
              </c:numCache>
            </c:numRef>
          </c:val>
        </c:ser>
        <c:marker val="1"/>
        <c:axId val="169381248"/>
        <c:axId val="169395328"/>
      </c:lineChart>
      <c:catAx>
        <c:axId val="169381248"/>
        <c:scaling>
          <c:orientation val="maxMin"/>
        </c:scaling>
        <c:axPos val="b"/>
        <c:numFmt formatCode="General" sourceLinked="1"/>
        <c:tickLblPos val="nextTo"/>
        <c:crossAx val="169395328"/>
        <c:crosses val="autoZero"/>
        <c:auto val="1"/>
        <c:lblAlgn val="ctr"/>
        <c:lblOffset val="100"/>
      </c:catAx>
      <c:valAx>
        <c:axId val="169395328"/>
        <c:scaling>
          <c:orientation val="minMax"/>
        </c:scaling>
        <c:axPos val="l"/>
        <c:majorGridlines/>
        <c:numFmt formatCode="0.00%" sourceLinked="1"/>
        <c:tickLblPos val="nextTo"/>
        <c:crossAx val="169381248"/>
        <c:crosses val="max"/>
        <c:crossBetween val="between"/>
      </c:valAx>
    </c:plotArea>
    <c:legend>
      <c:legendPos val="r"/>
    </c:legend>
    <c:plotVisOnly val="1"/>
    <c:dispBlanksAs val="gap"/>
  </c:chart>
  <c:printSettings>
    <c:headerFooter/>
    <c:pageMargins b="0.75000000000000366" l="0.70000000000000062" r="0.70000000000000062" t="0.75000000000000366"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SC Feed</a:t>
            </a:r>
          </a:p>
        </c:rich>
      </c:tx>
    </c:title>
    <c:plotArea>
      <c:layout/>
      <c:lineChart>
        <c:grouping val="standard"/>
        <c:ser>
          <c:idx val="1"/>
          <c:order val="0"/>
          <c:tx>
            <c:strRef>
              <c:f>Data!$B$25</c:f>
              <c:strCache>
                <c:ptCount val="1"/>
                <c:pt idx="0">
                  <c:v>SC-04 Feed DI-027</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Data!$G$25:$G$35</c:f>
              <c:numCache>
                <c:formatCode>0.00%</c:formatCode>
                <c:ptCount val="11"/>
                <c:pt idx="0">
                  <c:v>0.91460450313866515</c:v>
                </c:pt>
                <c:pt idx="1">
                  <c:v>0.80338549823959093</c:v>
                </c:pt>
                <c:pt idx="2">
                  <c:v>0.7140870306098156</c:v>
                </c:pt>
                <c:pt idx="3">
                  <c:v>0.59612710027439819</c:v>
                </c:pt>
                <c:pt idx="4">
                  <c:v>0.48209519990978694</c:v>
                </c:pt>
                <c:pt idx="5">
                  <c:v>0.44408665472178027</c:v>
                </c:pt>
                <c:pt idx="6">
                  <c:v>0.39131197453985045</c:v>
                </c:pt>
                <c:pt idx="7">
                  <c:v>0.31064640212502043</c:v>
                </c:pt>
                <c:pt idx="8">
                  <c:v>0.25348636152911258</c:v>
                </c:pt>
                <c:pt idx="9">
                  <c:v>0.20318001278019324</c:v>
                </c:pt>
                <c:pt idx="10">
                  <c:v>0.17627895904073376</c:v>
                </c:pt>
              </c:numCache>
            </c:numRef>
          </c:val>
        </c:ser>
        <c:ser>
          <c:idx val="0"/>
          <c:order val="1"/>
          <c:tx>
            <c:strRef>
              <c:f>Data!$B$116</c:f>
              <c:strCache>
                <c:ptCount val="1"/>
                <c:pt idx="0">
                  <c:v>SC-04 Combined U/S</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Data!$G$116:$G$126</c:f>
              <c:numCache>
                <c:formatCode>0.00%</c:formatCode>
                <c:ptCount val="11"/>
                <c:pt idx="0">
                  <c:v>1</c:v>
                </c:pt>
                <c:pt idx="1">
                  <c:v>1</c:v>
                </c:pt>
                <c:pt idx="2">
                  <c:v>0.9992736705577171</c:v>
                </c:pt>
                <c:pt idx="3">
                  <c:v>0.9917336792044964</c:v>
                </c:pt>
                <c:pt idx="4">
                  <c:v>0.9125983571119759</c:v>
                </c:pt>
                <c:pt idx="5">
                  <c:v>0.8646260268050151</c:v>
                </c:pt>
                <c:pt idx="6">
                  <c:v>0.78983138780804152</c:v>
                </c:pt>
                <c:pt idx="7">
                  <c:v>0.64807609165585822</c:v>
                </c:pt>
                <c:pt idx="8">
                  <c:v>0.53250324254215298</c:v>
                </c:pt>
                <c:pt idx="9">
                  <c:v>0.4324081279723303</c:v>
                </c:pt>
                <c:pt idx="10">
                  <c:v>0.36285343709468221</c:v>
                </c:pt>
              </c:numCache>
            </c:numRef>
          </c:val>
        </c:ser>
        <c:marker val="1"/>
        <c:axId val="169510400"/>
        <c:axId val="169511936"/>
      </c:lineChart>
      <c:catAx>
        <c:axId val="169510400"/>
        <c:scaling>
          <c:orientation val="maxMin"/>
        </c:scaling>
        <c:axPos val="b"/>
        <c:numFmt formatCode="General" sourceLinked="1"/>
        <c:tickLblPos val="nextTo"/>
        <c:crossAx val="169511936"/>
        <c:crosses val="autoZero"/>
        <c:auto val="1"/>
        <c:lblAlgn val="ctr"/>
        <c:lblOffset val="100"/>
      </c:catAx>
      <c:valAx>
        <c:axId val="169511936"/>
        <c:scaling>
          <c:orientation val="minMax"/>
        </c:scaling>
        <c:axPos val="l"/>
        <c:majorGridlines/>
        <c:numFmt formatCode="0.00%" sourceLinked="1"/>
        <c:tickLblPos val="nextTo"/>
        <c:crossAx val="169510400"/>
        <c:crosses val="max"/>
        <c:crossBetween val="between"/>
      </c:valAx>
    </c:plotArea>
    <c:legend>
      <c:legendPos val="r"/>
    </c:legend>
    <c:plotVisOnly val="1"/>
    <c:dispBlanksAs val="gap"/>
  </c:chart>
  <c:printSettings>
    <c:headerFooter/>
    <c:pageMargins b="0.75000000000000389" l="0.70000000000000062" r="0.70000000000000062" t="0.75000000000000389"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1476375</xdr:colOff>
      <xdr:row>3</xdr:row>
      <xdr:rowOff>19050</xdr:rowOff>
    </xdr:to>
    <xdr:pic>
      <xdr:nvPicPr>
        <xdr:cNvPr id="2" name="Picture 1" descr="MR Logo"/>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476375" cy="8763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201077</xdr:colOff>
      <xdr:row>23</xdr:row>
      <xdr:rowOff>137350</xdr:rowOff>
    </xdr:from>
    <xdr:to>
      <xdr:col>15</xdr:col>
      <xdr:colOff>65544</xdr:colOff>
      <xdr:row>41</xdr:row>
      <xdr:rowOff>22937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95250</xdr:colOff>
      <xdr:row>6</xdr:row>
      <xdr:rowOff>47625</xdr:rowOff>
    </xdr:from>
    <xdr:to>
      <xdr:col>12</xdr:col>
      <xdr:colOff>485775</xdr:colOff>
      <xdr:row>25</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42333</xdr:colOff>
      <xdr:row>1</xdr:row>
      <xdr:rowOff>74083</xdr:rowOff>
    </xdr:from>
    <xdr:to>
      <xdr:col>9</xdr:col>
      <xdr:colOff>137583</xdr:colOff>
      <xdr:row>19</xdr:row>
      <xdr:rowOff>35983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338668</xdr:colOff>
      <xdr:row>1</xdr:row>
      <xdr:rowOff>51858</xdr:rowOff>
    </xdr:from>
    <xdr:to>
      <xdr:col>18</xdr:col>
      <xdr:colOff>433918</xdr:colOff>
      <xdr:row>19</xdr:row>
      <xdr:rowOff>13758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285749</xdr:colOff>
      <xdr:row>1</xdr:row>
      <xdr:rowOff>112184</xdr:rowOff>
    </xdr:from>
    <xdr:to>
      <xdr:col>28</xdr:col>
      <xdr:colOff>380999</xdr:colOff>
      <xdr:row>19</xdr:row>
      <xdr:rowOff>74084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xdr:colOff>
      <xdr:row>20</xdr:row>
      <xdr:rowOff>68791</xdr:rowOff>
    </xdr:from>
    <xdr:to>
      <xdr:col>9</xdr:col>
      <xdr:colOff>114300</xdr:colOff>
      <xdr:row>38</xdr:row>
      <xdr:rowOff>30691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284692</xdr:colOff>
      <xdr:row>20</xdr:row>
      <xdr:rowOff>160867</xdr:rowOff>
    </xdr:from>
    <xdr:to>
      <xdr:col>18</xdr:col>
      <xdr:colOff>379942</xdr:colOff>
      <xdr:row>38</xdr:row>
      <xdr:rowOff>122767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515409</xdr:colOff>
      <xdr:row>22</xdr:row>
      <xdr:rowOff>138642</xdr:rowOff>
    </xdr:from>
    <xdr:to>
      <xdr:col>28</xdr:col>
      <xdr:colOff>1059</xdr:colOff>
      <xdr:row>40</xdr:row>
      <xdr:rowOff>100542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323850</xdr:colOff>
      <xdr:row>9</xdr:row>
      <xdr:rowOff>133350</xdr:rowOff>
    </xdr:from>
    <xdr:to>
      <xdr:col>8</xdr:col>
      <xdr:colOff>590550</xdr:colOff>
      <xdr:row>9</xdr:row>
      <xdr:rowOff>133350</xdr:rowOff>
    </xdr:to>
    <xdr:cxnSp macro="">
      <xdr:nvCxnSpPr>
        <xdr:cNvPr id="3" name="Straight Connector 2"/>
        <xdr:cNvCxnSpPr/>
      </xdr:nvCxnSpPr>
      <xdr:spPr>
        <a:xfrm>
          <a:off x="2762250" y="1752600"/>
          <a:ext cx="1485900" cy="0"/>
        </a:xfrm>
        <a:prstGeom prst="line">
          <a:avLst/>
        </a:prstGeom>
        <a:ln w="254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285750</xdr:colOff>
      <xdr:row>15</xdr:row>
      <xdr:rowOff>133350</xdr:rowOff>
    </xdr:from>
    <xdr:to>
      <xdr:col>8</xdr:col>
      <xdr:colOff>257175</xdr:colOff>
      <xdr:row>15</xdr:row>
      <xdr:rowOff>133350</xdr:rowOff>
    </xdr:to>
    <xdr:cxnSp macro="">
      <xdr:nvCxnSpPr>
        <xdr:cNvPr id="5" name="Straight Connector 4"/>
        <xdr:cNvCxnSpPr/>
      </xdr:nvCxnSpPr>
      <xdr:spPr>
        <a:xfrm>
          <a:off x="2724150" y="3181350"/>
          <a:ext cx="1190625" cy="0"/>
        </a:xfrm>
        <a:prstGeom prst="line">
          <a:avLst/>
        </a:prstGeom>
        <a:ln w="254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285750</xdr:colOff>
      <xdr:row>18</xdr:row>
      <xdr:rowOff>152400</xdr:rowOff>
    </xdr:from>
    <xdr:to>
      <xdr:col>7</xdr:col>
      <xdr:colOff>600075</xdr:colOff>
      <xdr:row>18</xdr:row>
      <xdr:rowOff>152400</xdr:rowOff>
    </xdr:to>
    <xdr:cxnSp macro="">
      <xdr:nvCxnSpPr>
        <xdr:cNvPr id="8" name="Straight Connector 7"/>
        <xdr:cNvCxnSpPr/>
      </xdr:nvCxnSpPr>
      <xdr:spPr>
        <a:xfrm>
          <a:off x="2724150" y="4152900"/>
          <a:ext cx="923925" cy="0"/>
        </a:xfrm>
        <a:prstGeom prst="line">
          <a:avLst/>
        </a:prstGeom>
        <a:ln w="254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247650</xdr:colOff>
      <xdr:row>21</xdr:row>
      <xdr:rowOff>142875</xdr:rowOff>
    </xdr:from>
    <xdr:to>
      <xdr:col>8</xdr:col>
      <xdr:colOff>476250</xdr:colOff>
      <xdr:row>21</xdr:row>
      <xdr:rowOff>142875</xdr:rowOff>
    </xdr:to>
    <xdr:cxnSp macro="">
      <xdr:nvCxnSpPr>
        <xdr:cNvPr id="10" name="Straight Connector 9"/>
        <xdr:cNvCxnSpPr/>
      </xdr:nvCxnSpPr>
      <xdr:spPr>
        <a:xfrm>
          <a:off x="2686050" y="5095875"/>
          <a:ext cx="1447800" cy="0"/>
        </a:xfrm>
        <a:prstGeom prst="line">
          <a:avLst/>
        </a:prstGeom>
        <a:ln w="254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queryTables/queryTable1.xml><?xml version="1.0" encoding="utf-8"?>
<queryTable xmlns="http://schemas.openxmlformats.org/spreadsheetml/2006/main" name="ExternalData_11" headers="0" growShrinkType="overwriteClear"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ExternalData_10" headers="0" growShrinkType="overwriteClear" connectionId="1"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ExternalData_12" headers="0" growShrinkType="overwriteClear"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ExternalData_7" headers="0" growShrinkType="overwriteClear" connectionId="6"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ExternalData_6" headers="0" growShrinkType="overwriteClear" connectionId="5"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ExternalData_5" headers="0" growShrinkType="overwriteClear" connectionId="4"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ExternalData_8" headers="0" growShrinkType="overwriteClear" connectionId="7"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queryTable" Target="../queryTables/queryTable4.xml"/><Relationship Id="rId4" Type="http://schemas.openxmlformats.org/officeDocument/2006/relationships/queryTable" Target="../queryTables/queryTable7.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dimension ref="C4:C6"/>
  <sheetViews>
    <sheetView showGridLines="0" workbookViewId="0">
      <selection activeCell="C6" sqref="C6"/>
    </sheetView>
  </sheetViews>
  <sheetFormatPr defaultRowHeight="15"/>
  <sheetData>
    <row r="4" spans="3:3">
      <c r="C4" t="s">
        <v>273</v>
      </c>
    </row>
    <row r="5" spans="3:3">
      <c r="C5" t="s">
        <v>274</v>
      </c>
    </row>
    <row r="6" spans="3:3">
      <c r="C6" t="s">
        <v>275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1495"/>
  <sheetViews>
    <sheetView workbookViewId="0">
      <selection activeCell="A2" sqref="A2"/>
    </sheetView>
  </sheetViews>
  <sheetFormatPr defaultColWidth="9.140625" defaultRowHeight="15"/>
  <cols>
    <col min="1" max="1" width="14.42578125" style="25" customWidth="1"/>
    <col min="2" max="3" width="14.140625" style="25" bestFit="1" customWidth="1"/>
    <col min="4" max="4" width="9.140625" style="25"/>
    <col min="5" max="5" width="14.42578125" style="25" customWidth="1"/>
    <col min="6" max="6" width="14.28515625" style="25" bestFit="1" customWidth="1"/>
    <col min="7" max="7" width="13.28515625" style="25" bestFit="1" customWidth="1"/>
    <col min="8" max="9" width="9.140625" style="25"/>
    <col min="10" max="10" width="14.42578125" style="25" customWidth="1"/>
    <col min="11" max="11" width="13.85546875" style="25" bestFit="1" customWidth="1"/>
    <col min="12" max="12" width="9.140625" style="25"/>
    <col min="13" max="13" width="14.42578125" style="25" customWidth="1"/>
    <col min="14" max="14" width="12.85546875" style="25" bestFit="1" customWidth="1"/>
    <col min="15" max="16384" width="9.140625" style="25"/>
  </cols>
  <sheetData>
    <row r="1" spans="1:14">
      <c r="A1" s="49">
        <f>'Process data'!D3+'Process data'!D4</f>
        <v>41931.407638888886</v>
      </c>
    </row>
    <row r="2" spans="1:14">
      <c r="A2" s="49">
        <f>'Process data'!D3+'Process data'!D5</f>
        <v>41931.414583333331</v>
      </c>
      <c r="B2" s="50">
        <f>AVERAGE(B6:B1000)</f>
        <v>746.76432</v>
      </c>
      <c r="F2" s="25" t="s">
        <v>31</v>
      </c>
      <c r="G2" s="50">
        <f>AVERAGE(G8:G1000)</f>
        <v>1.4232867</v>
      </c>
      <c r="H2" s="51"/>
      <c r="I2" s="51"/>
      <c r="J2" s="51"/>
      <c r="K2" s="51">
        <f>AVERAGE(K8:K1000)</f>
        <v>360.73037000000005</v>
      </c>
      <c r="L2" s="51"/>
      <c r="M2" s="51"/>
      <c r="N2" s="52">
        <f>AVERAGE(N7:N1000)</f>
        <v>751.70766000000003</v>
      </c>
    </row>
    <row r="3" spans="1:14">
      <c r="A3" s="42" t="s">
        <v>94</v>
      </c>
      <c r="B3" s="42" t="s">
        <v>95</v>
      </c>
      <c r="C3" s="42" t="s">
        <v>96</v>
      </c>
    </row>
    <row r="4" spans="1:14">
      <c r="A4" s="43"/>
      <c r="B4" s="42" t="s">
        <v>97</v>
      </c>
      <c r="C4" s="42" t="s">
        <v>98</v>
      </c>
    </row>
    <row r="5" spans="1:14">
      <c r="A5" s="43"/>
      <c r="B5" s="53"/>
      <c r="C5" s="43"/>
    </row>
    <row r="6" spans="1:14">
      <c r="A6" s="44">
        <v>41931.408333333333</v>
      </c>
      <c r="B6" s="45">
        <v>772.53380000000004</v>
      </c>
      <c r="C6" s="45"/>
      <c r="E6" s="42" t="s">
        <v>94</v>
      </c>
      <c r="F6" s="42" t="s">
        <v>99</v>
      </c>
      <c r="G6" s="42" t="s">
        <v>100</v>
      </c>
      <c r="J6" s="42" t="s">
        <v>94</v>
      </c>
      <c r="K6" s="42" t="s">
        <v>101</v>
      </c>
      <c r="M6" s="42" t="s">
        <v>94</v>
      </c>
      <c r="N6" s="42" t="s">
        <v>102</v>
      </c>
    </row>
    <row r="7" spans="1:14">
      <c r="A7" s="44">
        <v>41931.40902777778</v>
      </c>
      <c r="B7" s="45">
        <v>673.28909999999996</v>
      </c>
      <c r="C7" s="45"/>
      <c r="E7" s="43"/>
      <c r="F7" s="43"/>
      <c r="G7" s="53"/>
      <c r="J7" s="43"/>
      <c r="K7" s="53"/>
      <c r="M7" s="43"/>
      <c r="N7" s="53"/>
    </row>
    <row r="8" spans="1:14">
      <c r="A8" s="44">
        <v>41931.409722222219</v>
      </c>
      <c r="B8" s="45">
        <v>768.04759999999999</v>
      </c>
      <c r="C8" s="45"/>
      <c r="E8" s="44">
        <v>41931.408333333333</v>
      </c>
      <c r="F8" s="45"/>
      <c r="G8" s="45">
        <v>1.4242159999999999</v>
      </c>
      <c r="J8" s="44">
        <v>41931.408333333333</v>
      </c>
      <c r="K8" s="45">
        <v>363.58870000000002</v>
      </c>
      <c r="M8" s="44">
        <v>41931.408333333333</v>
      </c>
      <c r="N8" s="46">
        <v>782.69299999999998</v>
      </c>
    </row>
    <row r="9" spans="1:14">
      <c r="A9" s="44">
        <v>41931.410416666666</v>
      </c>
      <c r="B9" s="45">
        <v>745.49480000000005</v>
      </c>
      <c r="C9" s="45"/>
      <c r="E9" s="44">
        <v>41931.40902777778</v>
      </c>
      <c r="F9" s="45"/>
      <c r="G9" s="45">
        <v>1.412558</v>
      </c>
      <c r="J9" s="44">
        <v>41931.40902777778</v>
      </c>
      <c r="K9" s="45">
        <v>363.20319999999998</v>
      </c>
      <c r="M9" s="44">
        <v>41931.40902777778</v>
      </c>
      <c r="N9" s="46">
        <v>749.24019999999996</v>
      </c>
    </row>
    <row r="10" spans="1:14">
      <c r="A10" s="44">
        <v>41931.411111111112</v>
      </c>
      <c r="B10" s="45">
        <v>802.65509999999995</v>
      </c>
      <c r="C10" s="45"/>
      <c r="E10" s="44">
        <v>41931.409722222219</v>
      </c>
      <c r="F10" s="45"/>
      <c r="G10" s="45">
        <v>1.408423</v>
      </c>
      <c r="J10" s="44">
        <v>41931.409722222219</v>
      </c>
      <c r="K10" s="45">
        <v>361.649</v>
      </c>
      <c r="M10" s="44">
        <v>41931.409722222219</v>
      </c>
      <c r="N10" s="46">
        <v>762.45</v>
      </c>
    </row>
    <row r="11" spans="1:14">
      <c r="A11" s="44">
        <v>41931.411805555559</v>
      </c>
      <c r="B11" s="45">
        <v>718.45579999999995</v>
      </c>
      <c r="C11" s="45"/>
      <c r="E11" s="44">
        <v>41931.410416666666</v>
      </c>
      <c r="F11" s="45"/>
      <c r="G11" s="45">
        <v>1.4231020000000001</v>
      </c>
      <c r="J11" s="44">
        <v>41931.410416666666</v>
      </c>
      <c r="K11" s="45">
        <v>359.2697</v>
      </c>
      <c r="M11" s="44">
        <v>41931.410416666666</v>
      </c>
      <c r="N11" s="46">
        <v>728.92819999999995</v>
      </c>
    </row>
    <row r="12" spans="1:14">
      <c r="A12" s="44">
        <v>41931.412499999999</v>
      </c>
      <c r="B12" s="45">
        <v>783.82539999999995</v>
      </c>
      <c r="C12" s="45"/>
      <c r="E12" s="44">
        <v>41931.411111111112</v>
      </c>
      <c r="F12" s="45"/>
      <c r="G12" s="45">
        <v>1.438544</v>
      </c>
      <c r="J12" s="44">
        <v>41931.411111111112</v>
      </c>
      <c r="K12" s="45">
        <v>358.47989999999999</v>
      </c>
      <c r="M12" s="44">
        <v>41931.411111111112</v>
      </c>
      <c r="N12" s="46">
        <v>751.57510000000002</v>
      </c>
    </row>
    <row r="13" spans="1:14">
      <c r="A13" s="44">
        <v>41931.413194444445</v>
      </c>
      <c r="B13" s="45">
        <v>737.19380000000001</v>
      </c>
      <c r="C13" s="45"/>
      <c r="E13" s="44">
        <v>41931.411805555559</v>
      </c>
      <c r="F13" s="45"/>
      <c r="G13" s="45">
        <v>1.415198</v>
      </c>
      <c r="J13" s="44">
        <v>41931.411805555559</v>
      </c>
      <c r="K13" s="45">
        <v>357.9228</v>
      </c>
      <c r="M13" s="44">
        <v>41931.411805555559</v>
      </c>
      <c r="N13" s="46">
        <v>729.9221</v>
      </c>
    </row>
    <row r="14" spans="1:14">
      <c r="A14" s="44">
        <v>41931.413888888892</v>
      </c>
      <c r="B14" s="45">
        <v>785.32079999999996</v>
      </c>
      <c r="C14" s="45"/>
      <c r="E14" s="44">
        <v>41931.412499999999</v>
      </c>
      <c r="F14" s="45"/>
      <c r="G14" s="45">
        <v>1.43476</v>
      </c>
      <c r="J14" s="44">
        <v>41931.412499999999</v>
      </c>
      <c r="K14" s="45">
        <v>358.7604</v>
      </c>
      <c r="M14" s="44">
        <v>41931.412499999999</v>
      </c>
      <c r="N14" s="46">
        <v>746.33950000000004</v>
      </c>
    </row>
    <row r="15" spans="1:14">
      <c r="A15" s="44">
        <v>41931.414583333331</v>
      </c>
      <c r="B15" s="45">
        <v>680.827</v>
      </c>
      <c r="C15" s="45"/>
      <c r="E15" s="44">
        <v>41931.413194444445</v>
      </c>
      <c r="F15" s="45"/>
      <c r="G15" s="45">
        <v>1.4204619999999999</v>
      </c>
      <c r="J15" s="44">
        <v>41931.413194444445</v>
      </c>
      <c r="K15" s="45">
        <v>360.5231</v>
      </c>
      <c r="M15" s="44">
        <v>41931.413194444445</v>
      </c>
      <c r="N15" s="46">
        <v>761.41020000000003</v>
      </c>
    </row>
    <row r="16" spans="1:14">
      <c r="A16" s="44"/>
      <c r="B16" s="45"/>
      <c r="C16" s="45"/>
      <c r="E16" s="44">
        <v>41931.413888888892</v>
      </c>
      <c r="F16" s="45"/>
      <c r="G16" s="45">
        <v>1.4332800000000001</v>
      </c>
      <c r="J16" s="44">
        <v>41931.413888888892</v>
      </c>
      <c r="K16" s="45">
        <v>357.76740000000001</v>
      </c>
      <c r="M16" s="44">
        <v>41931.413888888892</v>
      </c>
      <c r="N16" s="46">
        <v>738.49040000000002</v>
      </c>
    </row>
    <row r="17" spans="1:14">
      <c r="A17" s="44"/>
      <c r="B17" s="45"/>
      <c r="C17" s="45"/>
      <c r="E17" s="44">
        <v>41931.414583333331</v>
      </c>
      <c r="F17" s="45"/>
      <c r="G17" s="45">
        <v>1.4223239999999999</v>
      </c>
      <c r="J17" s="44">
        <v>41931.414583333331</v>
      </c>
      <c r="K17" s="45">
        <v>366.1395</v>
      </c>
      <c r="M17" s="44">
        <v>41931.414583333331</v>
      </c>
      <c r="N17" s="46">
        <v>766.02790000000005</v>
      </c>
    </row>
    <row r="18" spans="1:14">
      <c r="A18" s="44"/>
      <c r="B18" s="45"/>
      <c r="C18" s="45"/>
      <c r="E18" s="44"/>
      <c r="F18" s="45"/>
      <c r="G18" s="45"/>
      <c r="J18" s="44"/>
      <c r="K18" s="45"/>
    </row>
    <row r="19" spans="1:14">
      <c r="A19" s="44"/>
      <c r="B19" s="45"/>
      <c r="C19" s="45"/>
      <c r="E19" s="44"/>
      <c r="F19" s="45"/>
      <c r="G19" s="45"/>
      <c r="J19" s="44"/>
      <c r="K19" s="45"/>
      <c r="M19" s="44"/>
      <c r="N19" s="46"/>
    </row>
    <row r="20" spans="1:14">
      <c r="A20" s="44"/>
      <c r="B20" s="45"/>
      <c r="C20" s="45"/>
      <c r="E20" s="44"/>
      <c r="F20" s="45"/>
      <c r="G20" s="45"/>
      <c r="J20" s="44"/>
      <c r="K20" s="45"/>
      <c r="M20" s="44"/>
      <c r="N20" s="46"/>
    </row>
    <row r="21" spans="1:14">
      <c r="A21" s="44"/>
      <c r="B21" s="45"/>
      <c r="C21" s="45"/>
      <c r="E21" s="44"/>
      <c r="F21" s="45"/>
      <c r="G21" s="45"/>
      <c r="J21" s="44"/>
      <c r="K21" s="45"/>
      <c r="M21" s="44"/>
      <c r="N21" s="46"/>
    </row>
    <row r="22" spans="1:14">
      <c r="A22" s="44"/>
      <c r="B22" s="45"/>
      <c r="C22" s="45"/>
      <c r="E22" s="44"/>
      <c r="F22" s="45"/>
      <c r="G22" s="45"/>
      <c r="J22" s="44"/>
      <c r="K22" s="45"/>
      <c r="M22" s="44"/>
      <c r="N22" s="46"/>
    </row>
    <row r="23" spans="1:14">
      <c r="A23" s="44"/>
      <c r="B23" s="45"/>
      <c r="C23" s="45"/>
      <c r="E23" s="44"/>
      <c r="F23" s="45"/>
      <c r="G23" s="45"/>
      <c r="J23" s="44"/>
      <c r="K23" s="45"/>
      <c r="M23" s="44"/>
      <c r="N23" s="46"/>
    </row>
    <row r="24" spans="1:14">
      <c r="A24" s="44"/>
      <c r="B24" s="45"/>
      <c r="C24" s="45"/>
      <c r="E24" s="44"/>
      <c r="F24" s="45"/>
      <c r="G24" s="45"/>
      <c r="J24" s="44"/>
      <c r="K24" s="45"/>
      <c r="M24" s="44"/>
      <c r="N24" s="46"/>
    </row>
    <row r="25" spans="1:14">
      <c r="A25" s="44"/>
      <c r="B25" s="45"/>
      <c r="C25" s="45"/>
      <c r="E25" s="44"/>
      <c r="F25" s="45"/>
      <c r="G25" s="45"/>
      <c r="J25" s="44"/>
      <c r="K25" s="45"/>
      <c r="M25" s="44"/>
      <c r="N25" s="46"/>
    </row>
    <row r="26" spans="1:14">
      <c r="A26" s="44"/>
      <c r="B26" s="45"/>
      <c r="C26" s="45"/>
      <c r="E26" s="44"/>
      <c r="F26" s="45"/>
      <c r="G26" s="45"/>
      <c r="J26" s="44"/>
      <c r="K26" s="45"/>
      <c r="M26" s="44"/>
      <c r="N26" s="46"/>
    </row>
    <row r="27" spans="1:14">
      <c r="A27" s="44"/>
      <c r="B27" s="45"/>
      <c r="C27" s="45"/>
      <c r="E27" s="44"/>
      <c r="F27" s="45"/>
      <c r="G27" s="45"/>
      <c r="J27" s="44"/>
      <c r="K27" s="45"/>
      <c r="M27" s="44"/>
      <c r="N27" s="46"/>
    </row>
    <row r="28" spans="1:14">
      <c r="A28" s="44"/>
      <c r="B28" s="45"/>
      <c r="C28" s="45"/>
      <c r="E28" s="44"/>
      <c r="F28" s="45"/>
      <c r="G28" s="45"/>
      <c r="J28" s="44"/>
      <c r="K28" s="45"/>
      <c r="M28" s="44"/>
      <c r="N28" s="45"/>
    </row>
    <row r="29" spans="1:14">
      <c r="A29" s="44"/>
      <c r="B29" s="45"/>
      <c r="C29" s="45"/>
      <c r="E29" s="44"/>
      <c r="F29" s="45"/>
      <c r="G29" s="45"/>
      <c r="J29" s="44"/>
      <c r="K29" s="45"/>
      <c r="M29" s="44"/>
      <c r="N29" s="46"/>
    </row>
    <row r="30" spans="1:14">
      <c r="A30" s="44"/>
      <c r="B30" s="45"/>
      <c r="C30" s="45"/>
      <c r="E30" s="44"/>
      <c r="F30" s="45"/>
      <c r="G30" s="45"/>
      <c r="J30" s="44"/>
      <c r="K30" s="45"/>
      <c r="M30" s="44"/>
      <c r="N30" s="46"/>
    </row>
    <row r="31" spans="1:14">
      <c r="A31" s="44"/>
      <c r="B31" s="45"/>
      <c r="C31" s="45"/>
      <c r="E31" s="44"/>
      <c r="F31" s="45"/>
      <c r="G31" s="45"/>
      <c r="J31" s="44"/>
      <c r="K31" s="45"/>
      <c r="M31" s="44"/>
      <c r="N31" s="46"/>
    </row>
    <row r="32" spans="1:14">
      <c r="A32" s="44"/>
      <c r="B32" s="45"/>
      <c r="C32" s="45"/>
      <c r="E32" s="44"/>
      <c r="F32" s="45"/>
      <c r="G32" s="45"/>
      <c r="J32" s="44"/>
      <c r="K32" s="45"/>
      <c r="M32" s="44"/>
      <c r="N32" s="46"/>
    </row>
    <row r="33" spans="1:14">
      <c r="A33" s="44"/>
      <c r="B33" s="45"/>
      <c r="C33" s="45"/>
      <c r="E33" s="44"/>
      <c r="F33" s="45"/>
      <c r="G33" s="45"/>
      <c r="J33" s="44"/>
      <c r="K33" s="45"/>
      <c r="M33" s="44"/>
      <c r="N33" s="46"/>
    </row>
    <row r="34" spans="1:14">
      <c r="A34" s="44"/>
      <c r="B34" s="45"/>
      <c r="C34" s="45"/>
      <c r="E34" s="44"/>
      <c r="F34" s="45"/>
      <c r="G34" s="45"/>
      <c r="J34" s="44"/>
      <c r="K34" s="45"/>
      <c r="M34" s="44"/>
      <c r="N34" s="46"/>
    </row>
    <row r="35" spans="1:14">
      <c r="A35" s="44"/>
      <c r="B35" s="45"/>
      <c r="C35" s="45"/>
      <c r="E35" s="44"/>
      <c r="F35" s="45"/>
      <c r="G35" s="45"/>
      <c r="J35" s="44"/>
      <c r="K35" s="45"/>
      <c r="M35" s="44"/>
      <c r="N35" s="46"/>
    </row>
    <row r="36" spans="1:14">
      <c r="A36" s="44"/>
      <c r="B36" s="45"/>
      <c r="C36" s="45"/>
      <c r="E36" s="44"/>
      <c r="F36" s="45"/>
      <c r="G36" s="45"/>
      <c r="J36" s="44"/>
      <c r="K36" s="45"/>
      <c r="M36" s="44"/>
      <c r="N36" s="46"/>
    </row>
    <row r="37" spans="1:14">
      <c r="A37" s="44"/>
      <c r="B37" s="45"/>
      <c r="C37" s="45"/>
      <c r="E37" s="44"/>
      <c r="F37" s="45"/>
      <c r="G37" s="45"/>
      <c r="J37" s="44"/>
      <c r="K37" s="45"/>
      <c r="M37" s="44"/>
      <c r="N37" s="46"/>
    </row>
    <row r="38" spans="1:14">
      <c r="A38" s="44"/>
      <c r="B38" s="45"/>
      <c r="C38" s="45"/>
      <c r="E38" s="44"/>
      <c r="F38" s="45"/>
      <c r="G38" s="45"/>
      <c r="J38" s="44"/>
      <c r="K38" s="45"/>
      <c r="M38" s="44"/>
      <c r="N38" s="46"/>
    </row>
    <row r="39" spans="1:14">
      <c r="A39" s="44"/>
      <c r="B39" s="45"/>
      <c r="C39" s="45"/>
      <c r="E39" s="44"/>
      <c r="F39" s="45"/>
      <c r="G39" s="45"/>
      <c r="J39" s="44"/>
      <c r="K39" s="45"/>
      <c r="M39" s="44"/>
      <c r="N39" s="46"/>
    </row>
    <row r="40" spans="1:14">
      <c r="A40" s="44"/>
      <c r="B40" s="45"/>
      <c r="C40" s="45"/>
      <c r="E40" s="44"/>
      <c r="F40" s="45"/>
      <c r="G40" s="45"/>
      <c r="J40" s="44"/>
      <c r="K40" s="45"/>
      <c r="M40" s="44"/>
      <c r="N40" s="46"/>
    </row>
    <row r="41" spans="1:14">
      <c r="A41" s="44"/>
      <c r="B41" s="45"/>
      <c r="C41" s="45"/>
      <c r="E41" s="44"/>
      <c r="F41" s="45"/>
      <c r="G41" s="45"/>
      <c r="J41" s="44"/>
      <c r="K41" s="45"/>
      <c r="M41" s="44"/>
      <c r="N41" s="46"/>
    </row>
    <row r="42" spans="1:14">
      <c r="A42" s="44"/>
      <c r="B42" s="45"/>
      <c r="C42" s="45"/>
      <c r="E42" s="44"/>
      <c r="F42" s="45"/>
      <c r="G42" s="45"/>
      <c r="J42" s="44"/>
      <c r="K42" s="45"/>
      <c r="M42" s="44"/>
      <c r="N42" s="46"/>
    </row>
    <row r="43" spans="1:14">
      <c r="A43" s="44"/>
      <c r="B43" s="45"/>
      <c r="C43" s="45"/>
      <c r="E43" s="44"/>
      <c r="F43" s="45"/>
      <c r="G43" s="45"/>
      <c r="J43" s="44"/>
      <c r="K43" s="45"/>
      <c r="M43" s="44"/>
      <c r="N43" s="46"/>
    </row>
    <row r="44" spans="1:14">
      <c r="A44" s="44"/>
      <c r="B44" s="45"/>
      <c r="C44" s="45"/>
      <c r="E44" s="44"/>
      <c r="F44" s="45"/>
      <c r="G44" s="45"/>
      <c r="J44" s="44"/>
      <c r="K44" s="45"/>
      <c r="M44" s="44"/>
      <c r="N44" s="46"/>
    </row>
    <row r="45" spans="1:14">
      <c r="A45" s="44"/>
      <c r="B45" s="45"/>
      <c r="C45" s="45"/>
      <c r="E45" s="44"/>
      <c r="F45" s="45"/>
      <c r="G45" s="45"/>
      <c r="J45" s="44"/>
      <c r="K45" s="45"/>
      <c r="M45" s="44"/>
      <c r="N45" s="46"/>
    </row>
    <row r="46" spans="1:14">
      <c r="A46" s="44"/>
      <c r="B46" s="45"/>
      <c r="C46" s="45"/>
      <c r="E46" s="44"/>
      <c r="F46" s="45"/>
      <c r="G46" s="45"/>
      <c r="J46" s="44"/>
      <c r="K46" s="45"/>
      <c r="M46" s="44"/>
      <c r="N46" s="46"/>
    </row>
    <row r="47" spans="1:14">
      <c r="A47" s="44"/>
      <c r="B47" s="45"/>
      <c r="C47" s="45"/>
      <c r="E47" s="44"/>
      <c r="F47" s="45"/>
      <c r="G47" s="45"/>
      <c r="J47" s="44"/>
      <c r="K47" s="45"/>
      <c r="M47" s="44"/>
      <c r="N47" s="46"/>
    </row>
    <row r="48" spans="1:14">
      <c r="A48" s="44"/>
      <c r="B48" s="45"/>
      <c r="C48" s="45"/>
      <c r="E48" s="44"/>
      <c r="F48" s="45"/>
      <c r="G48" s="45"/>
      <c r="J48" s="44"/>
      <c r="K48" s="45"/>
      <c r="M48" s="44"/>
      <c r="N48" s="46"/>
    </row>
    <row r="49" spans="1:14">
      <c r="A49" s="44"/>
      <c r="B49" s="45"/>
      <c r="C49" s="45"/>
      <c r="E49" s="44"/>
      <c r="F49" s="45"/>
      <c r="G49" s="45"/>
      <c r="J49" s="44"/>
      <c r="K49" s="45"/>
      <c r="M49" s="44"/>
      <c r="N49" s="46"/>
    </row>
    <row r="50" spans="1:14">
      <c r="A50" s="44"/>
      <c r="B50" s="45"/>
      <c r="C50" s="45"/>
      <c r="E50" s="44"/>
      <c r="F50" s="45"/>
      <c r="G50" s="45"/>
      <c r="J50" s="44"/>
      <c r="K50" s="45"/>
      <c r="M50" s="44"/>
      <c r="N50" s="45"/>
    </row>
    <row r="51" spans="1:14">
      <c r="A51" s="44"/>
      <c r="B51" s="45"/>
      <c r="C51" s="45"/>
      <c r="E51" s="44"/>
      <c r="F51" s="45"/>
      <c r="G51" s="45"/>
      <c r="J51" s="44"/>
      <c r="K51" s="45"/>
      <c r="M51" s="44"/>
      <c r="N51" s="45"/>
    </row>
    <row r="52" spans="1:14">
      <c r="A52" s="44"/>
      <c r="B52" s="45"/>
      <c r="C52" s="45"/>
      <c r="E52" s="44"/>
      <c r="F52" s="45"/>
      <c r="G52" s="45"/>
      <c r="J52" s="44"/>
      <c r="K52" s="45"/>
      <c r="M52" s="44"/>
      <c r="N52" s="45"/>
    </row>
    <row r="53" spans="1:14">
      <c r="A53" s="44"/>
      <c r="B53" s="45"/>
      <c r="C53" s="45"/>
      <c r="E53" s="44"/>
      <c r="F53" s="45"/>
      <c r="G53" s="45"/>
      <c r="J53" s="44"/>
      <c r="K53" s="45"/>
      <c r="M53" s="44"/>
      <c r="N53" s="45"/>
    </row>
    <row r="54" spans="1:14">
      <c r="A54" s="44"/>
      <c r="B54" s="45"/>
      <c r="C54" s="45"/>
      <c r="E54" s="44"/>
      <c r="F54" s="45"/>
      <c r="G54" s="45"/>
      <c r="J54" s="44"/>
      <c r="K54" s="45"/>
      <c r="M54" s="44"/>
      <c r="N54" s="45"/>
    </row>
    <row r="55" spans="1:14">
      <c r="A55" s="44"/>
      <c r="B55" s="45"/>
      <c r="C55" s="45"/>
      <c r="E55" s="44"/>
      <c r="F55" s="45"/>
      <c r="G55" s="45"/>
      <c r="J55" s="44"/>
      <c r="K55" s="45"/>
      <c r="M55" s="44"/>
      <c r="N55" s="45"/>
    </row>
    <row r="56" spans="1:14">
      <c r="A56" s="44"/>
      <c r="B56" s="45"/>
      <c r="C56" s="45"/>
      <c r="E56" s="44"/>
      <c r="F56" s="45"/>
      <c r="G56" s="45"/>
      <c r="J56" s="44"/>
      <c r="K56" s="45"/>
      <c r="M56" s="44"/>
      <c r="N56" s="45"/>
    </row>
    <row r="57" spans="1:14">
      <c r="A57" s="44"/>
      <c r="B57" s="45"/>
      <c r="C57" s="45"/>
      <c r="E57" s="44"/>
      <c r="F57" s="45"/>
      <c r="G57" s="45"/>
      <c r="J57" s="44"/>
      <c r="K57" s="45"/>
      <c r="M57" s="44"/>
      <c r="N57" s="45"/>
    </row>
    <row r="58" spans="1:14">
      <c r="A58" s="44"/>
      <c r="B58" s="45"/>
      <c r="C58" s="45"/>
      <c r="E58" s="44"/>
      <c r="F58" s="45"/>
      <c r="G58" s="45"/>
      <c r="J58" s="44"/>
      <c r="K58" s="45"/>
      <c r="M58" s="44"/>
      <c r="N58" s="45"/>
    </row>
    <row r="59" spans="1:14">
      <c r="A59" s="44"/>
      <c r="B59" s="45"/>
      <c r="C59" s="45"/>
      <c r="E59" s="44"/>
      <c r="F59" s="45"/>
      <c r="G59" s="45"/>
      <c r="J59" s="44"/>
      <c r="K59" s="45"/>
      <c r="M59" s="44"/>
      <c r="N59" s="45"/>
    </row>
    <row r="60" spans="1:14">
      <c r="A60" s="44"/>
      <c r="B60" s="45"/>
      <c r="C60" s="45"/>
      <c r="E60" s="44"/>
      <c r="F60" s="45"/>
      <c r="G60" s="45"/>
      <c r="J60" s="44"/>
      <c r="K60" s="45"/>
      <c r="M60" s="44"/>
      <c r="N60" s="45"/>
    </row>
    <row r="61" spans="1:14">
      <c r="A61" s="44"/>
      <c r="B61" s="45"/>
      <c r="C61" s="45"/>
      <c r="E61" s="44"/>
      <c r="F61" s="45"/>
      <c r="G61" s="45"/>
      <c r="J61" s="44"/>
      <c r="K61" s="45"/>
      <c r="M61" s="44"/>
      <c r="N61" s="45"/>
    </row>
    <row r="62" spans="1:14">
      <c r="A62" s="44"/>
      <c r="B62" s="45"/>
      <c r="C62" s="45"/>
      <c r="E62" s="44"/>
      <c r="F62" s="45"/>
      <c r="G62" s="45"/>
      <c r="J62" s="44"/>
      <c r="K62" s="45"/>
      <c r="M62" s="44"/>
      <c r="N62" s="45"/>
    </row>
    <row r="63" spans="1:14">
      <c r="A63" s="44"/>
      <c r="B63" s="45"/>
      <c r="C63" s="45"/>
      <c r="E63" s="44"/>
      <c r="F63" s="45"/>
      <c r="G63" s="45"/>
      <c r="J63" s="44"/>
      <c r="K63" s="45"/>
      <c r="M63" s="44"/>
      <c r="N63" s="45"/>
    </row>
    <row r="64" spans="1:14">
      <c r="A64" s="44"/>
      <c r="B64" s="45"/>
      <c r="C64" s="45"/>
      <c r="E64" s="44"/>
      <c r="F64" s="45"/>
      <c r="G64" s="45"/>
      <c r="J64" s="44"/>
      <c r="K64" s="45"/>
      <c r="M64" s="44"/>
      <c r="N64" s="45"/>
    </row>
    <row r="65" spans="1:14">
      <c r="A65" s="44"/>
      <c r="B65" s="45"/>
      <c r="C65" s="45"/>
      <c r="E65" s="44"/>
      <c r="F65" s="45"/>
      <c r="G65" s="45"/>
      <c r="J65" s="44"/>
      <c r="K65" s="45"/>
      <c r="M65" s="44"/>
      <c r="N65" s="45"/>
    </row>
    <row r="66" spans="1:14">
      <c r="A66" s="44"/>
      <c r="B66" s="45"/>
      <c r="C66" s="45"/>
      <c r="E66" s="44"/>
      <c r="F66" s="45"/>
      <c r="G66" s="45"/>
      <c r="J66" s="44"/>
      <c r="K66" s="45"/>
      <c r="M66" s="44"/>
      <c r="N66" s="45"/>
    </row>
    <row r="67" spans="1:14">
      <c r="A67" s="44"/>
      <c r="B67" s="45"/>
      <c r="C67" s="45"/>
      <c r="E67" s="44"/>
      <c r="F67" s="45"/>
      <c r="G67" s="45"/>
      <c r="J67" s="44"/>
      <c r="K67" s="45"/>
      <c r="M67" s="44"/>
      <c r="N67" s="45"/>
    </row>
    <row r="68" spans="1:14">
      <c r="A68" s="44"/>
      <c r="B68" s="45"/>
      <c r="C68" s="45"/>
      <c r="E68" s="44"/>
      <c r="F68" s="45"/>
      <c r="G68" s="45"/>
      <c r="J68" s="44"/>
      <c r="K68" s="45"/>
      <c r="M68" s="44"/>
      <c r="N68" s="45"/>
    </row>
    <row r="69" spans="1:14">
      <c r="A69" s="44"/>
      <c r="B69" s="45"/>
      <c r="C69" s="45"/>
      <c r="E69" s="44"/>
      <c r="F69" s="45"/>
      <c r="G69" s="45"/>
      <c r="J69" s="44"/>
      <c r="K69" s="45"/>
      <c r="M69" s="44"/>
      <c r="N69" s="45"/>
    </row>
    <row r="70" spans="1:14">
      <c r="A70" s="44"/>
      <c r="B70" s="45"/>
      <c r="C70" s="45"/>
      <c r="E70" s="44"/>
      <c r="F70" s="45"/>
      <c r="G70" s="45"/>
      <c r="J70" s="44"/>
      <c r="K70" s="45"/>
      <c r="M70" s="44"/>
      <c r="N70" s="45"/>
    </row>
    <row r="71" spans="1:14">
      <c r="A71" s="44"/>
      <c r="B71" s="45"/>
      <c r="C71" s="45"/>
      <c r="E71" s="44"/>
      <c r="F71" s="45"/>
      <c r="G71" s="45"/>
      <c r="J71" s="44"/>
      <c r="K71" s="45"/>
      <c r="M71" s="44"/>
      <c r="N71" s="45"/>
    </row>
    <row r="72" spans="1:14">
      <c r="A72" s="44"/>
      <c r="B72" s="45"/>
      <c r="C72" s="45"/>
      <c r="E72" s="44"/>
      <c r="F72" s="45"/>
      <c r="G72" s="45"/>
      <c r="J72" s="44"/>
      <c r="K72" s="45"/>
      <c r="M72" s="44"/>
      <c r="N72" s="45"/>
    </row>
    <row r="73" spans="1:14">
      <c r="A73" s="44"/>
      <c r="B73" s="45"/>
      <c r="C73" s="45"/>
      <c r="E73" s="44"/>
      <c r="F73" s="45"/>
      <c r="G73" s="45"/>
      <c r="J73" s="44"/>
      <c r="K73" s="45"/>
      <c r="M73" s="44"/>
      <c r="N73" s="45"/>
    </row>
    <row r="74" spans="1:14">
      <c r="A74" s="44"/>
      <c r="B74" s="45"/>
      <c r="C74" s="45"/>
      <c r="E74" s="44"/>
      <c r="F74" s="45"/>
      <c r="G74" s="45"/>
      <c r="J74" s="44"/>
      <c r="K74" s="45"/>
      <c r="M74" s="44"/>
      <c r="N74" s="45"/>
    </row>
    <row r="75" spans="1:14">
      <c r="A75" s="44"/>
      <c r="B75" s="45"/>
      <c r="C75" s="45"/>
      <c r="E75" s="44"/>
      <c r="F75" s="45"/>
      <c r="G75" s="45"/>
      <c r="J75" s="44"/>
      <c r="K75" s="45"/>
      <c r="M75" s="44"/>
      <c r="N75" s="45"/>
    </row>
    <row r="76" spans="1:14">
      <c r="A76" s="44"/>
      <c r="B76" s="45"/>
      <c r="C76" s="45"/>
      <c r="E76" s="44"/>
      <c r="F76" s="45"/>
      <c r="G76" s="45"/>
      <c r="J76" s="44"/>
      <c r="K76" s="45"/>
      <c r="M76" s="44"/>
      <c r="N76" s="45"/>
    </row>
    <row r="77" spans="1:14">
      <c r="A77" s="44"/>
      <c r="B77" s="45"/>
      <c r="C77" s="45"/>
      <c r="E77" s="44"/>
      <c r="F77" s="45"/>
      <c r="G77" s="45"/>
      <c r="J77" s="44"/>
      <c r="K77" s="45"/>
      <c r="M77" s="44"/>
      <c r="N77" s="45"/>
    </row>
    <row r="78" spans="1:14">
      <c r="A78" s="44"/>
      <c r="B78" s="45"/>
      <c r="C78" s="45"/>
      <c r="E78" s="44"/>
      <c r="F78" s="45"/>
      <c r="G78" s="45"/>
      <c r="J78" s="44"/>
      <c r="K78" s="45"/>
      <c r="M78" s="44"/>
      <c r="N78" s="45"/>
    </row>
    <row r="79" spans="1:14">
      <c r="A79" s="44"/>
      <c r="B79" s="45"/>
      <c r="C79" s="45"/>
      <c r="E79" s="44"/>
      <c r="F79" s="45"/>
      <c r="G79" s="45"/>
      <c r="J79" s="44"/>
      <c r="K79" s="45"/>
      <c r="M79" s="44"/>
      <c r="N79" s="45"/>
    </row>
    <row r="80" spans="1:14">
      <c r="A80" s="44"/>
      <c r="B80" s="45"/>
      <c r="C80" s="45"/>
      <c r="E80" s="44"/>
      <c r="F80" s="45"/>
      <c r="G80" s="45"/>
      <c r="J80" s="44"/>
      <c r="K80" s="45"/>
      <c r="M80" s="44"/>
      <c r="N80" s="45"/>
    </row>
    <row r="81" spans="1:14">
      <c r="A81" s="44"/>
      <c r="B81" s="45"/>
      <c r="C81" s="45"/>
      <c r="E81" s="44"/>
      <c r="F81" s="45"/>
      <c r="G81" s="45"/>
      <c r="J81" s="44"/>
      <c r="K81" s="45"/>
      <c r="M81" s="44"/>
      <c r="N81" s="45"/>
    </row>
    <row r="82" spans="1:14">
      <c r="A82" s="44"/>
      <c r="B82" s="45"/>
      <c r="C82" s="45"/>
      <c r="E82" s="44"/>
      <c r="F82" s="45"/>
      <c r="G82" s="45"/>
      <c r="J82" s="44"/>
      <c r="K82" s="45"/>
      <c r="M82" s="44"/>
      <c r="N82" s="45"/>
    </row>
    <row r="83" spans="1:14">
      <c r="A83" s="44"/>
      <c r="B83" s="45"/>
      <c r="C83" s="45"/>
      <c r="E83" s="44"/>
      <c r="F83" s="45"/>
      <c r="G83" s="45"/>
      <c r="J83" s="44"/>
      <c r="K83" s="45"/>
      <c r="M83" s="44"/>
      <c r="N83" s="45"/>
    </row>
    <row r="84" spans="1:14">
      <c r="A84" s="44"/>
      <c r="B84" s="45"/>
      <c r="C84" s="45"/>
      <c r="E84" s="44"/>
      <c r="F84" s="45"/>
      <c r="G84" s="45"/>
      <c r="J84" s="44"/>
      <c r="K84" s="45"/>
      <c r="M84" s="44"/>
      <c r="N84" s="45"/>
    </row>
    <row r="85" spans="1:14">
      <c r="A85" s="44"/>
      <c r="B85" s="45"/>
      <c r="C85" s="45"/>
      <c r="E85" s="44"/>
      <c r="F85" s="45"/>
      <c r="G85" s="45"/>
      <c r="J85" s="44"/>
      <c r="K85" s="45"/>
      <c r="M85" s="44"/>
      <c r="N85" s="45"/>
    </row>
    <row r="86" spans="1:14">
      <c r="A86" s="44"/>
      <c r="B86" s="45"/>
      <c r="C86" s="45"/>
      <c r="E86" s="44"/>
      <c r="F86" s="45"/>
      <c r="G86" s="45"/>
      <c r="J86" s="44"/>
      <c r="K86" s="45"/>
      <c r="M86" s="44"/>
      <c r="N86" s="45"/>
    </row>
    <row r="87" spans="1:14">
      <c r="A87" s="44"/>
      <c r="B87" s="45"/>
      <c r="C87" s="45"/>
      <c r="E87" s="44"/>
      <c r="F87" s="45"/>
      <c r="G87" s="45"/>
      <c r="J87" s="44"/>
      <c r="K87" s="45"/>
      <c r="M87" s="44"/>
      <c r="N87" s="45"/>
    </row>
    <row r="88" spans="1:14">
      <c r="A88" s="44"/>
      <c r="B88" s="45"/>
      <c r="C88" s="45"/>
      <c r="E88" s="44"/>
      <c r="F88" s="45"/>
      <c r="G88" s="45"/>
      <c r="J88" s="44"/>
      <c r="K88" s="45"/>
      <c r="M88" s="44"/>
      <c r="N88" s="45"/>
    </row>
    <row r="89" spans="1:14">
      <c r="A89" s="44"/>
      <c r="B89" s="45"/>
      <c r="C89" s="45"/>
      <c r="E89" s="44"/>
      <c r="F89" s="45"/>
      <c r="G89" s="45"/>
      <c r="J89" s="44"/>
      <c r="K89" s="45"/>
      <c r="M89" s="44"/>
      <c r="N89" s="45"/>
    </row>
    <row r="90" spans="1:14">
      <c r="A90" s="44"/>
      <c r="B90" s="45"/>
      <c r="C90" s="45"/>
      <c r="E90" s="44"/>
      <c r="F90" s="45"/>
      <c r="G90" s="45"/>
      <c r="J90" s="44"/>
      <c r="K90" s="45"/>
      <c r="M90" s="44"/>
      <c r="N90" s="45"/>
    </row>
    <row r="91" spans="1:14">
      <c r="A91" s="44"/>
      <c r="B91" s="45"/>
      <c r="C91" s="45"/>
      <c r="E91" s="44"/>
      <c r="F91" s="45"/>
      <c r="G91" s="45"/>
      <c r="J91" s="44"/>
      <c r="K91" s="45"/>
      <c r="M91" s="44"/>
      <c r="N91" s="45"/>
    </row>
    <row r="92" spans="1:14">
      <c r="A92" s="44"/>
      <c r="B92" s="45"/>
      <c r="C92" s="45"/>
      <c r="E92" s="44"/>
      <c r="F92" s="45"/>
      <c r="G92" s="45"/>
      <c r="J92" s="44"/>
      <c r="K92" s="45"/>
      <c r="M92" s="44"/>
      <c r="N92" s="45"/>
    </row>
    <row r="93" spans="1:14">
      <c r="A93" s="44"/>
      <c r="B93" s="45"/>
      <c r="C93" s="45"/>
      <c r="E93" s="44"/>
      <c r="F93" s="45"/>
      <c r="G93" s="45"/>
      <c r="J93" s="44"/>
      <c r="K93" s="45"/>
      <c r="M93" s="44"/>
      <c r="N93" s="45"/>
    </row>
    <row r="94" spans="1:14">
      <c r="A94" s="44"/>
      <c r="B94" s="45"/>
      <c r="C94" s="45"/>
      <c r="E94" s="44"/>
      <c r="F94" s="45"/>
      <c r="G94" s="45"/>
      <c r="J94" s="44"/>
      <c r="K94" s="45"/>
      <c r="M94" s="44"/>
      <c r="N94" s="45"/>
    </row>
    <row r="95" spans="1:14">
      <c r="A95" s="44"/>
      <c r="B95" s="45"/>
      <c r="C95" s="45"/>
      <c r="E95" s="44"/>
      <c r="F95" s="45"/>
      <c r="G95" s="45"/>
      <c r="J95" s="44"/>
      <c r="K95" s="45"/>
      <c r="M95" s="44"/>
      <c r="N95" s="45"/>
    </row>
    <row r="96" spans="1:14">
      <c r="A96" s="44"/>
      <c r="B96" s="45"/>
      <c r="C96" s="45"/>
      <c r="E96" s="44"/>
      <c r="F96" s="45"/>
      <c r="G96" s="45"/>
      <c r="J96" s="44"/>
      <c r="K96" s="45"/>
      <c r="M96" s="44"/>
      <c r="N96" s="45"/>
    </row>
    <row r="97" spans="1:14">
      <c r="A97" s="44"/>
      <c r="B97" s="45"/>
      <c r="C97" s="45"/>
      <c r="E97" s="44"/>
      <c r="F97" s="45"/>
      <c r="G97" s="45"/>
      <c r="J97" s="44"/>
      <c r="K97" s="45"/>
      <c r="M97" s="44"/>
      <c r="N97" s="45"/>
    </row>
    <row r="98" spans="1:14">
      <c r="A98" s="44"/>
      <c r="B98" s="45"/>
      <c r="C98" s="45"/>
      <c r="E98" s="44"/>
      <c r="F98" s="45"/>
      <c r="G98" s="45"/>
      <c r="J98" s="44"/>
      <c r="K98" s="45"/>
      <c r="M98" s="44"/>
      <c r="N98" s="45"/>
    </row>
    <row r="99" spans="1:14">
      <c r="A99" s="44"/>
      <c r="B99" s="45"/>
      <c r="C99" s="45"/>
      <c r="E99" s="44"/>
      <c r="F99" s="45"/>
      <c r="G99" s="45"/>
      <c r="J99" s="44"/>
      <c r="K99" s="45"/>
      <c r="M99" s="44"/>
      <c r="N99" s="45"/>
    </row>
    <row r="100" spans="1:14">
      <c r="A100" s="44"/>
      <c r="B100" s="45"/>
      <c r="C100" s="45"/>
      <c r="E100" s="44"/>
      <c r="F100" s="45"/>
      <c r="G100" s="45"/>
      <c r="J100" s="44"/>
      <c r="K100" s="45"/>
      <c r="M100" s="44"/>
      <c r="N100" s="45"/>
    </row>
    <row r="101" spans="1:14">
      <c r="A101" s="44"/>
      <c r="B101" s="45"/>
      <c r="C101" s="45"/>
      <c r="E101" s="44"/>
      <c r="F101" s="45"/>
      <c r="G101" s="45"/>
      <c r="J101" s="44"/>
      <c r="K101" s="45"/>
      <c r="M101" s="44"/>
      <c r="N101" s="45"/>
    </row>
    <row r="102" spans="1:14">
      <c r="A102" s="44"/>
      <c r="B102" s="45"/>
      <c r="C102" s="45"/>
      <c r="E102" s="44"/>
      <c r="F102" s="45"/>
      <c r="G102" s="45"/>
      <c r="J102" s="44"/>
      <c r="K102" s="45"/>
      <c r="M102" s="44"/>
      <c r="N102" s="45"/>
    </row>
    <row r="103" spans="1:14">
      <c r="A103" s="44"/>
      <c r="B103" s="45"/>
      <c r="C103" s="45"/>
      <c r="E103" s="44"/>
      <c r="F103" s="45"/>
      <c r="G103" s="45"/>
      <c r="J103" s="44"/>
      <c r="K103" s="45"/>
      <c r="M103" s="44"/>
      <c r="N103" s="45"/>
    </row>
    <row r="104" spans="1:14">
      <c r="A104" s="44"/>
      <c r="B104" s="45"/>
      <c r="C104" s="45"/>
      <c r="E104" s="44"/>
      <c r="F104" s="45"/>
      <c r="G104" s="45"/>
      <c r="J104" s="44"/>
      <c r="K104" s="45"/>
      <c r="M104" s="44"/>
      <c r="N104" s="45"/>
    </row>
    <row r="105" spans="1:14">
      <c r="A105" s="44"/>
      <c r="B105" s="45"/>
      <c r="C105" s="45"/>
      <c r="E105" s="44"/>
      <c r="F105" s="45"/>
      <c r="G105" s="45"/>
      <c r="J105" s="44"/>
      <c r="K105" s="45"/>
      <c r="M105" s="44"/>
      <c r="N105" s="45"/>
    </row>
    <row r="106" spans="1:14">
      <c r="A106" s="44"/>
      <c r="B106" s="45"/>
      <c r="C106" s="45"/>
      <c r="E106" s="44"/>
      <c r="F106" s="45"/>
      <c r="G106" s="45"/>
      <c r="J106" s="44"/>
      <c r="K106" s="45"/>
      <c r="M106" s="44"/>
      <c r="N106" s="45"/>
    </row>
    <row r="107" spans="1:14">
      <c r="A107" s="44"/>
      <c r="B107" s="45"/>
      <c r="C107" s="45"/>
      <c r="E107" s="44"/>
      <c r="F107" s="45"/>
      <c r="G107" s="45"/>
      <c r="J107" s="44"/>
      <c r="K107" s="45"/>
      <c r="M107" s="44"/>
      <c r="N107" s="45"/>
    </row>
    <row r="108" spans="1:14">
      <c r="A108" s="44"/>
      <c r="B108" s="45"/>
      <c r="C108" s="45"/>
      <c r="E108" s="44"/>
      <c r="F108" s="45"/>
      <c r="G108" s="45"/>
      <c r="J108" s="44"/>
      <c r="K108" s="45"/>
      <c r="M108" s="44"/>
      <c r="N108" s="45"/>
    </row>
    <row r="109" spans="1:14">
      <c r="A109" s="44"/>
      <c r="B109" s="45"/>
      <c r="C109" s="45"/>
      <c r="E109" s="44"/>
      <c r="F109" s="45"/>
      <c r="G109" s="45"/>
      <c r="J109" s="44"/>
      <c r="K109" s="45"/>
      <c r="M109" s="44"/>
      <c r="N109" s="45"/>
    </row>
    <row r="110" spans="1:14">
      <c r="A110" s="44"/>
      <c r="B110" s="45"/>
      <c r="C110" s="45"/>
      <c r="E110" s="44"/>
      <c r="F110" s="45"/>
      <c r="G110" s="45"/>
      <c r="J110" s="44"/>
      <c r="K110" s="45"/>
      <c r="M110" s="44"/>
      <c r="N110" s="45"/>
    </row>
    <row r="111" spans="1:14">
      <c r="A111" s="44"/>
      <c r="B111" s="45"/>
      <c r="C111" s="45"/>
      <c r="E111" s="44"/>
      <c r="F111" s="45"/>
      <c r="G111" s="45"/>
      <c r="J111" s="44"/>
      <c r="K111" s="45"/>
      <c r="M111" s="44"/>
      <c r="N111" s="45"/>
    </row>
    <row r="112" spans="1:14">
      <c r="A112" s="44"/>
      <c r="B112" s="45"/>
      <c r="C112" s="45"/>
      <c r="E112" s="44"/>
      <c r="F112" s="45"/>
      <c r="G112" s="45"/>
      <c r="J112" s="44"/>
      <c r="K112" s="45"/>
      <c r="M112" s="44"/>
      <c r="N112" s="45"/>
    </row>
    <row r="113" spans="1:14">
      <c r="A113" s="44"/>
      <c r="B113" s="45"/>
      <c r="C113" s="45"/>
      <c r="E113" s="44"/>
      <c r="F113" s="45"/>
      <c r="G113" s="45"/>
      <c r="J113" s="44"/>
      <c r="K113" s="45"/>
      <c r="M113" s="44"/>
      <c r="N113" s="45"/>
    </row>
    <row r="114" spans="1:14">
      <c r="A114" s="44"/>
      <c r="B114" s="45"/>
      <c r="C114" s="45"/>
      <c r="E114" s="44"/>
      <c r="F114" s="45"/>
      <c r="G114" s="45"/>
      <c r="J114" s="44"/>
      <c r="K114" s="45"/>
      <c r="M114" s="44"/>
      <c r="N114" s="45"/>
    </row>
    <row r="115" spans="1:14">
      <c r="A115" s="44"/>
      <c r="B115" s="45"/>
      <c r="C115" s="45"/>
      <c r="E115" s="44"/>
      <c r="F115" s="45"/>
      <c r="G115" s="45"/>
      <c r="J115" s="44"/>
      <c r="K115" s="45"/>
      <c r="M115" s="44"/>
      <c r="N115" s="45"/>
    </row>
    <row r="116" spans="1:14">
      <c r="A116" s="44"/>
      <c r="B116" s="45"/>
      <c r="C116" s="45"/>
      <c r="E116" s="44"/>
      <c r="F116" s="45"/>
      <c r="G116" s="45"/>
      <c r="J116" s="44"/>
      <c r="K116" s="45"/>
      <c r="M116" s="44"/>
      <c r="N116" s="45"/>
    </row>
    <row r="117" spans="1:14">
      <c r="A117" s="44"/>
      <c r="B117" s="45"/>
      <c r="C117" s="45"/>
      <c r="E117" s="44"/>
      <c r="F117" s="45"/>
      <c r="G117" s="45"/>
      <c r="J117" s="44"/>
      <c r="K117" s="45"/>
      <c r="M117" s="44"/>
      <c r="N117" s="45"/>
    </row>
    <row r="118" spans="1:14">
      <c r="A118" s="44"/>
      <c r="B118" s="45"/>
      <c r="C118" s="45"/>
      <c r="E118" s="44"/>
      <c r="F118" s="45"/>
      <c r="G118" s="45"/>
      <c r="J118" s="44"/>
      <c r="K118" s="45"/>
      <c r="M118" s="44"/>
      <c r="N118" s="45"/>
    </row>
    <row r="119" spans="1:14">
      <c r="A119" s="44"/>
      <c r="B119" s="45"/>
      <c r="C119" s="45"/>
      <c r="E119" s="44"/>
      <c r="F119" s="45"/>
      <c r="G119" s="45"/>
      <c r="J119" s="44"/>
      <c r="K119" s="45"/>
      <c r="M119" s="44"/>
      <c r="N119" s="45"/>
    </row>
    <row r="120" spans="1:14">
      <c r="A120" s="44"/>
      <c r="B120" s="45"/>
      <c r="C120" s="45"/>
      <c r="E120" s="44"/>
      <c r="F120" s="45"/>
      <c r="G120" s="45"/>
      <c r="J120" s="44"/>
      <c r="K120" s="45"/>
      <c r="M120" s="44"/>
      <c r="N120" s="45"/>
    </row>
    <row r="121" spans="1:14">
      <c r="A121" s="44"/>
      <c r="B121" s="45"/>
      <c r="C121" s="45"/>
      <c r="E121" s="44"/>
      <c r="F121" s="45"/>
      <c r="G121" s="45"/>
      <c r="J121" s="44"/>
      <c r="K121" s="45"/>
      <c r="M121" s="44"/>
      <c r="N121" s="45"/>
    </row>
    <row r="122" spans="1:14">
      <c r="A122" s="44"/>
      <c r="B122" s="45"/>
      <c r="C122" s="45"/>
      <c r="E122" s="44"/>
      <c r="F122" s="45"/>
      <c r="G122" s="45"/>
      <c r="J122" s="44"/>
      <c r="K122" s="45"/>
      <c r="M122" s="44"/>
      <c r="N122" s="45"/>
    </row>
    <row r="123" spans="1:14">
      <c r="A123" s="44"/>
      <c r="B123" s="45"/>
      <c r="C123" s="45"/>
      <c r="E123" s="44"/>
      <c r="F123" s="45"/>
      <c r="G123" s="45"/>
      <c r="J123" s="44"/>
      <c r="K123" s="45"/>
      <c r="M123" s="44"/>
      <c r="N123" s="45"/>
    </row>
    <row r="124" spans="1:14">
      <c r="A124" s="44"/>
      <c r="B124" s="45"/>
      <c r="C124" s="45"/>
      <c r="E124" s="44"/>
      <c r="F124" s="45"/>
      <c r="G124" s="45"/>
      <c r="J124" s="44"/>
      <c r="K124" s="45"/>
      <c r="M124" s="44"/>
      <c r="N124" s="45"/>
    </row>
    <row r="125" spans="1:14">
      <c r="A125" s="44"/>
      <c r="B125" s="45"/>
      <c r="C125" s="45"/>
      <c r="E125" s="44"/>
      <c r="F125" s="45"/>
      <c r="G125" s="45"/>
      <c r="J125" s="44"/>
      <c r="K125" s="45"/>
      <c r="M125" s="44"/>
      <c r="N125" s="45"/>
    </row>
    <row r="126" spans="1:14">
      <c r="A126" s="44"/>
      <c r="B126" s="45"/>
      <c r="C126" s="45"/>
      <c r="E126" s="44"/>
      <c r="F126" s="45"/>
      <c r="G126" s="45"/>
      <c r="J126" s="44"/>
      <c r="K126" s="45"/>
      <c r="M126" s="44"/>
      <c r="N126" s="45"/>
    </row>
    <row r="127" spans="1:14">
      <c r="A127" s="44"/>
      <c r="B127" s="45"/>
      <c r="C127" s="45"/>
      <c r="E127" s="44"/>
      <c r="F127" s="45"/>
      <c r="G127" s="45"/>
      <c r="J127" s="44"/>
      <c r="K127" s="45"/>
      <c r="M127" s="44"/>
      <c r="N127" s="45"/>
    </row>
    <row r="128" spans="1:14">
      <c r="A128" s="44"/>
      <c r="B128" s="45"/>
      <c r="C128" s="45"/>
      <c r="E128" s="44"/>
      <c r="F128" s="45"/>
      <c r="G128" s="45"/>
      <c r="J128" s="44"/>
      <c r="K128" s="45"/>
      <c r="M128" s="44"/>
      <c r="N128" s="45"/>
    </row>
    <row r="129" spans="1:14">
      <c r="A129" s="44"/>
      <c r="B129" s="45"/>
      <c r="C129" s="45"/>
      <c r="E129" s="44"/>
      <c r="F129" s="45"/>
      <c r="G129" s="45"/>
      <c r="J129" s="44"/>
      <c r="K129" s="45"/>
      <c r="M129" s="44"/>
      <c r="N129" s="45"/>
    </row>
    <row r="130" spans="1:14">
      <c r="A130" s="44"/>
      <c r="B130" s="45"/>
      <c r="C130" s="45"/>
      <c r="E130" s="44"/>
      <c r="F130" s="45"/>
      <c r="G130" s="45"/>
      <c r="J130" s="44"/>
      <c r="K130" s="45"/>
      <c r="M130" s="44"/>
      <c r="N130" s="45"/>
    </row>
    <row r="131" spans="1:14">
      <c r="A131" s="44"/>
      <c r="B131" s="45"/>
      <c r="C131" s="45"/>
      <c r="E131" s="44"/>
      <c r="F131" s="45"/>
      <c r="G131" s="45"/>
      <c r="J131" s="44"/>
      <c r="K131" s="45"/>
      <c r="M131" s="44"/>
      <c r="N131" s="45"/>
    </row>
    <row r="132" spans="1:14">
      <c r="A132" s="44"/>
      <c r="B132" s="45"/>
      <c r="C132" s="45"/>
      <c r="E132" s="44"/>
      <c r="F132" s="45"/>
      <c r="G132" s="45"/>
      <c r="J132" s="44"/>
      <c r="K132" s="45"/>
      <c r="M132" s="44"/>
      <c r="N132" s="45"/>
    </row>
    <row r="133" spans="1:14">
      <c r="A133" s="44"/>
      <c r="B133" s="45"/>
      <c r="C133" s="45"/>
      <c r="E133" s="44"/>
      <c r="F133" s="45"/>
      <c r="G133" s="45"/>
      <c r="J133" s="44"/>
      <c r="K133" s="45"/>
      <c r="M133" s="44"/>
      <c r="N133" s="45"/>
    </row>
    <row r="134" spans="1:14">
      <c r="A134" s="44"/>
      <c r="B134" s="45"/>
      <c r="C134" s="45"/>
      <c r="E134" s="44"/>
      <c r="F134" s="45"/>
      <c r="G134" s="45"/>
      <c r="J134" s="44"/>
      <c r="K134" s="45"/>
      <c r="M134" s="44"/>
      <c r="N134" s="45"/>
    </row>
    <row r="135" spans="1:14">
      <c r="A135" s="44"/>
      <c r="B135" s="45"/>
      <c r="C135" s="45"/>
      <c r="E135" s="44"/>
      <c r="F135" s="45"/>
      <c r="G135" s="45"/>
      <c r="J135" s="44"/>
      <c r="K135" s="45"/>
      <c r="M135" s="44"/>
      <c r="N135" s="45"/>
    </row>
    <row r="136" spans="1:14">
      <c r="A136" s="44"/>
      <c r="B136" s="45"/>
      <c r="C136" s="45"/>
      <c r="E136" s="44"/>
      <c r="F136" s="45"/>
      <c r="G136" s="45"/>
      <c r="J136" s="44"/>
      <c r="K136" s="45"/>
      <c r="M136" s="44"/>
      <c r="N136" s="45"/>
    </row>
    <row r="137" spans="1:14">
      <c r="A137" s="44"/>
      <c r="B137" s="45"/>
      <c r="C137" s="45"/>
      <c r="E137" s="44"/>
      <c r="F137" s="45"/>
      <c r="G137" s="45"/>
      <c r="J137" s="44"/>
      <c r="K137" s="45"/>
      <c r="M137" s="44"/>
      <c r="N137" s="45"/>
    </row>
    <row r="138" spans="1:14">
      <c r="A138" s="44"/>
      <c r="B138" s="45"/>
      <c r="C138" s="45"/>
      <c r="E138" s="44"/>
      <c r="F138" s="45"/>
      <c r="G138" s="45"/>
      <c r="J138" s="44"/>
      <c r="K138" s="45"/>
      <c r="M138" s="44"/>
      <c r="N138" s="45"/>
    </row>
    <row r="139" spans="1:14">
      <c r="A139" s="44"/>
      <c r="B139" s="45"/>
      <c r="C139" s="45"/>
      <c r="E139" s="44"/>
      <c r="F139" s="45"/>
      <c r="G139" s="45"/>
      <c r="J139" s="44"/>
      <c r="K139" s="45"/>
      <c r="M139" s="44"/>
      <c r="N139" s="45"/>
    </row>
    <row r="140" spans="1:14">
      <c r="A140" s="44"/>
      <c r="B140" s="45"/>
      <c r="C140" s="45"/>
      <c r="E140" s="44"/>
      <c r="F140" s="45"/>
      <c r="G140" s="45"/>
      <c r="J140" s="44"/>
      <c r="K140" s="45"/>
      <c r="M140" s="44"/>
      <c r="N140" s="45"/>
    </row>
    <row r="141" spans="1:14">
      <c r="A141" s="44"/>
      <c r="B141" s="45"/>
      <c r="C141" s="45"/>
      <c r="E141" s="44"/>
      <c r="F141" s="45"/>
      <c r="G141" s="45"/>
      <c r="J141" s="44"/>
      <c r="K141" s="45"/>
      <c r="M141" s="44"/>
      <c r="N141" s="45"/>
    </row>
    <row r="142" spans="1:14">
      <c r="A142" s="44"/>
      <c r="B142" s="45"/>
      <c r="C142" s="45"/>
      <c r="E142" s="44"/>
      <c r="F142" s="45"/>
      <c r="G142" s="45"/>
      <c r="J142" s="44"/>
      <c r="K142" s="45"/>
      <c r="M142" s="44"/>
      <c r="N142" s="45"/>
    </row>
    <row r="143" spans="1:14">
      <c r="A143" s="44"/>
      <c r="B143" s="45"/>
      <c r="C143" s="45"/>
      <c r="E143" s="44"/>
      <c r="F143" s="45"/>
      <c r="G143" s="45"/>
      <c r="J143" s="44"/>
      <c r="K143" s="45"/>
      <c r="M143" s="44"/>
      <c r="N143" s="45"/>
    </row>
    <row r="144" spans="1:14">
      <c r="A144" s="44"/>
      <c r="B144" s="45"/>
      <c r="C144" s="45"/>
      <c r="E144" s="44"/>
      <c r="F144" s="45"/>
      <c r="G144" s="45"/>
      <c r="J144" s="44"/>
      <c r="K144" s="45"/>
      <c r="M144" s="44"/>
      <c r="N144" s="45"/>
    </row>
    <row r="145" spans="1:14">
      <c r="A145" s="44"/>
      <c r="B145" s="45"/>
      <c r="C145" s="45"/>
      <c r="E145" s="44"/>
      <c r="F145" s="45"/>
      <c r="G145" s="45"/>
      <c r="J145" s="44"/>
      <c r="K145" s="45"/>
      <c r="M145" s="44"/>
      <c r="N145" s="45"/>
    </row>
    <row r="146" spans="1:14">
      <c r="A146" s="44"/>
      <c r="B146" s="45"/>
      <c r="C146" s="45"/>
      <c r="E146" s="44"/>
      <c r="F146" s="45"/>
      <c r="G146" s="45"/>
      <c r="J146" s="44"/>
      <c r="K146" s="45"/>
      <c r="M146" s="44"/>
      <c r="N146" s="45"/>
    </row>
    <row r="147" spans="1:14">
      <c r="A147" s="44"/>
      <c r="B147" s="45"/>
      <c r="C147" s="45"/>
      <c r="E147" s="44"/>
      <c r="F147" s="45"/>
      <c r="G147" s="45"/>
      <c r="J147" s="44"/>
      <c r="K147" s="45"/>
      <c r="M147" s="44"/>
      <c r="N147" s="45"/>
    </row>
    <row r="148" spans="1:14">
      <c r="A148" s="44"/>
      <c r="B148" s="45"/>
      <c r="C148" s="45"/>
      <c r="E148" s="44"/>
      <c r="F148" s="45"/>
      <c r="G148" s="45"/>
      <c r="J148" s="44"/>
      <c r="K148" s="45"/>
      <c r="M148" s="44"/>
      <c r="N148" s="45"/>
    </row>
    <row r="149" spans="1:14">
      <c r="A149" s="44"/>
      <c r="B149" s="45"/>
      <c r="C149" s="45"/>
      <c r="E149" s="44"/>
      <c r="F149" s="45"/>
      <c r="G149" s="45"/>
      <c r="J149" s="44"/>
      <c r="K149" s="45"/>
      <c r="M149" s="44"/>
      <c r="N149" s="45"/>
    </row>
    <row r="150" spans="1:14">
      <c r="A150" s="44"/>
      <c r="B150" s="45"/>
      <c r="C150" s="45"/>
      <c r="E150" s="44"/>
      <c r="F150" s="45"/>
      <c r="G150" s="45"/>
      <c r="J150" s="44"/>
      <c r="K150" s="45"/>
      <c r="M150" s="44"/>
      <c r="N150" s="45"/>
    </row>
    <row r="151" spans="1:14">
      <c r="A151" s="44"/>
      <c r="B151" s="45"/>
      <c r="C151" s="45"/>
      <c r="E151" s="44"/>
      <c r="F151" s="45"/>
      <c r="G151" s="45"/>
      <c r="J151" s="44"/>
      <c r="K151" s="45"/>
      <c r="M151" s="44"/>
      <c r="N151" s="45"/>
    </row>
    <row r="152" spans="1:14">
      <c r="A152" s="44"/>
      <c r="B152" s="45"/>
      <c r="C152" s="45"/>
      <c r="E152" s="44"/>
      <c r="F152" s="45"/>
      <c r="G152" s="45"/>
      <c r="J152" s="44"/>
      <c r="K152" s="45"/>
      <c r="M152" s="44"/>
      <c r="N152" s="45"/>
    </row>
    <row r="153" spans="1:14">
      <c r="A153" s="44"/>
      <c r="B153" s="45"/>
      <c r="C153" s="45"/>
      <c r="E153" s="44"/>
      <c r="F153" s="45"/>
      <c r="G153" s="45"/>
      <c r="J153" s="44"/>
      <c r="K153" s="45"/>
      <c r="M153" s="44"/>
      <c r="N153" s="45"/>
    </row>
    <row r="154" spans="1:14">
      <c r="A154" s="44"/>
      <c r="B154" s="45"/>
      <c r="C154" s="45"/>
      <c r="E154" s="44"/>
      <c r="F154" s="45"/>
      <c r="G154" s="45"/>
      <c r="J154" s="44"/>
      <c r="K154" s="45"/>
      <c r="M154" s="44"/>
      <c r="N154" s="45"/>
    </row>
    <row r="155" spans="1:14">
      <c r="A155" s="44"/>
      <c r="B155" s="45"/>
      <c r="C155" s="45"/>
      <c r="E155" s="44"/>
      <c r="F155" s="45"/>
      <c r="G155" s="45"/>
      <c r="J155" s="44"/>
      <c r="K155" s="45"/>
      <c r="M155" s="44"/>
      <c r="N155" s="45"/>
    </row>
    <row r="156" spans="1:14">
      <c r="A156" s="44"/>
      <c r="B156" s="45"/>
      <c r="C156" s="45"/>
      <c r="E156" s="44"/>
      <c r="F156" s="45"/>
      <c r="G156" s="45"/>
      <c r="J156" s="44"/>
      <c r="K156" s="45"/>
      <c r="M156" s="44"/>
      <c r="N156" s="45"/>
    </row>
    <row r="157" spans="1:14">
      <c r="A157" s="44"/>
      <c r="B157" s="45"/>
      <c r="C157" s="45"/>
      <c r="E157" s="44"/>
      <c r="F157" s="45"/>
      <c r="G157" s="45"/>
      <c r="J157" s="44"/>
      <c r="K157" s="45"/>
      <c r="M157" s="44"/>
      <c r="N157" s="45"/>
    </row>
    <row r="158" spans="1:14">
      <c r="A158" s="44"/>
      <c r="B158" s="45"/>
      <c r="C158" s="45"/>
      <c r="E158" s="44"/>
      <c r="F158" s="45"/>
      <c r="G158" s="45"/>
      <c r="J158" s="44"/>
      <c r="K158" s="45"/>
      <c r="M158" s="44"/>
      <c r="N158" s="45"/>
    </row>
    <row r="159" spans="1:14">
      <c r="A159" s="44"/>
      <c r="B159" s="45"/>
      <c r="C159" s="45"/>
      <c r="E159" s="44"/>
      <c r="F159" s="45"/>
      <c r="G159" s="45"/>
      <c r="J159" s="44"/>
      <c r="K159" s="45"/>
      <c r="M159" s="44"/>
      <c r="N159" s="45"/>
    </row>
    <row r="160" spans="1:14">
      <c r="A160" s="44"/>
      <c r="B160" s="45"/>
      <c r="C160" s="45"/>
      <c r="E160" s="44"/>
      <c r="F160" s="45"/>
      <c r="G160" s="45"/>
      <c r="J160" s="44"/>
      <c r="K160" s="45"/>
      <c r="M160" s="44"/>
      <c r="N160" s="45"/>
    </row>
    <row r="161" spans="1:14">
      <c r="A161" s="44"/>
      <c r="B161" s="45"/>
      <c r="C161" s="45"/>
      <c r="E161" s="44"/>
      <c r="F161" s="45"/>
      <c r="G161" s="45"/>
      <c r="J161" s="44"/>
      <c r="K161" s="45"/>
      <c r="M161" s="44"/>
      <c r="N161" s="45"/>
    </row>
    <row r="162" spans="1:14">
      <c r="A162" s="44"/>
      <c r="B162" s="45"/>
      <c r="C162" s="45"/>
      <c r="E162" s="44"/>
      <c r="F162" s="45"/>
      <c r="G162" s="45"/>
      <c r="J162" s="44"/>
      <c r="K162" s="45"/>
      <c r="M162" s="44"/>
      <c r="N162" s="45"/>
    </row>
    <row r="163" spans="1:14">
      <c r="A163" s="44"/>
      <c r="B163" s="45"/>
      <c r="C163" s="45"/>
      <c r="E163" s="44"/>
      <c r="F163" s="45"/>
      <c r="G163" s="45"/>
      <c r="J163" s="44"/>
      <c r="K163" s="45"/>
      <c r="M163" s="44"/>
      <c r="N163" s="45"/>
    </row>
    <row r="164" spans="1:14">
      <c r="A164" s="44"/>
      <c r="B164" s="45"/>
      <c r="C164" s="45"/>
      <c r="E164" s="44"/>
      <c r="F164" s="45"/>
      <c r="G164" s="45"/>
      <c r="J164" s="44"/>
      <c r="K164" s="45"/>
      <c r="M164" s="44"/>
      <c r="N164" s="45"/>
    </row>
    <row r="165" spans="1:14">
      <c r="A165" s="44"/>
      <c r="B165" s="45"/>
      <c r="C165" s="45"/>
      <c r="E165" s="44"/>
      <c r="F165" s="45"/>
      <c r="G165" s="45"/>
      <c r="J165" s="44"/>
      <c r="K165" s="45"/>
      <c r="M165" s="44"/>
      <c r="N165" s="45"/>
    </row>
    <row r="166" spans="1:14">
      <c r="A166" s="44"/>
      <c r="B166" s="45"/>
      <c r="C166" s="45"/>
      <c r="E166" s="44"/>
      <c r="F166" s="45"/>
      <c r="G166" s="45"/>
      <c r="J166" s="44"/>
      <c r="K166" s="45"/>
      <c r="M166" s="44"/>
      <c r="N166" s="45"/>
    </row>
    <row r="167" spans="1:14">
      <c r="A167" s="44"/>
      <c r="B167" s="45"/>
      <c r="C167" s="45"/>
      <c r="E167" s="44"/>
      <c r="F167" s="45"/>
      <c r="G167" s="45"/>
      <c r="J167" s="44"/>
      <c r="K167" s="45"/>
      <c r="M167" s="44"/>
      <c r="N167" s="45"/>
    </row>
    <row r="168" spans="1:14">
      <c r="A168" s="44"/>
      <c r="B168" s="45"/>
      <c r="C168" s="45"/>
      <c r="E168" s="44"/>
      <c r="F168" s="45"/>
      <c r="G168" s="45"/>
      <c r="J168" s="44"/>
      <c r="K168" s="45"/>
      <c r="M168" s="44"/>
      <c r="N168" s="45"/>
    </row>
    <row r="169" spans="1:14">
      <c r="A169" s="44"/>
      <c r="B169" s="45"/>
      <c r="C169" s="45"/>
      <c r="E169" s="44"/>
      <c r="F169" s="45"/>
      <c r="G169" s="45"/>
      <c r="J169" s="44"/>
      <c r="K169" s="45"/>
      <c r="M169" s="44"/>
      <c r="N169" s="45"/>
    </row>
    <row r="170" spans="1:14">
      <c r="A170" s="44"/>
      <c r="B170" s="45"/>
      <c r="C170" s="45"/>
      <c r="E170" s="44"/>
      <c r="F170" s="45"/>
      <c r="G170" s="45"/>
      <c r="J170" s="44"/>
      <c r="K170" s="45"/>
      <c r="M170" s="44"/>
      <c r="N170" s="45"/>
    </row>
    <row r="171" spans="1:14">
      <c r="A171" s="44"/>
      <c r="B171" s="45"/>
      <c r="C171" s="45"/>
      <c r="E171" s="44"/>
      <c r="F171" s="45"/>
      <c r="G171" s="45"/>
      <c r="J171" s="44"/>
      <c r="K171" s="45"/>
      <c r="M171" s="44"/>
      <c r="N171" s="45"/>
    </row>
    <row r="172" spans="1:14">
      <c r="A172" s="44"/>
      <c r="B172" s="45"/>
      <c r="C172" s="45"/>
      <c r="E172" s="44"/>
      <c r="F172" s="45"/>
      <c r="G172" s="45"/>
      <c r="J172" s="44"/>
      <c r="K172" s="45"/>
      <c r="M172" s="44"/>
      <c r="N172" s="45"/>
    </row>
    <row r="173" spans="1:14">
      <c r="A173" s="44"/>
      <c r="B173" s="45"/>
      <c r="C173" s="45"/>
      <c r="E173" s="44"/>
      <c r="F173" s="45"/>
      <c r="G173" s="45"/>
      <c r="J173" s="44"/>
      <c r="K173" s="45"/>
      <c r="M173" s="44"/>
      <c r="N173" s="45"/>
    </row>
    <row r="174" spans="1:14">
      <c r="A174" s="44"/>
      <c r="B174" s="45"/>
      <c r="C174" s="45"/>
      <c r="E174" s="44"/>
      <c r="F174" s="45"/>
      <c r="G174" s="45"/>
      <c r="J174" s="44"/>
      <c r="K174" s="45"/>
      <c r="M174" s="44"/>
      <c r="N174" s="45"/>
    </row>
    <row r="175" spans="1:14">
      <c r="A175" s="44"/>
      <c r="B175" s="45"/>
      <c r="C175" s="45"/>
      <c r="E175" s="44"/>
      <c r="F175" s="45"/>
      <c r="G175" s="45"/>
      <c r="J175" s="44"/>
      <c r="K175" s="45"/>
      <c r="M175" s="44"/>
      <c r="N175" s="45"/>
    </row>
    <row r="176" spans="1:14">
      <c r="A176" s="44"/>
      <c r="B176" s="45"/>
      <c r="C176" s="45"/>
      <c r="E176" s="44"/>
      <c r="F176" s="45"/>
      <c r="G176" s="45"/>
      <c r="J176" s="44"/>
      <c r="K176" s="45"/>
      <c r="M176" s="44"/>
      <c r="N176" s="45"/>
    </row>
    <row r="177" spans="1:14">
      <c r="A177" s="44"/>
      <c r="B177" s="45"/>
      <c r="C177" s="45"/>
      <c r="E177" s="44"/>
      <c r="F177" s="45"/>
      <c r="G177" s="45"/>
      <c r="J177" s="44"/>
      <c r="K177" s="45"/>
      <c r="M177" s="44"/>
      <c r="N177" s="45"/>
    </row>
    <row r="178" spans="1:14">
      <c r="A178" s="44"/>
      <c r="B178" s="45"/>
      <c r="C178" s="45"/>
      <c r="E178" s="44"/>
      <c r="F178" s="45"/>
      <c r="G178" s="45"/>
      <c r="J178" s="44"/>
      <c r="K178" s="45"/>
      <c r="M178" s="44"/>
      <c r="N178" s="45"/>
    </row>
    <row r="179" spans="1:14">
      <c r="A179" s="44"/>
      <c r="B179" s="45"/>
      <c r="C179" s="45"/>
      <c r="E179" s="44"/>
      <c r="F179" s="45"/>
      <c r="G179" s="45"/>
      <c r="J179" s="44"/>
      <c r="K179" s="45"/>
      <c r="M179" s="44"/>
      <c r="N179" s="45"/>
    </row>
    <row r="180" spans="1:14">
      <c r="A180" s="44"/>
      <c r="B180" s="45"/>
      <c r="C180" s="45"/>
      <c r="E180" s="44"/>
      <c r="F180" s="45"/>
      <c r="G180" s="45"/>
      <c r="J180" s="44"/>
      <c r="K180" s="45"/>
      <c r="M180" s="44"/>
      <c r="N180" s="45"/>
    </row>
    <row r="181" spans="1:14">
      <c r="A181" s="44"/>
      <c r="B181" s="45"/>
      <c r="C181" s="45"/>
      <c r="E181" s="44"/>
      <c r="F181" s="45"/>
      <c r="G181" s="45"/>
      <c r="J181" s="44"/>
      <c r="K181" s="45"/>
      <c r="M181" s="44"/>
      <c r="N181" s="45"/>
    </row>
    <row r="182" spans="1:14">
      <c r="A182" s="44"/>
      <c r="B182" s="45"/>
      <c r="C182" s="45"/>
      <c r="E182" s="44"/>
      <c r="F182" s="45"/>
      <c r="G182" s="45"/>
      <c r="J182" s="44"/>
      <c r="K182" s="45"/>
      <c r="M182" s="44"/>
      <c r="N182" s="45"/>
    </row>
    <row r="183" spans="1:14">
      <c r="A183" s="44"/>
      <c r="B183" s="45"/>
      <c r="C183" s="45"/>
      <c r="E183" s="44"/>
      <c r="F183" s="45"/>
      <c r="G183" s="45"/>
      <c r="J183" s="44"/>
      <c r="K183" s="45"/>
      <c r="M183" s="44"/>
      <c r="N183" s="45"/>
    </row>
    <row r="184" spans="1:14">
      <c r="A184" s="44"/>
      <c r="B184" s="45"/>
      <c r="C184" s="45"/>
      <c r="E184" s="44"/>
      <c r="F184" s="45"/>
      <c r="G184" s="45"/>
      <c r="J184" s="44"/>
      <c r="K184" s="45"/>
      <c r="M184" s="44"/>
      <c r="N184" s="45"/>
    </row>
    <row r="185" spans="1:14">
      <c r="A185" s="44"/>
      <c r="B185" s="45"/>
      <c r="C185" s="45"/>
      <c r="E185" s="44"/>
      <c r="F185" s="45"/>
      <c r="G185" s="45"/>
      <c r="J185" s="44"/>
      <c r="K185" s="45"/>
      <c r="M185" s="44"/>
      <c r="N185" s="45"/>
    </row>
    <row r="186" spans="1:14">
      <c r="A186" s="44"/>
      <c r="B186" s="45"/>
      <c r="C186" s="45"/>
      <c r="E186" s="44"/>
      <c r="F186" s="45"/>
      <c r="G186" s="45"/>
      <c r="J186" s="44"/>
      <c r="K186" s="45"/>
      <c r="M186" s="44"/>
      <c r="N186" s="45"/>
    </row>
    <row r="187" spans="1:14">
      <c r="A187" s="44"/>
      <c r="B187" s="45"/>
      <c r="C187" s="45"/>
      <c r="E187" s="44"/>
      <c r="F187" s="45"/>
      <c r="G187" s="45"/>
      <c r="J187" s="44"/>
      <c r="K187" s="45"/>
      <c r="M187" s="44"/>
      <c r="N187" s="45"/>
    </row>
    <row r="188" spans="1:14">
      <c r="A188" s="44"/>
      <c r="B188" s="45"/>
      <c r="C188" s="45"/>
      <c r="E188" s="44"/>
      <c r="F188" s="45"/>
      <c r="G188" s="45"/>
      <c r="J188" s="44"/>
      <c r="K188" s="45"/>
      <c r="M188" s="44"/>
      <c r="N188" s="45"/>
    </row>
    <row r="189" spans="1:14">
      <c r="A189" s="44"/>
      <c r="B189" s="45"/>
      <c r="C189" s="45"/>
      <c r="E189" s="44"/>
      <c r="F189" s="45"/>
      <c r="G189" s="45"/>
      <c r="J189" s="44"/>
      <c r="K189" s="45"/>
      <c r="M189" s="44"/>
      <c r="N189" s="45"/>
    </row>
    <row r="190" spans="1:14">
      <c r="A190" s="44"/>
      <c r="B190" s="45"/>
      <c r="C190" s="45"/>
      <c r="E190" s="44"/>
      <c r="F190" s="45"/>
      <c r="G190" s="45"/>
      <c r="J190" s="44"/>
      <c r="K190" s="45"/>
      <c r="M190" s="44"/>
      <c r="N190" s="45"/>
    </row>
    <row r="191" spans="1:14">
      <c r="A191" s="44"/>
      <c r="B191" s="45"/>
      <c r="C191" s="45"/>
      <c r="E191" s="44"/>
      <c r="F191" s="45"/>
      <c r="G191" s="45"/>
      <c r="J191" s="44"/>
      <c r="K191" s="45"/>
      <c r="M191" s="44"/>
      <c r="N191" s="45"/>
    </row>
    <row r="192" spans="1:14">
      <c r="A192" s="44"/>
      <c r="B192" s="45"/>
      <c r="C192" s="45"/>
      <c r="E192" s="44"/>
      <c r="F192" s="45"/>
      <c r="G192" s="45"/>
      <c r="J192" s="44"/>
      <c r="K192" s="45"/>
      <c r="M192" s="44"/>
      <c r="N192" s="45"/>
    </row>
    <row r="193" spans="1:14">
      <c r="A193" s="44"/>
      <c r="B193" s="45"/>
      <c r="C193" s="45"/>
      <c r="E193" s="44"/>
      <c r="F193" s="45"/>
      <c r="G193" s="45"/>
      <c r="J193" s="44"/>
      <c r="K193" s="45"/>
      <c r="M193" s="44"/>
      <c r="N193" s="45"/>
    </row>
    <row r="194" spans="1:14">
      <c r="A194" s="44"/>
      <c r="B194" s="45"/>
      <c r="C194" s="45"/>
      <c r="E194" s="44"/>
      <c r="F194" s="45"/>
      <c r="G194" s="45"/>
      <c r="J194" s="44"/>
      <c r="K194" s="45"/>
      <c r="M194" s="44"/>
      <c r="N194" s="45"/>
    </row>
    <row r="195" spans="1:14">
      <c r="A195" s="44"/>
      <c r="B195" s="45"/>
      <c r="C195" s="45"/>
      <c r="E195" s="44"/>
      <c r="F195" s="45"/>
      <c r="G195" s="45"/>
      <c r="J195" s="44"/>
      <c r="K195" s="45"/>
      <c r="M195" s="44"/>
      <c r="N195" s="45"/>
    </row>
    <row r="196" spans="1:14">
      <c r="A196" s="44"/>
      <c r="B196" s="45"/>
      <c r="C196" s="45"/>
      <c r="E196" s="44"/>
      <c r="F196" s="45"/>
      <c r="G196" s="45"/>
      <c r="J196" s="44"/>
      <c r="K196" s="45"/>
      <c r="M196" s="44"/>
      <c r="N196" s="45"/>
    </row>
    <row r="197" spans="1:14">
      <c r="A197" s="44"/>
      <c r="B197" s="45"/>
      <c r="C197" s="45"/>
      <c r="E197" s="44"/>
      <c r="F197" s="45"/>
      <c r="G197" s="45"/>
      <c r="J197" s="44"/>
      <c r="K197" s="45"/>
      <c r="M197" s="44"/>
      <c r="N197" s="45"/>
    </row>
    <row r="198" spans="1:14">
      <c r="A198" s="44"/>
      <c r="B198" s="45"/>
      <c r="C198" s="45"/>
      <c r="E198" s="44"/>
      <c r="F198" s="45"/>
      <c r="G198" s="45"/>
      <c r="J198" s="44"/>
      <c r="K198" s="45"/>
      <c r="M198" s="44"/>
      <c r="N198" s="45"/>
    </row>
    <row r="199" spans="1:14">
      <c r="A199" s="44"/>
      <c r="B199" s="45"/>
      <c r="C199" s="45"/>
      <c r="E199" s="44"/>
      <c r="F199" s="45"/>
      <c r="G199" s="45"/>
      <c r="J199" s="44"/>
      <c r="K199" s="45"/>
      <c r="M199" s="44"/>
      <c r="N199" s="45"/>
    </row>
    <row r="200" spans="1:14">
      <c r="A200" s="44"/>
      <c r="B200" s="45"/>
      <c r="C200" s="45"/>
      <c r="E200" s="44"/>
      <c r="F200" s="45"/>
      <c r="G200" s="45"/>
      <c r="J200" s="44"/>
      <c r="K200" s="45"/>
      <c r="M200" s="44"/>
      <c r="N200" s="45"/>
    </row>
    <row r="201" spans="1:14">
      <c r="A201" s="44"/>
      <c r="B201" s="45"/>
      <c r="C201" s="45"/>
      <c r="E201" s="44"/>
      <c r="F201" s="45"/>
      <c r="G201" s="45"/>
      <c r="J201" s="44"/>
      <c r="K201" s="45"/>
      <c r="M201" s="44"/>
      <c r="N201" s="45"/>
    </row>
    <row r="202" spans="1:14">
      <c r="A202" s="44"/>
      <c r="B202" s="45"/>
      <c r="C202" s="45"/>
      <c r="E202" s="44"/>
      <c r="F202" s="45"/>
      <c r="G202" s="45"/>
      <c r="J202" s="44"/>
      <c r="K202" s="45"/>
      <c r="M202" s="44"/>
      <c r="N202" s="45"/>
    </row>
    <row r="203" spans="1:14">
      <c r="A203" s="44"/>
      <c r="B203" s="45"/>
      <c r="C203" s="45"/>
      <c r="E203" s="44"/>
      <c r="F203" s="45"/>
      <c r="G203" s="45"/>
      <c r="J203" s="44"/>
      <c r="K203" s="45"/>
      <c r="M203" s="44"/>
      <c r="N203" s="45"/>
    </row>
    <row r="204" spans="1:14">
      <c r="A204" s="44"/>
      <c r="B204" s="45"/>
      <c r="C204" s="45"/>
      <c r="E204" s="44"/>
      <c r="F204" s="45"/>
      <c r="G204" s="45"/>
      <c r="J204" s="44"/>
      <c r="K204" s="45"/>
      <c r="M204" s="44"/>
      <c r="N204" s="45"/>
    </row>
    <row r="205" spans="1:14">
      <c r="A205" s="44"/>
      <c r="B205" s="45"/>
      <c r="C205" s="45"/>
      <c r="E205" s="44"/>
      <c r="F205" s="45"/>
      <c r="G205" s="45"/>
      <c r="J205" s="44"/>
      <c r="K205" s="45"/>
      <c r="M205" s="44"/>
      <c r="N205" s="45"/>
    </row>
    <row r="206" spans="1:14">
      <c r="A206" s="44"/>
      <c r="B206" s="45"/>
      <c r="C206" s="45"/>
      <c r="E206" s="44"/>
      <c r="F206" s="45"/>
      <c r="G206" s="45"/>
      <c r="J206" s="44"/>
      <c r="K206" s="45"/>
      <c r="M206" s="44"/>
      <c r="N206" s="45"/>
    </row>
    <row r="207" spans="1:14">
      <c r="A207" s="44"/>
      <c r="B207" s="45"/>
      <c r="C207" s="45"/>
      <c r="E207" s="44"/>
      <c r="F207" s="45"/>
      <c r="G207" s="45"/>
      <c r="J207" s="44"/>
      <c r="K207" s="45"/>
      <c r="M207" s="44"/>
      <c r="N207" s="45"/>
    </row>
    <row r="208" spans="1:14">
      <c r="A208" s="44"/>
      <c r="B208" s="45"/>
      <c r="C208" s="45"/>
      <c r="E208" s="44"/>
      <c r="F208" s="45"/>
      <c r="G208" s="45"/>
      <c r="J208" s="44"/>
      <c r="K208" s="45"/>
      <c r="M208" s="44"/>
      <c r="N208" s="45"/>
    </row>
    <row r="209" spans="1:14">
      <c r="A209" s="44"/>
      <c r="B209" s="45"/>
      <c r="C209" s="45"/>
      <c r="E209" s="44"/>
      <c r="F209" s="45"/>
      <c r="G209" s="45"/>
      <c r="J209" s="44"/>
      <c r="K209" s="45"/>
      <c r="M209" s="44"/>
      <c r="N209" s="45"/>
    </row>
    <row r="210" spans="1:14">
      <c r="A210" s="44"/>
      <c r="B210" s="45"/>
      <c r="C210" s="45"/>
      <c r="E210" s="44"/>
      <c r="F210" s="45"/>
      <c r="G210" s="45"/>
      <c r="J210" s="44"/>
      <c r="K210" s="45"/>
      <c r="M210" s="44"/>
      <c r="N210" s="45"/>
    </row>
    <row r="211" spans="1:14">
      <c r="A211" s="44"/>
      <c r="B211" s="45"/>
      <c r="C211" s="45"/>
      <c r="E211" s="44"/>
      <c r="F211" s="45"/>
      <c r="G211" s="45"/>
      <c r="J211" s="44"/>
      <c r="K211" s="45"/>
      <c r="M211" s="44"/>
      <c r="N211" s="45"/>
    </row>
    <row r="212" spans="1:14">
      <c r="A212" s="44"/>
      <c r="B212" s="45"/>
      <c r="C212" s="45"/>
      <c r="E212" s="44"/>
      <c r="F212" s="45"/>
      <c r="G212" s="45"/>
      <c r="J212" s="44"/>
      <c r="K212" s="45"/>
      <c r="M212" s="44"/>
      <c r="N212" s="45"/>
    </row>
    <row r="213" spans="1:14">
      <c r="A213" s="44"/>
      <c r="B213" s="45"/>
      <c r="C213" s="45"/>
      <c r="E213" s="44"/>
      <c r="F213" s="45"/>
      <c r="G213" s="45"/>
      <c r="J213" s="44"/>
      <c r="K213" s="45"/>
      <c r="M213" s="44"/>
      <c r="N213" s="45"/>
    </row>
    <row r="214" spans="1:14">
      <c r="A214" s="44"/>
      <c r="B214" s="45"/>
      <c r="C214" s="45"/>
      <c r="E214" s="44"/>
      <c r="F214" s="45"/>
      <c r="G214" s="45"/>
      <c r="J214" s="44"/>
      <c r="K214" s="45"/>
      <c r="M214" s="44"/>
      <c r="N214" s="45"/>
    </row>
    <row r="215" spans="1:14">
      <c r="A215" s="44"/>
      <c r="B215" s="45"/>
      <c r="C215" s="45"/>
      <c r="E215" s="44"/>
      <c r="F215" s="45"/>
      <c r="G215" s="45"/>
      <c r="J215" s="44"/>
      <c r="K215" s="45"/>
      <c r="M215" s="44"/>
      <c r="N215" s="45"/>
    </row>
    <row r="216" spans="1:14">
      <c r="A216" s="44"/>
      <c r="B216" s="45"/>
      <c r="C216" s="45"/>
      <c r="E216" s="44"/>
      <c r="F216" s="45"/>
      <c r="G216" s="45"/>
      <c r="J216" s="44"/>
      <c r="K216" s="45"/>
      <c r="M216" s="44"/>
      <c r="N216" s="45"/>
    </row>
    <row r="217" spans="1:14">
      <c r="A217" s="44"/>
      <c r="B217" s="45"/>
      <c r="C217" s="45"/>
      <c r="E217" s="44"/>
      <c r="F217" s="45"/>
      <c r="G217" s="45"/>
      <c r="J217" s="44"/>
      <c r="K217" s="45"/>
      <c r="M217" s="44"/>
      <c r="N217" s="45"/>
    </row>
    <row r="218" spans="1:14">
      <c r="A218" s="44"/>
      <c r="B218" s="45"/>
      <c r="C218" s="45"/>
      <c r="E218" s="44"/>
      <c r="F218" s="45"/>
      <c r="G218" s="45"/>
      <c r="J218" s="44"/>
      <c r="K218" s="45"/>
      <c r="M218" s="44"/>
      <c r="N218" s="45"/>
    </row>
    <row r="219" spans="1:14">
      <c r="A219" s="44"/>
      <c r="B219" s="45"/>
      <c r="C219" s="45"/>
      <c r="E219" s="44"/>
      <c r="F219" s="45"/>
      <c r="G219" s="45"/>
      <c r="J219" s="44"/>
      <c r="K219" s="45"/>
      <c r="M219" s="44"/>
      <c r="N219" s="45"/>
    </row>
    <row r="220" spans="1:14">
      <c r="A220" s="44"/>
      <c r="B220" s="45"/>
      <c r="C220" s="45"/>
      <c r="E220" s="44"/>
      <c r="F220" s="45"/>
      <c r="G220" s="45"/>
      <c r="J220" s="44"/>
      <c r="K220" s="45"/>
      <c r="M220" s="44"/>
      <c r="N220" s="45"/>
    </row>
    <row r="221" spans="1:14">
      <c r="A221" s="44"/>
      <c r="B221" s="45"/>
      <c r="C221" s="45"/>
      <c r="E221" s="44"/>
      <c r="F221" s="45"/>
      <c r="G221" s="45"/>
      <c r="J221" s="44"/>
      <c r="K221" s="45"/>
      <c r="M221" s="44"/>
      <c r="N221" s="45"/>
    </row>
    <row r="222" spans="1:14">
      <c r="A222" s="44"/>
      <c r="B222" s="45"/>
      <c r="C222" s="45"/>
      <c r="E222" s="44"/>
      <c r="F222" s="45"/>
      <c r="G222" s="45"/>
      <c r="J222" s="44"/>
      <c r="K222" s="45"/>
      <c r="M222" s="44"/>
      <c r="N222" s="45"/>
    </row>
    <row r="223" spans="1:14">
      <c r="A223" s="44"/>
      <c r="B223" s="45"/>
      <c r="C223" s="45"/>
      <c r="E223" s="44"/>
      <c r="F223" s="45"/>
      <c r="G223" s="45"/>
      <c r="J223" s="44"/>
      <c r="K223" s="45"/>
      <c r="M223" s="44"/>
      <c r="N223" s="45"/>
    </row>
    <row r="224" spans="1:14">
      <c r="A224" s="44"/>
      <c r="B224" s="45"/>
      <c r="C224" s="45"/>
      <c r="E224" s="44"/>
      <c r="F224" s="45"/>
      <c r="G224" s="45"/>
      <c r="J224" s="44"/>
      <c r="K224" s="45"/>
      <c r="M224" s="44"/>
      <c r="N224" s="45"/>
    </row>
    <row r="225" spans="1:14">
      <c r="A225" s="44"/>
      <c r="B225" s="45"/>
      <c r="C225" s="45"/>
      <c r="E225" s="44"/>
      <c r="F225" s="45"/>
      <c r="G225" s="45"/>
      <c r="J225" s="44"/>
      <c r="K225" s="45"/>
      <c r="M225" s="44"/>
      <c r="N225" s="45"/>
    </row>
    <row r="226" spans="1:14">
      <c r="A226" s="44"/>
      <c r="B226" s="45"/>
      <c r="C226" s="45"/>
      <c r="E226" s="44"/>
      <c r="F226" s="45"/>
      <c r="G226" s="45"/>
      <c r="J226" s="44"/>
      <c r="K226" s="45"/>
      <c r="M226" s="44"/>
      <c r="N226" s="45"/>
    </row>
    <row r="227" spans="1:14">
      <c r="A227" s="44"/>
      <c r="B227" s="45"/>
      <c r="C227" s="45"/>
      <c r="E227" s="44"/>
      <c r="F227" s="45"/>
      <c r="G227" s="45"/>
      <c r="J227" s="44"/>
      <c r="K227" s="45"/>
      <c r="M227" s="44"/>
      <c r="N227" s="45"/>
    </row>
    <row r="228" spans="1:14">
      <c r="A228" s="44"/>
      <c r="B228" s="45"/>
      <c r="C228" s="45"/>
      <c r="E228" s="44"/>
      <c r="F228" s="45"/>
      <c r="G228" s="45"/>
      <c r="J228" s="44"/>
      <c r="K228" s="45"/>
      <c r="M228" s="44"/>
      <c r="N228" s="45"/>
    </row>
    <row r="229" spans="1:14">
      <c r="A229" s="44"/>
      <c r="B229" s="45"/>
      <c r="C229" s="45"/>
      <c r="E229" s="44"/>
      <c r="F229" s="45"/>
      <c r="G229" s="45"/>
      <c r="J229" s="44"/>
      <c r="K229" s="45"/>
      <c r="M229" s="44"/>
      <c r="N229" s="45"/>
    </row>
    <row r="230" spans="1:14">
      <c r="A230" s="44"/>
      <c r="B230" s="45"/>
      <c r="C230" s="45"/>
      <c r="E230" s="44"/>
      <c r="F230" s="45"/>
      <c r="G230" s="45"/>
      <c r="J230" s="44"/>
      <c r="K230" s="45"/>
      <c r="M230" s="44"/>
      <c r="N230" s="45"/>
    </row>
    <row r="231" spans="1:14">
      <c r="A231" s="44"/>
      <c r="B231" s="45"/>
      <c r="C231" s="45"/>
      <c r="E231" s="44"/>
      <c r="F231" s="45"/>
      <c r="G231" s="45"/>
      <c r="J231" s="44"/>
      <c r="K231" s="45"/>
      <c r="M231" s="44"/>
      <c r="N231" s="45"/>
    </row>
    <row r="232" spans="1:14">
      <c r="A232" s="44"/>
      <c r="B232" s="45"/>
      <c r="C232" s="45"/>
      <c r="E232" s="44"/>
      <c r="F232" s="45"/>
      <c r="G232" s="45"/>
      <c r="J232" s="44"/>
      <c r="K232" s="45"/>
      <c r="M232" s="44"/>
      <c r="N232" s="45"/>
    </row>
    <row r="233" spans="1:14">
      <c r="A233" s="44"/>
      <c r="B233" s="45"/>
      <c r="C233" s="45"/>
      <c r="E233" s="44"/>
      <c r="F233" s="45"/>
      <c r="G233" s="45"/>
      <c r="J233" s="44"/>
      <c r="K233" s="45"/>
      <c r="M233" s="44"/>
      <c r="N233" s="45"/>
    </row>
    <row r="234" spans="1:14">
      <c r="A234" s="44"/>
      <c r="B234" s="45"/>
      <c r="C234" s="45"/>
      <c r="E234" s="44"/>
      <c r="F234" s="45"/>
      <c r="G234" s="45"/>
      <c r="J234" s="44"/>
      <c r="K234" s="45"/>
      <c r="M234" s="44"/>
      <c r="N234" s="45"/>
    </row>
    <row r="235" spans="1:14">
      <c r="A235" s="44"/>
      <c r="B235" s="45"/>
      <c r="C235" s="45"/>
      <c r="E235" s="44"/>
      <c r="F235" s="45"/>
      <c r="G235" s="45"/>
      <c r="J235" s="44"/>
      <c r="K235" s="45"/>
      <c r="M235" s="44"/>
      <c r="N235" s="45"/>
    </row>
    <row r="236" spans="1:14">
      <c r="A236" s="44"/>
      <c r="B236" s="45"/>
      <c r="C236" s="45"/>
      <c r="E236" s="44"/>
      <c r="F236" s="45"/>
      <c r="G236" s="45"/>
      <c r="J236" s="44"/>
      <c r="K236" s="45"/>
      <c r="M236" s="44"/>
      <c r="N236" s="45"/>
    </row>
    <row r="237" spans="1:14">
      <c r="A237" s="44"/>
      <c r="B237" s="45"/>
      <c r="C237" s="45"/>
      <c r="E237" s="44"/>
      <c r="F237" s="45"/>
      <c r="G237" s="45"/>
      <c r="J237" s="44"/>
      <c r="K237" s="45"/>
      <c r="M237" s="44"/>
      <c r="N237" s="45"/>
    </row>
    <row r="238" spans="1:14">
      <c r="A238" s="44"/>
      <c r="B238" s="45"/>
      <c r="C238" s="45"/>
      <c r="E238" s="44"/>
      <c r="F238" s="45"/>
      <c r="G238" s="45"/>
      <c r="J238" s="44"/>
      <c r="K238" s="45"/>
      <c r="M238" s="44"/>
      <c r="N238" s="45"/>
    </row>
    <row r="239" spans="1:14">
      <c r="A239" s="44"/>
      <c r="B239" s="45"/>
      <c r="C239" s="45"/>
      <c r="E239" s="44"/>
      <c r="F239" s="45"/>
      <c r="G239" s="45"/>
      <c r="J239" s="44"/>
      <c r="K239" s="45"/>
      <c r="M239" s="44"/>
      <c r="N239" s="45"/>
    </row>
    <row r="240" spans="1:14">
      <c r="A240" s="44"/>
      <c r="B240" s="45"/>
      <c r="C240" s="45"/>
      <c r="E240" s="44"/>
      <c r="F240" s="45"/>
      <c r="G240" s="45"/>
      <c r="J240" s="44"/>
      <c r="K240" s="45"/>
      <c r="M240" s="44"/>
      <c r="N240" s="45"/>
    </row>
    <row r="241" spans="1:14">
      <c r="A241" s="44"/>
      <c r="B241" s="45"/>
      <c r="C241" s="45"/>
      <c r="E241" s="44"/>
      <c r="F241" s="45"/>
      <c r="G241" s="45"/>
      <c r="J241" s="44"/>
      <c r="K241" s="45"/>
      <c r="M241" s="44"/>
      <c r="N241" s="45"/>
    </row>
    <row r="242" spans="1:14">
      <c r="A242" s="44"/>
      <c r="B242" s="45"/>
      <c r="C242" s="45"/>
      <c r="E242" s="44"/>
      <c r="F242" s="45"/>
      <c r="G242" s="45"/>
      <c r="J242" s="44"/>
      <c r="K242" s="45"/>
      <c r="M242" s="44"/>
      <c r="N242" s="45"/>
    </row>
    <row r="243" spans="1:14">
      <c r="A243" s="44"/>
      <c r="B243" s="45"/>
      <c r="C243" s="45"/>
      <c r="E243" s="44"/>
      <c r="F243" s="45"/>
      <c r="G243" s="45"/>
      <c r="J243" s="44"/>
      <c r="K243" s="45"/>
      <c r="M243" s="44"/>
      <c r="N243" s="45"/>
    </row>
    <row r="244" spans="1:14">
      <c r="A244" s="44"/>
      <c r="B244" s="45"/>
      <c r="C244" s="45"/>
      <c r="E244" s="44"/>
      <c r="F244" s="45"/>
      <c r="G244" s="45"/>
      <c r="J244" s="44"/>
      <c r="K244" s="45"/>
      <c r="M244" s="44"/>
      <c r="N244" s="45"/>
    </row>
    <row r="245" spans="1:14">
      <c r="A245" s="44"/>
      <c r="B245" s="45"/>
      <c r="C245" s="45"/>
      <c r="E245" s="44"/>
      <c r="F245" s="45"/>
      <c r="G245" s="45"/>
      <c r="J245" s="44"/>
      <c r="K245" s="45"/>
      <c r="M245" s="44"/>
      <c r="N245" s="45"/>
    </row>
    <row r="246" spans="1:14">
      <c r="A246" s="44"/>
      <c r="B246" s="45"/>
      <c r="C246" s="45"/>
      <c r="E246" s="44"/>
      <c r="F246" s="45"/>
      <c r="G246" s="45"/>
      <c r="J246" s="44"/>
      <c r="K246" s="45"/>
      <c r="M246" s="44"/>
      <c r="N246" s="45"/>
    </row>
    <row r="247" spans="1:14">
      <c r="A247" s="44"/>
      <c r="B247" s="45"/>
      <c r="C247" s="45"/>
      <c r="E247" s="44"/>
      <c r="F247" s="45"/>
      <c r="G247" s="45"/>
      <c r="J247" s="44"/>
      <c r="K247" s="45"/>
      <c r="M247" s="44"/>
      <c r="N247" s="45"/>
    </row>
    <row r="248" spans="1:14">
      <c r="A248" s="44"/>
      <c r="B248" s="45"/>
      <c r="C248" s="45"/>
      <c r="E248" s="44"/>
      <c r="F248" s="45"/>
      <c r="G248" s="45"/>
      <c r="J248" s="44"/>
      <c r="K248" s="45"/>
      <c r="M248" s="44"/>
      <c r="N248" s="45"/>
    </row>
    <row r="249" spans="1:14">
      <c r="A249" s="44"/>
      <c r="B249" s="45"/>
      <c r="C249" s="45"/>
      <c r="E249" s="44"/>
      <c r="F249" s="45"/>
      <c r="G249" s="45"/>
      <c r="J249" s="44"/>
      <c r="K249" s="45"/>
      <c r="M249" s="44"/>
      <c r="N249" s="45"/>
    </row>
    <row r="250" spans="1:14">
      <c r="A250" s="44"/>
      <c r="B250" s="45"/>
      <c r="C250" s="45"/>
      <c r="E250" s="44"/>
      <c r="F250" s="45"/>
      <c r="G250" s="45"/>
      <c r="J250" s="44"/>
      <c r="K250" s="45"/>
      <c r="M250" s="44"/>
      <c r="N250" s="45"/>
    </row>
    <row r="251" spans="1:14">
      <c r="A251" s="44"/>
      <c r="B251" s="45"/>
      <c r="C251" s="45"/>
      <c r="E251" s="44"/>
      <c r="F251" s="45"/>
      <c r="G251" s="45"/>
      <c r="J251" s="44"/>
      <c r="K251" s="45"/>
      <c r="M251" s="44"/>
      <c r="N251" s="45"/>
    </row>
    <row r="252" spans="1:14">
      <c r="A252" s="44"/>
      <c r="B252" s="45"/>
      <c r="C252" s="45"/>
      <c r="E252" s="44"/>
      <c r="F252" s="45"/>
      <c r="G252" s="45"/>
      <c r="J252" s="44"/>
      <c r="K252" s="45"/>
      <c r="M252" s="44"/>
      <c r="N252" s="45"/>
    </row>
    <row r="253" spans="1:14">
      <c r="A253" s="44"/>
      <c r="B253" s="45"/>
      <c r="C253" s="45"/>
      <c r="E253" s="44"/>
      <c r="F253" s="45"/>
      <c r="G253" s="45"/>
      <c r="J253" s="44"/>
      <c r="K253" s="45"/>
      <c r="M253" s="44"/>
      <c r="N253" s="45"/>
    </row>
    <row r="254" spans="1:14">
      <c r="A254" s="44"/>
      <c r="B254" s="45"/>
      <c r="C254" s="45"/>
      <c r="E254" s="44"/>
      <c r="F254" s="45"/>
      <c r="G254" s="45"/>
      <c r="J254" s="44"/>
      <c r="K254" s="45"/>
      <c r="M254" s="44"/>
      <c r="N254" s="45"/>
    </row>
    <row r="255" spans="1:14">
      <c r="A255" s="44"/>
      <c r="B255" s="45"/>
      <c r="C255" s="45"/>
      <c r="E255" s="44"/>
      <c r="F255" s="45"/>
      <c r="G255" s="45"/>
      <c r="J255" s="44"/>
      <c r="K255" s="45"/>
      <c r="M255" s="44"/>
      <c r="N255" s="45"/>
    </row>
    <row r="256" spans="1:14">
      <c r="A256" s="44"/>
      <c r="B256" s="45"/>
      <c r="C256" s="45"/>
      <c r="E256" s="44"/>
      <c r="F256" s="45"/>
      <c r="G256" s="45"/>
      <c r="J256" s="44"/>
      <c r="K256" s="45"/>
      <c r="M256" s="44"/>
      <c r="N256" s="45"/>
    </row>
    <row r="257" spans="1:14">
      <c r="A257" s="44"/>
      <c r="B257" s="45"/>
      <c r="C257" s="45"/>
      <c r="E257" s="44"/>
      <c r="F257" s="45"/>
      <c r="G257" s="45"/>
      <c r="J257" s="44"/>
      <c r="K257" s="45"/>
      <c r="M257" s="44"/>
      <c r="N257" s="45"/>
    </row>
    <row r="258" spans="1:14">
      <c r="A258" s="44"/>
      <c r="B258" s="45"/>
      <c r="C258" s="45"/>
      <c r="E258" s="44"/>
      <c r="F258" s="45"/>
      <c r="G258" s="45"/>
      <c r="J258" s="44"/>
      <c r="K258" s="45"/>
      <c r="M258" s="44"/>
      <c r="N258" s="45"/>
    </row>
    <row r="259" spans="1:14">
      <c r="A259" s="44"/>
      <c r="B259" s="45"/>
      <c r="C259" s="45"/>
      <c r="E259" s="44"/>
      <c r="F259" s="45"/>
      <c r="G259" s="45"/>
      <c r="J259" s="44"/>
      <c r="K259" s="45"/>
      <c r="M259" s="44"/>
      <c r="N259" s="45"/>
    </row>
    <row r="260" spans="1:14">
      <c r="A260" s="44"/>
      <c r="B260" s="45"/>
      <c r="C260" s="45"/>
      <c r="E260" s="44"/>
      <c r="F260" s="45"/>
      <c r="G260" s="45"/>
      <c r="J260" s="44"/>
      <c r="K260" s="45"/>
      <c r="M260" s="44"/>
      <c r="N260" s="45"/>
    </row>
    <row r="261" spans="1:14">
      <c r="A261" s="44"/>
      <c r="B261" s="45"/>
      <c r="C261" s="45"/>
      <c r="E261" s="44"/>
      <c r="F261" s="45"/>
      <c r="G261" s="45"/>
      <c r="J261" s="44"/>
      <c r="K261" s="45"/>
      <c r="M261" s="44"/>
      <c r="N261" s="45"/>
    </row>
    <row r="262" spans="1:14">
      <c r="A262" s="44"/>
      <c r="B262" s="45"/>
      <c r="C262" s="45"/>
      <c r="E262" s="44"/>
      <c r="F262" s="45"/>
      <c r="G262" s="45"/>
      <c r="J262" s="44"/>
      <c r="K262" s="45"/>
      <c r="M262" s="44"/>
      <c r="N262" s="45"/>
    </row>
    <row r="263" spans="1:14">
      <c r="A263" s="44"/>
      <c r="B263" s="45"/>
      <c r="C263" s="45"/>
      <c r="E263" s="44"/>
      <c r="F263" s="45"/>
      <c r="G263" s="45"/>
      <c r="J263" s="44"/>
      <c r="K263" s="45"/>
      <c r="M263" s="44"/>
      <c r="N263" s="45"/>
    </row>
    <row r="264" spans="1:14">
      <c r="A264" s="44"/>
      <c r="B264" s="45"/>
      <c r="C264" s="45"/>
      <c r="E264" s="44"/>
      <c r="F264" s="45"/>
      <c r="G264" s="45"/>
      <c r="J264" s="44"/>
      <c r="K264" s="45"/>
      <c r="M264" s="44"/>
      <c r="N264" s="45"/>
    </row>
    <row r="265" spans="1:14">
      <c r="A265" s="44"/>
      <c r="B265" s="45"/>
      <c r="C265" s="45"/>
      <c r="E265" s="44"/>
      <c r="F265" s="45"/>
      <c r="G265" s="45"/>
      <c r="J265" s="44"/>
      <c r="K265" s="45"/>
      <c r="M265" s="44"/>
      <c r="N265" s="45"/>
    </row>
    <row r="266" spans="1:14">
      <c r="A266" s="44"/>
      <c r="B266" s="45"/>
      <c r="C266" s="45"/>
      <c r="E266" s="44"/>
      <c r="F266" s="45"/>
      <c r="G266" s="45"/>
      <c r="J266" s="44"/>
      <c r="K266" s="45"/>
      <c r="M266" s="44"/>
      <c r="N266" s="45"/>
    </row>
    <row r="267" spans="1:14">
      <c r="A267" s="44"/>
      <c r="B267" s="45"/>
      <c r="C267" s="45"/>
      <c r="E267" s="44"/>
      <c r="F267" s="45"/>
      <c r="G267" s="45"/>
      <c r="J267" s="44"/>
      <c r="K267" s="45"/>
      <c r="M267" s="44"/>
      <c r="N267" s="45"/>
    </row>
    <row r="268" spans="1:14">
      <c r="A268" s="44"/>
      <c r="B268" s="45"/>
      <c r="C268" s="45"/>
      <c r="E268" s="44"/>
      <c r="F268" s="45"/>
      <c r="G268" s="45"/>
      <c r="J268" s="44"/>
      <c r="K268" s="45"/>
      <c r="M268" s="44"/>
      <c r="N268" s="45"/>
    </row>
    <row r="269" spans="1:14">
      <c r="A269" s="44"/>
      <c r="B269" s="45"/>
      <c r="C269" s="45"/>
      <c r="E269" s="44"/>
      <c r="F269" s="45"/>
      <c r="G269" s="45"/>
      <c r="J269" s="44"/>
      <c r="K269" s="45"/>
      <c r="M269" s="44"/>
      <c r="N269" s="45"/>
    </row>
    <row r="270" spans="1:14">
      <c r="A270" s="44"/>
      <c r="B270" s="45"/>
      <c r="C270" s="45"/>
      <c r="E270" s="44"/>
      <c r="F270" s="45"/>
      <c r="G270" s="45"/>
      <c r="J270" s="44"/>
      <c r="K270" s="45"/>
      <c r="M270" s="44"/>
      <c r="N270" s="45"/>
    </row>
    <row r="271" spans="1:14">
      <c r="A271" s="44"/>
      <c r="B271" s="45"/>
      <c r="C271" s="45"/>
      <c r="E271" s="44"/>
      <c r="F271" s="45"/>
      <c r="G271" s="45"/>
      <c r="J271" s="44"/>
      <c r="K271" s="45"/>
      <c r="M271" s="44"/>
      <c r="N271" s="45"/>
    </row>
    <row r="272" spans="1:14">
      <c r="A272" s="44"/>
      <c r="B272" s="45"/>
      <c r="C272" s="45"/>
      <c r="E272" s="44"/>
      <c r="F272" s="45"/>
      <c r="G272" s="45"/>
      <c r="J272" s="44"/>
      <c r="K272" s="45"/>
      <c r="M272" s="44"/>
      <c r="N272" s="45"/>
    </row>
    <row r="273" spans="1:14">
      <c r="A273" s="44"/>
      <c r="B273" s="45"/>
      <c r="C273" s="45"/>
      <c r="E273" s="44"/>
      <c r="F273" s="45"/>
      <c r="G273" s="45"/>
      <c r="J273" s="44"/>
      <c r="K273" s="45"/>
      <c r="M273" s="44"/>
      <c r="N273" s="45"/>
    </row>
    <row r="274" spans="1:14">
      <c r="A274" s="44"/>
      <c r="B274" s="45"/>
      <c r="C274" s="45"/>
      <c r="E274" s="44"/>
      <c r="F274" s="45"/>
      <c r="G274" s="45"/>
      <c r="J274" s="44"/>
      <c r="K274" s="45"/>
      <c r="M274" s="44"/>
      <c r="N274" s="45"/>
    </row>
    <row r="275" spans="1:14">
      <c r="A275" s="44"/>
      <c r="B275" s="45"/>
      <c r="C275" s="45"/>
      <c r="E275" s="44"/>
      <c r="F275" s="45"/>
      <c r="G275" s="45"/>
      <c r="J275" s="44"/>
      <c r="K275" s="45"/>
      <c r="M275" s="44"/>
      <c r="N275" s="45"/>
    </row>
    <row r="276" spans="1:14">
      <c r="A276" s="44"/>
      <c r="B276" s="45"/>
      <c r="C276" s="45"/>
      <c r="E276" s="44"/>
      <c r="F276" s="45"/>
      <c r="G276" s="45"/>
      <c r="J276" s="44"/>
      <c r="K276" s="45"/>
      <c r="M276" s="44"/>
      <c r="N276" s="45"/>
    </row>
    <row r="277" spans="1:14">
      <c r="A277" s="44"/>
      <c r="B277" s="45"/>
      <c r="C277" s="45"/>
      <c r="E277" s="44"/>
      <c r="F277" s="45"/>
      <c r="G277" s="45"/>
      <c r="J277" s="44"/>
      <c r="K277" s="45"/>
      <c r="M277" s="44"/>
      <c r="N277" s="45"/>
    </row>
    <row r="278" spans="1:14">
      <c r="A278" s="44"/>
      <c r="B278" s="45"/>
      <c r="C278" s="45"/>
      <c r="E278" s="44"/>
      <c r="F278" s="45"/>
      <c r="G278" s="45"/>
      <c r="J278" s="44"/>
      <c r="K278" s="45"/>
      <c r="M278" s="44"/>
      <c r="N278" s="45"/>
    </row>
    <row r="279" spans="1:14">
      <c r="A279" s="44"/>
      <c r="B279" s="45"/>
      <c r="C279" s="45"/>
      <c r="E279" s="44"/>
      <c r="F279" s="45"/>
      <c r="G279" s="45"/>
      <c r="J279" s="44"/>
      <c r="K279" s="45"/>
      <c r="M279" s="44"/>
      <c r="N279" s="45"/>
    </row>
    <row r="280" spans="1:14">
      <c r="A280" s="44"/>
      <c r="B280" s="45"/>
      <c r="C280" s="45"/>
      <c r="E280" s="44"/>
      <c r="F280" s="45"/>
      <c r="G280" s="45"/>
      <c r="J280" s="44"/>
      <c r="K280" s="45"/>
      <c r="M280" s="44"/>
      <c r="N280" s="45"/>
    </row>
    <row r="281" spans="1:14">
      <c r="A281" s="44"/>
      <c r="B281" s="45"/>
      <c r="C281" s="45"/>
      <c r="E281" s="44"/>
      <c r="F281" s="45"/>
      <c r="G281" s="45"/>
      <c r="J281" s="44"/>
      <c r="K281" s="45"/>
      <c r="M281" s="44"/>
      <c r="N281" s="45"/>
    </row>
    <row r="282" spans="1:14">
      <c r="A282" s="44"/>
      <c r="B282" s="45"/>
      <c r="C282" s="45"/>
      <c r="E282" s="44"/>
      <c r="F282" s="45"/>
      <c r="G282" s="45"/>
      <c r="J282" s="44"/>
      <c r="K282" s="45"/>
      <c r="M282" s="44"/>
      <c r="N282" s="45"/>
    </row>
    <row r="283" spans="1:14">
      <c r="A283" s="44"/>
      <c r="B283" s="45"/>
      <c r="C283" s="45"/>
      <c r="E283" s="44"/>
      <c r="F283" s="45"/>
      <c r="G283" s="45"/>
      <c r="J283" s="44"/>
      <c r="K283" s="45"/>
      <c r="M283" s="44"/>
      <c r="N283" s="45"/>
    </row>
    <row r="284" spans="1:14">
      <c r="A284" s="44"/>
      <c r="B284" s="45"/>
      <c r="C284" s="45"/>
      <c r="E284" s="44"/>
      <c r="F284" s="45"/>
      <c r="G284" s="45"/>
      <c r="J284" s="44"/>
      <c r="K284" s="45"/>
      <c r="M284" s="44"/>
      <c r="N284" s="45"/>
    </row>
    <row r="285" spans="1:14">
      <c r="A285" s="44"/>
      <c r="B285" s="45"/>
      <c r="C285" s="45"/>
      <c r="E285" s="44"/>
      <c r="F285" s="45"/>
      <c r="G285" s="45"/>
      <c r="J285" s="44"/>
      <c r="K285" s="45"/>
      <c r="M285" s="44"/>
      <c r="N285" s="45"/>
    </row>
    <row r="286" spans="1:14">
      <c r="A286" s="44"/>
      <c r="B286" s="45"/>
      <c r="C286" s="45"/>
      <c r="E286" s="44"/>
      <c r="F286" s="45"/>
      <c r="G286" s="45"/>
      <c r="J286" s="44"/>
      <c r="K286" s="45"/>
      <c r="M286" s="44"/>
      <c r="N286" s="45"/>
    </row>
    <row r="287" spans="1:14">
      <c r="A287" s="44"/>
      <c r="B287" s="45"/>
      <c r="C287" s="45"/>
      <c r="E287" s="44"/>
      <c r="F287" s="45"/>
      <c r="G287" s="45"/>
      <c r="J287" s="44"/>
      <c r="K287" s="45"/>
      <c r="M287" s="44"/>
      <c r="N287" s="45"/>
    </row>
    <row r="288" spans="1:14">
      <c r="A288" s="44"/>
      <c r="B288" s="45"/>
      <c r="C288" s="45"/>
      <c r="E288" s="44"/>
      <c r="F288" s="45"/>
      <c r="G288" s="45"/>
      <c r="J288" s="44"/>
      <c r="K288" s="45"/>
      <c r="M288" s="44"/>
      <c r="N288" s="45"/>
    </row>
    <row r="289" spans="1:14">
      <c r="A289" s="44"/>
      <c r="B289" s="45"/>
      <c r="C289" s="45"/>
      <c r="E289" s="44"/>
      <c r="F289" s="45"/>
      <c r="G289" s="45"/>
      <c r="J289" s="44"/>
      <c r="K289" s="45"/>
      <c r="M289" s="44"/>
      <c r="N289" s="45"/>
    </row>
    <row r="290" spans="1:14">
      <c r="A290" s="44"/>
      <c r="B290" s="45"/>
      <c r="C290" s="45"/>
      <c r="E290" s="44"/>
      <c r="F290" s="45"/>
      <c r="G290" s="45"/>
      <c r="J290" s="44"/>
      <c r="K290" s="45"/>
      <c r="M290" s="44"/>
      <c r="N290" s="45"/>
    </row>
    <row r="291" spans="1:14">
      <c r="A291" s="44"/>
      <c r="B291" s="45"/>
      <c r="C291" s="45"/>
      <c r="E291" s="44"/>
      <c r="F291" s="45"/>
      <c r="G291" s="45"/>
      <c r="J291" s="44"/>
      <c r="K291" s="45"/>
      <c r="M291" s="44"/>
      <c r="N291" s="45"/>
    </row>
    <row r="292" spans="1:14">
      <c r="A292" s="44"/>
      <c r="B292" s="45"/>
      <c r="C292" s="45"/>
      <c r="E292" s="44"/>
      <c r="F292" s="45"/>
      <c r="G292" s="45"/>
      <c r="J292" s="44"/>
      <c r="K292" s="45"/>
      <c r="M292" s="44"/>
      <c r="N292" s="45"/>
    </row>
    <row r="293" spans="1:14">
      <c r="A293" s="44"/>
      <c r="B293" s="45"/>
      <c r="C293" s="45"/>
      <c r="E293" s="44"/>
      <c r="F293" s="45"/>
      <c r="G293" s="45"/>
      <c r="J293" s="44"/>
      <c r="K293" s="45"/>
      <c r="M293" s="44"/>
      <c r="N293" s="45"/>
    </row>
    <row r="294" spans="1:14">
      <c r="A294" s="44"/>
      <c r="B294" s="45"/>
      <c r="C294" s="45"/>
      <c r="E294" s="44"/>
      <c r="F294" s="45"/>
      <c r="G294" s="45"/>
      <c r="J294" s="44"/>
      <c r="K294" s="45"/>
      <c r="M294" s="44"/>
      <c r="N294" s="45"/>
    </row>
    <row r="295" spans="1:14">
      <c r="A295" s="44"/>
      <c r="B295" s="45"/>
      <c r="C295" s="45"/>
      <c r="E295" s="44"/>
      <c r="F295" s="45"/>
      <c r="G295" s="45"/>
      <c r="J295" s="44"/>
      <c r="K295" s="45"/>
      <c r="M295" s="44"/>
      <c r="N295" s="45"/>
    </row>
    <row r="296" spans="1:14">
      <c r="A296" s="44"/>
      <c r="B296" s="45"/>
      <c r="C296" s="45"/>
      <c r="E296" s="44"/>
      <c r="F296" s="45"/>
      <c r="G296" s="45"/>
      <c r="J296" s="44"/>
      <c r="K296" s="45"/>
      <c r="M296" s="44"/>
      <c r="N296" s="45"/>
    </row>
    <row r="297" spans="1:14">
      <c r="A297" s="44"/>
      <c r="B297" s="45"/>
      <c r="C297" s="45"/>
      <c r="E297" s="44"/>
      <c r="F297" s="45"/>
      <c r="G297" s="45"/>
      <c r="J297" s="44"/>
      <c r="K297" s="45"/>
      <c r="M297" s="44"/>
      <c r="N297" s="45"/>
    </row>
    <row r="298" spans="1:14">
      <c r="A298" s="44"/>
      <c r="B298" s="45"/>
      <c r="C298" s="45"/>
      <c r="E298" s="44"/>
      <c r="F298" s="45"/>
      <c r="G298" s="45"/>
      <c r="J298" s="44"/>
      <c r="K298" s="45"/>
      <c r="M298" s="44"/>
      <c r="N298" s="45"/>
    </row>
    <row r="299" spans="1:14">
      <c r="A299" s="44"/>
      <c r="B299" s="45"/>
      <c r="C299" s="45"/>
      <c r="E299" s="44"/>
      <c r="F299" s="45"/>
      <c r="G299" s="45"/>
      <c r="J299" s="44"/>
      <c r="K299" s="45"/>
      <c r="M299" s="44"/>
      <c r="N299" s="45"/>
    </row>
    <row r="300" spans="1:14">
      <c r="A300" s="44"/>
      <c r="B300" s="45"/>
      <c r="C300" s="45"/>
      <c r="E300" s="44"/>
      <c r="F300" s="45"/>
      <c r="G300" s="45"/>
      <c r="J300" s="44"/>
      <c r="K300" s="45"/>
      <c r="M300" s="44"/>
      <c r="N300" s="45"/>
    </row>
    <row r="301" spans="1:14">
      <c r="A301" s="44"/>
      <c r="B301" s="45"/>
      <c r="C301" s="45"/>
      <c r="E301" s="44"/>
      <c r="F301" s="45"/>
      <c r="G301" s="45"/>
      <c r="J301" s="44"/>
      <c r="K301" s="45"/>
      <c r="M301" s="44"/>
      <c r="N301" s="45"/>
    </row>
    <row r="302" spans="1:14">
      <c r="A302" s="44"/>
      <c r="B302" s="45"/>
      <c r="C302" s="45"/>
      <c r="E302" s="44"/>
      <c r="F302" s="45"/>
      <c r="G302" s="45"/>
      <c r="J302" s="44"/>
      <c r="K302" s="45"/>
      <c r="M302" s="44"/>
      <c r="N302" s="45"/>
    </row>
    <row r="303" spans="1:14">
      <c r="A303" s="44"/>
      <c r="B303" s="45"/>
      <c r="C303" s="45"/>
      <c r="E303" s="44"/>
      <c r="F303" s="45"/>
      <c r="G303" s="45"/>
      <c r="J303" s="44"/>
      <c r="K303" s="45"/>
      <c r="M303" s="44"/>
      <c r="N303" s="45"/>
    </row>
    <row r="304" spans="1:14">
      <c r="A304" s="44"/>
      <c r="B304" s="45"/>
      <c r="C304" s="45"/>
      <c r="E304" s="44"/>
      <c r="F304" s="45"/>
      <c r="G304" s="45"/>
      <c r="J304" s="44"/>
      <c r="K304" s="45"/>
      <c r="M304" s="44"/>
      <c r="N304" s="45"/>
    </row>
    <row r="305" spans="1:14">
      <c r="A305" s="44"/>
      <c r="B305" s="45"/>
      <c r="C305" s="45"/>
      <c r="E305" s="44"/>
      <c r="F305" s="45"/>
      <c r="G305" s="45"/>
      <c r="J305" s="44"/>
      <c r="K305" s="45"/>
      <c r="M305" s="44"/>
      <c r="N305" s="45"/>
    </row>
    <row r="306" spans="1:14">
      <c r="A306" s="44"/>
      <c r="B306" s="45"/>
      <c r="C306" s="45"/>
      <c r="E306" s="44"/>
      <c r="F306" s="45"/>
      <c r="G306" s="45"/>
      <c r="J306" s="44"/>
      <c r="K306" s="45"/>
      <c r="M306" s="44"/>
      <c r="N306" s="45"/>
    </row>
    <row r="307" spans="1:14">
      <c r="A307" s="44"/>
      <c r="B307" s="45"/>
      <c r="C307" s="45"/>
      <c r="E307" s="44"/>
      <c r="F307" s="45"/>
      <c r="G307" s="45"/>
      <c r="J307" s="44"/>
      <c r="K307" s="45"/>
      <c r="M307" s="44"/>
      <c r="N307" s="45"/>
    </row>
    <row r="308" spans="1:14">
      <c r="A308" s="44"/>
      <c r="B308" s="45"/>
      <c r="C308" s="45"/>
      <c r="E308" s="44"/>
      <c r="F308" s="45"/>
      <c r="G308" s="45"/>
      <c r="J308" s="44"/>
      <c r="K308" s="45"/>
      <c r="M308" s="44"/>
      <c r="N308" s="45"/>
    </row>
    <row r="309" spans="1:14">
      <c r="A309" s="44"/>
      <c r="B309" s="45"/>
      <c r="C309" s="45"/>
      <c r="E309" s="44"/>
      <c r="F309" s="45"/>
      <c r="G309" s="45"/>
      <c r="J309" s="44"/>
      <c r="K309" s="45"/>
      <c r="M309" s="44"/>
      <c r="N309" s="45"/>
    </row>
    <row r="310" spans="1:14">
      <c r="A310" s="44"/>
      <c r="B310" s="45"/>
      <c r="C310" s="45"/>
      <c r="E310" s="44"/>
      <c r="F310" s="45"/>
      <c r="G310" s="45"/>
      <c r="J310" s="44"/>
      <c r="K310" s="45"/>
      <c r="M310" s="44"/>
      <c r="N310" s="45"/>
    </row>
    <row r="311" spans="1:14">
      <c r="A311" s="44"/>
      <c r="B311" s="45"/>
      <c r="C311" s="45"/>
      <c r="E311" s="44"/>
      <c r="F311" s="45"/>
      <c r="G311" s="45"/>
      <c r="J311" s="44"/>
      <c r="K311" s="45"/>
      <c r="M311" s="44"/>
      <c r="N311" s="45"/>
    </row>
    <row r="312" spans="1:14">
      <c r="A312" s="44"/>
      <c r="B312" s="45"/>
      <c r="C312" s="45"/>
      <c r="E312" s="44"/>
      <c r="F312" s="45"/>
      <c r="G312" s="45"/>
      <c r="J312" s="44"/>
      <c r="K312" s="45"/>
      <c r="M312" s="44"/>
      <c r="N312" s="45"/>
    </row>
    <row r="313" spans="1:14">
      <c r="A313" s="44"/>
      <c r="B313" s="45"/>
      <c r="C313" s="45"/>
      <c r="E313" s="44"/>
      <c r="F313" s="45"/>
      <c r="G313" s="45"/>
      <c r="J313" s="44"/>
      <c r="K313" s="45"/>
      <c r="M313" s="44"/>
      <c r="N313" s="45"/>
    </row>
    <row r="314" spans="1:14">
      <c r="A314" s="44"/>
      <c r="B314" s="45"/>
      <c r="C314" s="45"/>
      <c r="E314" s="44"/>
      <c r="F314" s="45"/>
      <c r="G314" s="45"/>
      <c r="J314" s="44"/>
      <c r="K314" s="45"/>
      <c r="M314" s="44"/>
      <c r="N314" s="45"/>
    </row>
    <row r="315" spans="1:14">
      <c r="A315" s="44"/>
      <c r="B315" s="45"/>
      <c r="C315" s="45"/>
      <c r="E315" s="44"/>
      <c r="F315" s="45"/>
      <c r="G315" s="45"/>
      <c r="J315" s="44"/>
      <c r="K315" s="45"/>
      <c r="M315" s="44"/>
      <c r="N315" s="45"/>
    </row>
    <row r="316" spans="1:14">
      <c r="A316" s="44"/>
      <c r="B316" s="45"/>
      <c r="C316" s="45"/>
      <c r="E316" s="44"/>
      <c r="F316" s="45"/>
      <c r="G316" s="45"/>
      <c r="J316" s="44"/>
      <c r="K316" s="45"/>
      <c r="M316" s="44"/>
      <c r="N316" s="45"/>
    </row>
    <row r="317" spans="1:14">
      <c r="A317" s="44"/>
      <c r="B317" s="45"/>
      <c r="C317" s="45"/>
      <c r="E317" s="44"/>
      <c r="F317" s="45"/>
      <c r="G317" s="45"/>
      <c r="J317" s="44"/>
      <c r="K317" s="45"/>
      <c r="M317" s="44"/>
      <c r="N317" s="45"/>
    </row>
    <row r="318" spans="1:14">
      <c r="A318" s="44"/>
      <c r="B318" s="45"/>
      <c r="C318" s="45"/>
      <c r="E318" s="44"/>
      <c r="F318" s="45"/>
      <c r="G318" s="45"/>
      <c r="J318" s="44"/>
      <c r="K318" s="45"/>
      <c r="M318" s="44"/>
      <c r="N318" s="45"/>
    </row>
    <row r="319" spans="1:14">
      <c r="A319" s="44"/>
      <c r="B319" s="45"/>
      <c r="C319" s="45"/>
      <c r="E319" s="44"/>
      <c r="F319" s="45"/>
      <c r="G319" s="45"/>
      <c r="J319" s="44"/>
      <c r="K319" s="45"/>
      <c r="M319" s="44"/>
      <c r="N319" s="45"/>
    </row>
    <row r="320" spans="1:14">
      <c r="A320" s="44"/>
      <c r="B320" s="45"/>
      <c r="C320" s="45"/>
      <c r="E320" s="44"/>
      <c r="F320" s="45"/>
      <c r="G320" s="45"/>
      <c r="J320" s="44"/>
      <c r="K320" s="45"/>
      <c r="M320" s="44"/>
      <c r="N320" s="45"/>
    </row>
    <row r="321" spans="1:14">
      <c r="A321" s="44"/>
      <c r="B321" s="45"/>
      <c r="C321" s="45"/>
      <c r="E321" s="44"/>
      <c r="F321" s="45"/>
      <c r="G321" s="45"/>
      <c r="J321" s="44"/>
      <c r="K321" s="45"/>
      <c r="M321" s="44"/>
      <c r="N321" s="45"/>
    </row>
    <row r="322" spans="1:14">
      <c r="A322" s="44"/>
      <c r="B322" s="45"/>
      <c r="C322" s="45"/>
      <c r="E322" s="44"/>
      <c r="F322" s="45"/>
      <c r="G322" s="45"/>
      <c r="J322" s="44"/>
      <c r="K322" s="45"/>
      <c r="M322" s="44"/>
      <c r="N322" s="45"/>
    </row>
    <row r="323" spans="1:14">
      <c r="A323" s="44"/>
      <c r="B323" s="45"/>
      <c r="C323" s="45"/>
      <c r="E323" s="44"/>
      <c r="F323" s="45"/>
      <c r="G323" s="45"/>
      <c r="J323" s="44"/>
      <c r="K323" s="45"/>
      <c r="M323" s="44"/>
      <c r="N323" s="45"/>
    </row>
    <row r="324" spans="1:14">
      <c r="A324" s="44"/>
      <c r="B324" s="45"/>
      <c r="C324" s="45"/>
      <c r="E324" s="44"/>
      <c r="F324" s="45"/>
      <c r="G324" s="45"/>
      <c r="J324" s="44"/>
      <c r="K324" s="45"/>
      <c r="M324" s="44"/>
      <c r="N324" s="45"/>
    </row>
    <row r="325" spans="1:14">
      <c r="A325" s="44"/>
      <c r="B325" s="45"/>
      <c r="C325" s="45"/>
      <c r="E325" s="44"/>
      <c r="F325" s="45"/>
      <c r="G325" s="45"/>
      <c r="J325" s="44"/>
      <c r="K325" s="45"/>
      <c r="M325" s="44"/>
      <c r="N325" s="45"/>
    </row>
    <row r="326" spans="1:14">
      <c r="A326" s="44"/>
      <c r="B326" s="45"/>
      <c r="C326" s="45"/>
      <c r="E326" s="44"/>
      <c r="F326" s="45"/>
      <c r="G326" s="45"/>
      <c r="J326" s="44"/>
      <c r="K326" s="45"/>
      <c r="M326" s="44"/>
      <c r="N326" s="45"/>
    </row>
    <row r="327" spans="1:14">
      <c r="A327" s="44"/>
      <c r="B327" s="45"/>
      <c r="C327" s="45"/>
      <c r="E327" s="44"/>
      <c r="F327" s="45"/>
      <c r="G327" s="45"/>
      <c r="J327" s="44"/>
      <c r="K327" s="45"/>
      <c r="M327" s="44"/>
      <c r="N327" s="45"/>
    </row>
    <row r="328" spans="1:14">
      <c r="A328" s="44"/>
      <c r="B328" s="45"/>
      <c r="C328" s="45"/>
      <c r="E328" s="44"/>
      <c r="F328" s="45"/>
      <c r="G328" s="45"/>
      <c r="J328" s="44"/>
      <c r="K328" s="45"/>
      <c r="M328" s="44"/>
      <c r="N328" s="45"/>
    </row>
    <row r="329" spans="1:14">
      <c r="A329" s="44"/>
      <c r="B329" s="45"/>
      <c r="C329" s="45"/>
      <c r="E329" s="44"/>
      <c r="F329" s="45"/>
      <c r="G329" s="45"/>
      <c r="J329" s="44"/>
      <c r="K329" s="45"/>
      <c r="M329" s="44"/>
      <c r="N329" s="45"/>
    </row>
    <row r="330" spans="1:14">
      <c r="A330" s="44"/>
      <c r="B330" s="45"/>
      <c r="C330" s="45"/>
      <c r="E330" s="44"/>
      <c r="F330" s="45"/>
      <c r="G330" s="45"/>
      <c r="J330" s="44"/>
      <c r="K330" s="45"/>
      <c r="M330" s="44"/>
      <c r="N330" s="45"/>
    </row>
    <row r="331" spans="1:14">
      <c r="A331" s="44"/>
      <c r="B331" s="45"/>
      <c r="C331" s="45"/>
      <c r="E331" s="44"/>
      <c r="F331" s="45"/>
      <c r="G331" s="45"/>
      <c r="J331" s="44"/>
      <c r="K331" s="45"/>
      <c r="M331" s="44"/>
      <c r="N331" s="45"/>
    </row>
    <row r="332" spans="1:14">
      <c r="A332" s="44"/>
      <c r="B332" s="45"/>
      <c r="C332" s="45"/>
      <c r="E332" s="44"/>
      <c r="F332" s="45"/>
      <c r="G332" s="45"/>
      <c r="J332" s="44"/>
      <c r="K332" s="45"/>
      <c r="M332" s="44"/>
      <c r="N332" s="45"/>
    </row>
    <row r="333" spans="1:14">
      <c r="A333" s="44"/>
      <c r="B333" s="45"/>
      <c r="C333" s="45"/>
      <c r="E333" s="44"/>
      <c r="F333" s="45"/>
      <c r="G333" s="45"/>
      <c r="J333" s="44"/>
      <c r="K333" s="45"/>
      <c r="M333" s="44"/>
      <c r="N333" s="45"/>
    </row>
    <row r="334" spans="1:14">
      <c r="A334" s="44"/>
      <c r="B334" s="45"/>
      <c r="C334" s="45"/>
      <c r="E334" s="44"/>
      <c r="F334" s="45"/>
      <c r="G334" s="45"/>
      <c r="J334" s="44"/>
      <c r="K334" s="45"/>
      <c r="M334" s="44"/>
      <c r="N334" s="45"/>
    </row>
    <row r="335" spans="1:14">
      <c r="A335" s="44"/>
      <c r="B335" s="45"/>
      <c r="C335" s="45"/>
      <c r="E335" s="44"/>
      <c r="F335" s="45"/>
      <c r="G335" s="45"/>
      <c r="J335" s="44"/>
      <c r="K335" s="45"/>
      <c r="M335" s="44"/>
      <c r="N335" s="45"/>
    </row>
    <row r="336" spans="1:14">
      <c r="A336" s="44"/>
      <c r="B336" s="45"/>
      <c r="C336" s="45"/>
      <c r="E336" s="44"/>
      <c r="F336" s="45"/>
      <c r="G336" s="45"/>
      <c r="J336" s="44"/>
      <c r="K336" s="45"/>
      <c r="M336" s="44"/>
      <c r="N336" s="45"/>
    </row>
    <row r="337" spans="1:14">
      <c r="A337" s="44"/>
      <c r="B337" s="45"/>
      <c r="C337" s="45"/>
      <c r="E337" s="44"/>
      <c r="F337" s="45"/>
      <c r="G337" s="45"/>
      <c r="J337" s="44"/>
      <c r="K337" s="45"/>
      <c r="M337" s="44"/>
      <c r="N337" s="45"/>
    </row>
    <row r="338" spans="1:14">
      <c r="A338" s="44"/>
      <c r="B338" s="45"/>
      <c r="C338" s="45"/>
      <c r="E338" s="44"/>
      <c r="F338" s="45"/>
      <c r="G338" s="45"/>
      <c r="J338" s="44"/>
      <c r="K338" s="45"/>
      <c r="M338" s="44"/>
      <c r="N338" s="45"/>
    </row>
    <row r="339" spans="1:14">
      <c r="A339" s="44"/>
      <c r="B339" s="45"/>
      <c r="C339" s="45"/>
      <c r="E339" s="44"/>
      <c r="F339" s="45"/>
      <c r="G339" s="45"/>
      <c r="J339" s="44"/>
      <c r="K339" s="45"/>
      <c r="M339" s="44"/>
      <c r="N339" s="45"/>
    </row>
    <row r="340" spans="1:14">
      <c r="A340" s="44"/>
      <c r="B340" s="45"/>
      <c r="C340" s="45"/>
      <c r="E340" s="44"/>
      <c r="F340" s="45"/>
      <c r="G340" s="45"/>
      <c r="J340" s="44"/>
      <c r="K340" s="45"/>
      <c r="M340" s="44"/>
      <c r="N340" s="45"/>
    </row>
    <row r="341" spans="1:14">
      <c r="A341" s="44"/>
      <c r="B341" s="45"/>
      <c r="C341" s="45"/>
      <c r="E341" s="44"/>
      <c r="F341" s="45"/>
      <c r="G341" s="45"/>
      <c r="J341" s="44"/>
      <c r="K341" s="45"/>
      <c r="M341" s="44"/>
      <c r="N341" s="45"/>
    </row>
    <row r="342" spans="1:14">
      <c r="A342" s="44"/>
      <c r="B342" s="45"/>
      <c r="C342" s="45"/>
      <c r="E342" s="44"/>
      <c r="F342" s="45"/>
      <c r="G342" s="45"/>
      <c r="J342" s="44"/>
      <c r="K342" s="45"/>
      <c r="M342" s="44"/>
      <c r="N342" s="45"/>
    </row>
    <row r="343" spans="1:14">
      <c r="A343" s="44"/>
      <c r="B343" s="45"/>
      <c r="C343" s="45"/>
      <c r="E343" s="44"/>
      <c r="F343" s="45"/>
      <c r="G343" s="45"/>
      <c r="J343" s="44"/>
      <c r="K343" s="45"/>
      <c r="M343" s="44"/>
      <c r="N343" s="45"/>
    </row>
    <row r="344" spans="1:14">
      <c r="A344" s="44"/>
      <c r="B344" s="45"/>
      <c r="C344" s="45"/>
      <c r="E344" s="44"/>
      <c r="F344" s="45"/>
      <c r="G344" s="45"/>
      <c r="J344" s="44"/>
      <c r="K344" s="45"/>
      <c r="M344" s="44"/>
      <c r="N344" s="45"/>
    </row>
    <row r="345" spans="1:14">
      <c r="A345" s="44"/>
      <c r="B345" s="45"/>
      <c r="C345" s="45"/>
      <c r="E345" s="44"/>
      <c r="F345" s="45"/>
      <c r="G345" s="45"/>
      <c r="J345" s="44"/>
      <c r="K345" s="45"/>
      <c r="M345" s="44"/>
      <c r="N345" s="45"/>
    </row>
    <row r="346" spans="1:14">
      <c r="A346" s="44"/>
      <c r="B346" s="45"/>
      <c r="C346" s="45"/>
      <c r="E346" s="44"/>
      <c r="F346" s="45"/>
      <c r="G346" s="45"/>
      <c r="J346" s="44"/>
      <c r="K346" s="45"/>
      <c r="M346" s="44"/>
      <c r="N346" s="45"/>
    </row>
    <row r="347" spans="1:14">
      <c r="A347" s="44"/>
      <c r="B347" s="45"/>
      <c r="C347" s="45"/>
      <c r="E347" s="44"/>
      <c r="F347" s="45"/>
      <c r="G347" s="45"/>
      <c r="J347" s="44"/>
      <c r="K347" s="45"/>
      <c r="M347" s="44"/>
      <c r="N347" s="45"/>
    </row>
    <row r="348" spans="1:14">
      <c r="A348" s="44"/>
      <c r="B348" s="45"/>
      <c r="C348" s="45"/>
      <c r="E348" s="44"/>
      <c r="F348" s="45"/>
      <c r="G348" s="45"/>
      <c r="J348" s="44"/>
      <c r="K348" s="45"/>
      <c r="M348" s="44"/>
      <c r="N348" s="45"/>
    </row>
    <row r="349" spans="1:14">
      <c r="A349" s="44"/>
      <c r="B349" s="45"/>
      <c r="C349" s="45"/>
      <c r="E349" s="44"/>
      <c r="F349" s="45"/>
      <c r="G349" s="45"/>
      <c r="J349" s="44"/>
      <c r="K349" s="45"/>
      <c r="M349" s="44"/>
      <c r="N349" s="45"/>
    </row>
    <row r="350" spans="1:14">
      <c r="A350" s="44"/>
      <c r="B350" s="45"/>
      <c r="C350" s="45"/>
      <c r="E350" s="44"/>
      <c r="F350" s="45"/>
      <c r="G350" s="45"/>
      <c r="J350" s="44"/>
      <c r="K350" s="45"/>
      <c r="M350" s="44"/>
      <c r="N350" s="45"/>
    </row>
    <row r="351" spans="1:14">
      <c r="A351" s="44"/>
      <c r="B351" s="45"/>
      <c r="C351" s="45"/>
      <c r="E351" s="44"/>
      <c r="F351" s="45"/>
      <c r="G351" s="45"/>
      <c r="J351" s="44"/>
      <c r="K351" s="45"/>
      <c r="M351" s="44"/>
      <c r="N351" s="45"/>
    </row>
    <row r="352" spans="1:14">
      <c r="A352" s="44"/>
      <c r="B352" s="45"/>
      <c r="C352" s="45"/>
      <c r="E352" s="44"/>
      <c r="F352" s="45"/>
      <c r="G352" s="45"/>
      <c r="J352" s="44"/>
      <c r="K352" s="45"/>
      <c r="M352" s="44"/>
      <c r="N352" s="45"/>
    </row>
    <row r="353" spans="1:14">
      <c r="A353" s="44"/>
      <c r="B353" s="45"/>
      <c r="C353" s="45"/>
      <c r="E353" s="44"/>
      <c r="F353" s="45"/>
      <c r="G353" s="45"/>
      <c r="J353" s="44"/>
      <c r="K353" s="45"/>
      <c r="M353" s="44"/>
      <c r="N353" s="45"/>
    </row>
    <row r="354" spans="1:14">
      <c r="A354" s="44"/>
      <c r="B354" s="45"/>
      <c r="C354" s="45"/>
      <c r="E354" s="44"/>
      <c r="F354" s="45"/>
      <c r="G354" s="45"/>
      <c r="J354" s="44"/>
      <c r="K354" s="45"/>
      <c r="M354" s="44"/>
      <c r="N354" s="45"/>
    </row>
    <row r="355" spans="1:14">
      <c r="A355" s="44"/>
      <c r="B355" s="45"/>
      <c r="C355" s="45"/>
      <c r="E355" s="44"/>
      <c r="F355" s="45"/>
      <c r="G355" s="45"/>
      <c r="J355" s="44"/>
      <c r="K355" s="45"/>
      <c r="M355" s="44"/>
      <c r="N355" s="45"/>
    </row>
    <row r="356" spans="1:14">
      <c r="A356" s="44"/>
      <c r="B356" s="45"/>
      <c r="C356" s="45"/>
      <c r="E356" s="44"/>
      <c r="F356" s="45"/>
      <c r="G356" s="45"/>
      <c r="J356" s="44"/>
      <c r="K356" s="45"/>
      <c r="M356" s="44"/>
      <c r="N356" s="45"/>
    </row>
    <row r="357" spans="1:14">
      <c r="A357" s="44"/>
      <c r="B357" s="45"/>
      <c r="C357" s="45"/>
      <c r="E357" s="44"/>
      <c r="F357" s="45"/>
      <c r="G357" s="45"/>
      <c r="J357" s="44"/>
      <c r="K357" s="45"/>
      <c r="M357" s="44"/>
      <c r="N357" s="45"/>
    </row>
    <row r="358" spans="1:14">
      <c r="A358" s="44"/>
      <c r="B358" s="45"/>
      <c r="C358" s="45"/>
      <c r="E358" s="44"/>
      <c r="F358" s="45"/>
      <c r="G358" s="45"/>
      <c r="J358" s="44"/>
      <c r="K358" s="45"/>
      <c r="M358" s="44"/>
      <c r="N358" s="45"/>
    </row>
    <row r="359" spans="1:14">
      <c r="A359" s="44"/>
      <c r="B359" s="45"/>
      <c r="C359" s="45"/>
      <c r="E359" s="44"/>
      <c r="F359" s="45"/>
      <c r="G359" s="45"/>
      <c r="J359" s="44"/>
      <c r="K359" s="45"/>
      <c r="M359" s="44"/>
      <c r="N359" s="45"/>
    </row>
    <row r="360" spans="1:14">
      <c r="A360" s="44"/>
      <c r="B360" s="45"/>
      <c r="C360" s="45"/>
      <c r="E360" s="44"/>
      <c r="F360" s="45"/>
      <c r="G360" s="45"/>
      <c r="J360" s="44"/>
      <c r="K360" s="45"/>
      <c r="M360" s="44"/>
      <c r="N360" s="45"/>
    </row>
    <row r="361" spans="1:14">
      <c r="A361" s="44"/>
      <c r="B361" s="45"/>
      <c r="C361" s="45"/>
      <c r="E361" s="44"/>
      <c r="F361" s="45"/>
      <c r="G361" s="45"/>
      <c r="J361" s="44"/>
      <c r="K361" s="45"/>
      <c r="M361" s="44"/>
      <c r="N361" s="45"/>
    </row>
    <row r="362" spans="1:14">
      <c r="A362" s="44"/>
      <c r="B362" s="45"/>
      <c r="C362" s="45"/>
      <c r="E362" s="44"/>
      <c r="F362" s="45"/>
      <c r="G362" s="45"/>
      <c r="J362" s="44"/>
      <c r="K362" s="45"/>
      <c r="M362" s="44"/>
      <c r="N362" s="45"/>
    </row>
    <row r="363" spans="1:14">
      <c r="A363" s="44"/>
      <c r="B363" s="45"/>
      <c r="C363" s="45"/>
      <c r="E363" s="44"/>
      <c r="F363" s="45"/>
      <c r="G363" s="45"/>
      <c r="J363" s="44"/>
      <c r="K363" s="45"/>
      <c r="M363" s="44"/>
      <c r="N363" s="45"/>
    </row>
    <row r="364" spans="1:14">
      <c r="A364" s="44"/>
      <c r="B364" s="45"/>
      <c r="C364" s="45"/>
      <c r="E364" s="44"/>
      <c r="F364" s="45"/>
      <c r="G364" s="45"/>
      <c r="J364" s="44"/>
      <c r="K364" s="45"/>
      <c r="M364" s="44"/>
      <c r="N364" s="45"/>
    </row>
    <row r="365" spans="1:14">
      <c r="A365" s="44"/>
      <c r="B365" s="45"/>
      <c r="C365" s="45"/>
      <c r="E365" s="44"/>
      <c r="F365" s="45"/>
      <c r="G365" s="45"/>
      <c r="J365" s="44"/>
      <c r="K365" s="45"/>
      <c r="M365" s="44"/>
      <c r="N365" s="45"/>
    </row>
    <row r="366" spans="1:14">
      <c r="A366" s="44"/>
      <c r="B366" s="45"/>
      <c r="C366" s="45"/>
      <c r="E366" s="44"/>
      <c r="F366" s="45"/>
      <c r="G366" s="45"/>
      <c r="J366" s="44"/>
      <c r="K366" s="45"/>
      <c r="M366" s="44"/>
      <c r="N366" s="45"/>
    </row>
    <row r="367" spans="1:14">
      <c r="A367" s="44"/>
      <c r="B367" s="45"/>
      <c r="C367" s="45"/>
      <c r="E367" s="44"/>
      <c r="F367" s="45"/>
      <c r="G367" s="45"/>
      <c r="J367" s="44"/>
      <c r="K367" s="45"/>
      <c r="M367" s="44"/>
      <c r="N367" s="45"/>
    </row>
    <row r="368" spans="1:14">
      <c r="A368" s="44"/>
      <c r="B368" s="45"/>
      <c r="C368" s="45"/>
      <c r="E368" s="44"/>
      <c r="F368" s="45"/>
      <c r="G368" s="45"/>
      <c r="J368" s="44"/>
      <c r="K368" s="45"/>
      <c r="M368" s="44"/>
      <c r="N368" s="45"/>
    </row>
    <row r="369" spans="1:14">
      <c r="A369" s="44"/>
      <c r="B369" s="45"/>
      <c r="C369" s="45"/>
      <c r="E369" s="44"/>
      <c r="F369" s="45"/>
      <c r="G369" s="45"/>
      <c r="J369" s="44"/>
      <c r="K369" s="45"/>
      <c r="M369" s="44"/>
      <c r="N369" s="45"/>
    </row>
    <row r="370" spans="1:14">
      <c r="A370" s="44"/>
      <c r="B370" s="45"/>
      <c r="C370" s="45"/>
      <c r="E370" s="44"/>
      <c r="F370" s="45"/>
      <c r="G370" s="45"/>
      <c r="J370" s="44"/>
      <c r="K370" s="45"/>
      <c r="M370" s="44"/>
      <c r="N370" s="45"/>
    </row>
    <row r="371" spans="1:14">
      <c r="A371" s="44"/>
      <c r="B371" s="45"/>
      <c r="C371" s="45"/>
      <c r="E371" s="44"/>
      <c r="F371" s="45"/>
      <c r="G371" s="45"/>
      <c r="J371" s="44"/>
      <c r="K371" s="45"/>
      <c r="M371" s="44"/>
      <c r="N371" s="45"/>
    </row>
    <row r="372" spans="1:14">
      <c r="A372" s="44"/>
      <c r="B372" s="45"/>
      <c r="C372" s="45"/>
      <c r="E372" s="44"/>
      <c r="F372" s="45"/>
      <c r="G372" s="45"/>
      <c r="J372" s="44"/>
      <c r="K372" s="45"/>
      <c r="M372" s="44"/>
      <c r="N372" s="45"/>
    </row>
    <row r="373" spans="1:14">
      <c r="A373" s="44"/>
      <c r="B373" s="45"/>
      <c r="C373" s="45"/>
      <c r="E373" s="44"/>
      <c r="F373" s="45"/>
      <c r="G373" s="45"/>
      <c r="J373" s="44"/>
      <c r="K373" s="45"/>
      <c r="M373" s="44"/>
      <c r="N373" s="45"/>
    </row>
    <row r="374" spans="1:14">
      <c r="A374" s="44"/>
      <c r="B374" s="45"/>
      <c r="C374" s="45"/>
      <c r="E374" s="44"/>
      <c r="F374" s="45"/>
      <c r="G374" s="45"/>
      <c r="J374" s="44"/>
      <c r="K374" s="45"/>
      <c r="M374" s="44"/>
      <c r="N374" s="45"/>
    </row>
    <row r="375" spans="1:14">
      <c r="A375" s="44"/>
      <c r="B375" s="45"/>
      <c r="C375" s="45"/>
      <c r="E375" s="44"/>
      <c r="F375" s="45"/>
      <c r="G375" s="45"/>
      <c r="J375" s="44"/>
      <c r="K375" s="45"/>
      <c r="M375" s="44"/>
      <c r="N375" s="45"/>
    </row>
    <row r="376" spans="1:14">
      <c r="A376" s="44"/>
      <c r="B376" s="45"/>
      <c r="C376" s="45"/>
      <c r="E376" s="44"/>
      <c r="F376" s="45"/>
      <c r="G376" s="45"/>
      <c r="J376" s="44"/>
      <c r="K376" s="45"/>
      <c r="M376" s="44"/>
      <c r="N376" s="45"/>
    </row>
    <row r="377" spans="1:14">
      <c r="A377" s="44"/>
      <c r="B377" s="45"/>
      <c r="C377" s="45"/>
      <c r="E377" s="44"/>
      <c r="F377" s="45"/>
      <c r="G377" s="45"/>
      <c r="J377" s="44"/>
      <c r="K377" s="45"/>
      <c r="M377" s="44"/>
      <c r="N377" s="45"/>
    </row>
    <row r="378" spans="1:14">
      <c r="A378" s="44"/>
      <c r="B378" s="45"/>
      <c r="C378" s="45"/>
      <c r="E378" s="44"/>
      <c r="F378" s="45"/>
      <c r="G378" s="45"/>
      <c r="J378" s="44"/>
      <c r="K378" s="45"/>
      <c r="M378" s="44"/>
      <c r="N378" s="45"/>
    </row>
    <row r="379" spans="1:14">
      <c r="A379" s="44"/>
      <c r="B379" s="45"/>
      <c r="C379" s="45"/>
      <c r="E379" s="44"/>
      <c r="F379" s="45"/>
      <c r="G379" s="45"/>
      <c r="J379" s="44"/>
      <c r="K379" s="45"/>
      <c r="M379" s="44"/>
      <c r="N379" s="45"/>
    </row>
    <row r="380" spans="1:14">
      <c r="A380" s="44"/>
      <c r="B380" s="45"/>
      <c r="C380" s="45"/>
      <c r="E380" s="44"/>
      <c r="F380" s="45"/>
      <c r="G380" s="45"/>
      <c r="J380" s="44"/>
      <c r="K380" s="45"/>
      <c r="M380" s="44"/>
      <c r="N380" s="45"/>
    </row>
    <row r="381" spans="1:14">
      <c r="A381" s="44"/>
      <c r="B381" s="45"/>
      <c r="C381" s="45"/>
      <c r="E381" s="44"/>
      <c r="F381" s="45"/>
      <c r="G381" s="45"/>
      <c r="J381" s="44"/>
      <c r="K381" s="45"/>
      <c r="M381" s="44"/>
      <c r="N381" s="45"/>
    </row>
    <row r="382" spans="1:14">
      <c r="A382" s="44"/>
      <c r="B382" s="45"/>
      <c r="C382" s="45"/>
      <c r="E382" s="44"/>
      <c r="F382" s="45"/>
      <c r="G382" s="45"/>
      <c r="J382" s="44"/>
      <c r="K382" s="45"/>
      <c r="M382" s="44"/>
      <c r="N382" s="45"/>
    </row>
    <row r="383" spans="1:14">
      <c r="A383" s="44"/>
      <c r="B383" s="45"/>
      <c r="C383" s="45"/>
      <c r="E383" s="44"/>
      <c r="F383" s="45"/>
      <c r="G383" s="45"/>
      <c r="J383" s="44"/>
      <c r="K383" s="45"/>
      <c r="M383" s="44"/>
      <c r="N383" s="45"/>
    </row>
    <row r="384" spans="1:14">
      <c r="A384" s="44"/>
      <c r="B384" s="45"/>
      <c r="C384" s="45"/>
      <c r="E384" s="44"/>
      <c r="F384" s="45"/>
      <c r="G384" s="45"/>
      <c r="J384" s="44"/>
      <c r="K384" s="45"/>
      <c r="M384" s="44"/>
      <c r="N384" s="45"/>
    </row>
    <row r="385" spans="1:14">
      <c r="A385" s="44"/>
      <c r="B385" s="45"/>
      <c r="C385" s="45"/>
      <c r="E385" s="44"/>
      <c r="F385" s="45"/>
      <c r="G385" s="45"/>
      <c r="J385" s="44"/>
      <c r="K385" s="45"/>
      <c r="M385" s="44"/>
      <c r="N385" s="45"/>
    </row>
    <row r="386" spans="1:14">
      <c r="A386" s="44"/>
      <c r="B386" s="45"/>
      <c r="C386" s="45"/>
      <c r="E386" s="44"/>
      <c r="F386" s="45"/>
      <c r="G386" s="45"/>
      <c r="J386" s="44"/>
      <c r="K386" s="45"/>
      <c r="M386" s="44"/>
      <c r="N386" s="45"/>
    </row>
    <row r="387" spans="1:14">
      <c r="A387" s="44"/>
      <c r="B387" s="45"/>
      <c r="C387" s="45"/>
      <c r="E387" s="44"/>
      <c r="F387" s="45"/>
      <c r="G387" s="45"/>
      <c r="J387" s="44"/>
      <c r="K387" s="45"/>
      <c r="M387" s="44"/>
      <c r="N387" s="45"/>
    </row>
    <row r="388" spans="1:14">
      <c r="A388" s="44"/>
      <c r="B388" s="45"/>
      <c r="C388" s="45"/>
      <c r="E388" s="44"/>
      <c r="F388" s="45"/>
      <c r="G388" s="45"/>
      <c r="J388" s="44"/>
      <c r="K388" s="45"/>
      <c r="M388" s="44"/>
      <c r="N388" s="45"/>
    </row>
    <row r="389" spans="1:14">
      <c r="A389" s="44"/>
      <c r="B389" s="45"/>
      <c r="C389" s="45"/>
      <c r="E389" s="44"/>
      <c r="F389" s="45"/>
      <c r="G389" s="45"/>
      <c r="J389" s="44"/>
      <c r="K389" s="45"/>
      <c r="M389" s="44"/>
      <c r="N389" s="45"/>
    </row>
    <row r="390" spans="1:14">
      <c r="A390" s="44"/>
      <c r="B390" s="45"/>
      <c r="C390" s="45"/>
      <c r="E390" s="44"/>
      <c r="F390" s="45"/>
      <c r="G390" s="45"/>
      <c r="J390" s="44"/>
      <c r="K390" s="45"/>
      <c r="M390" s="44"/>
      <c r="N390" s="45"/>
    </row>
    <row r="391" spans="1:14">
      <c r="A391" s="44"/>
      <c r="B391" s="45"/>
      <c r="C391" s="45"/>
      <c r="E391" s="44"/>
      <c r="F391" s="45"/>
      <c r="G391" s="45"/>
      <c r="J391" s="44"/>
      <c r="K391" s="45"/>
      <c r="M391" s="44"/>
      <c r="N391" s="45"/>
    </row>
    <row r="392" spans="1:14">
      <c r="A392" s="44"/>
      <c r="B392" s="45"/>
      <c r="C392" s="45"/>
      <c r="E392" s="44"/>
      <c r="F392" s="45"/>
      <c r="G392" s="45"/>
      <c r="J392" s="44"/>
      <c r="K392" s="45"/>
      <c r="M392" s="44"/>
      <c r="N392" s="45"/>
    </row>
    <row r="393" spans="1:14">
      <c r="A393" s="44"/>
      <c r="B393" s="45"/>
      <c r="C393" s="45"/>
      <c r="E393" s="44"/>
      <c r="F393" s="45"/>
      <c r="G393" s="45"/>
      <c r="J393" s="44"/>
      <c r="K393" s="45"/>
      <c r="M393" s="44"/>
      <c r="N393" s="45"/>
    </row>
    <row r="394" spans="1:14">
      <c r="A394" s="44"/>
      <c r="B394" s="45"/>
      <c r="C394" s="45"/>
      <c r="E394" s="44"/>
      <c r="F394" s="45"/>
      <c r="G394" s="45"/>
      <c r="J394" s="44"/>
      <c r="K394" s="45"/>
      <c r="M394" s="44"/>
      <c r="N394" s="45"/>
    </row>
    <row r="395" spans="1:14">
      <c r="A395" s="44"/>
      <c r="B395" s="45"/>
      <c r="C395" s="45"/>
      <c r="E395" s="44"/>
      <c r="F395" s="45"/>
      <c r="G395" s="45"/>
      <c r="J395" s="44"/>
      <c r="K395" s="45"/>
      <c r="M395" s="44"/>
      <c r="N395" s="45"/>
    </row>
    <row r="396" spans="1:14">
      <c r="A396" s="44"/>
      <c r="B396" s="45"/>
      <c r="C396" s="45"/>
      <c r="E396" s="44"/>
      <c r="F396" s="45"/>
      <c r="G396" s="45"/>
      <c r="J396" s="44"/>
      <c r="K396" s="45"/>
      <c r="M396" s="44"/>
      <c r="N396" s="45"/>
    </row>
    <row r="397" spans="1:14">
      <c r="A397" s="44"/>
      <c r="B397" s="45"/>
      <c r="C397" s="45"/>
      <c r="E397" s="44"/>
      <c r="F397" s="45"/>
      <c r="G397" s="45"/>
      <c r="J397" s="44"/>
      <c r="K397" s="45"/>
      <c r="M397" s="44"/>
      <c r="N397" s="45"/>
    </row>
    <row r="398" spans="1:14">
      <c r="A398" s="44"/>
      <c r="B398" s="45"/>
      <c r="C398" s="45"/>
      <c r="E398" s="44"/>
      <c r="F398" s="45"/>
      <c r="G398" s="45"/>
      <c r="J398" s="44"/>
      <c r="K398" s="45"/>
      <c r="M398" s="44"/>
      <c r="N398" s="45"/>
    </row>
    <row r="399" spans="1:14">
      <c r="A399" s="44"/>
      <c r="B399" s="45"/>
      <c r="C399" s="45"/>
      <c r="E399" s="44"/>
      <c r="F399" s="45"/>
      <c r="G399" s="45"/>
      <c r="J399" s="44"/>
      <c r="K399" s="45"/>
      <c r="M399" s="44"/>
      <c r="N399" s="45"/>
    </row>
    <row r="400" spans="1:14">
      <c r="A400" s="44"/>
      <c r="B400" s="45"/>
      <c r="C400" s="45"/>
      <c r="E400" s="44"/>
      <c r="F400" s="45"/>
      <c r="G400" s="45"/>
      <c r="J400" s="44"/>
      <c r="K400" s="45"/>
      <c r="M400" s="44"/>
      <c r="N400" s="45"/>
    </row>
    <row r="401" spans="1:14">
      <c r="A401" s="44"/>
      <c r="B401" s="45"/>
      <c r="C401" s="45"/>
      <c r="E401" s="44"/>
      <c r="F401" s="45"/>
      <c r="G401" s="45"/>
      <c r="J401" s="44"/>
      <c r="K401" s="45"/>
      <c r="M401" s="44"/>
      <c r="N401" s="45"/>
    </row>
    <row r="402" spans="1:14">
      <c r="A402" s="44"/>
      <c r="B402" s="45"/>
      <c r="C402" s="45"/>
      <c r="E402" s="44"/>
      <c r="F402" s="45"/>
      <c r="G402" s="45"/>
      <c r="J402" s="44"/>
      <c r="K402" s="45"/>
      <c r="M402" s="44"/>
      <c r="N402" s="45"/>
    </row>
    <row r="403" spans="1:14">
      <c r="A403" s="44"/>
      <c r="B403" s="45"/>
      <c r="C403" s="45"/>
      <c r="E403" s="44"/>
      <c r="F403" s="45"/>
      <c r="G403" s="45"/>
      <c r="J403" s="44"/>
      <c r="K403" s="45"/>
      <c r="M403" s="44"/>
      <c r="N403" s="45"/>
    </row>
    <row r="404" spans="1:14">
      <c r="A404" s="44"/>
      <c r="B404" s="45"/>
      <c r="C404" s="45"/>
      <c r="E404" s="44"/>
      <c r="F404" s="45"/>
      <c r="G404" s="45"/>
      <c r="J404" s="44"/>
      <c r="K404" s="45"/>
      <c r="M404" s="44"/>
      <c r="N404" s="45"/>
    </row>
    <row r="405" spans="1:14">
      <c r="A405" s="44"/>
      <c r="B405" s="45"/>
      <c r="C405" s="45"/>
      <c r="E405" s="44"/>
      <c r="F405" s="45"/>
      <c r="G405" s="45"/>
      <c r="J405" s="44"/>
      <c r="K405" s="45"/>
      <c r="M405" s="44"/>
      <c r="N405" s="45"/>
    </row>
    <row r="406" spans="1:14">
      <c r="A406" s="44"/>
      <c r="B406" s="45"/>
      <c r="C406" s="45"/>
      <c r="E406" s="44"/>
      <c r="F406" s="45"/>
      <c r="G406" s="45"/>
      <c r="J406" s="44"/>
      <c r="K406" s="45"/>
      <c r="M406" s="44"/>
      <c r="N406" s="45"/>
    </row>
    <row r="407" spans="1:14">
      <c r="A407" s="44"/>
      <c r="B407" s="45"/>
      <c r="C407" s="45"/>
      <c r="E407" s="44"/>
      <c r="F407" s="45"/>
      <c r="G407" s="45"/>
      <c r="J407" s="44"/>
      <c r="K407" s="45"/>
      <c r="M407" s="44"/>
      <c r="N407" s="45"/>
    </row>
    <row r="408" spans="1:14">
      <c r="A408" s="44"/>
      <c r="B408" s="45"/>
      <c r="C408" s="45"/>
      <c r="E408" s="44"/>
      <c r="F408" s="45"/>
      <c r="G408" s="45"/>
      <c r="J408" s="44"/>
      <c r="K408" s="45"/>
      <c r="M408" s="44"/>
      <c r="N408" s="45"/>
    </row>
    <row r="409" spans="1:14">
      <c r="A409" s="44"/>
      <c r="B409" s="45"/>
      <c r="C409" s="45"/>
      <c r="E409" s="44"/>
      <c r="F409" s="45"/>
      <c r="G409" s="45"/>
      <c r="J409" s="44"/>
      <c r="K409" s="45"/>
      <c r="M409" s="44"/>
      <c r="N409" s="45"/>
    </row>
    <row r="410" spans="1:14">
      <c r="A410" s="44"/>
      <c r="B410" s="45"/>
      <c r="C410" s="45"/>
      <c r="E410" s="44"/>
      <c r="F410" s="45"/>
      <c r="G410" s="45"/>
      <c r="J410" s="44"/>
      <c r="K410" s="45"/>
      <c r="M410" s="44"/>
      <c r="N410" s="45"/>
    </row>
    <row r="411" spans="1:14">
      <c r="A411" s="44"/>
      <c r="B411" s="45"/>
      <c r="C411" s="45"/>
      <c r="E411" s="44"/>
      <c r="F411" s="45"/>
      <c r="G411" s="45"/>
      <c r="J411" s="44"/>
      <c r="K411" s="45"/>
      <c r="M411" s="44"/>
      <c r="N411" s="45"/>
    </row>
    <row r="412" spans="1:14">
      <c r="A412" s="44"/>
      <c r="B412" s="45"/>
      <c r="C412" s="45"/>
      <c r="E412" s="44"/>
      <c r="F412" s="45"/>
      <c r="G412" s="45"/>
      <c r="J412" s="44"/>
      <c r="K412" s="45"/>
      <c r="M412" s="44"/>
      <c r="N412" s="45"/>
    </row>
    <row r="413" spans="1:14">
      <c r="A413" s="44"/>
      <c r="B413" s="45"/>
      <c r="C413" s="45"/>
      <c r="E413" s="44"/>
      <c r="F413" s="45"/>
      <c r="G413" s="45"/>
      <c r="J413" s="44"/>
      <c r="K413" s="45"/>
      <c r="M413" s="44"/>
      <c r="N413" s="45"/>
    </row>
    <row r="414" spans="1:14">
      <c r="A414" s="44"/>
      <c r="B414" s="45"/>
      <c r="C414" s="45"/>
      <c r="E414" s="44"/>
      <c r="F414" s="45"/>
      <c r="G414" s="45"/>
      <c r="J414" s="44"/>
      <c r="K414" s="45"/>
      <c r="M414" s="44"/>
      <c r="N414" s="45"/>
    </row>
    <row r="415" spans="1:14">
      <c r="A415" s="44"/>
      <c r="B415" s="45"/>
      <c r="C415" s="45"/>
      <c r="E415" s="44"/>
      <c r="F415" s="45"/>
      <c r="G415" s="45"/>
      <c r="J415" s="44"/>
      <c r="K415" s="45"/>
      <c r="M415" s="44"/>
      <c r="N415" s="45"/>
    </row>
    <row r="416" spans="1:14">
      <c r="A416" s="44"/>
      <c r="B416" s="45"/>
      <c r="C416" s="45"/>
      <c r="E416" s="44"/>
      <c r="F416" s="45"/>
      <c r="G416" s="45"/>
      <c r="J416" s="44"/>
      <c r="K416" s="45"/>
      <c r="M416" s="44"/>
      <c r="N416" s="45"/>
    </row>
    <row r="417" spans="1:14">
      <c r="A417" s="44"/>
      <c r="B417" s="45"/>
      <c r="C417" s="45"/>
      <c r="E417" s="44"/>
      <c r="F417" s="45"/>
      <c r="G417" s="45"/>
      <c r="J417" s="44"/>
      <c r="K417" s="45"/>
      <c r="M417" s="44"/>
      <c r="N417" s="45"/>
    </row>
    <row r="418" spans="1:14">
      <c r="A418" s="44"/>
      <c r="B418" s="45"/>
      <c r="C418" s="45"/>
      <c r="E418" s="44"/>
      <c r="F418" s="45"/>
      <c r="G418" s="45"/>
      <c r="J418" s="44"/>
      <c r="K418" s="45"/>
      <c r="M418" s="44"/>
      <c r="N418" s="45"/>
    </row>
    <row r="419" spans="1:14">
      <c r="A419" s="44"/>
      <c r="B419" s="45"/>
      <c r="C419" s="45"/>
      <c r="E419" s="44"/>
      <c r="F419" s="45"/>
      <c r="G419" s="45"/>
      <c r="J419" s="44"/>
      <c r="K419" s="45"/>
      <c r="M419" s="44"/>
      <c r="N419" s="45"/>
    </row>
    <row r="420" spans="1:14">
      <c r="A420" s="44"/>
      <c r="B420" s="45"/>
      <c r="C420" s="45"/>
      <c r="E420" s="44"/>
      <c r="F420" s="45"/>
      <c r="G420" s="45"/>
      <c r="J420" s="44"/>
      <c r="K420" s="45"/>
      <c r="M420" s="44"/>
      <c r="N420" s="45"/>
    </row>
    <row r="421" spans="1:14">
      <c r="A421" s="44"/>
      <c r="B421" s="45"/>
      <c r="C421" s="45"/>
      <c r="E421" s="44"/>
      <c r="F421" s="45"/>
      <c r="G421" s="45"/>
      <c r="J421" s="44"/>
      <c r="K421" s="45"/>
      <c r="M421" s="44"/>
      <c r="N421" s="45"/>
    </row>
    <row r="422" spans="1:14">
      <c r="A422" s="44"/>
      <c r="B422" s="45"/>
      <c r="C422" s="45"/>
      <c r="E422" s="44"/>
      <c r="F422" s="45"/>
      <c r="G422" s="45"/>
      <c r="J422" s="44"/>
      <c r="K422" s="45"/>
      <c r="M422" s="44"/>
      <c r="N422" s="45"/>
    </row>
    <row r="423" spans="1:14">
      <c r="A423" s="44"/>
      <c r="B423" s="45"/>
      <c r="C423" s="45"/>
      <c r="E423" s="44"/>
      <c r="F423" s="45"/>
      <c r="G423" s="45"/>
      <c r="J423" s="44"/>
      <c r="K423" s="45"/>
      <c r="M423" s="44"/>
      <c r="N423" s="45"/>
    </row>
    <row r="424" spans="1:14">
      <c r="A424" s="44"/>
      <c r="B424" s="45"/>
      <c r="C424" s="45"/>
      <c r="E424" s="44"/>
      <c r="F424" s="45"/>
      <c r="G424" s="45"/>
      <c r="J424" s="44"/>
      <c r="K424" s="45"/>
      <c r="M424" s="44"/>
      <c r="N424" s="45"/>
    </row>
    <row r="425" spans="1:14">
      <c r="A425" s="44"/>
      <c r="B425" s="45"/>
      <c r="C425" s="45"/>
      <c r="E425" s="44"/>
      <c r="F425" s="45"/>
      <c r="G425" s="45"/>
      <c r="J425" s="44"/>
      <c r="K425" s="45"/>
      <c r="M425" s="44"/>
      <c r="N425" s="45"/>
    </row>
    <row r="426" spans="1:14">
      <c r="A426" s="44"/>
      <c r="B426" s="45"/>
      <c r="C426" s="45"/>
      <c r="E426" s="44"/>
      <c r="F426" s="45"/>
      <c r="G426" s="45"/>
      <c r="J426" s="44"/>
      <c r="K426" s="45"/>
      <c r="M426" s="44"/>
      <c r="N426" s="45"/>
    </row>
    <row r="427" spans="1:14">
      <c r="A427" s="44"/>
      <c r="B427" s="45"/>
      <c r="C427" s="45"/>
      <c r="E427" s="44"/>
      <c r="F427" s="45"/>
      <c r="G427" s="45"/>
      <c r="J427" s="44"/>
      <c r="K427" s="45"/>
      <c r="M427" s="44"/>
      <c r="N427" s="45"/>
    </row>
    <row r="428" spans="1:14">
      <c r="A428" s="44"/>
      <c r="B428" s="45"/>
      <c r="C428" s="45"/>
      <c r="E428" s="44"/>
      <c r="F428" s="45"/>
      <c r="G428" s="45"/>
      <c r="J428" s="44"/>
      <c r="K428" s="45"/>
      <c r="M428" s="44"/>
      <c r="N428" s="45"/>
    </row>
    <row r="429" spans="1:14">
      <c r="A429" s="44"/>
      <c r="B429" s="45"/>
      <c r="C429" s="45"/>
      <c r="E429" s="44"/>
      <c r="F429" s="45"/>
      <c r="G429" s="45"/>
      <c r="J429" s="44"/>
      <c r="K429" s="45"/>
      <c r="M429" s="44"/>
      <c r="N429" s="45"/>
    </row>
    <row r="430" spans="1:14">
      <c r="A430" s="44"/>
      <c r="B430" s="45"/>
      <c r="C430" s="45"/>
      <c r="E430" s="44"/>
      <c r="F430" s="45"/>
      <c r="G430" s="45"/>
      <c r="J430" s="44"/>
      <c r="K430" s="45"/>
      <c r="M430" s="44"/>
      <c r="N430" s="45"/>
    </row>
    <row r="431" spans="1:14">
      <c r="A431" s="44"/>
      <c r="B431" s="45"/>
      <c r="C431" s="45"/>
      <c r="E431" s="44"/>
      <c r="F431" s="45"/>
      <c r="G431" s="45"/>
      <c r="J431" s="44"/>
      <c r="K431" s="45"/>
      <c r="M431" s="44"/>
      <c r="N431" s="45"/>
    </row>
    <row r="432" spans="1:14">
      <c r="A432" s="44"/>
      <c r="B432" s="45"/>
      <c r="C432" s="45"/>
      <c r="E432" s="44"/>
      <c r="F432" s="45"/>
      <c r="G432" s="45"/>
      <c r="J432" s="44"/>
      <c r="K432" s="45"/>
      <c r="M432" s="44"/>
      <c r="N432" s="45"/>
    </row>
    <row r="433" spans="1:14">
      <c r="A433" s="44"/>
      <c r="B433" s="45"/>
      <c r="C433" s="45"/>
      <c r="E433" s="44"/>
      <c r="F433" s="45"/>
      <c r="G433" s="45"/>
      <c r="J433" s="44"/>
      <c r="K433" s="45"/>
      <c r="M433" s="44"/>
      <c r="N433" s="45"/>
    </row>
    <row r="434" spans="1:14">
      <c r="A434" s="44"/>
      <c r="B434" s="45"/>
      <c r="C434" s="45"/>
      <c r="E434" s="44"/>
      <c r="F434" s="45"/>
      <c r="G434" s="45"/>
      <c r="J434" s="44"/>
      <c r="K434" s="45"/>
      <c r="M434" s="44"/>
      <c r="N434" s="45"/>
    </row>
    <row r="435" spans="1:14">
      <c r="A435" s="44"/>
      <c r="B435" s="45"/>
      <c r="C435" s="45"/>
      <c r="E435" s="44"/>
      <c r="F435" s="45"/>
      <c r="G435" s="45"/>
      <c r="J435" s="44"/>
      <c r="K435" s="45"/>
      <c r="M435" s="44"/>
      <c r="N435" s="45"/>
    </row>
    <row r="436" spans="1:14">
      <c r="A436" s="44"/>
      <c r="B436" s="45"/>
      <c r="C436" s="45"/>
      <c r="E436" s="44"/>
      <c r="F436" s="45"/>
      <c r="G436" s="45"/>
      <c r="J436" s="44"/>
      <c r="K436" s="45"/>
      <c r="M436" s="44"/>
      <c r="N436" s="45"/>
    </row>
    <row r="437" spans="1:14">
      <c r="A437" s="44"/>
      <c r="B437" s="45"/>
      <c r="C437" s="45"/>
      <c r="E437" s="44"/>
      <c r="F437" s="45"/>
      <c r="G437" s="45"/>
      <c r="J437" s="44"/>
      <c r="K437" s="45"/>
      <c r="M437" s="44"/>
      <c r="N437" s="45"/>
    </row>
    <row r="438" spans="1:14">
      <c r="A438" s="44"/>
      <c r="B438" s="45"/>
      <c r="C438" s="45"/>
      <c r="E438" s="44"/>
      <c r="F438" s="45"/>
      <c r="G438" s="45"/>
      <c r="J438" s="44"/>
      <c r="K438" s="45"/>
      <c r="M438" s="44"/>
      <c r="N438" s="45"/>
    </row>
    <row r="439" spans="1:14">
      <c r="A439" s="44"/>
      <c r="B439" s="45"/>
      <c r="C439" s="45"/>
      <c r="E439" s="44"/>
      <c r="F439" s="45"/>
      <c r="G439" s="45"/>
      <c r="J439" s="44"/>
      <c r="K439" s="45"/>
      <c r="M439" s="44"/>
      <c r="N439" s="45"/>
    </row>
    <row r="440" spans="1:14">
      <c r="A440" s="44"/>
      <c r="B440" s="45"/>
      <c r="C440" s="45"/>
      <c r="E440" s="44"/>
      <c r="F440" s="45"/>
      <c r="G440" s="45"/>
      <c r="J440" s="44"/>
      <c r="K440" s="45"/>
      <c r="M440" s="44"/>
      <c r="N440" s="45"/>
    </row>
    <row r="441" spans="1:14">
      <c r="A441" s="44"/>
      <c r="B441" s="45"/>
      <c r="C441" s="45"/>
      <c r="E441" s="44"/>
      <c r="F441" s="45"/>
      <c r="G441" s="45"/>
      <c r="J441" s="44"/>
      <c r="K441" s="45"/>
      <c r="M441" s="44"/>
      <c r="N441" s="45"/>
    </row>
    <row r="442" spans="1:14">
      <c r="A442" s="44"/>
      <c r="B442" s="45"/>
      <c r="C442" s="45"/>
      <c r="E442" s="44"/>
      <c r="F442" s="45"/>
      <c r="G442" s="45"/>
      <c r="J442" s="44"/>
      <c r="K442" s="45"/>
      <c r="M442" s="44"/>
      <c r="N442" s="45"/>
    </row>
    <row r="443" spans="1:14">
      <c r="A443" s="44"/>
      <c r="B443" s="45"/>
      <c r="C443" s="45"/>
      <c r="E443" s="44"/>
      <c r="F443" s="45"/>
      <c r="G443" s="45"/>
      <c r="J443" s="44"/>
      <c r="K443" s="45"/>
      <c r="M443" s="44"/>
      <c r="N443" s="45"/>
    </row>
    <row r="444" spans="1:14">
      <c r="A444" s="44"/>
      <c r="B444" s="45"/>
      <c r="C444" s="45"/>
      <c r="E444" s="44"/>
      <c r="F444" s="45"/>
      <c r="G444" s="45"/>
      <c r="J444" s="44"/>
      <c r="K444" s="45"/>
      <c r="M444" s="44"/>
      <c r="N444" s="45"/>
    </row>
    <row r="445" spans="1:14">
      <c r="A445" s="44"/>
      <c r="B445" s="45"/>
      <c r="C445" s="45"/>
      <c r="E445" s="44"/>
      <c r="F445" s="45"/>
      <c r="G445" s="45"/>
      <c r="J445" s="44"/>
      <c r="K445" s="45"/>
      <c r="M445" s="44"/>
      <c r="N445" s="45"/>
    </row>
    <row r="446" spans="1:14">
      <c r="A446" s="44"/>
      <c r="B446" s="45"/>
      <c r="C446" s="45"/>
      <c r="E446" s="44"/>
      <c r="F446" s="45"/>
      <c r="G446" s="45"/>
      <c r="J446" s="44"/>
      <c r="K446" s="45"/>
      <c r="M446" s="44"/>
      <c r="N446" s="45"/>
    </row>
    <row r="447" spans="1:14">
      <c r="A447" s="44"/>
      <c r="B447" s="45"/>
      <c r="C447" s="45"/>
      <c r="E447" s="44"/>
      <c r="F447" s="45"/>
      <c r="G447" s="45"/>
      <c r="J447" s="44"/>
      <c r="K447" s="45"/>
      <c r="M447" s="44"/>
      <c r="N447" s="45"/>
    </row>
    <row r="448" spans="1:14">
      <c r="A448" s="44"/>
      <c r="B448" s="45"/>
      <c r="C448" s="45"/>
      <c r="E448" s="44"/>
      <c r="F448" s="45"/>
      <c r="G448" s="45"/>
      <c r="J448" s="44"/>
      <c r="K448" s="45"/>
      <c r="M448" s="44"/>
      <c r="N448" s="45"/>
    </row>
    <row r="449" spans="1:14">
      <c r="A449" s="44"/>
      <c r="B449" s="45"/>
      <c r="C449" s="45"/>
      <c r="E449" s="44"/>
      <c r="F449" s="45"/>
      <c r="G449" s="45"/>
      <c r="J449" s="44"/>
      <c r="K449" s="45"/>
      <c r="M449" s="44"/>
      <c r="N449" s="45"/>
    </row>
    <row r="450" spans="1:14">
      <c r="A450" s="44"/>
      <c r="B450" s="45"/>
      <c r="C450" s="45"/>
      <c r="E450" s="44"/>
      <c r="F450" s="45"/>
      <c r="G450" s="45"/>
      <c r="J450" s="44"/>
      <c r="K450" s="45"/>
      <c r="M450" s="44"/>
      <c r="N450" s="45"/>
    </row>
    <row r="451" spans="1:14">
      <c r="A451" s="44"/>
      <c r="B451" s="45"/>
      <c r="C451" s="45"/>
      <c r="E451" s="44"/>
      <c r="F451" s="45"/>
      <c r="G451" s="45"/>
      <c r="J451" s="44"/>
      <c r="K451" s="45"/>
      <c r="M451" s="44"/>
      <c r="N451" s="45"/>
    </row>
    <row r="452" spans="1:14">
      <c r="A452" s="44"/>
      <c r="B452" s="45"/>
      <c r="C452" s="45"/>
      <c r="E452" s="44"/>
      <c r="F452" s="45"/>
      <c r="G452" s="45"/>
      <c r="J452" s="44"/>
      <c r="K452" s="45"/>
      <c r="M452" s="44"/>
      <c r="N452" s="45"/>
    </row>
    <row r="453" spans="1:14">
      <c r="A453" s="44"/>
      <c r="B453" s="45"/>
      <c r="C453" s="45"/>
      <c r="E453" s="44"/>
      <c r="F453" s="45"/>
      <c r="G453" s="45"/>
      <c r="J453" s="44"/>
      <c r="K453" s="45"/>
      <c r="M453" s="44"/>
      <c r="N453" s="45"/>
    </row>
    <row r="454" spans="1:14">
      <c r="A454" s="44"/>
      <c r="B454" s="45"/>
      <c r="C454" s="45"/>
      <c r="E454" s="44"/>
      <c r="F454" s="45"/>
      <c r="G454" s="45"/>
      <c r="J454" s="44"/>
      <c r="K454" s="45"/>
      <c r="M454" s="44"/>
      <c r="N454" s="45"/>
    </row>
    <row r="455" spans="1:14">
      <c r="A455" s="44"/>
      <c r="B455" s="45"/>
      <c r="C455" s="45"/>
      <c r="E455" s="44"/>
      <c r="F455" s="45"/>
      <c r="G455" s="45"/>
      <c r="J455" s="44"/>
      <c r="K455" s="45"/>
      <c r="M455" s="44"/>
      <c r="N455" s="45"/>
    </row>
    <row r="456" spans="1:14">
      <c r="A456" s="44"/>
      <c r="B456" s="45"/>
      <c r="C456" s="45"/>
      <c r="E456" s="44"/>
      <c r="F456" s="45"/>
      <c r="G456" s="45"/>
      <c r="J456" s="44"/>
      <c r="K456" s="45"/>
      <c r="M456" s="44"/>
      <c r="N456" s="45"/>
    </row>
    <row r="457" spans="1:14">
      <c r="A457" s="44"/>
      <c r="B457" s="45"/>
      <c r="C457" s="45"/>
      <c r="E457" s="44"/>
      <c r="F457" s="45"/>
      <c r="G457" s="45"/>
      <c r="J457" s="44"/>
      <c r="K457" s="45"/>
      <c r="M457" s="44"/>
      <c r="N457" s="45"/>
    </row>
    <row r="458" spans="1:14">
      <c r="A458" s="44"/>
      <c r="B458" s="45"/>
      <c r="C458" s="45"/>
      <c r="E458" s="44"/>
      <c r="F458" s="45"/>
      <c r="G458" s="45"/>
      <c r="J458" s="44"/>
      <c r="K458" s="45"/>
      <c r="M458" s="44"/>
      <c r="N458" s="45"/>
    </row>
    <row r="459" spans="1:14">
      <c r="A459" s="44"/>
      <c r="B459" s="45"/>
      <c r="C459" s="45"/>
      <c r="E459" s="44"/>
      <c r="F459" s="45"/>
      <c r="G459" s="45"/>
      <c r="J459" s="44"/>
      <c r="K459" s="45"/>
      <c r="M459" s="44"/>
      <c r="N459" s="45"/>
    </row>
    <row r="460" spans="1:14">
      <c r="A460" s="44"/>
      <c r="B460" s="45"/>
      <c r="C460" s="45"/>
      <c r="E460" s="44"/>
      <c r="F460" s="45"/>
      <c r="G460" s="45"/>
      <c r="J460" s="44"/>
      <c r="K460" s="45"/>
      <c r="M460" s="44"/>
      <c r="N460" s="45"/>
    </row>
    <row r="461" spans="1:14">
      <c r="A461" s="44"/>
      <c r="B461" s="45"/>
      <c r="C461" s="45"/>
      <c r="E461" s="44"/>
      <c r="F461" s="45"/>
      <c r="G461" s="45"/>
      <c r="J461" s="44"/>
      <c r="K461" s="45"/>
      <c r="M461" s="44"/>
      <c r="N461" s="45"/>
    </row>
    <row r="462" spans="1:14">
      <c r="A462" s="44"/>
      <c r="B462" s="45"/>
      <c r="C462" s="45"/>
      <c r="E462" s="44"/>
      <c r="F462" s="45"/>
      <c r="G462" s="45"/>
      <c r="J462" s="44"/>
      <c r="K462" s="45"/>
      <c r="M462" s="44"/>
      <c r="N462" s="45"/>
    </row>
    <row r="463" spans="1:14">
      <c r="A463" s="44"/>
      <c r="B463" s="45"/>
      <c r="C463" s="45"/>
      <c r="E463" s="44"/>
      <c r="F463" s="45"/>
      <c r="G463" s="45"/>
      <c r="J463" s="44"/>
      <c r="K463" s="45"/>
      <c r="M463" s="44"/>
      <c r="N463" s="45"/>
    </row>
    <row r="464" spans="1:14">
      <c r="A464" s="44"/>
      <c r="B464" s="45"/>
      <c r="C464" s="45"/>
      <c r="E464" s="44"/>
      <c r="F464" s="45"/>
      <c r="G464" s="45"/>
      <c r="J464" s="44"/>
      <c r="K464" s="45"/>
      <c r="M464" s="44"/>
      <c r="N464" s="45"/>
    </row>
    <row r="465" spans="1:14">
      <c r="A465" s="44"/>
      <c r="B465" s="45"/>
      <c r="C465" s="45"/>
      <c r="E465" s="44"/>
      <c r="F465" s="45"/>
      <c r="G465" s="45"/>
      <c r="J465" s="44"/>
      <c r="K465" s="45"/>
      <c r="M465" s="44"/>
      <c r="N465" s="45"/>
    </row>
    <row r="466" spans="1:14">
      <c r="A466" s="44"/>
      <c r="B466" s="45"/>
      <c r="C466" s="45"/>
      <c r="E466" s="44"/>
      <c r="F466" s="45"/>
      <c r="G466" s="45"/>
      <c r="J466" s="44"/>
      <c r="K466" s="45"/>
      <c r="M466" s="44"/>
      <c r="N466" s="45"/>
    </row>
    <row r="467" spans="1:14">
      <c r="A467" s="44"/>
      <c r="B467" s="45"/>
      <c r="C467" s="45"/>
      <c r="E467" s="44"/>
      <c r="F467" s="45"/>
      <c r="G467" s="45"/>
      <c r="J467" s="44"/>
      <c r="K467" s="45"/>
      <c r="M467" s="44"/>
      <c r="N467" s="45"/>
    </row>
    <row r="468" spans="1:14">
      <c r="A468" s="44"/>
      <c r="B468" s="45"/>
      <c r="C468" s="45"/>
      <c r="E468" s="44"/>
      <c r="F468" s="45"/>
      <c r="G468" s="45"/>
      <c r="J468" s="44"/>
      <c r="K468" s="45"/>
      <c r="M468" s="44"/>
      <c r="N468" s="45"/>
    </row>
    <row r="469" spans="1:14">
      <c r="A469" s="44"/>
      <c r="B469" s="45"/>
      <c r="C469" s="45"/>
      <c r="E469" s="44"/>
      <c r="F469" s="45"/>
      <c r="G469" s="45"/>
      <c r="J469" s="44"/>
      <c r="K469" s="45"/>
      <c r="M469" s="44"/>
      <c r="N469" s="45"/>
    </row>
    <row r="470" spans="1:14">
      <c r="A470" s="44"/>
      <c r="B470" s="45"/>
      <c r="C470" s="45"/>
      <c r="E470" s="44"/>
      <c r="F470" s="45"/>
      <c r="G470" s="45"/>
      <c r="J470" s="44"/>
      <c r="K470" s="45"/>
      <c r="M470" s="44"/>
      <c r="N470" s="45"/>
    </row>
    <row r="471" spans="1:14">
      <c r="A471" s="44"/>
      <c r="B471" s="45"/>
      <c r="C471" s="45"/>
      <c r="E471" s="44"/>
      <c r="F471" s="45"/>
      <c r="G471" s="45"/>
      <c r="J471" s="44"/>
      <c r="K471" s="45"/>
      <c r="M471" s="44"/>
      <c r="N471" s="45"/>
    </row>
    <row r="472" spans="1:14">
      <c r="A472" s="44"/>
      <c r="B472" s="45"/>
      <c r="C472" s="45"/>
      <c r="E472" s="44"/>
      <c r="F472" s="45"/>
      <c r="G472" s="45"/>
      <c r="J472" s="44"/>
      <c r="K472" s="45"/>
      <c r="M472" s="44"/>
      <c r="N472" s="45"/>
    </row>
    <row r="473" spans="1:14">
      <c r="A473" s="44"/>
      <c r="B473" s="45"/>
      <c r="C473" s="45"/>
      <c r="E473" s="44"/>
      <c r="F473" s="45"/>
      <c r="G473" s="45"/>
      <c r="J473" s="44"/>
      <c r="K473" s="45"/>
      <c r="M473" s="44"/>
      <c r="N473" s="45"/>
    </row>
    <row r="474" spans="1:14">
      <c r="A474" s="44"/>
      <c r="B474" s="45"/>
      <c r="C474" s="45"/>
      <c r="E474" s="44"/>
      <c r="F474" s="45"/>
      <c r="G474" s="45"/>
      <c r="J474" s="44"/>
      <c r="K474" s="45"/>
      <c r="M474" s="44"/>
      <c r="N474" s="45"/>
    </row>
    <row r="475" spans="1:14">
      <c r="A475" s="44"/>
      <c r="B475" s="45"/>
      <c r="C475" s="45"/>
      <c r="E475" s="44"/>
      <c r="F475" s="45"/>
      <c r="G475" s="45"/>
      <c r="J475" s="44"/>
      <c r="K475" s="45"/>
      <c r="M475" s="44"/>
      <c r="N475" s="45"/>
    </row>
    <row r="476" spans="1:14">
      <c r="A476" s="44"/>
      <c r="B476" s="45"/>
      <c r="C476" s="45"/>
      <c r="E476" s="44"/>
      <c r="F476" s="45"/>
      <c r="G476" s="45"/>
      <c r="J476" s="44"/>
      <c r="K476" s="45"/>
      <c r="M476" s="44"/>
      <c r="N476" s="45"/>
    </row>
    <row r="477" spans="1:14">
      <c r="A477" s="44"/>
      <c r="B477" s="45"/>
      <c r="C477" s="45"/>
      <c r="E477" s="44"/>
      <c r="F477" s="45"/>
      <c r="G477" s="45"/>
      <c r="J477" s="44"/>
      <c r="K477" s="45"/>
      <c r="M477" s="44"/>
      <c r="N477" s="45"/>
    </row>
    <row r="478" spans="1:14">
      <c r="A478" s="44"/>
      <c r="B478" s="45"/>
      <c r="C478" s="45"/>
      <c r="E478" s="44"/>
      <c r="F478" s="45"/>
      <c r="G478" s="45"/>
      <c r="J478" s="44"/>
      <c r="K478" s="45"/>
      <c r="M478" s="44"/>
      <c r="N478" s="45"/>
    </row>
    <row r="479" spans="1:14">
      <c r="A479" s="44"/>
      <c r="B479" s="45"/>
      <c r="C479" s="45"/>
      <c r="E479" s="44"/>
      <c r="F479" s="45"/>
      <c r="G479" s="45"/>
      <c r="J479" s="44"/>
      <c r="K479" s="45"/>
      <c r="M479" s="44"/>
      <c r="N479" s="45"/>
    </row>
    <row r="480" spans="1:14">
      <c r="A480" s="44"/>
      <c r="B480" s="45"/>
      <c r="C480" s="45"/>
      <c r="E480" s="44"/>
      <c r="F480" s="45"/>
      <c r="G480" s="45"/>
      <c r="J480" s="44"/>
      <c r="K480" s="45"/>
      <c r="M480" s="44"/>
      <c r="N480" s="45"/>
    </row>
    <row r="481" spans="1:14">
      <c r="A481" s="44"/>
      <c r="B481" s="45"/>
      <c r="C481" s="45"/>
      <c r="E481" s="44"/>
      <c r="F481" s="45"/>
      <c r="G481" s="45"/>
      <c r="J481" s="44"/>
      <c r="K481" s="45"/>
      <c r="M481" s="44"/>
      <c r="N481" s="45"/>
    </row>
    <row r="482" spans="1:14">
      <c r="A482" s="44"/>
      <c r="B482" s="45"/>
      <c r="C482" s="45"/>
      <c r="E482" s="44"/>
      <c r="F482" s="45"/>
      <c r="G482" s="45"/>
      <c r="J482" s="44"/>
      <c r="K482" s="45"/>
      <c r="M482" s="44"/>
      <c r="N482" s="45"/>
    </row>
    <row r="483" spans="1:14">
      <c r="A483" s="44"/>
      <c r="B483" s="45"/>
      <c r="C483" s="45"/>
      <c r="E483" s="44"/>
      <c r="F483" s="45"/>
      <c r="G483" s="45"/>
      <c r="J483" s="44"/>
      <c r="K483" s="45"/>
      <c r="M483" s="44"/>
      <c r="N483" s="45"/>
    </row>
    <row r="484" spans="1:14">
      <c r="A484" s="44"/>
      <c r="B484" s="45"/>
      <c r="C484" s="45"/>
      <c r="E484" s="44"/>
      <c r="F484" s="45"/>
      <c r="G484" s="45"/>
      <c r="J484" s="44"/>
      <c r="K484" s="45"/>
      <c r="M484" s="44"/>
      <c r="N484" s="45"/>
    </row>
    <row r="485" spans="1:14">
      <c r="A485" s="44"/>
      <c r="B485" s="45"/>
      <c r="C485" s="45"/>
      <c r="E485" s="44"/>
      <c r="F485" s="45"/>
      <c r="G485" s="45"/>
      <c r="J485" s="44"/>
      <c r="K485" s="45"/>
      <c r="M485" s="44"/>
      <c r="N485" s="45"/>
    </row>
    <row r="486" spans="1:14">
      <c r="A486" s="44"/>
      <c r="B486" s="45"/>
      <c r="C486" s="45"/>
      <c r="E486" s="44"/>
      <c r="F486" s="45"/>
      <c r="G486" s="45"/>
      <c r="J486" s="44"/>
      <c r="K486" s="45"/>
      <c r="M486" s="44"/>
      <c r="N486" s="45"/>
    </row>
    <row r="487" spans="1:14">
      <c r="A487" s="44"/>
      <c r="B487" s="45"/>
      <c r="C487" s="45"/>
      <c r="E487" s="44"/>
      <c r="F487" s="45"/>
      <c r="G487" s="45"/>
      <c r="J487" s="44"/>
      <c r="K487" s="45"/>
      <c r="M487" s="44"/>
      <c r="N487" s="45"/>
    </row>
    <row r="488" spans="1:14">
      <c r="A488" s="44"/>
      <c r="B488" s="45"/>
      <c r="C488" s="45"/>
      <c r="E488" s="44"/>
      <c r="F488" s="45"/>
      <c r="G488" s="45"/>
      <c r="J488" s="44"/>
      <c r="K488" s="45"/>
      <c r="M488" s="44"/>
      <c r="N488" s="45"/>
    </row>
    <row r="489" spans="1:14">
      <c r="A489" s="44"/>
      <c r="B489" s="45"/>
      <c r="C489" s="45"/>
      <c r="E489" s="44"/>
      <c r="F489" s="45"/>
      <c r="G489" s="45"/>
      <c r="J489" s="44"/>
      <c r="K489" s="45"/>
      <c r="M489" s="44"/>
      <c r="N489" s="45"/>
    </row>
    <row r="490" spans="1:14">
      <c r="A490" s="44"/>
      <c r="B490" s="45"/>
      <c r="C490" s="45"/>
      <c r="E490" s="44"/>
      <c r="F490" s="45"/>
      <c r="G490" s="45"/>
      <c r="J490" s="44"/>
      <c r="K490" s="45"/>
      <c r="M490" s="44"/>
      <c r="N490" s="45"/>
    </row>
    <row r="491" spans="1:14">
      <c r="A491" s="44"/>
      <c r="B491" s="45"/>
      <c r="C491" s="45"/>
      <c r="E491" s="44"/>
      <c r="F491" s="45"/>
      <c r="G491" s="45"/>
      <c r="J491" s="44"/>
      <c r="K491" s="45"/>
      <c r="M491" s="44"/>
      <c r="N491" s="45"/>
    </row>
    <row r="492" spans="1:14">
      <c r="A492" s="44"/>
      <c r="B492" s="45"/>
      <c r="C492" s="45"/>
      <c r="E492" s="44"/>
      <c r="F492" s="45"/>
      <c r="G492" s="45"/>
      <c r="J492" s="44"/>
      <c r="K492" s="45"/>
      <c r="M492" s="44"/>
      <c r="N492" s="45"/>
    </row>
    <row r="493" spans="1:14">
      <c r="A493" s="44"/>
      <c r="B493" s="45"/>
      <c r="C493" s="45"/>
      <c r="E493" s="44"/>
      <c r="F493" s="45"/>
      <c r="G493" s="45"/>
      <c r="J493" s="44"/>
      <c r="K493" s="45"/>
      <c r="M493" s="44"/>
      <c r="N493" s="45"/>
    </row>
    <row r="494" spans="1:14">
      <c r="A494" s="44"/>
      <c r="B494" s="45"/>
      <c r="C494" s="45"/>
      <c r="E494" s="44"/>
      <c r="F494" s="45"/>
      <c r="G494" s="45"/>
      <c r="J494" s="44"/>
      <c r="K494" s="45"/>
      <c r="M494" s="44"/>
      <c r="N494" s="45"/>
    </row>
    <row r="495" spans="1:14">
      <c r="A495" s="44"/>
      <c r="B495" s="45"/>
      <c r="C495" s="45"/>
      <c r="E495" s="44"/>
      <c r="F495" s="45"/>
      <c r="G495" s="45"/>
      <c r="J495" s="44"/>
      <c r="K495" s="45"/>
      <c r="M495" s="44"/>
      <c r="N495" s="45"/>
    </row>
    <row r="496" spans="1:14">
      <c r="A496" s="44"/>
      <c r="B496" s="45"/>
      <c r="C496" s="45"/>
      <c r="E496" s="44"/>
      <c r="F496" s="45"/>
      <c r="G496" s="45"/>
      <c r="J496" s="44"/>
      <c r="K496" s="45"/>
      <c r="M496" s="44"/>
      <c r="N496" s="45"/>
    </row>
    <row r="497" spans="1:14">
      <c r="A497" s="44"/>
      <c r="B497" s="45"/>
      <c r="C497" s="45"/>
      <c r="E497" s="44"/>
      <c r="F497" s="45"/>
      <c r="G497" s="45"/>
      <c r="J497" s="44"/>
      <c r="K497" s="45"/>
      <c r="M497" s="44"/>
      <c r="N497" s="45"/>
    </row>
    <row r="498" spans="1:14">
      <c r="A498" s="44"/>
      <c r="B498" s="45"/>
      <c r="C498" s="45"/>
      <c r="E498" s="44"/>
      <c r="F498" s="45"/>
      <c r="G498" s="45"/>
      <c r="J498" s="44"/>
      <c r="K498" s="45"/>
      <c r="M498" s="44"/>
      <c r="N498" s="45"/>
    </row>
    <row r="499" spans="1:14">
      <c r="A499" s="44"/>
      <c r="B499" s="45"/>
      <c r="C499" s="45"/>
      <c r="E499" s="44"/>
      <c r="F499" s="45"/>
      <c r="G499" s="45"/>
      <c r="J499" s="44"/>
      <c r="K499" s="45"/>
      <c r="M499" s="44"/>
      <c r="N499" s="45"/>
    </row>
    <row r="500" spans="1:14">
      <c r="A500" s="44"/>
      <c r="B500" s="45"/>
      <c r="C500" s="45"/>
      <c r="E500" s="44"/>
      <c r="F500" s="45"/>
      <c r="G500" s="45"/>
      <c r="J500" s="44"/>
      <c r="K500" s="45"/>
      <c r="M500" s="44"/>
      <c r="N500" s="45"/>
    </row>
    <row r="501" spans="1:14">
      <c r="A501" s="44"/>
      <c r="B501" s="45"/>
      <c r="C501" s="45"/>
      <c r="E501" s="44"/>
      <c r="F501" s="45"/>
      <c r="G501" s="45"/>
      <c r="J501" s="44"/>
      <c r="K501" s="45"/>
      <c r="M501" s="44"/>
      <c r="N501" s="45"/>
    </row>
    <row r="502" spans="1:14">
      <c r="A502" s="44"/>
      <c r="B502" s="45"/>
      <c r="C502" s="45"/>
      <c r="E502" s="44"/>
      <c r="F502" s="45"/>
      <c r="G502" s="45"/>
      <c r="J502" s="44"/>
      <c r="K502" s="45"/>
      <c r="M502" s="44"/>
      <c r="N502" s="45"/>
    </row>
    <row r="503" spans="1:14">
      <c r="A503" s="44"/>
      <c r="B503" s="45"/>
      <c r="C503" s="45"/>
      <c r="E503" s="44"/>
      <c r="F503" s="45"/>
      <c r="G503" s="45"/>
      <c r="J503" s="44"/>
      <c r="K503" s="45"/>
      <c r="M503" s="44"/>
      <c r="N503" s="45"/>
    </row>
    <row r="504" spans="1:14">
      <c r="A504" s="44"/>
      <c r="B504" s="45"/>
      <c r="C504" s="45"/>
      <c r="E504" s="44"/>
      <c r="F504" s="45"/>
      <c r="G504" s="45"/>
      <c r="J504" s="44"/>
      <c r="K504" s="45"/>
      <c r="M504" s="44"/>
      <c r="N504" s="45"/>
    </row>
    <row r="505" spans="1:14">
      <c r="A505" s="44"/>
      <c r="B505" s="45"/>
      <c r="C505" s="45"/>
      <c r="E505" s="44"/>
      <c r="F505" s="45"/>
      <c r="G505" s="45"/>
      <c r="J505" s="44"/>
      <c r="K505" s="45"/>
      <c r="M505" s="44"/>
      <c r="N505" s="45"/>
    </row>
    <row r="506" spans="1:14">
      <c r="A506" s="44"/>
      <c r="B506" s="45"/>
      <c r="C506" s="45"/>
      <c r="E506" s="44"/>
      <c r="F506" s="45"/>
      <c r="G506" s="45"/>
      <c r="J506" s="44"/>
      <c r="K506" s="45"/>
      <c r="M506" s="44"/>
      <c r="N506" s="45"/>
    </row>
    <row r="507" spans="1:14">
      <c r="A507" s="44"/>
      <c r="B507" s="45"/>
      <c r="C507" s="45"/>
      <c r="E507" s="44"/>
      <c r="F507" s="45"/>
      <c r="G507" s="45"/>
      <c r="J507" s="44"/>
      <c r="K507" s="45"/>
      <c r="M507" s="44"/>
      <c r="N507" s="45"/>
    </row>
    <row r="508" spans="1:14">
      <c r="A508" s="44"/>
      <c r="B508" s="45"/>
      <c r="C508" s="45"/>
      <c r="E508" s="44"/>
      <c r="F508" s="45"/>
      <c r="G508" s="45"/>
      <c r="J508" s="44"/>
      <c r="K508" s="45"/>
      <c r="M508" s="44"/>
      <c r="N508" s="45"/>
    </row>
    <row r="509" spans="1:14">
      <c r="A509" s="44"/>
      <c r="B509" s="45"/>
      <c r="C509" s="45"/>
      <c r="E509" s="44"/>
      <c r="F509" s="45"/>
      <c r="G509" s="45"/>
      <c r="J509" s="44"/>
      <c r="K509" s="45"/>
      <c r="M509" s="44"/>
      <c r="N509" s="45"/>
    </row>
    <row r="510" spans="1:14">
      <c r="A510" s="44"/>
      <c r="B510" s="45"/>
      <c r="C510" s="45"/>
      <c r="E510" s="44"/>
      <c r="F510" s="45"/>
      <c r="G510" s="45"/>
      <c r="J510" s="44"/>
      <c r="K510" s="45"/>
      <c r="M510" s="44"/>
      <c r="N510" s="45"/>
    </row>
    <row r="511" spans="1:14">
      <c r="A511" s="44"/>
      <c r="B511" s="45"/>
      <c r="C511" s="45"/>
      <c r="E511" s="44"/>
      <c r="F511" s="45"/>
      <c r="G511" s="45"/>
      <c r="J511" s="44"/>
      <c r="K511" s="45"/>
      <c r="M511" s="44"/>
      <c r="N511" s="45"/>
    </row>
    <row r="512" spans="1:14">
      <c r="A512" s="44"/>
      <c r="B512" s="45"/>
      <c r="C512" s="45"/>
      <c r="E512" s="44"/>
      <c r="F512" s="45"/>
      <c r="G512" s="45"/>
      <c r="J512" s="44"/>
      <c r="K512" s="45"/>
      <c r="M512" s="44"/>
      <c r="N512" s="45"/>
    </row>
    <row r="513" spans="1:14">
      <c r="A513" s="44"/>
      <c r="B513" s="45"/>
      <c r="C513" s="45"/>
      <c r="E513" s="44"/>
      <c r="F513" s="45"/>
      <c r="G513" s="45"/>
      <c r="J513" s="44"/>
      <c r="K513" s="45"/>
      <c r="M513" s="44"/>
      <c r="N513" s="45"/>
    </row>
    <row r="514" spans="1:14">
      <c r="A514" s="44"/>
      <c r="B514" s="45"/>
      <c r="C514" s="45"/>
      <c r="E514" s="44"/>
      <c r="F514" s="45"/>
      <c r="G514" s="45"/>
      <c r="J514" s="44"/>
      <c r="K514" s="45"/>
      <c r="M514" s="44"/>
      <c r="N514" s="45"/>
    </row>
    <row r="515" spans="1:14">
      <c r="A515" s="44"/>
      <c r="B515" s="45"/>
      <c r="C515" s="45"/>
      <c r="E515" s="44"/>
      <c r="F515" s="45"/>
      <c r="G515" s="45"/>
      <c r="J515" s="44"/>
      <c r="K515" s="45"/>
      <c r="M515" s="44"/>
      <c r="N515" s="45"/>
    </row>
    <row r="516" spans="1:14">
      <c r="A516" s="44"/>
      <c r="B516" s="45"/>
      <c r="C516" s="45"/>
      <c r="E516" s="44"/>
      <c r="F516" s="45"/>
      <c r="G516" s="45"/>
      <c r="J516" s="44"/>
      <c r="K516" s="45"/>
      <c r="M516" s="44"/>
      <c r="N516" s="45"/>
    </row>
    <row r="517" spans="1:14">
      <c r="A517" s="44"/>
      <c r="B517" s="45"/>
      <c r="C517" s="45"/>
      <c r="E517" s="44"/>
      <c r="F517" s="45"/>
      <c r="G517" s="45"/>
      <c r="J517" s="44"/>
      <c r="K517" s="45"/>
      <c r="M517" s="44"/>
      <c r="N517" s="45"/>
    </row>
    <row r="518" spans="1:14">
      <c r="A518" s="44"/>
      <c r="B518" s="45"/>
      <c r="C518" s="45"/>
      <c r="E518" s="44"/>
      <c r="F518" s="45"/>
      <c r="G518" s="45"/>
      <c r="J518" s="44"/>
      <c r="K518" s="45"/>
      <c r="M518" s="44"/>
      <c r="N518" s="45"/>
    </row>
    <row r="519" spans="1:14">
      <c r="A519" s="44"/>
      <c r="B519" s="45"/>
      <c r="C519" s="45"/>
      <c r="E519" s="44"/>
      <c r="F519" s="45"/>
      <c r="G519" s="45"/>
      <c r="J519" s="44"/>
      <c r="K519" s="45"/>
      <c r="M519" s="44"/>
      <c r="N519" s="45"/>
    </row>
    <row r="520" spans="1:14">
      <c r="A520" s="44"/>
      <c r="B520" s="45"/>
      <c r="C520" s="45"/>
      <c r="E520" s="44"/>
      <c r="F520" s="45"/>
      <c r="G520" s="45"/>
      <c r="J520" s="44"/>
      <c r="K520" s="45"/>
      <c r="M520" s="44"/>
      <c r="N520" s="45"/>
    </row>
    <row r="521" spans="1:14">
      <c r="A521" s="44"/>
      <c r="B521" s="45"/>
      <c r="C521" s="45"/>
      <c r="E521" s="44"/>
      <c r="F521" s="45"/>
      <c r="G521" s="45"/>
      <c r="J521" s="44"/>
      <c r="K521" s="45"/>
      <c r="M521" s="44"/>
      <c r="N521" s="45"/>
    </row>
    <row r="522" spans="1:14">
      <c r="A522" s="44"/>
      <c r="B522" s="45"/>
      <c r="C522" s="45"/>
      <c r="E522" s="44"/>
      <c r="F522" s="45"/>
      <c r="G522" s="45"/>
      <c r="J522" s="44"/>
      <c r="K522" s="45"/>
      <c r="M522" s="44"/>
      <c r="N522" s="45"/>
    </row>
    <row r="523" spans="1:14">
      <c r="A523" s="44"/>
      <c r="B523" s="45"/>
      <c r="C523" s="45"/>
      <c r="E523" s="44"/>
      <c r="F523" s="45"/>
      <c r="G523" s="45"/>
      <c r="J523" s="44"/>
      <c r="K523" s="45"/>
      <c r="M523" s="44"/>
      <c r="N523" s="45"/>
    </row>
    <row r="524" spans="1:14">
      <c r="A524" s="44"/>
      <c r="B524" s="45"/>
      <c r="C524" s="45"/>
      <c r="E524" s="44"/>
      <c r="F524" s="45"/>
      <c r="G524" s="45"/>
      <c r="J524" s="44"/>
      <c r="K524" s="45"/>
      <c r="M524" s="44"/>
      <c r="N524" s="45"/>
    </row>
    <row r="525" spans="1:14">
      <c r="A525" s="44"/>
      <c r="B525" s="45"/>
      <c r="C525" s="45"/>
      <c r="E525" s="44"/>
      <c r="F525" s="45"/>
      <c r="G525" s="45"/>
      <c r="J525" s="44"/>
      <c r="K525" s="45"/>
      <c r="M525" s="44"/>
      <c r="N525" s="45"/>
    </row>
    <row r="526" spans="1:14">
      <c r="A526" s="44"/>
      <c r="B526" s="45"/>
      <c r="C526" s="45"/>
      <c r="E526" s="44"/>
      <c r="F526" s="45"/>
      <c r="G526" s="45"/>
      <c r="J526" s="44"/>
      <c r="K526" s="45"/>
      <c r="M526" s="44"/>
      <c r="N526" s="45"/>
    </row>
    <row r="527" spans="1:14">
      <c r="A527" s="44"/>
      <c r="B527" s="45"/>
      <c r="C527" s="45"/>
      <c r="E527" s="44"/>
      <c r="F527" s="45"/>
      <c r="G527" s="45"/>
      <c r="J527" s="44"/>
      <c r="K527" s="45"/>
      <c r="M527" s="44"/>
      <c r="N527" s="45"/>
    </row>
    <row r="528" spans="1:14">
      <c r="A528" s="44"/>
      <c r="B528" s="45"/>
      <c r="C528" s="45"/>
      <c r="E528" s="44"/>
      <c r="F528" s="45"/>
      <c r="G528" s="45"/>
      <c r="J528" s="44"/>
      <c r="K528" s="45"/>
      <c r="M528" s="44"/>
      <c r="N528" s="45"/>
    </row>
    <row r="529" spans="1:14">
      <c r="A529" s="44"/>
      <c r="B529" s="45"/>
      <c r="C529" s="45"/>
      <c r="E529" s="44"/>
      <c r="F529" s="45"/>
      <c r="G529" s="45"/>
      <c r="J529" s="44"/>
      <c r="K529" s="45"/>
      <c r="M529" s="44"/>
      <c r="N529" s="45"/>
    </row>
    <row r="530" spans="1:14">
      <c r="A530" s="44"/>
      <c r="B530" s="45"/>
      <c r="C530" s="45"/>
      <c r="E530" s="44"/>
      <c r="F530" s="45"/>
      <c r="G530" s="45"/>
      <c r="J530" s="44"/>
      <c r="K530" s="45"/>
      <c r="M530" s="44"/>
      <c r="N530" s="45"/>
    </row>
    <row r="531" spans="1:14">
      <c r="A531" s="44"/>
      <c r="B531" s="45"/>
      <c r="C531" s="45"/>
      <c r="E531" s="44"/>
      <c r="F531" s="45"/>
      <c r="G531" s="45"/>
      <c r="J531" s="44"/>
      <c r="K531" s="45"/>
      <c r="M531" s="44"/>
      <c r="N531" s="45"/>
    </row>
    <row r="532" spans="1:14">
      <c r="A532" s="44"/>
      <c r="B532" s="45"/>
      <c r="C532" s="45"/>
      <c r="E532" s="44"/>
      <c r="F532" s="45"/>
      <c r="G532" s="45"/>
      <c r="J532" s="44"/>
      <c r="K532" s="45"/>
      <c r="M532" s="44"/>
      <c r="N532" s="45"/>
    </row>
    <row r="533" spans="1:14">
      <c r="A533" s="44"/>
      <c r="B533" s="45"/>
      <c r="C533" s="45"/>
      <c r="E533" s="44"/>
      <c r="F533" s="45"/>
      <c r="G533" s="45"/>
      <c r="J533" s="44"/>
      <c r="K533" s="45"/>
      <c r="M533" s="44"/>
      <c r="N533" s="45"/>
    </row>
    <row r="534" spans="1:14">
      <c r="A534" s="44"/>
      <c r="B534" s="45"/>
      <c r="C534" s="45"/>
      <c r="E534" s="44"/>
      <c r="F534" s="45"/>
      <c r="G534" s="45"/>
      <c r="J534" s="44"/>
      <c r="K534" s="45"/>
      <c r="M534" s="44"/>
      <c r="N534" s="45"/>
    </row>
    <row r="535" spans="1:14">
      <c r="A535" s="44"/>
      <c r="B535" s="45"/>
      <c r="C535" s="45"/>
      <c r="E535" s="44"/>
      <c r="F535" s="45"/>
      <c r="G535" s="45"/>
      <c r="J535" s="44"/>
      <c r="K535" s="45"/>
      <c r="M535" s="44"/>
      <c r="N535" s="45"/>
    </row>
    <row r="536" spans="1:14">
      <c r="A536" s="44"/>
      <c r="B536" s="45"/>
      <c r="C536" s="45"/>
      <c r="E536" s="44"/>
      <c r="F536" s="45"/>
      <c r="G536" s="45"/>
      <c r="J536" s="44"/>
      <c r="K536" s="45"/>
      <c r="M536" s="44"/>
      <c r="N536" s="45"/>
    </row>
    <row r="537" spans="1:14">
      <c r="A537" s="44"/>
      <c r="B537" s="45"/>
      <c r="C537" s="45"/>
      <c r="E537" s="44"/>
      <c r="F537" s="45"/>
      <c r="G537" s="45"/>
      <c r="J537" s="44"/>
      <c r="K537" s="45"/>
      <c r="M537" s="44"/>
      <c r="N537" s="45"/>
    </row>
    <row r="538" spans="1:14">
      <c r="A538" s="44"/>
      <c r="B538" s="45"/>
      <c r="C538" s="45"/>
      <c r="E538" s="44"/>
      <c r="F538" s="45"/>
      <c r="G538" s="45"/>
      <c r="J538" s="44"/>
      <c r="K538" s="45"/>
      <c r="M538" s="44"/>
      <c r="N538" s="45"/>
    </row>
    <row r="539" spans="1:14">
      <c r="A539" s="44"/>
      <c r="B539" s="45"/>
      <c r="C539" s="45"/>
      <c r="E539" s="44"/>
      <c r="F539" s="45"/>
      <c r="G539" s="45"/>
      <c r="J539" s="44"/>
      <c r="K539" s="45"/>
      <c r="M539" s="44"/>
      <c r="N539" s="45"/>
    </row>
    <row r="540" spans="1:14">
      <c r="A540" s="44"/>
      <c r="B540" s="45"/>
      <c r="C540" s="45"/>
      <c r="E540" s="44"/>
      <c r="F540" s="45"/>
      <c r="G540" s="45"/>
      <c r="J540" s="44"/>
      <c r="K540" s="45"/>
      <c r="M540" s="44"/>
      <c r="N540" s="45"/>
    </row>
    <row r="541" spans="1:14">
      <c r="A541" s="44"/>
      <c r="B541" s="45"/>
      <c r="C541" s="45"/>
      <c r="E541" s="44"/>
      <c r="F541" s="45"/>
      <c r="G541" s="45"/>
      <c r="J541" s="44"/>
      <c r="K541" s="45"/>
      <c r="M541" s="44"/>
      <c r="N541" s="45"/>
    </row>
    <row r="542" spans="1:14">
      <c r="A542" s="44"/>
      <c r="B542" s="45"/>
      <c r="C542" s="45"/>
      <c r="E542" s="44"/>
      <c r="F542" s="45"/>
      <c r="G542" s="45"/>
      <c r="J542" s="44"/>
      <c r="K542" s="45"/>
      <c r="M542" s="44"/>
      <c r="N542" s="45"/>
    </row>
    <row r="543" spans="1:14">
      <c r="A543" s="44"/>
      <c r="B543" s="45"/>
      <c r="C543" s="45"/>
      <c r="E543" s="44"/>
      <c r="F543" s="45"/>
      <c r="G543" s="45"/>
      <c r="J543" s="44"/>
      <c r="K543" s="45"/>
      <c r="M543" s="44"/>
      <c r="N543" s="45"/>
    </row>
    <row r="544" spans="1:14">
      <c r="A544" s="44"/>
      <c r="B544" s="45"/>
      <c r="C544" s="45"/>
      <c r="E544" s="44"/>
      <c r="F544" s="45"/>
      <c r="G544" s="45"/>
      <c r="J544" s="44"/>
      <c r="K544" s="45"/>
      <c r="M544" s="44"/>
      <c r="N544" s="45"/>
    </row>
    <row r="545" spans="1:14">
      <c r="A545" s="44"/>
      <c r="B545" s="45"/>
      <c r="C545" s="45"/>
      <c r="E545" s="44"/>
      <c r="F545" s="45"/>
      <c r="G545" s="45"/>
      <c r="J545" s="44"/>
      <c r="K545" s="45"/>
      <c r="M545" s="44"/>
      <c r="N545" s="45"/>
    </row>
    <row r="546" spans="1:14">
      <c r="A546" s="44"/>
      <c r="B546" s="45"/>
      <c r="C546" s="45"/>
      <c r="E546" s="44"/>
      <c r="F546" s="45"/>
      <c r="G546" s="45"/>
      <c r="J546" s="44"/>
      <c r="K546" s="45"/>
      <c r="M546" s="44"/>
      <c r="N546" s="45"/>
    </row>
    <row r="547" spans="1:14">
      <c r="A547" s="44"/>
      <c r="B547" s="45"/>
      <c r="C547" s="45"/>
      <c r="E547" s="44"/>
      <c r="F547" s="45"/>
      <c r="G547" s="45"/>
      <c r="J547" s="44"/>
      <c r="K547" s="45"/>
      <c r="M547" s="44"/>
      <c r="N547" s="45"/>
    </row>
    <row r="548" spans="1:14">
      <c r="A548" s="44"/>
      <c r="B548" s="45"/>
      <c r="C548" s="45"/>
      <c r="E548" s="44"/>
      <c r="F548" s="45"/>
      <c r="G548" s="45"/>
      <c r="J548" s="44"/>
      <c r="K548" s="45"/>
      <c r="M548" s="44"/>
      <c r="N548" s="45"/>
    </row>
    <row r="549" spans="1:14">
      <c r="A549" s="44"/>
      <c r="B549" s="45"/>
      <c r="C549" s="45"/>
      <c r="E549" s="44"/>
      <c r="F549" s="45"/>
      <c r="G549" s="45"/>
      <c r="J549" s="44"/>
      <c r="K549" s="45"/>
      <c r="M549" s="44"/>
      <c r="N549" s="45"/>
    </row>
    <row r="550" spans="1:14">
      <c r="A550" s="44"/>
      <c r="B550" s="45"/>
      <c r="C550" s="45"/>
      <c r="E550" s="44"/>
      <c r="F550" s="45"/>
      <c r="G550" s="45"/>
      <c r="J550" s="44"/>
      <c r="K550" s="45"/>
      <c r="M550" s="44"/>
      <c r="N550" s="45"/>
    </row>
    <row r="551" spans="1:14">
      <c r="A551" s="44"/>
      <c r="B551" s="45"/>
      <c r="C551" s="45"/>
      <c r="E551" s="44"/>
      <c r="F551" s="45"/>
      <c r="G551" s="45"/>
      <c r="J551" s="44"/>
      <c r="K551" s="45"/>
      <c r="M551" s="44"/>
      <c r="N551" s="45"/>
    </row>
    <row r="552" spans="1:14">
      <c r="A552" s="44"/>
      <c r="B552" s="45"/>
      <c r="C552" s="45"/>
      <c r="E552" s="44"/>
      <c r="F552" s="45"/>
      <c r="G552" s="45"/>
      <c r="J552" s="44"/>
      <c r="K552" s="45"/>
      <c r="M552" s="44"/>
      <c r="N552" s="45"/>
    </row>
    <row r="553" spans="1:14">
      <c r="A553" s="44"/>
      <c r="B553" s="45"/>
      <c r="C553" s="45"/>
      <c r="E553" s="44"/>
      <c r="F553" s="45"/>
      <c r="G553" s="45"/>
      <c r="J553" s="44"/>
      <c r="K553" s="45"/>
      <c r="M553" s="44"/>
      <c r="N553" s="45"/>
    </row>
    <row r="554" spans="1:14">
      <c r="A554" s="44"/>
      <c r="B554" s="45"/>
      <c r="C554" s="45"/>
      <c r="E554" s="44"/>
      <c r="F554" s="45"/>
      <c r="G554" s="45"/>
      <c r="J554" s="44"/>
      <c r="K554" s="45"/>
      <c r="M554" s="44"/>
      <c r="N554" s="45"/>
    </row>
    <row r="555" spans="1:14">
      <c r="A555" s="44"/>
      <c r="B555" s="45"/>
      <c r="C555" s="45"/>
      <c r="E555" s="44"/>
      <c r="F555" s="45"/>
      <c r="G555" s="45"/>
      <c r="J555" s="44"/>
      <c r="K555" s="45"/>
      <c r="M555" s="44"/>
      <c r="N555" s="45"/>
    </row>
    <row r="556" spans="1:14">
      <c r="A556" s="44"/>
      <c r="B556" s="45"/>
      <c r="C556" s="45"/>
      <c r="E556" s="44"/>
      <c r="F556" s="45"/>
      <c r="G556" s="45"/>
      <c r="J556" s="44"/>
      <c r="K556" s="45"/>
      <c r="M556" s="44"/>
      <c r="N556" s="45"/>
    </row>
    <row r="557" spans="1:14">
      <c r="A557" s="44"/>
      <c r="B557" s="45"/>
      <c r="C557" s="45"/>
      <c r="E557" s="44"/>
      <c r="F557" s="45"/>
      <c r="G557" s="45"/>
      <c r="J557" s="44"/>
      <c r="K557" s="45"/>
      <c r="M557" s="44"/>
      <c r="N557" s="45"/>
    </row>
    <row r="558" spans="1:14">
      <c r="A558" s="44"/>
      <c r="B558" s="45"/>
      <c r="C558" s="45"/>
      <c r="E558" s="44"/>
      <c r="F558" s="45"/>
      <c r="G558" s="45"/>
      <c r="J558" s="44"/>
      <c r="K558" s="45"/>
      <c r="M558" s="44"/>
      <c r="N558" s="45"/>
    </row>
    <row r="559" spans="1:14">
      <c r="A559" s="44"/>
      <c r="B559" s="45"/>
      <c r="C559" s="45"/>
      <c r="E559" s="44"/>
      <c r="F559" s="45"/>
      <c r="G559" s="45"/>
      <c r="J559" s="44"/>
      <c r="K559" s="45"/>
      <c r="M559" s="44"/>
      <c r="N559" s="45"/>
    </row>
    <row r="560" spans="1:14">
      <c r="A560" s="44"/>
      <c r="B560" s="45"/>
      <c r="C560" s="45"/>
      <c r="E560" s="44"/>
      <c r="F560" s="45"/>
      <c r="G560" s="45"/>
      <c r="J560" s="44"/>
      <c r="K560" s="45"/>
      <c r="M560" s="44"/>
      <c r="N560" s="45"/>
    </row>
    <row r="561" spans="1:14">
      <c r="A561" s="44"/>
      <c r="B561" s="45"/>
      <c r="C561" s="45"/>
      <c r="E561" s="44"/>
      <c r="F561" s="45"/>
      <c r="G561" s="45"/>
      <c r="J561" s="44"/>
      <c r="K561" s="45"/>
      <c r="M561" s="44"/>
      <c r="N561" s="45"/>
    </row>
    <row r="562" spans="1:14">
      <c r="A562" s="44"/>
      <c r="B562" s="45"/>
      <c r="C562" s="45"/>
      <c r="E562" s="44"/>
      <c r="F562" s="45"/>
      <c r="G562" s="45"/>
      <c r="J562" s="44"/>
      <c r="K562" s="45"/>
      <c r="M562" s="44"/>
      <c r="N562" s="45"/>
    </row>
    <row r="563" spans="1:14">
      <c r="A563" s="44"/>
      <c r="B563" s="45"/>
      <c r="C563" s="45"/>
      <c r="E563" s="44"/>
      <c r="F563" s="45"/>
      <c r="G563" s="45"/>
      <c r="J563" s="44"/>
      <c r="K563" s="45"/>
      <c r="M563" s="44"/>
      <c r="N563" s="45"/>
    </row>
    <row r="564" spans="1:14">
      <c r="A564" s="44"/>
      <c r="B564" s="45"/>
      <c r="C564" s="45"/>
      <c r="E564" s="44"/>
      <c r="F564" s="45"/>
      <c r="G564" s="45"/>
      <c r="J564" s="44"/>
      <c r="K564" s="45"/>
      <c r="M564" s="44"/>
      <c r="N564" s="45"/>
    </row>
    <row r="565" spans="1:14">
      <c r="A565" s="44"/>
      <c r="B565" s="45"/>
      <c r="C565" s="45"/>
      <c r="E565" s="44"/>
      <c r="F565" s="45"/>
      <c r="G565" s="45"/>
      <c r="J565" s="44"/>
      <c r="K565" s="45"/>
      <c r="M565" s="44"/>
      <c r="N565" s="45"/>
    </row>
    <row r="566" spans="1:14">
      <c r="A566" s="44"/>
      <c r="B566" s="45"/>
      <c r="C566" s="45"/>
      <c r="E566" s="44"/>
      <c r="F566" s="45"/>
      <c r="G566" s="45"/>
      <c r="J566" s="44"/>
      <c r="K566" s="45"/>
      <c r="M566" s="44"/>
      <c r="N566" s="45"/>
    </row>
    <row r="567" spans="1:14">
      <c r="A567" s="44"/>
      <c r="B567" s="45"/>
      <c r="C567" s="45"/>
      <c r="E567" s="44"/>
      <c r="F567" s="45"/>
      <c r="G567" s="45"/>
      <c r="J567" s="44"/>
      <c r="K567" s="45"/>
      <c r="M567" s="44"/>
      <c r="N567" s="45"/>
    </row>
    <row r="568" spans="1:14">
      <c r="A568" s="44"/>
      <c r="B568" s="45"/>
      <c r="C568" s="45"/>
      <c r="E568" s="44"/>
      <c r="F568" s="45"/>
      <c r="G568" s="45"/>
      <c r="J568" s="44"/>
      <c r="K568" s="45"/>
      <c r="M568" s="44"/>
      <c r="N568" s="45"/>
    </row>
    <row r="569" spans="1:14">
      <c r="A569" s="44"/>
      <c r="B569" s="45"/>
      <c r="C569" s="45"/>
      <c r="E569" s="44"/>
      <c r="F569" s="45"/>
      <c r="G569" s="45"/>
      <c r="J569" s="44"/>
      <c r="K569" s="45"/>
      <c r="M569" s="44"/>
      <c r="N569" s="45"/>
    </row>
    <row r="570" spans="1:14">
      <c r="A570" s="44"/>
      <c r="B570" s="45"/>
      <c r="C570" s="45"/>
      <c r="E570" s="44"/>
      <c r="F570" s="45"/>
      <c r="G570" s="45"/>
      <c r="J570" s="44"/>
      <c r="K570" s="45"/>
      <c r="M570" s="44"/>
      <c r="N570" s="45"/>
    </row>
    <row r="571" spans="1:14">
      <c r="A571" s="44"/>
      <c r="B571" s="45"/>
      <c r="C571" s="45"/>
      <c r="E571" s="44"/>
      <c r="F571" s="45"/>
      <c r="G571" s="45"/>
      <c r="J571" s="44"/>
      <c r="K571" s="45"/>
      <c r="M571" s="44"/>
      <c r="N571" s="45"/>
    </row>
    <row r="572" spans="1:14">
      <c r="A572" s="44"/>
      <c r="B572" s="45"/>
      <c r="C572" s="45"/>
      <c r="E572" s="44"/>
      <c r="F572" s="45"/>
      <c r="G572" s="45"/>
      <c r="J572" s="44"/>
      <c r="K572" s="45"/>
      <c r="M572" s="44"/>
      <c r="N572" s="45"/>
    </row>
    <row r="573" spans="1:14">
      <c r="A573" s="44"/>
      <c r="B573" s="45"/>
      <c r="C573" s="45"/>
      <c r="E573" s="44"/>
      <c r="F573" s="45"/>
      <c r="G573" s="45"/>
      <c r="J573" s="44"/>
      <c r="K573" s="45"/>
      <c r="M573" s="44"/>
      <c r="N573" s="45"/>
    </row>
    <row r="574" spans="1:14">
      <c r="A574" s="44"/>
      <c r="B574" s="45"/>
      <c r="C574" s="45"/>
      <c r="E574" s="44"/>
      <c r="F574" s="45"/>
      <c r="G574" s="45"/>
      <c r="J574" s="44"/>
      <c r="K574" s="45"/>
      <c r="M574" s="44"/>
      <c r="N574" s="45"/>
    </row>
    <row r="575" spans="1:14">
      <c r="A575" s="44"/>
      <c r="B575" s="45"/>
      <c r="C575" s="45"/>
      <c r="E575" s="44"/>
      <c r="F575" s="45"/>
      <c r="G575" s="45"/>
      <c r="J575" s="44"/>
      <c r="K575" s="45"/>
      <c r="M575" s="44"/>
      <c r="N575" s="45"/>
    </row>
    <row r="576" spans="1:14">
      <c r="A576" s="44"/>
      <c r="B576" s="45"/>
      <c r="C576" s="45"/>
      <c r="E576" s="44"/>
      <c r="F576" s="45"/>
      <c r="G576" s="45"/>
      <c r="J576" s="44"/>
      <c r="K576" s="45"/>
      <c r="M576" s="44"/>
      <c r="N576" s="45"/>
    </row>
    <row r="577" spans="1:14">
      <c r="A577" s="44"/>
      <c r="B577" s="45"/>
      <c r="C577" s="45"/>
      <c r="E577" s="44"/>
      <c r="F577" s="45"/>
      <c r="G577" s="45"/>
      <c r="J577" s="44"/>
      <c r="K577" s="45"/>
      <c r="M577" s="44"/>
      <c r="N577" s="45"/>
    </row>
    <row r="578" spans="1:14">
      <c r="A578" s="44"/>
      <c r="B578" s="45"/>
      <c r="C578" s="45"/>
      <c r="E578" s="44"/>
      <c r="F578" s="45"/>
      <c r="G578" s="45"/>
      <c r="J578" s="44"/>
      <c r="K578" s="45"/>
      <c r="M578" s="44"/>
      <c r="N578" s="45"/>
    </row>
    <row r="579" spans="1:14">
      <c r="A579" s="44"/>
      <c r="B579" s="45"/>
      <c r="C579" s="45"/>
      <c r="E579" s="44"/>
      <c r="F579" s="45"/>
      <c r="G579" s="45"/>
      <c r="J579" s="44"/>
      <c r="K579" s="45"/>
      <c r="M579" s="44"/>
      <c r="N579" s="45"/>
    </row>
    <row r="580" spans="1:14">
      <c r="A580" s="44"/>
      <c r="B580" s="45"/>
      <c r="C580" s="45"/>
      <c r="E580" s="44"/>
      <c r="F580" s="45"/>
      <c r="G580" s="45"/>
      <c r="J580" s="44"/>
      <c r="K580" s="45"/>
      <c r="M580" s="44"/>
      <c r="N580" s="45"/>
    </row>
    <row r="581" spans="1:14">
      <c r="A581" s="44"/>
      <c r="B581" s="45"/>
      <c r="C581" s="45"/>
      <c r="E581" s="44"/>
      <c r="F581" s="45"/>
      <c r="G581" s="45"/>
      <c r="J581" s="44"/>
      <c r="K581" s="45"/>
      <c r="M581" s="44"/>
      <c r="N581" s="45"/>
    </row>
    <row r="582" spans="1:14">
      <c r="A582" s="44"/>
      <c r="B582" s="45"/>
      <c r="C582" s="45"/>
      <c r="E582" s="44"/>
      <c r="F582" s="45"/>
      <c r="G582" s="45"/>
      <c r="J582" s="44"/>
      <c r="K582" s="45"/>
      <c r="M582" s="44"/>
      <c r="N582" s="45"/>
    </row>
    <row r="583" spans="1:14">
      <c r="A583" s="44"/>
      <c r="B583" s="45"/>
      <c r="C583" s="45"/>
      <c r="E583" s="44"/>
      <c r="F583" s="45"/>
      <c r="G583" s="45"/>
      <c r="J583" s="44"/>
      <c r="K583" s="45"/>
      <c r="M583" s="44"/>
      <c r="N583" s="45"/>
    </row>
    <row r="584" spans="1:14">
      <c r="A584" s="44"/>
      <c r="B584" s="45"/>
      <c r="C584" s="45"/>
      <c r="E584" s="44"/>
      <c r="F584" s="45"/>
      <c r="G584" s="45"/>
      <c r="J584" s="44"/>
      <c r="K584" s="45"/>
      <c r="M584" s="44"/>
      <c r="N584" s="45"/>
    </row>
    <row r="585" spans="1:14">
      <c r="A585" s="44"/>
      <c r="B585" s="45"/>
      <c r="C585" s="45"/>
      <c r="E585" s="44"/>
      <c r="F585" s="45"/>
      <c r="G585" s="45"/>
      <c r="J585" s="44"/>
      <c r="K585" s="45"/>
      <c r="M585" s="44"/>
      <c r="N585" s="45"/>
    </row>
    <row r="586" spans="1:14">
      <c r="A586" s="44"/>
      <c r="B586" s="45"/>
      <c r="C586" s="45"/>
      <c r="E586" s="44"/>
      <c r="F586" s="45"/>
      <c r="G586" s="45"/>
      <c r="J586" s="44"/>
      <c r="K586" s="45"/>
      <c r="M586" s="44"/>
      <c r="N586" s="45"/>
    </row>
    <row r="587" spans="1:14">
      <c r="A587" s="44"/>
      <c r="B587" s="45"/>
      <c r="C587" s="45"/>
      <c r="E587" s="44"/>
      <c r="F587" s="45"/>
      <c r="G587" s="45"/>
      <c r="J587" s="44"/>
      <c r="K587" s="45"/>
      <c r="M587" s="44"/>
      <c r="N587" s="45"/>
    </row>
    <row r="588" spans="1:14">
      <c r="A588" s="44"/>
      <c r="B588" s="45"/>
      <c r="C588" s="45"/>
      <c r="E588" s="44"/>
      <c r="F588" s="45"/>
      <c r="G588" s="45"/>
      <c r="J588" s="44"/>
      <c r="K588" s="45"/>
      <c r="M588" s="44"/>
      <c r="N588" s="45"/>
    </row>
    <row r="589" spans="1:14">
      <c r="A589" s="44"/>
      <c r="B589" s="45"/>
      <c r="C589" s="45"/>
      <c r="E589" s="44"/>
      <c r="F589" s="45"/>
      <c r="G589" s="45"/>
      <c r="J589" s="44"/>
      <c r="K589" s="45"/>
      <c r="M589" s="44"/>
      <c r="N589" s="45"/>
    </row>
    <row r="590" spans="1:14">
      <c r="A590" s="44"/>
      <c r="B590" s="45"/>
      <c r="C590" s="45"/>
      <c r="E590" s="44"/>
      <c r="F590" s="45"/>
      <c r="G590" s="45"/>
      <c r="J590" s="44"/>
      <c r="K590" s="45"/>
      <c r="M590" s="44"/>
      <c r="N590" s="45"/>
    </row>
    <row r="591" spans="1:14">
      <c r="A591" s="44"/>
      <c r="B591" s="45"/>
      <c r="C591" s="45"/>
      <c r="E591" s="44"/>
      <c r="F591" s="45"/>
      <c r="G591" s="45"/>
      <c r="J591" s="44"/>
      <c r="K591" s="45"/>
      <c r="M591" s="44"/>
      <c r="N591" s="45"/>
    </row>
    <row r="592" spans="1:14">
      <c r="A592" s="44"/>
      <c r="B592" s="45"/>
      <c r="C592" s="45"/>
      <c r="E592" s="44"/>
      <c r="F592" s="45"/>
      <c r="G592" s="45"/>
      <c r="J592" s="44"/>
      <c r="K592" s="45"/>
      <c r="M592" s="44"/>
      <c r="N592" s="45"/>
    </row>
    <row r="593" spans="1:14">
      <c r="A593" s="44"/>
      <c r="B593" s="45"/>
      <c r="C593" s="45"/>
      <c r="E593" s="44"/>
      <c r="F593" s="45"/>
      <c r="G593" s="45"/>
      <c r="J593" s="44"/>
      <c r="K593" s="45"/>
      <c r="M593" s="44"/>
      <c r="N593" s="45"/>
    </row>
    <row r="594" spans="1:14">
      <c r="A594" s="44"/>
      <c r="B594" s="45"/>
      <c r="C594" s="45"/>
      <c r="E594" s="44"/>
      <c r="F594" s="45"/>
      <c r="G594" s="45"/>
      <c r="J594" s="44"/>
      <c r="K594" s="45"/>
      <c r="M594" s="44"/>
      <c r="N594" s="45"/>
    </row>
    <row r="595" spans="1:14">
      <c r="A595" s="44"/>
      <c r="B595" s="45"/>
      <c r="C595" s="45"/>
      <c r="E595" s="44"/>
      <c r="F595" s="45"/>
      <c r="G595" s="45"/>
      <c r="J595" s="44"/>
      <c r="K595" s="45"/>
      <c r="M595" s="44"/>
      <c r="N595" s="45"/>
    </row>
    <row r="596" spans="1:14">
      <c r="A596" s="44"/>
      <c r="B596" s="45"/>
      <c r="C596" s="45"/>
      <c r="E596" s="44"/>
      <c r="F596" s="45"/>
      <c r="G596" s="45"/>
      <c r="J596" s="44"/>
      <c r="K596" s="45"/>
      <c r="M596" s="44"/>
      <c r="N596" s="45"/>
    </row>
    <row r="597" spans="1:14">
      <c r="A597" s="44"/>
      <c r="B597" s="45"/>
      <c r="C597" s="45"/>
      <c r="E597" s="44"/>
      <c r="F597" s="45"/>
      <c r="G597" s="45"/>
      <c r="J597" s="44"/>
      <c r="K597" s="45"/>
      <c r="M597" s="44"/>
      <c r="N597" s="45"/>
    </row>
    <row r="598" spans="1:14">
      <c r="A598" s="44"/>
      <c r="B598" s="45"/>
      <c r="C598" s="45"/>
      <c r="E598" s="44"/>
      <c r="F598" s="45"/>
      <c r="G598" s="45"/>
      <c r="J598" s="44"/>
      <c r="K598" s="45"/>
      <c r="M598" s="44"/>
      <c r="N598" s="45"/>
    </row>
    <row r="599" spans="1:14">
      <c r="A599" s="44"/>
      <c r="B599" s="45"/>
      <c r="C599" s="45"/>
      <c r="E599" s="44"/>
      <c r="F599" s="45"/>
      <c r="G599" s="45"/>
      <c r="J599" s="44"/>
      <c r="K599" s="45"/>
      <c r="M599" s="44"/>
      <c r="N599" s="45"/>
    </row>
    <row r="600" spans="1:14">
      <c r="A600" s="44"/>
      <c r="B600" s="45"/>
      <c r="C600" s="45"/>
      <c r="E600" s="44"/>
      <c r="F600" s="45"/>
      <c r="G600" s="45"/>
      <c r="J600" s="44"/>
      <c r="K600" s="45"/>
      <c r="M600" s="44"/>
      <c r="N600" s="45"/>
    </row>
    <row r="601" spans="1:14">
      <c r="A601" s="44"/>
      <c r="B601" s="45"/>
      <c r="C601" s="45"/>
      <c r="E601" s="44"/>
      <c r="F601" s="45"/>
      <c r="G601" s="45"/>
      <c r="J601" s="44"/>
      <c r="K601" s="45"/>
      <c r="M601" s="44"/>
      <c r="N601" s="45"/>
    </row>
    <row r="602" spans="1:14">
      <c r="A602" s="44"/>
      <c r="B602" s="45"/>
      <c r="C602" s="45"/>
      <c r="E602" s="44"/>
      <c r="F602" s="45"/>
      <c r="G602" s="45"/>
      <c r="J602" s="44"/>
      <c r="K602" s="45"/>
      <c r="M602" s="44"/>
      <c r="N602" s="45"/>
    </row>
    <row r="603" spans="1:14">
      <c r="A603" s="44"/>
      <c r="B603" s="45"/>
      <c r="C603" s="45"/>
      <c r="E603" s="44"/>
      <c r="F603" s="45"/>
      <c r="G603" s="45"/>
      <c r="J603" s="44"/>
      <c r="K603" s="45"/>
      <c r="M603" s="44"/>
      <c r="N603" s="45"/>
    </row>
    <row r="604" spans="1:14">
      <c r="A604" s="44"/>
      <c r="B604" s="45"/>
      <c r="C604" s="45"/>
      <c r="E604" s="44"/>
      <c r="F604" s="45"/>
      <c r="G604" s="45"/>
      <c r="J604" s="44"/>
      <c r="K604" s="45"/>
      <c r="M604" s="44"/>
      <c r="N604" s="45"/>
    </row>
    <row r="605" spans="1:14">
      <c r="A605" s="44"/>
      <c r="B605" s="45"/>
      <c r="C605" s="45"/>
      <c r="E605" s="44"/>
      <c r="F605" s="45"/>
      <c r="G605" s="45"/>
      <c r="J605" s="44"/>
      <c r="K605" s="45"/>
      <c r="M605" s="44"/>
      <c r="N605" s="45"/>
    </row>
    <row r="606" spans="1:14">
      <c r="A606" s="44"/>
      <c r="B606" s="45"/>
      <c r="C606" s="45"/>
      <c r="E606" s="44"/>
      <c r="F606" s="45"/>
      <c r="G606" s="45"/>
      <c r="J606" s="44"/>
      <c r="K606" s="45"/>
      <c r="M606" s="44"/>
      <c r="N606" s="45"/>
    </row>
    <row r="607" spans="1:14">
      <c r="A607" s="44"/>
      <c r="B607" s="45"/>
      <c r="C607" s="45"/>
      <c r="E607" s="44"/>
      <c r="F607" s="45"/>
      <c r="G607" s="45"/>
      <c r="J607" s="44"/>
      <c r="K607" s="45"/>
      <c r="M607" s="44"/>
      <c r="N607" s="45"/>
    </row>
    <row r="608" spans="1:14">
      <c r="A608" s="44"/>
      <c r="B608" s="45"/>
      <c r="C608" s="45"/>
      <c r="E608" s="44"/>
      <c r="F608" s="45"/>
      <c r="G608" s="45"/>
      <c r="J608" s="44"/>
      <c r="K608" s="45"/>
      <c r="M608" s="44"/>
      <c r="N608" s="45"/>
    </row>
    <row r="609" spans="1:14">
      <c r="A609" s="44"/>
      <c r="B609" s="45"/>
      <c r="C609" s="45"/>
      <c r="E609" s="44"/>
      <c r="F609" s="45"/>
      <c r="G609" s="45"/>
      <c r="J609" s="44"/>
      <c r="K609" s="45"/>
      <c r="M609" s="44"/>
      <c r="N609" s="45"/>
    </row>
    <row r="610" spans="1:14">
      <c r="A610" s="44"/>
      <c r="B610" s="45"/>
      <c r="C610" s="45"/>
      <c r="E610" s="44"/>
      <c r="F610" s="45"/>
      <c r="G610" s="45"/>
      <c r="J610" s="44"/>
      <c r="K610" s="45"/>
      <c r="M610" s="44"/>
      <c r="N610" s="45"/>
    </row>
    <row r="611" spans="1:14">
      <c r="A611" s="44"/>
      <c r="B611" s="45"/>
      <c r="C611" s="45"/>
      <c r="E611" s="44"/>
      <c r="F611" s="45"/>
      <c r="G611" s="45"/>
      <c r="J611" s="44"/>
      <c r="K611" s="45"/>
      <c r="M611" s="44"/>
      <c r="N611" s="45"/>
    </row>
    <row r="612" spans="1:14">
      <c r="A612" s="44"/>
      <c r="B612" s="45"/>
      <c r="C612" s="45"/>
      <c r="E612" s="44"/>
      <c r="F612" s="45"/>
      <c r="G612" s="45"/>
      <c r="J612" s="44"/>
      <c r="K612" s="45"/>
      <c r="M612" s="44"/>
      <c r="N612" s="45"/>
    </row>
    <row r="613" spans="1:14">
      <c r="A613" s="44"/>
      <c r="B613" s="45"/>
      <c r="C613" s="45"/>
      <c r="E613" s="44"/>
      <c r="F613" s="45"/>
      <c r="G613" s="45"/>
      <c r="J613" s="44"/>
      <c r="K613" s="45"/>
      <c r="M613" s="44"/>
      <c r="N613" s="45"/>
    </row>
    <row r="614" spans="1:14">
      <c r="A614" s="44"/>
      <c r="B614" s="45"/>
      <c r="C614" s="45"/>
      <c r="E614" s="44"/>
      <c r="F614" s="45"/>
      <c r="G614" s="45"/>
      <c r="J614" s="44"/>
      <c r="K614" s="45"/>
      <c r="M614" s="44"/>
      <c r="N614" s="45"/>
    </row>
    <row r="615" spans="1:14">
      <c r="A615" s="44"/>
      <c r="B615" s="45"/>
      <c r="C615" s="45"/>
      <c r="E615" s="44"/>
      <c r="F615" s="45"/>
      <c r="G615" s="45"/>
      <c r="J615" s="44"/>
      <c r="K615" s="45"/>
      <c r="M615" s="44"/>
      <c r="N615" s="45"/>
    </row>
    <row r="616" spans="1:14">
      <c r="A616" s="44"/>
      <c r="B616" s="45"/>
      <c r="C616" s="45"/>
      <c r="E616" s="44"/>
      <c r="F616" s="45"/>
      <c r="G616" s="45"/>
      <c r="J616" s="44"/>
      <c r="K616" s="45"/>
      <c r="M616" s="44"/>
      <c r="N616" s="45"/>
    </row>
    <row r="617" spans="1:14">
      <c r="A617" s="44"/>
      <c r="B617" s="45"/>
      <c r="C617" s="45"/>
      <c r="E617" s="44"/>
      <c r="F617" s="45"/>
      <c r="G617" s="45"/>
      <c r="J617" s="44"/>
      <c r="K617" s="45"/>
      <c r="M617" s="44"/>
      <c r="N617" s="45"/>
    </row>
    <row r="618" spans="1:14">
      <c r="A618" s="44"/>
      <c r="B618" s="45"/>
      <c r="C618" s="45"/>
      <c r="E618" s="44"/>
      <c r="F618" s="45"/>
      <c r="G618" s="45"/>
      <c r="J618" s="44"/>
      <c r="K618" s="45"/>
      <c r="M618" s="44"/>
      <c r="N618" s="45"/>
    </row>
    <row r="619" spans="1:14">
      <c r="A619" s="44"/>
      <c r="B619" s="45"/>
      <c r="C619" s="45"/>
      <c r="E619" s="44"/>
      <c r="F619" s="45"/>
      <c r="G619" s="45"/>
      <c r="J619" s="44"/>
      <c r="K619" s="45"/>
      <c r="M619" s="44"/>
      <c r="N619" s="45"/>
    </row>
    <row r="620" spans="1:14">
      <c r="A620" s="44"/>
      <c r="B620" s="45"/>
      <c r="C620" s="45"/>
      <c r="E620" s="44"/>
      <c r="F620" s="45"/>
      <c r="G620" s="45"/>
      <c r="J620" s="44"/>
      <c r="K620" s="45"/>
      <c r="M620" s="44"/>
      <c r="N620" s="45"/>
    </row>
    <row r="621" spans="1:14">
      <c r="A621" s="44"/>
      <c r="B621" s="45"/>
      <c r="C621" s="45"/>
      <c r="E621" s="44"/>
      <c r="F621" s="45"/>
      <c r="G621" s="45"/>
      <c r="J621" s="44"/>
      <c r="K621" s="45"/>
      <c r="M621" s="44"/>
      <c r="N621" s="45"/>
    </row>
    <row r="622" spans="1:14">
      <c r="A622" s="44"/>
      <c r="B622" s="45"/>
      <c r="C622" s="45"/>
      <c r="E622" s="44"/>
      <c r="F622" s="45"/>
      <c r="G622" s="45"/>
      <c r="J622" s="44"/>
      <c r="K622" s="45"/>
      <c r="M622" s="44"/>
      <c r="N622" s="45"/>
    </row>
    <row r="623" spans="1:14">
      <c r="A623" s="44"/>
      <c r="B623" s="45"/>
      <c r="C623" s="45"/>
      <c r="E623" s="44"/>
      <c r="F623" s="45"/>
      <c r="G623" s="45"/>
      <c r="J623" s="44"/>
      <c r="K623" s="45"/>
      <c r="M623" s="44"/>
      <c r="N623" s="45"/>
    </row>
    <row r="624" spans="1:14">
      <c r="A624" s="44"/>
      <c r="B624" s="45"/>
      <c r="C624" s="45"/>
      <c r="E624" s="44"/>
      <c r="F624" s="45"/>
      <c r="G624" s="45"/>
      <c r="J624" s="44"/>
      <c r="K624" s="45"/>
      <c r="M624" s="44"/>
      <c r="N624" s="45"/>
    </row>
    <row r="625" spans="1:14">
      <c r="A625" s="44"/>
      <c r="B625" s="45"/>
      <c r="C625" s="45"/>
      <c r="E625" s="44"/>
      <c r="F625" s="45"/>
      <c r="G625" s="45"/>
      <c r="J625" s="44"/>
      <c r="K625" s="45"/>
      <c r="M625" s="44"/>
      <c r="N625" s="45"/>
    </row>
    <row r="626" spans="1:14">
      <c r="A626" s="44"/>
      <c r="B626" s="45"/>
      <c r="C626" s="45"/>
      <c r="E626" s="44"/>
      <c r="F626" s="45"/>
      <c r="G626" s="45"/>
      <c r="J626" s="44"/>
      <c r="K626" s="45"/>
      <c r="M626" s="44"/>
      <c r="N626" s="45"/>
    </row>
    <row r="627" spans="1:14">
      <c r="A627" s="44"/>
      <c r="B627" s="45"/>
      <c r="C627" s="45"/>
      <c r="E627" s="44"/>
      <c r="F627" s="45"/>
      <c r="G627" s="45"/>
      <c r="J627" s="44"/>
      <c r="K627" s="45"/>
      <c r="M627" s="44"/>
      <c r="N627" s="45"/>
    </row>
    <row r="628" spans="1:14">
      <c r="A628" s="44"/>
      <c r="B628" s="45"/>
      <c r="C628" s="45"/>
      <c r="E628" s="44"/>
      <c r="F628" s="45"/>
      <c r="G628" s="45"/>
      <c r="J628" s="44"/>
      <c r="K628" s="45"/>
      <c r="M628" s="44"/>
      <c r="N628" s="45"/>
    </row>
    <row r="629" spans="1:14">
      <c r="A629" s="44"/>
      <c r="B629" s="45"/>
      <c r="C629" s="45"/>
      <c r="E629" s="44"/>
      <c r="F629" s="45"/>
      <c r="G629" s="45"/>
      <c r="J629" s="44"/>
      <c r="K629" s="45"/>
      <c r="M629" s="44"/>
      <c r="N629" s="45"/>
    </row>
    <row r="630" spans="1:14">
      <c r="A630" s="44"/>
      <c r="B630" s="45"/>
      <c r="C630" s="45"/>
      <c r="E630" s="44"/>
      <c r="F630" s="45"/>
      <c r="G630" s="45"/>
      <c r="J630" s="44"/>
      <c r="K630" s="45"/>
      <c r="M630" s="44"/>
      <c r="N630" s="45"/>
    </row>
    <row r="631" spans="1:14">
      <c r="A631" s="44"/>
      <c r="B631" s="45"/>
      <c r="C631" s="45"/>
      <c r="E631" s="44"/>
      <c r="F631" s="45"/>
      <c r="G631" s="45"/>
      <c r="J631" s="44"/>
      <c r="K631" s="45"/>
      <c r="M631" s="44"/>
      <c r="N631" s="45"/>
    </row>
    <row r="632" spans="1:14">
      <c r="A632" s="44"/>
      <c r="B632" s="45"/>
      <c r="C632" s="45"/>
      <c r="E632" s="44"/>
      <c r="F632" s="45"/>
      <c r="G632" s="45"/>
      <c r="J632" s="44"/>
      <c r="K632" s="45"/>
      <c r="M632" s="44"/>
      <c r="N632" s="45"/>
    </row>
    <row r="633" spans="1:14">
      <c r="A633" s="44"/>
      <c r="B633" s="45"/>
      <c r="C633" s="45"/>
      <c r="E633" s="44"/>
      <c r="F633" s="45"/>
      <c r="G633" s="45"/>
      <c r="J633" s="44"/>
      <c r="K633" s="45"/>
      <c r="M633" s="44"/>
      <c r="N633" s="45"/>
    </row>
    <row r="634" spans="1:14">
      <c r="A634" s="44"/>
      <c r="B634" s="45"/>
      <c r="C634" s="45"/>
      <c r="E634" s="44"/>
      <c r="F634" s="45"/>
      <c r="G634" s="45"/>
      <c r="J634" s="44"/>
      <c r="K634" s="45"/>
      <c r="M634" s="44"/>
      <c r="N634" s="45"/>
    </row>
    <row r="635" spans="1:14">
      <c r="A635" s="44"/>
      <c r="B635" s="45"/>
      <c r="C635" s="45"/>
      <c r="E635" s="44"/>
      <c r="F635" s="45"/>
      <c r="G635" s="45"/>
      <c r="J635" s="44"/>
      <c r="K635" s="45"/>
      <c r="M635" s="44"/>
      <c r="N635" s="45"/>
    </row>
    <row r="636" spans="1:14">
      <c r="A636" s="44"/>
      <c r="B636" s="45"/>
      <c r="C636" s="45"/>
      <c r="E636" s="44"/>
      <c r="F636" s="45"/>
      <c r="G636" s="45"/>
      <c r="J636" s="44"/>
      <c r="K636" s="45"/>
      <c r="M636" s="44"/>
      <c r="N636" s="45"/>
    </row>
    <row r="637" spans="1:14">
      <c r="A637" s="44"/>
      <c r="B637" s="45"/>
      <c r="C637" s="45"/>
      <c r="E637" s="44"/>
      <c r="F637" s="45"/>
      <c r="G637" s="45"/>
      <c r="J637" s="44"/>
      <c r="K637" s="45"/>
      <c r="M637" s="44"/>
      <c r="N637" s="45"/>
    </row>
    <row r="638" spans="1:14">
      <c r="A638" s="44"/>
      <c r="B638" s="45"/>
      <c r="C638" s="45"/>
      <c r="E638" s="44"/>
      <c r="F638" s="45"/>
      <c r="G638" s="45"/>
      <c r="J638" s="44"/>
      <c r="K638" s="45"/>
      <c r="M638" s="44"/>
      <c r="N638" s="45"/>
    </row>
    <row r="639" spans="1:14">
      <c r="A639" s="44"/>
      <c r="B639" s="45"/>
      <c r="C639" s="45"/>
      <c r="E639" s="44"/>
      <c r="F639" s="45"/>
      <c r="G639" s="45"/>
      <c r="J639" s="44"/>
      <c r="K639" s="45"/>
      <c r="M639" s="44"/>
      <c r="N639" s="45"/>
    </row>
    <row r="640" spans="1:14">
      <c r="A640" s="44"/>
      <c r="B640" s="45"/>
      <c r="C640" s="45"/>
      <c r="E640" s="44"/>
      <c r="F640" s="45"/>
      <c r="G640" s="45"/>
      <c r="J640" s="44"/>
      <c r="K640" s="45"/>
      <c r="M640" s="44"/>
      <c r="N640" s="45"/>
    </row>
    <row r="641" spans="1:14">
      <c r="A641" s="44"/>
      <c r="B641" s="45"/>
      <c r="C641" s="45"/>
      <c r="E641" s="44"/>
      <c r="F641" s="45"/>
      <c r="G641" s="45"/>
      <c r="J641" s="44"/>
      <c r="K641" s="45"/>
      <c r="M641" s="44"/>
      <c r="N641" s="45"/>
    </row>
    <row r="642" spans="1:14">
      <c r="A642" s="44"/>
      <c r="B642" s="45"/>
      <c r="C642" s="45"/>
      <c r="E642" s="44"/>
      <c r="F642" s="45"/>
      <c r="G642" s="45"/>
      <c r="J642" s="44"/>
      <c r="K642" s="45"/>
      <c r="M642" s="44"/>
      <c r="N642" s="45"/>
    </row>
    <row r="643" spans="1:14">
      <c r="A643" s="44"/>
      <c r="B643" s="45"/>
      <c r="C643" s="45"/>
      <c r="E643" s="44"/>
      <c r="F643" s="45"/>
      <c r="G643" s="45"/>
      <c r="J643" s="44"/>
      <c r="K643" s="45"/>
      <c r="M643" s="44"/>
      <c r="N643" s="45"/>
    </row>
    <row r="644" spans="1:14">
      <c r="A644" s="44"/>
      <c r="B644" s="45"/>
      <c r="C644" s="45"/>
      <c r="E644" s="44"/>
      <c r="F644" s="45"/>
      <c r="G644" s="45"/>
      <c r="J644" s="44"/>
      <c r="K644" s="45"/>
      <c r="M644" s="44"/>
      <c r="N644" s="45"/>
    </row>
    <row r="645" spans="1:14">
      <c r="A645" s="44"/>
      <c r="B645" s="45"/>
      <c r="C645" s="45"/>
      <c r="E645" s="44"/>
      <c r="F645" s="45"/>
      <c r="G645" s="45"/>
      <c r="J645" s="44"/>
      <c r="K645" s="45"/>
      <c r="M645" s="44"/>
      <c r="N645" s="45"/>
    </row>
    <row r="646" spans="1:14">
      <c r="A646" s="44"/>
      <c r="B646" s="45"/>
      <c r="C646" s="45"/>
      <c r="E646" s="44"/>
      <c r="F646" s="45"/>
      <c r="G646" s="45"/>
      <c r="J646" s="44"/>
      <c r="K646" s="45"/>
      <c r="M646" s="44"/>
      <c r="N646" s="45"/>
    </row>
    <row r="647" spans="1:14">
      <c r="A647" s="44"/>
      <c r="B647" s="45"/>
      <c r="C647" s="45"/>
      <c r="E647" s="44"/>
      <c r="F647" s="45"/>
      <c r="G647" s="45"/>
      <c r="J647" s="44"/>
      <c r="K647" s="45"/>
      <c r="M647" s="44"/>
      <c r="N647" s="45"/>
    </row>
    <row r="648" spans="1:14">
      <c r="A648" s="44"/>
      <c r="B648" s="45"/>
      <c r="C648" s="45"/>
      <c r="E648" s="44"/>
      <c r="F648" s="45"/>
      <c r="G648" s="45"/>
      <c r="J648" s="44"/>
      <c r="K648" s="45"/>
      <c r="M648" s="44"/>
      <c r="N648" s="45"/>
    </row>
    <row r="649" spans="1:14">
      <c r="A649" s="44"/>
      <c r="B649" s="45"/>
      <c r="C649" s="45"/>
      <c r="E649" s="44"/>
      <c r="F649" s="45"/>
      <c r="G649" s="45"/>
      <c r="J649" s="44"/>
      <c r="K649" s="45"/>
      <c r="M649" s="44"/>
      <c r="N649" s="45"/>
    </row>
    <row r="650" spans="1:14">
      <c r="A650" s="44"/>
      <c r="B650" s="45"/>
      <c r="C650" s="45"/>
      <c r="E650" s="44"/>
      <c r="F650" s="45"/>
      <c r="G650" s="45"/>
      <c r="J650" s="44"/>
      <c r="K650" s="45"/>
      <c r="M650" s="44"/>
      <c r="N650" s="45"/>
    </row>
    <row r="651" spans="1:14">
      <c r="A651" s="44"/>
      <c r="B651" s="45"/>
      <c r="C651" s="45"/>
      <c r="E651" s="44"/>
      <c r="F651" s="45"/>
      <c r="G651" s="45"/>
      <c r="J651" s="44"/>
      <c r="K651" s="45"/>
      <c r="M651" s="44"/>
      <c r="N651" s="45"/>
    </row>
    <row r="652" spans="1:14">
      <c r="A652" s="44"/>
      <c r="B652" s="45"/>
      <c r="C652" s="45"/>
      <c r="E652" s="44"/>
      <c r="F652" s="45"/>
      <c r="G652" s="45"/>
      <c r="J652" s="44"/>
      <c r="K652" s="45"/>
      <c r="M652" s="44"/>
      <c r="N652" s="45"/>
    </row>
    <row r="653" spans="1:14">
      <c r="A653" s="44"/>
      <c r="B653" s="45"/>
      <c r="C653" s="45"/>
      <c r="E653" s="44"/>
      <c r="F653" s="45"/>
      <c r="G653" s="45"/>
      <c r="J653" s="44"/>
      <c r="K653" s="45"/>
      <c r="M653" s="44"/>
      <c r="N653" s="45"/>
    </row>
    <row r="654" spans="1:14">
      <c r="A654" s="44"/>
      <c r="B654" s="45"/>
      <c r="C654" s="45"/>
      <c r="E654" s="44"/>
      <c r="F654" s="45"/>
      <c r="G654" s="45"/>
      <c r="J654" s="44"/>
      <c r="K654" s="45"/>
      <c r="M654" s="44"/>
      <c r="N654" s="45"/>
    </row>
    <row r="655" spans="1:14">
      <c r="A655" s="44"/>
      <c r="B655" s="45"/>
      <c r="C655" s="45"/>
      <c r="E655" s="44"/>
      <c r="F655" s="45"/>
      <c r="G655" s="45"/>
      <c r="J655" s="44"/>
      <c r="K655" s="45"/>
      <c r="M655" s="44"/>
      <c r="N655" s="45"/>
    </row>
    <row r="656" spans="1:14">
      <c r="A656" s="44"/>
      <c r="B656" s="45"/>
      <c r="C656" s="45"/>
      <c r="E656" s="44"/>
      <c r="F656" s="45"/>
      <c r="G656" s="45"/>
      <c r="J656" s="44"/>
      <c r="K656" s="45"/>
      <c r="M656" s="44"/>
      <c r="N656" s="45"/>
    </row>
    <row r="657" spans="1:14">
      <c r="A657" s="44"/>
      <c r="B657" s="45"/>
      <c r="C657" s="45"/>
      <c r="E657" s="44"/>
      <c r="F657" s="45"/>
      <c r="G657" s="45"/>
      <c r="J657" s="44"/>
      <c r="K657" s="45"/>
      <c r="M657" s="44"/>
      <c r="N657" s="45"/>
    </row>
    <row r="658" spans="1:14">
      <c r="A658" s="44"/>
      <c r="B658" s="45"/>
      <c r="C658" s="45"/>
      <c r="E658" s="44"/>
      <c r="F658" s="45"/>
      <c r="G658" s="45"/>
      <c r="J658" s="44"/>
      <c r="K658" s="45"/>
      <c r="M658" s="44"/>
      <c r="N658" s="45"/>
    </row>
    <row r="659" spans="1:14">
      <c r="A659" s="44"/>
      <c r="B659" s="45"/>
      <c r="C659" s="45"/>
      <c r="E659" s="44"/>
      <c r="F659" s="45"/>
      <c r="G659" s="45"/>
      <c r="J659" s="44"/>
      <c r="K659" s="45"/>
      <c r="M659" s="44"/>
      <c r="N659" s="45"/>
    </row>
    <row r="660" spans="1:14">
      <c r="A660" s="44"/>
      <c r="B660" s="45"/>
      <c r="C660" s="45"/>
      <c r="E660" s="44"/>
      <c r="F660" s="45"/>
      <c r="G660" s="45"/>
      <c r="J660" s="44"/>
      <c r="K660" s="45"/>
      <c r="M660" s="44"/>
      <c r="N660" s="45"/>
    </row>
    <row r="661" spans="1:14">
      <c r="A661" s="44"/>
      <c r="B661" s="45"/>
      <c r="C661" s="45"/>
      <c r="E661" s="44"/>
      <c r="F661" s="45"/>
      <c r="G661" s="45"/>
      <c r="J661" s="44"/>
      <c r="K661" s="45"/>
      <c r="M661" s="44"/>
      <c r="N661" s="45"/>
    </row>
    <row r="662" spans="1:14">
      <c r="A662" s="44"/>
      <c r="B662" s="45"/>
      <c r="C662" s="45"/>
      <c r="E662" s="44"/>
      <c r="F662" s="45"/>
      <c r="G662" s="45"/>
      <c r="J662" s="44"/>
      <c r="K662" s="45"/>
      <c r="M662" s="44"/>
      <c r="N662" s="45"/>
    </row>
    <row r="663" spans="1:14">
      <c r="A663" s="44"/>
      <c r="B663" s="45"/>
      <c r="C663" s="45"/>
      <c r="E663" s="44"/>
      <c r="F663" s="45"/>
      <c r="G663" s="45"/>
      <c r="J663" s="44"/>
      <c r="K663" s="45"/>
      <c r="M663" s="44"/>
      <c r="N663" s="45"/>
    </row>
    <row r="664" spans="1:14">
      <c r="A664" s="44"/>
      <c r="B664" s="45"/>
      <c r="C664" s="45"/>
      <c r="E664" s="44"/>
      <c r="F664" s="45"/>
      <c r="G664" s="45"/>
      <c r="J664" s="44"/>
      <c r="K664" s="45"/>
      <c r="M664" s="44"/>
      <c r="N664" s="45"/>
    </row>
    <row r="665" spans="1:14">
      <c r="A665" s="44"/>
      <c r="B665" s="45"/>
      <c r="C665" s="45"/>
      <c r="E665" s="44"/>
      <c r="F665" s="45"/>
      <c r="G665" s="45"/>
      <c r="J665" s="44"/>
      <c r="K665" s="45"/>
      <c r="M665" s="44"/>
      <c r="N665" s="45"/>
    </row>
    <row r="666" spans="1:14">
      <c r="A666" s="44"/>
      <c r="B666" s="45"/>
      <c r="C666" s="45"/>
      <c r="E666" s="44"/>
      <c r="F666" s="45"/>
      <c r="G666" s="45"/>
      <c r="J666" s="44"/>
      <c r="K666" s="45"/>
      <c r="M666" s="44"/>
      <c r="N666" s="45"/>
    </row>
    <row r="667" spans="1:14">
      <c r="A667" s="44"/>
      <c r="B667" s="45"/>
      <c r="C667" s="45"/>
      <c r="E667" s="44"/>
      <c r="F667" s="45"/>
      <c r="G667" s="45"/>
      <c r="J667" s="44"/>
      <c r="K667" s="45"/>
      <c r="M667" s="44"/>
      <c r="N667" s="45"/>
    </row>
    <row r="668" spans="1:14">
      <c r="A668" s="44"/>
      <c r="B668" s="45"/>
      <c r="C668" s="45"/>
      <c r="E668" s="44"/>
      <c r="F668" s="45"/>
      <c r="G668" s="45"/>
      <c r="J668" s="44"/>
      <c r="K668" s="45"/>
      <c r="M668" s="44"/>
      <c r="N668" s="45"/>
    </row>
    <row r="669" spans="1:14">
      <c r="A669" s="44"/>
      <c r="B669" s="45"/>
      <c r="C669" s="45"/>
      <c r="E669" s="44"/>
      <c r="F669" s="45"/>
      <c r="G669" s="45"/>
      <c r="J669" s="44"/>
      <c r="K669" s="45"/>
      <c r="M669" s="44"/>
      <c r="N669" s="45"/>
    </row>
    <row r="670" spans="1:14">
      <c r="A670" s="44"/>
      <c r="B670" s="45"/>
      <c r="C670" s="45"/>
      <c r="E670" s="44"/>
      <c r="F670" s="45"/>
      <c r="G670" s="45"/>
      <c r="J670" s="44"/>
      <c r="K670" s="45"/>
      <c r="M670" s="44"/>
      <c r="N670" s="45"/>
    </row>
    <row r="671" spans="1:14">
      <c r="A671" s="44"/>
      <c r="B671" s="45"/>
      <c r="C671" s="45"/>
      <c r="E671" s="44"/>
      <c r="F671" s="45"/>
      <c r="G671" s="45"/>
      <c r="J671" s="44"/>
      <c r="K671" s="45"/>
      <c r="M671" s="44"/>
      <c r="N671" s="45"/>
    </row>
    <row r="672" spans="1:14">
      <c r="A672" s="44"/>
      <c r="B672" s="45"/>
      <c r="C672" s="45"/>
      <c r="E672" s="44"/>
      <c r="F672" s="45"/>
      <c r="G672" s="45"/>
      <c r="J672" s="44"/>
      <c r="K672" s="45"/>
      <c r="M672" s="44"/>
      <c r="N672" s="45"/>
    </row>
    <row r="673" spans="1:14">
      <c r="A673" s="44"/>
      <c r="B673" s="45"/>
      <c r="C673" s="45"/>
      <c r="E673" s="44"/>
      <c r="F673" s="45"/>
      <c r="G673" s="45"/>
      <c r="J673" s="44"/>
      <c r="K673" s="45"/>
      <c r="M673" s="44"/>
      <c r="N673" s="45"/>
    </row>
    <row r="674" spans="1:14">
      <c r="A674" s="44"/>
      <c r="B674" s="45"/>
      <c r="C674" s="45"/>
      <c r="E674" s="44"/>
      <c r="F674" s="45"/>
      <c r="G674" s="45"/>
      <c r="J674" s="44"/>
      <c r="K674" s="45"/>
      <c r="M674" s="44"/>
      <c r="N674" s="45"/>
    </row>
    <row r="675" spans="1:14">
      <c r="A675" s="44"/>
      <c r="B675" s="45"/>
      <c r="C675" s="45"/>
      <c r="E675" s="44"/>
      <c r="F675" s="45"/>
      <c r="G675" s="45"/>
      <c r="J675" s="44"/>
      <c r="K675" s="45"/>
      <c r="M675" s="44"/>
      <c r="N675" s="45"/>
    </row>
    <row r="676" spans="1:14">
      <c r="A676" s="44"/>
      <c r="B676" s="45"/>
      <c r="C676" s="45"/>
      <c r="E676" s="44"/>
      <c r="F676" s="45"/>
      <c r="G676" s="45"/>
      <c r="J676" s="44"/>
      <c r="K676" s="45"/>
      <c r="M676" s="44"/>
      <c r="N676" s="45"/>
    </row>
    <row r="677" spans="1:14">
      <c r="A677" s="44"/>
      <c r="B677" s="45"/>
      <c r="C677" s="45"/>
      <c r="E677" s="44"/>
      <c r="F677" s="45"/>
      <c r="G677" s="45"/>
      <c r="J677" s="44"/>
      <c r="K677" s="45"/>
      <c r="M677" s="44"/>
      <c r="N677" s="45"/>
    </row>
    <row r="678" spans="1:14">
      <c r="A678" s="44"/>
      <c r="B678" s="45"/>
      <c r="C678" s="45"/>
      <c r="E678" s="44"/>
      <c r="F678" s="45"/>
      <c r="G678" s="45"/>
      <c r="J678" s="44"/>
      <c r="K678" s="45"/>
      <c r="M678" s="44"/>
      <c r="N678" s="45"/>
    </row>
    <row r="679" spans="1:14">
      <c r="A679" s="44"/>
      <c r="B679" s="45"/>
      <c r="C679" s="45"/>
      <c r="E679" s="44"/>
      <c r="F679" s="45"/>
      <c r="G679" s="45"/>
      <c r="J679" s="44"/>
      <c r="K679" s="45"/>
      <c r="M679" s="44"/>
      <c r="N679" s="45"/>
    </row>
    <row r="680" spans="1:14">
      <c r="A680" s="44"/>
      <c r="B680" s="45"/>
      <c r="C680" s="45"/>
      <c r="E680" s="44"/>
      <c r="F680" s="45"/>
      <c r="G680" s="45"/>
      <c r="J680" s="44"/>
      <c r="K680" s="45"/>
      <c r="M680" s="44"/>
      <c r="N680" s="45"/>
    </row>
    <row r="681" spans="1:14">
      <c r="A681" s="44"/>
      <c r="B681" s="45"/>
      <c r="C681" s="45"/>
      <c r="E681" s="44"/>
      <c r="F681" s="45"/>
      <c r="G681" s="45"/>
      <c r="J681" s="44"/>
      <c r="K681" s="45"/>
      <c r="M681" s="44"/>
      <c r="N681" s="45"/>
    </row>
    <row r="682" spans="1:14">
      <c r="A682" s="44"/>
      <c r="B682" s="45"/>
      <c r="C682" s="45"/>
      <c r="E682" s="44"/>
      <c r="F682" s="45"/>
      <c r="G682" s="45"/>
      <c r="J682" s="44"/>
      <c r="K682" s="45"/>
      <c r="M682" s="44"/>
      <c r="N682" s="45"/>
    </row>
    <row r="683" spans="1:14">
      <c r="A683" s="44"/>
      <c r="B683" s="45"/>
      <c r="C683" s="45"/>
      <c r="E683" s="44"/>
      <c r="F683" s="45"/>
      <c r="G683" s="45"/>
      <c r="J683" s="44"/>
      <c r="K683" s="45"/>
      <c r="M683" s="44"/>
      <c r="N683" s="45"/>
    </row>
    <row r="684" spans="1:14">
      <c r="A684" s="44"/>
      <c r="B684" s="45"/>
      <c r="C684" s="45"/>
      <c r="E684" s="44"/>
      <c r="F684" s="45"/>
      <c r="G684" s="45"/>
      <c r="J684" s="44"/>
      <c r="K684" s="45"/>
      <c r="M684" s="44"/>
      <c r="N684" s="45"/>
    </row>
    <row r="685" spans="1:14">
      <c r="A685" s="44"/>
      <c r="B685" s="45"/>
      <c r="C685" s="45"/>
      <c r="E685" s="44"/>
      <c r="F685" s="45"/>
      <c r="G685" s="45"/>
      <c r="J685" s="44"/>
      <c r="K685" s="45"/>
      <c r="M685" s="44"/>
      <c r="N685" s="45"/>
    </row>
    <row r="686" spans="1:14">
      <c r="A686" s="44"/>
      <c r="B686" s="45"/>
      <c r="C686" s="45"/>
      <c r="E686" s="44"/>
      <c r="F686" s="45"/>
      <c r="G686" s="45"/>
      <c r="J686" s="44"/>
      <c r="K686" s="45"/>
      <c r="M686" s="44"/>
      <c r="N686" s="45"/>
    </row>
    <row r="687" spans="1:14">
      <c r="A687" s="44"/>
      <c r="B687" s="45"/>
      <c r="C687" s="45"/>
      <c r="E687" s="44"/>
      <c r="F687" s="45"/>
      <c r="G687" s="45"/>
      <c r="J687" s="44"/>
      <c r="K687" s="45"/>
      <c r="M687" s="44"/>
      <c r="N687" s="45"/>
    </row>
    <row r="688" spans="1:14">
      <c r="A688" s="44"/>
      <c r="B688" s="45"/>
      <c r="C688" s="45"/>
      <c r="E688" s="44"/>
      <c r="F688" s="45"/>
      <c r="G688" s="45"/>
      <c r="J688" s="44"/>
      <c r="K688" s="45"/>
      <c r="M688" s="44"/>
      <c r="N688" s="45"/>
    </row>
    <row r="689" spans="1:14">
      <c r="A689" s="44"/>
      <c r="B689" s="45"/>
      <c r="C689" s="45"/>
      <c r="E689" s="44"/>
      <c r="F689" s="45"/>
      <c r="G689" s="45"/>
      <c r="J689" s="44"/>
      <c r="K689" s="45"/>
      <c r="M689" s="44"/>
      <c r="N689" s="45"/>
    </row>
    <row r="690" spans="1:14">
      <c r="A690" s="44"/>
      <c r="B690" s="45"/>
      <c r="C690" s="45"/>
      <c r="E690" s="44"/>
      <c r="F690" s="45"/>
      <c r="G690" s="45"/>
      <c r="J690" s="44"/>
      <c r="K690" s="45"/>
      <c r="M690" s="44"/>
      <c r="N690" s="45"/>
    </row>
    <row r="691" spans="1:14">
      <c r="A691" s="44"/>
      <c r="B691" s="45"/>
      <c r="C691" s="45"/>
      <c r="E691" s="44"/>
      <c r="F691" s="45"/>
      <c r="G691" s="45"/>
      <c r="J691" s="44"/>
      <c r="K691" s="45"/>
      <c r="M691" s="44"/>
      <c r="N691" s="45"/>
    </row>
    <row r="692" spans="1:14">
      <c r="A692" s="44"/>
      <c r="B692" s="45"/>
      <c r="C692" s="45"/>
      <c r="E692" s="44"/>
      <c r="F692" s="45"/>
      <c r="G692" s="45"/>
      <c r="J692" s="44"/>
      <c r="K692" s="45"/>
      <c r="M692" s="44"/>
      <c r="N692" s="45"/>
    </row>
    <row r="693" spans="1:14">
      <c r="A693" s="44"/>
      <c r="B693" s="45"/>
      <c r="C693" s="45"/>
      <c r="E693" s="44"/>
      <c r="F693" s="45"/>
      <c r="G693" s="45"/>
      <c r="J693" s="44"/>
      <c r="K693" s="45"/>
      <c r="M693" s="44"/>
      <c r="N693" s="45"/>
    </row>
    <row r="694" spans="1:14">
      <c r="A694" s="44"/>
      <c r="B694" s="45"/>
      <c r="C694" s="45"/>
      <c r="E694" s="44"/>
      <c r="F694" s="45"/>
      <c r="G694" s="45"/>
      <c r="J694" s="44"/>
      <c r="K694" s="45"/>
      <c r="M694" s="44"/>
      <c r="N694" s="45"/>
    </row>
    <row r="695" spans="1:14">
      <c r="A695" s="44"/>
      <c r="B695" s="45"/>
      <c r="C695" s="45"/>
      <c r="E695" s="44"/>
      <c r="F695" s="45"/>
      <c r="G695" s="45"/>
      <c r="J695" s="44"/>
      <c r="K695" s="45"/>
      <c r="M695" s="44"/>
      <c r="N695" s="45"/>
    </row>
    <row r="696" spans="1:14">
      <c r="A696" s="44"/>
      <c r="B696" s="45"/>
      <c r="C696" s="45"/>
      <c r="E696" s="44"/>
      <c r="F696" s="45"/>
      <c r="G696" s="45"/>
      <c r="J696" s="44"/>
      <c r="K696" s="45"/>
      <c r="M696" s="44"/>
      <c r="N696" s="45"/>
    </row>
    <row r="697" spans="1:14">
      <c r="A697" s="44"/>
      <c r="B697" s="45"/>
      <c r="C697" s="45"/>
      <c r="E697" s="44"/>
      <c r="F697" s="45"/>
      <c r="G697" s="45"/>
      <c r="J697" s="44"/>
      <c r="K697" s="45"/>
      <c r="M697" s="44"/>
      <c r="N697" s="45"/>
    </row>
    <row r="698" spans="1:14">
      <c r="A698" s="44"/>
      <c r="B698" s="45"/>
      <c r="C698" s="45"/>
      <c r="E698" s="44"/>
      <c r="F698" s="45"/>
      <c r="G698" s="45"/>
      <c r="J698" s="44"/>
      <c r="K698" s="45"/>
      <c r="M698" s="44"/>
      <c r="N698" s="45"/>
    </row>
    <row r="699" spans="1:14">
      <c r="A699" s="44"/>
      <c r="B699" s="45"/>
      <c r="C699" s="45"/>
      <c r="E699" s="44"/>
      <c r="F699" s="45"/>
      <c r="G699" s="45"/>
      <c r="J699" s="44"/>
      <c r="K699" s="45"/>
      <c r="M699" s="44"/>
      <c r="N699" s="45"/>
    </row>
    <row r="700" spans="1:14">
      <c r="A700" s="44"/>
      <c r="B700" s="45"/>
      <c r="C700" s="45"/>
      <c r="E700" s="44"/>
      <c r="F700" s="45"/>
      <c r="G700" s="45"/>
      <c r="J700" s="44"/>
      <c r="K700" s="45"/>
      <c r="M700" s="44"/>
      <c r="N700" s="45"/>
    </row>
    <row r="701" spans="1:14">
      <c r="A701" s="44"/>
      <c r="B701" s="45"/>
      <c r="C701" s="45"/>
      <c r="E701" s="44"/>
      <c r="F701" s="45"/>
      <c r="G701" s="45"/>
      <c r="J701" s="44"/>
      <c r="K701" s="45"/>
      <c r="M701" s="44"/>
      <c r="N701" s="45"/>
    </row>
    <row r="702" spans="1:14">
      <c r="A702" s="44"/>
      <c r="B702" s="45"/>
      <c r="C702" s="45"/>
      <c r="E702" s="44"/>
      <c r="F702" s="45"/>
      <c r="G702" s="45"/>
      <c r="J702" s="44"/>
      <c r="K702" s="45"/>
      <c r="M702" s="44"/>
      <c r="N702" s="45"/>
    </row>
    <row r="703" spans="1:14">
      <c r="A703" s="44"/>
      <c r="B703" s="45"/>
      <c r="C703" s="45"/>
      <c r="E703" s="44"/>
      <c r="F703" s="45"/>
      <c r="G703" s="45"/>
      <c r="J703" s="44"/>
      <c r="K703" s="45"/>
      <c r="M703" s="44"/>
      <c r="N703" s="45"/>
    </row>
    <row r="704" spans="1:14">
      <c r="A704" s="44"/>
      <c r="B704" s="45"/>
      <c r="C704" s="45"/>
      <c r="E704" s="44"/>
      <c r="F704" s="45"/>
      <c r="G704" s="45"/>
      <c r="J704" s="44"/>
      <c r="K704" s="45"/>
      <c r="M704" s="44"/>
      <c r="N704" s="45"/>
    </row>
    <row r="705" spans="1:14">
      <c r="A705" s="44"/>
      <c r="B705" s="45"/>
      <c r="C705" s="45"/>
      <c r="E705" s="44"/>
      <c r="F705" s="45"/>
      <c r="G705" s="45"/>
      <c r="J705" s="44"/>
      <c r="K705" s="45"/>
      <c r="M705" s="44"/>
      <c r="N705" s="45"/>
    </row>
    <row r="706" spans="1:14">
      <c r="A706" s="44"/>
      <c r="B706" s="45"/>
      <c r="C706" s="45"/>
      <c r="E706" s="44"/>
      <c r="F706" s="45"/>
      <c r="G706" s="45"/>
      <c r="J706" s="44"/>
      <c r="K706" s="45"/>
      <c r="M706" s="44"/>
      <c r="N706" s="45"/>
    </row>
    <row r="707" spans="1:14">
      <c r="A707" s="44"/>
      <c r="B707" s="45"/>
      <c r="C707" s="45"/>
      <c r="E707" s="44"/>
      <c r="F707" s="45"/>
      <c r="G707" s="45"/>
      <c r="J707" s="44"/>
      <c r="K707" s="45"/>
      <c r="M707" s="44"/>
      <c r="N707" s="45"/>
    </row>
    <row r="708" spans="1:14">
      <c r="A708" s="44"/>
      <c r="B708" s="45"/>
      <c r="C708" s="45"/>
      <c r="E708" s="44"/>
      <c r="F708" s="45"/>
      <c r="G708" s="45"/>
      <c r="J708" s="44"/>
      <c r="K708" s="45"/>
      <c r="M708" s="44"/>
      <c r="N708" s="45"/>
    </row>
    <row r="709" spans="1:14">
      <c r="A709" s="44"/>
      <c r="B709" s="45"/>
      <c r="C709" s="45"/>
      <c r="E709" s="44"/>
      <c r="F709" s="45"/>
      <c r="G709" s="45"/>
      <c r="J709" s="44"/>
      <c r="K709" s="45"/>
      <c r="M709" s="44"/>
      <c r="N709" s="45"/>
    </row>
    <row r="710" spans="1:14">
      <c r="A710" s="44"/>
      <c r="B710" s="45"/>
      <c r="C710" s="45"/>
      <c r="E710" s="44"/>
      <c r="F710" s="45"/>
      <c r="G710" s="45"/>
      <c r="J710" s="44"/>
      <c r="K710" s="45"/>
      <c r="M710" s="44"/>
      <c r="N710" s="45"/>
    </row>
    <row r="711" spans="1:14">
      <c r="A711" s="44"/>
      <c r="B711" s="45"/>
      <c r="C711" s="45"/>
      <c r="E711" s="44"/>
      <c r="F711" s="45"/>
      <c r="G711" s="45"/>
      <c r="J711" s="44"/>
      <c r="K711" s="45"/>
      <c r="M711" s="44"/>
      <c r="N711" s="45"/>
    </row>
    <row r="712" spans="1:14">
      <c r="A712" s="44"/>
      <c r="B712" s="45"/>
      <c r="C712" s="45"/>
      <c r="E712" s="44"/>
      <c r="F712" s="45"/>
      <c r="G712" s="45"/>
      <c r="J712" s="44"/>
      <c r="K712" s="45"/>
      <c r="M712" s="44"/>
      <c r="N712" s="45"/>
    </row>
    <row r="713" spans="1:14">
      <c r="A713" s="44"/>
      <c r="B713" s="45"/>
      <c r="C713" s="45"/>
      <c r="E713" s="44"/>
      <c r="F713" s="45"/>
      <c r="G713" s="45"/>
      <c r="J713" s="44"/>
      <c r="K713" s="45"/>
      <c r="M713" s="44"/>
      <c r="N713" s="45"/>
    </row>
    <row r="714" spans="1:14">
      <c r="A714" s="44"/>
      <c r="B714" s="45"/>
      <c r="C714" s="45"/>
      <c r="E714" s="44"/>
      <c r="F714" s="45"/>
      <c r="G714" s="45"/>
      <c r="J714" s="44"/>
      <c r="K714" s="45"/>
      <c r="M714" s="44"/>
      <c r="N714" s="45"/>
    </row>
    <row r="715" spans="1:14">
      <c r="A715" s="44"/>
      <c r="B715" s="45"/>
      <c r="C715" s="45"/>
      <c r="E715" s="44"/>
      <c r="F715" s="45"/>
      <c r="G715" s="45"/>
      <c r="J715" s="44"/>
      <c r="K715" s="45"/>
      <c r="M715" s="44"/>
      <c r="N715" s="45"/>
    </row>
    <row r="716" spans="1:14">
      <c r="A716" s="44"/>
      <c r="B716" s="45"/>
      <c r="C716" s="45"/>
      <c r="E716" s="44"/>
      <c r="F716" s="45"/>
      <c r="G716" s="45"/>
      <c r="J716" s="44"/>
      <c r="K716" s="45"/>
      <c r="M716" s="44"/>
      <c r="N716" s="45"/>
    </row>
    <row r="717" spans="1:14">
      <c r="A717" s="44"/>
      <c r="B717" s="45"/>
      <c r="C717" s="45"/>
      <c r="E717" s="44"/>
      <c r="F717" s="45"/>
      <c r="G717" s="45"/>
      <c r="J717" s="44"/>
      <c r="K717" s="45"/>
      <c r="M717" s="44"/>
      <c r="N717" s="45"/>
    </row>
    <row r="718" spans="1:14">
      <c r="A718" s="44"/>
      <c r="B718" s="45"/>
      <c r="C718" s="45"/>
      <c r="E718" s="44"/>
      <c r="F718" s="45"/>
      <c r="G718" s="45"/>
      <c r="J718" s="44"/>
      <c r="K718" s="45"/>
      <c r="M718" s="44"/>
      <c r="N718" s="45"/>
    </row>
    <row r="719" spans="1:14">
      <c r="A719" s="44"/>
      <c r="B719" s="45"/>
      <c r="C719" s="45"/>
      <c r="E719" s="44"/>
      <c r="F719" s="45"/>
      <c r="G719" s="45"/>
      <c r="J719" s="44"/>
      <c r="K719" s="45"/>
      <c r="M719" s="44"/>
      <c r="N719" s="45"/>
    </row>
    <row r="720" spans="1:14">
      <c r="A720" s="44"/>
      <c r="B720" s="45"/>
      <c r="C720" s="45"/>
      <c r="E720" s="44"/>
      <c r="F720" s="45"/>
      <c r="G720" s="45"/>
      <c r="J720" s="44"/>
      <c r="K720" s="45"/>
      <c r="M720" s="44"/>
      <c r="N720" s="45"/>
    </row>
    <row r="721" spans="1:14">
      <c r="A721" s="44"/>
      <c r="B721" s="45"/>
      <c r="C721" s="45"/>
      <c r="E721" s="44"/>
      <c r="F721" s="45"/>
      <c r="G721" s="45"/>
      <c r="J721" s="44"/>
      <c r="K721" s="45"/>
      <c r="M721" s="44"/>
      <c r="N721" s="45"/>
    </row>
    <row r="722" spans="1:14">
      <c r="A722" s="44"/>
      <c r="B722" s="45"/>
      <c r="C722" s="45"/>
      <c r="E722" s="44"/>
      <c r="F722" s="45"/>
      <c r="G722" s="45"/>
      <c r="J722" s="44"/>
      <c r="K722" s="45"/>
      <c r="M722" s="44"/>
      <c r="N722" s="45"/>
    </row>
    <row r="723" spans="1:14">
      <c r="A723" s="44"/>
      <c r="B723" s="45"/>
      <c r="C723" s="45"/>
      <c r="E723" s="44"/>
      <c r="F723" s="45"/>
      <c r="G723" s="45"/>
      <c r="J723" s="44"/>
      <c r="K723" s="45"/>
      <c r="M723" s="44"/>
      <c r="N723" s="45"/>
    </row>
    <row r="724" spans="1:14">
      <c r="A724" s="44"/>
      <c r="B724" s="45"/>
      <c r="C724" s="45"/>
      <c r="E724" s="44"/>
      <c r="F724" s="45"/>
      <c r="G724" s="45"/>
      <c r="J724" s="44"/>
      <c r="K724" s="45"/>
      <c r="M724" s="44"/>
      <c r="N724" s="45"/>
    </row>
    <row r="725" spans="1:14">
      <c r="A725" s="44"/>
      <c r="B725" s="45"/>
      <c r="C725" s="45"/>
      <c r="E725" s="44"/>
      <c r="F725" s="45"/>
      <c r="G725" s="45"/>
      <c r="J725" s="44"/>
      <c r="K725" s="45"/>
      <c r="M725" s="44"/>
      <c r="N725" s="45"/>
    </row>
    <row r="726" spans="1:14">
      <c r="A726" s="44"/>
      <c r="B726" s="45"/>
      <c r="C726" s="45"/>
      <c r="E726" s="44"/>
      <c r="F726" s="45"/>
      <c r="G726" s="45"/>
      <c r="J726" s="44"/>
      <c r="K726" s="45"/>
      <c r="M726" s="44"/>
      <c r="N726" s="45"/>
    </row>
    <row r="727" spans="1:14">
      <c r="A727" s="44"/>
      <c r="B727" s="45"/>
      <c r="C727" s="45"/>
      <c r="E727" s="44"/>
      <c r="F727" s="45"/>
      <c r="G727" s="45"/>
      <c r="J727" s="44"/>
      <c r="K727" s="45"/>
      <c r="M727" s="44"/>
      <c r="N727" s="45"/>
    </row>
    <row r="728" spans="1:14">
      <c r="A728" s="44"/>
      <c r="B728" s="45"/>
      <c r="C728" s="45"/>
      <c r="E728" s="44"/>
      <c r="F728" s="45"/>
      <c r="G728" s="45"/>
      <c r="J728" s="44"/>
      <c r="K728" s="45"/>
      <c r="M728" s="44"/>
      <c r="N728" s="45"/>
    </row>
    <row r="729" spans="1:14">
      <c r="A729" s="44"/>
      <c r="B729" s="45"/>
      <c r="C729" s="45"/>
      <c r="E729" s="44"/>
      <c r="F729" s="45"/>
      <c r="G729" s="45"/>
      <c r="J729" s="44"/>
      <c r="K729" s="45"/>
      <c r="M729" s="44"/>
      <c r="N729" s="45"/>
    </row>
    <row r="730" spans="1:14">
      <c r="A730" s="44"/>
      <c r="B730" s="45"/>
      <c r="C730" s="45"/>
      <c r="E730" s="44"/>
      <c r="F730" s="45"/>
      <c r="G730" s="45"/>
      <c r="J730" s="44"/>
      <c r="K730" s="45"/>
      <c r="M730" s="44"/>
      <c r="N730" s="45"/>
    </row>
    <row r="731" spans="1:14">
      <c r="A731" s="44"/>
      <c r="B731" s="45"/>
      <c r="C731" s="45"/>
      <c r="E731" s="44"/>
      <c r="F731" s="45"/>
      <c r="G731" s="45"/>
      <c r="J731" s="44"/>
      <c r="K731" s="45"/>
      <c r="M731" s="44"/>
      <c r="N731" s="45"/>
    </row>
    <row r="732" spans="1:14">
      <c r="A732" s="44"/>
      <c r="B732" s="45"/>
      <c r="C732" s="45"/>
      <c r="E732" s="44"/>
      <c r="F732" s="45"/>
      <c r="G732" s="45"/>
      <c r="J732" s="44"/>
      <c r="K732" s="45"/>
      <c r="M732" s="44"/>
      <c r="N732" s="45"/>
    </row>
    <row r="733" spans="1:14">
      <c r="A733" s="44"/>
      <c r="B733" s="45"/>
      <c r="C733" s="45"/>
      <c r="E733" s="44"/>
      <c r="F733" s="45"/>
      <c r="G733" s="45"/>
      <c r="J733" s="44"/>
      <c r="K733" s="45"/>
      <c r="M733" s="44"/>
      <c r="N733" s="45"/>
    </row>
    <row r="734" spans="1:14">
      <c r="A734" s="44"/>
      <c r="B734" s="45"/>
      <c r="C734" s="45"/>
      <c r="E734" s="44"/>
      <c r="F734" s="45"/>
      <c r="G734" s="45"/>
      <c r="J734" s="44"/>
      <c r="K734" s="45"/>
      <c r="M734" s="44"/>
      <c r="N734" s="45"/>
    </row>
    <row r="735" spans="1:14">
      <c r="A735" s="44"/>
      <c r="B735" s="45"/>
      <c r="C735" s="45"/>
      <c r="E735" s="44"/>
      <c r="F735" s="45"/>
      <c r="G735" s="45"/>
      <c r="J735" s="44"/>
      <c r="K735" s="45"/>
      <c r="M735" s="44"/>
      <c r="N735" s="45"/>
    </row>
    <row r="736" spans="1:14">
      <c r="A736" s="44"/>
      <c r="B736" s="45"/>
      <c r="C736" s="45"/>
      <c r="E736" s="44"/>
      <c r="F736" s="45"/>
      <c r="G736" s="45"/>
      <c r="J736" s="44"/>
      <c r="K736" s="45"/>
      <c r="M736" s="44"/>
      <c r="N736" s="45"/>
    </row>
    <row r="737" spans="1:14">
      <c r="A737" s="44"/>
      <c r="B737" s="45"/>
      <c r="C737" s="45"/>
      <c r="E737" s="44"/>
      <c r="F737" s="45"/>
      <c r="G737" s="45"/>
      <c r="J737" s="44"/>
      <c r="K737" s="45"/>
      <c r="M737" s="44"/>
      <c r="N737" s="45"/>
    </row>
    <row r="738" spans="1:14">
      <c r="A738" s="44"/>
      <c r="B738" s="45"/>
      <c r="C738" s="45"/>
      <c r="E738" s="44"/>
      <c r="F738" s="45"/>
      <c r="G738" s="45"/>
      <c r="J738" s="44"/>
      <c r="K738" s="45"/>
      <c r="M738" s="44"/>
      <c r="N738" s="45"/>
    </row>
    <row r="739" spans="1:14">
      <c r="A739" s="44"/>
      <c r="B739" s="45"/>
      <c r="C739" s="45"/>
      <c r="E739" s="44"/>
      <c r="F739" s="45"/>
      <c r="G739" s="45"/>
      <c r="J739" s="44"/>
      <c r="K739" s="45"/>
      <c r="M739" s="44"/>
      <c r="N739" s="45"/>
    </row>
    <row r="740" spans="1:14">
      <c r="A740" s="44"/>
      <c r="B740" s="45"/>
      <c r="C740" s="45"/>
      <c r="E740" s="44"/>
      <c r="F740" s="45"/>
      <c r="G740" s="45"/>
      <c r="J740" s="44"/>
      <c r="K740" s="45"/>
      <c r="M740" s="44"/>
      <c r="N740" s="45"/>
    </row>
    <row r="741" spans="1:14">
      <c r="A741" s="44"/>
      <c r="B741" s="45"/>
      <c r="C741" s="45"/>
      <c r="E741" s="44"/>
      <c r="F741" s="45"/>
      <c r="G741" s="45"/>
      <c r="J741" s="44"/>
      <c r="K741" s="45"/>
      <c r="M741" s="44"/>
      <c r="N741" s="45"/>
    </row>
    <row r="742" spans="1:14">
      <c r="A742" s="44"/>
      <c r="B742" s="45"/>
      <c r="C742" s="45"/>
      <c r="E742" s="44"/>
      <c r="F742" s="45"/>
      <c r="G742" s="45"/>
      <c r="J742" s="44"/>
      <c r="K742" s="45"/>
      <c r="M742" s="44"/>
      <c r="N742" s="45"/>
    </row>
    <row r="743" spans="1:14">
      <c r="A743" s="44"/>
      <c r="B743" s="45"/>
      <c r="C743" s="45"/>
      <c r="E743" s="44"/>
      <c r="F743" s="45"/>
      <c r="G743" s="45"/>
      <c r="J743" s="44"/>
      <c r="K743" s="45"/>
      <c r="M743" s="44"/>
      <c r="N743" s="45"/>
    </row>
    <row r="744" spans="1:14">
      <c r="A744" s="44"/>
      <c r="B744" s="45"/>
      <c r="C744" s="45"/>
      <c r="E744" s="44"/>
      <c r="F744" s="45"/>
      <c r="G744" s="45"/>
      <c r="J744" s="44"/>
      <c r="K744" s="45"/>
      <c r="M744" s="44"/>
      <c r="N744" s="45"/>
    </row>
    <row r="745" spans="1:14">
      <c r="A745" s="44"/>
      <c r="B745" s="45"/>
      <c r="C745" s="45"/>
      <c r="E745" s="44"/>
      <c r="F745" s="45"/>
      <c r="G745" s="45"/>
      <c r="J745" s="44"/>
      <c r="K745" s="45"/>
      <c r="M745" s="44"/>
      <c r="N745" s="45"/>
    </row>
    <row r="746" spans="1:14">
      <c r="A746" s="44"/>
      <c r="B746" s="45"/>
      <c r="C746" s="45"/>
      <c r="E746" s="44"/>
      <c r="F746" s="45"/>
      <c r="G746" s="45"/>
      <c r="J746" s="44"/>
      <c r="K746" s="45"/>
      <c r="M746" s="44"/>
      <c r="N746" s="45"/>
    </row>
    <row r="747" spans="1:14">
      <c r="A747" s="44"/>
      <c r="B747" s="45"/>
      <c r="C747" s="45"/>
      <c r="E747" s="44"/>
      <c r="F747" s="45"/>
      <c r="G747" s="45"/>
      <c r="J747" s="44"/>
      <c r="K747" s="45"/>
      <c r="M747" s="44"/>
      <c r="N747" s="45"/>
    </row>
    <row r="748" spans="1:14">
      <c r="A748" s="44"/>
      <c r="B748" s="45"/>
      <c r="C748" s="45"/>
      <c r="E748" s="44"/>
      <c r="F748" s="45"/>
      <c r="G748" s="45"/>
      <c r="J748" s="44"/>
      <c r="K748" s="45"/>
      <c r="M748" s="44"/>
      <c r="N748" s="45"/>
    </row>
    <row r="749" spans="1:14">
      <c r="A749" s="44"/>
      <c r="B749" s="45"/>
      <c r="C749" s="45"/>
      <c r="E749" s="44"/>
      <c r="F749" s="45"/>
      <c r="G749" s="45"/>
      <c r="J749" s="44"/>
      <c r="K749" s="45"/>
      <c r="M749" s="44"/>
      <c r="N749" s="45"/>
    </row>
    <row r="750" spans="1:14">
      <c r="A750" s="44"/>
      <c r="B750" s="45"/>
      <c r="C750" s="45"/>
      <c r="E750" s="44"/>
      <c r="F750" s="45"/>
      <c r="G750" s="45"/>
      <c r="J750" s="44"/>
      <c r="K750" s="45"/>
      <c r="M750" s="44"/>
      <c r="N750" s="45"/>
    </row>
    <row r="751" spans="1:14">
      <c r="A751" s="44"/>
      <c r="B751" s="45"/>
      <c r="C751" s="45"/>
      <c r="E751" s="44"/>
      <c r="F751" s="45"/>
      <c r="G751" s="45"/>
      <c r="J751" s="44"/>
      <c r="K751" s="45"/>
      <c r="M751" s="44"/>
      <c r="N751" s="45"/>
    </row>
    <row r="752" spans="1:14">
      <c r="A752" s="44"/>
      <c r="B752" s="45"/>
      <c r="C752" s="45"/>
      <c r="E752" s="44"/>
      <c r="F752" s="45"/>
      <c r="G752" s="45"/>
      <c r="J752" s="44"/>
      <c r="K752" s="45"/>
      <c r="M752" s="44"/>
      <c r="N752" s="45"/>
    </row>
    <row r="753" spans="1:14">
      <c r="A753" s="44"/>
      <c r="B753" s="45"/>
      <c r="C753" s="45"/>
      <c r="E753" s="44"/>
      <c r="F753" s="45"/>
      <c r="G753" s="45"/>
      <c r="J753" s="44"/>
      <c r="K753" s="45"/>
      <c r="M753" s="44"/>
      <c r="N753" s="45"/>
    </row>
    <row r="754" spans="1:14">
      <c r="A754" s="44"/>
      <c r="B754" s="45"/>
      <c r="C754" s="45"/>
      <c r="E754" s="44"/>
      <c r="F754" s="45"/>
      <c r="G754" s="45"/>
      <c r="J754" s="44"/>
      <c r="K754" s="45"/>
      <c r="M754" s="44"/>
      <c r="N754" s="45"/>
    </row>
    <row r="755" spans="1:14">
      <c r="A755" s="44"/>
      <c r="B755" s="45"/>
      <c r="C755" s="45"/>
      <c r="E755" s="44"/>
      <c r="F755" s="45"/>
      <c r="G755" s="45"/>
      <c r="J755" s="44"/>
      <c r="K755" s="45"/>
      <c r="M755" s="44"/>
      <c r="N755" s="45"/>
    </row>
    <row r="756" spans="1:14">
      <c r="A756" s="44"/>
      <c r="B756" s="45"/>
      <c r="C756" s="45"/>
      <c r="E756" s="44"/>
      <c r="F756" s="45"/>
      <c r="G756" s="45"/>
      <c r="J756" s="44"/>
      <c r="K756" s="45"/>
      <c r="M756" s="44"/>
      <c r="N756" s="45"/>
    </row>
    <row r="757" spans="1:14">
      <c r="A757" s="44"/>
      <c r="B757" s="45"/>
      <c r="C757" s="45"/>
      <c r="E757" s="44"/>
      <c r="F757" s="45"/>
      <c r="G757" s="45"/>
      <c r="J757" s="44"/>
      <c r="K757" s="45"/>
      <c r="M757" s="44"/>
      <c r="N757" s="45"/>
    </row>
    <row r="758" spans="1:14">
      <c r="A758" s="44"/>
      <c r="B758" s="45"/>
      <c r="C758" s="45"/>
      <c r="E758" s="44"/>
      <c r="F758" s="45"/>
      <c r="G758" s="45"/>
      <c r="J758" s="44"/>
      <c r="K758" s="45"/>
      <c r="M758" s="44"/>
      <c r="N758" s="45"/>
    </row>
    <row r="759" spans="1:14">
      <c r="A759" s="44"/>
      <c r="B759" s="45"/>
      <c r="C759" s="45"/>
      <c r="E759" s="44"/>
      <c r="F759" s="45"/>
      <c r="G759" s="45"/>
      <c r="J759" s="44"/>
      <c r="K759" s="45"/>
      <c r="M759" s="44"/>
      <c r="N759" s="45"/>
    </row>
    <row r="760" spans="1:14">
      <c r="A760" s="44"/>
      <c r="B760" s="45"/>
      <c r="C760" s="45"/>
      <c r="E760" s="44"/>
      <c r="F760" s="45"/>
      <c r="G760" s="45"/>
      <c r="J760" s="44"/>
      <c r="K760" s="45"/>
      <c r="M760" s="44"/>
      <c r="N760" s="45"/>
    </row>
    <row r="761" spans="1:14">
      <c r="A761" s="44"/>
      <c r="B761" s="45"/>
      <c r="C761" s="45"/>
      <c r="E761" s="44"/>
      <c r="F761" s="45"/>
      <c r="G761" s="45"/>
      <c r="J761" s="44"/>
      <c r="K761" s="45"/>
      <c r="M761" s="44"/>
      <c r="N761" s="45"/>
    </row>
    <row r="762" spans="1:14">
      <c r="A762" s="44"/>
      <c r="B762" s="45"/>
      <c r="C762" s="45"/>
      <c r="E762" s="44"/>
      <c r="F762" s="45"/>
      <c r="G762" s="45"/>
      <c r="J762" s="44"/>
      <c r="K762" s="45"/>
      <c r="M762" s="44"/>
      <c r="N762" s="45"/>
    </row>
    <row r="763" spans="1:14">
      <c r="A763" s="44"/>
      <c r="B763" s="45"/>
      <c r="C763" s="45"/>
      <c r="E763" s="44"/>
      <c r="F763" s="45"/>
      <c r="G763" s="45"/>
      <c r="J763" s="44"/>
      <c r="K763" s="45"/>
      <c r="M763" s="44"/>
      <c r="N763" s="45"/>
    </row>
    <row r="764" spans="1:14">
      <c r="A764" s="44"/>
      <c r="B764" s="45"/>
      <c r="C764" s="45"/>
      <c r="E764" s="44"/>
      <c r="F764" s="45"/>
      <c r="G764" s="45"/>
      <c r="J764" s="44"/>
      <c r="K764" s="45"/>
      <c r="M764" s="44"/>
      <c r="N764" s="45"/>
    </row>
    <row r="765" spans="1:14">
      <c r="A765" s="44"/>
      <c r="B765" s="45"/>
      <c r="C765" s="45"/>
      <c r="E765" s="44"/>
      <c r="F765" s="45"/>
      <c r="G765" s="45"/>
      <c r="J765" s="44"/>
      <c r="K765" s="45"/>
      <c r="M765" s="44"/>
      <c r="N765" s="45"/>
    </row>
    <row r="766" spans="1:14">
      <c r="A766" s="44"/>
      <c r="B766" s="45"/>
      <c r="C766" s="45"/>
      <c r="E766" s="44"/>
      <c r="F766" s="45"/>
      <c r="G766" s="45"/>
      <c r="J766" s="44"/>
      <c r="K766" s="45"/>
      <c r="M766" s="44"/>
      <c r="N766" s="45"/>
    </row>
    <row r="767" spans="1:14">
      <c r="A767" s="44"/>
      <c r="B767" s="45"/>
      <c r="C767" s="45"/>
      <c r="E767" s="44"/>
      <c r="F767" s="45"/>
      <c r="G767" s="45"/>
      <c r="J767" s="44"/>
      <c r="K767" s="45"/>
      <c r="M767" s="44"/>
      <c r="N767" s="45"/>
    </row>
    <row r="768" spans="1:14">
      <c r="A768" s="44"/>
      <c r="B768" s="45"/>
      <c r="C768" s="45"/>
      <c r="E768" s="44"/>
      <c r="F768" s="45"/>
      <c r="G768" s="45"/>
      <c r="J768" s="44"/>
      <c r="K768" s="45"/>
      <c r="M768" s="44"/>
      <c r="N768" s="45"/>
    </row>
    <row r="769" spans="1:14">
      <c r="A769" s="44"/>
      <c r="B769" s="45"/>
      <c r="C769" s="45"/>
      <c r="E769" s="44"/>
      <c r="F769" s="45"/>
      <c r="G769" s="45"/>
      <c r="J769" s="44"/>
      <c r="K769" s="45"/>
      <c r="M769" s="44"/>
      <c r="N769" s="45"/>
    </row>
    <row r="770" spans="1:14">
      <c r="A770" s="44"/>
      <c r="B770" s="45"/>
      <c r="C770" s="45"/>
      <c r="E770" s="44"/>
      <c r="F770" s="45"/>
      <c r="G770" s="45"/>
      <c r="J770" s="44"/>
      <c r="K770" s="45"/>
      <c r="M770" s="44"/>
      <c r="N770" s="45"/>
    </row>
    <row r="771" spans="1:14">
      <c r="A771" s="44"/>
      <c r="B771" s="45"/>
      <c r="C771" s="45"/>
      <c r="E771" s="44"/>
      <c r="F771" s="45"/>
      <c r="G771" s="45"/>
      <c r="J771" s="44"/>
      <c r="K771" s="45"/>
      <c r="M771" s="44"/>
      <c r="N771" s="45"/>
    </row>
    <row r="772" spans="1:14">
      <c r="A772" s="44"/>
      <c r="B772" s="45"/>
      <c r="C772" s="45"/>
      <c r="E772" s="44"/>
      <c r="F772" s="45"/>
      <c r="G772" s="45"/>
      <c r="J772" s="44"/>
      <c r="K772" s="45"/>
      <c r="M772" s="44"/>
      <c r="N772" s="45"/>
    </row>
    <row r="773" spans="1:14">
      <c r="A773" s="44"/>
      <c r="B773" s="45"/>
      <c r="C773" s="45"/>
      <c r="E773" s="44"/>
      <c r="F773" s="45"/>
      <c r="G773" s="45"/>
      <c r="J773" s="44"/>
      <c r="K773" s="45"/>
      <c r="M773" s="44"/>
      <c r="N773" s="45"/>
    </row>
    <row r="774" spans="1:14">
      <c r="A774" s="44"/>
      <c r="B774" s="45"/>
      <c r="C774" s="45"/>
      <c r="E774" s="44"/>
      <c r="F774" s="45"/>
      <c r="G774" s="45"/>
      <c r="J774" s="44"/>
      <c r="K774" s="45"/>
      <c r="M774" s="44"/>
      <c r="N774" s="45"/>
    </row>
    <row r="775" spans="1:14">
      <c r="A775" s="44"/>
      <c r="B775" s="45"/>
      <c r="C775" s="45"/>
      <c r="E775" s="44"/>
      <c r="F775" s="45"/>
      <c r="G775" s="45"/>
      <c r="J775" s="44"/>
      <c r="K775" s="45"/>
      <c r="M775" s="44"/>
      <c r="N775" s="45"/>
    </row>
    <row r="776" spans="1:14">
      <c r="A776" s="44"/>
      <c r="B776" s="45"/>
      <c r="C776" s="45"/>
      <c r="E776" s="44"/>
      <c r="F776" s="45"/>
      <c r="G776" s="45"/>
      <c r="J776" s="44"/>
      <c r="K776" s="45"/>
      <c r="M776" s="44"/>
      <c r="N776" s="45"/>
    </row>
    <row r="777" spans="1:14">
      <c r="A777" s="44"/>
      <c r="B777" s="45"/>
      <c r="C777" s="45"/>
      <c r="E777" s="44"/>
      <c r="F777" s="45"/>
      <c r="G777" s="45"/>
      <c r="J777" s="44"/>
      <c r="K777" s="45"/>
      <c r="M777" s="44"/>
      <c r="N777" s="45"/>
    </row>
    <row r="778" spans="1:14">
      <c r="A778" s="44"/>
      <c r="B778" s="45"/>
      <c r="C778" s="45"/>
      <c r="E778" s="44"/>
      <c r="F778" s="45"/>
      <c r="G778" s="45"/>
      <c r="J778" s="44"/>
      <c r="K778" s="45"/>
      <c r="M778" s="44"/>
      <c r="N778" s="45"/>
    </row>
    <row r="779" spans="1:14">
      <c r="A779" s="44"/>
      <c r="B779" s="45"/>
      <c r="C779" s="45"/>
      <c r="E779" s="44"/>
      <c r="F779" s="45"/>
      <c r="G779" s="45"/>
      <c r="J779" s="44"/>
      <c r="K779" s="45"/>
      <c r="M779" s="44"/>
      <c r="N779" s="45"/>
    </row>
    <row r="780" spans="1:14">
      <c r="A780" s="44"/>
      <c r="B780" s="45"/>
      <c r="C780" s="45"/>
      <c r="E780" s="44"/>
      <c r="F780" s="45"/>
      <c r="G780" s="45"/>
      <c r="J780" s="44"/>
      <c r="K780" s="45"/>
      <c r="M780" s="44"/>
      <c r="N780" s="45"/>
    </row>
    <row r="781" spans="1:14">
      <c r="A781" s="44"/>
      <c r="B781" s="45"/>
      <c r="C781" s="45"/>
      <c r="E781" s="44"/>
      <c r="F781" s="45"/>
      <c r="G781" s="45"/>
      <c r="J781" s="44"/>
      <c r="K781" s="45"/>
      <c r="M781" s="44"/>
      <c r="N781" s="45"/>
    </row>
    <row r="782" spans="1:14">
      <c r="A782" s="44"/>
      <c r="B782" s="45"/>
      <c r="C782" s="45"/>
      <c r="E782" s="44"/>
      <c r="F782" s="45"/>
      <c r="G782" s="45"/>
      <c r="J782" s="44"/>
      <c r="K782" s="45"/>
      <c r="M782" s="44"/>
      <c r="N782" s="45"/>
    </row>
    <row r="783" spans="1:14">
      <c r="A783" s="44"/>
      <c r="B783" s="45"/>
      <c r="C783" s="45"/>
      <c r="E783" s="44"/>
      <c r="F783" s="45"/>
      <c r="G783" s="45"/>
      <c r="J783" s="44"/>
      <c r="K783" s="45"/>
      <c r="M783" s="44"/>
      <c r="N783" s="45"/>
    </row>
    <row r="784" spans="1:14">
      <c r="A784" s="44"/>
      <c r="B784" s="45"/>
      <c r="C784" s="45"/>
      <c r="E784" s="44"/>
      <c r="F784" s="45"/>
      <c r="G784" s="45"/>
      <c r="J784" s="44"/>
      <c r="K784" s="45"/>
      <c r="M784" s="44"/>
      <c r="N784" s="45"/>
    </row>
    <row r="785" spans="1:14">
      <c r="A785" s="44"/>
      <c r="B785" s="45"/>
      <c r="C785" s="45"/>
      <c r="E785" s="44"/>
      <c r="F785" s="45"/>
      <c r="G785" s="45"/>
      <c r="J785" s="44"/>
      <c r="K785" s="45"/>
      <c r="M785" s="44"/>
      <c r="N785" s="45"/>
    </row>
    <row r="786" spans="1:14">
      <c r="A786" s="44"/>
      <c r="B786" s="45"/>
      <c r="C786" s="45"/>
      <c r="E786" s="44"/>
      <c r="F786" s="45"/>
      <c r="G786" s="45"/>
      <c r="J786" s="44"/>
      <c r="K786" s="45"/>
      <c r="M786" s="44"/>
      <c r="N786" s="45"/>
    </row>
    <row r="787" spans="1:14">
      <c r="A787" s="44"/>
      <c r="B787" s="45"/>
      <c r="C787" s="45"/>
      <c r="E787" s="44"/>
      <c r="F787" s="45"/>
      <c r="G787" s="45"/>
      <c r="J787" s="44"/>
      <c r="K787" s="45"/>
      <c r="M787" s="44"/>
      <c r="N787" s="45"/>
    </row>
    <row r="788" spans="1:14">
      <c r="A788" s="44"/>
      <c r="B788" s="45"/>
      <c r="C788" s="45"/>
      <c r="E788" s="44"/>
      <c r="F788" s="45"/>
      <c r="G788" s="45"/>
      <c r="J788" s="44"/>
      <c r="K788" s="45"/>
      <c r="M788" s="44"/>
      <c r="N788" s="45"/>
    </row>
    <row r="789" spans="1:14">
      <c r="A789" s="44"/>
      <c r="B789" s="45"/>
      <c r="C789" s="45"/>
      <c r="E789" s="44"/>
      <c r="F789" s="45"/>
      <c r="G789" s="45"/>
      <c r="J789" s="44"/>
      <c r="K789" s="45"/>
      <c r="M789" s="44"/>
      <c r="N789" s="45"/>
    </row>
    <row r="790" spans="1:14">
      <c r="A790" s="44"/>
      <c r="B790" s="45"/>
      <c r="C790" s="45"/>
      <c r="E790" s="44"/>
      <c r="F790" s="45"/>
      <c r="G790" s="45"/>
      <c r="J790" s="44"/>
      <c r="K790" s="45"/>
      <c r="M790" s="44"/>
      <c r="N790" s="45"/>
    </row>
    <row r="791" spans="1:14">
      <c r="A791" s="44"/>
      <c r="B791" s="45"/>
      <c r="C791" s="45"/>
      <c r="E791" s="44"/>
      <c r="F791" s="45"/>
      <c r="G791" s="45"/>
      <c r="J791" s="44"/>
      <c r="K791" s="45"/>
      <c r="M791" s="44"/>
      <c r="N791" s="45"/>
    </row>
    <row r="792" spans="1:14">
      <c r="A792" s="44"/>
      <c r="B792" s="45"/>
      <c r="C792" s="45"/>
      <c r="E792" s="44"/>
      <c r="F792" s="45"/>
      <c r="G792" s="45"/>
      <c r="J792" s="44"/>
      <c r="K792" s="45"/>
      <c r="M792" s="44"/>
      <c r="N792" s="45"/>
    </row>
    <row r="793" spans="1:14">
      <c r="A793" s="44"/>
      <c r="B793" s="45"/>
      <c r="C793" s="45"/>
      <c r="E793" s="44"/>
      <c r="F793" s="45"/>
      <c r="G793" s="45"/>
      <c r="J793" s="44"/>
      <c r="K793" s="45"/>
      <c r="M793" s="44"/>
      <c r="N793" s="45"/>
    </row>
    <row r="794" spans="1:14">
      <c r="A794" s="44"/>
      <c r="B794" s="45"/>
      <c r="C794" s="45"/>
      <c r="E794" s="44"/>
      <c r="F794" s="45"/>
      <c r="G794" s="45"/>
      <c r="J794" s="44"/>
      <c r="K794" s="45"/>
      <c r="M794" s="44"/>
      <c r="N794" s="45"/>
    </row>
    <row r="795" spans="1:14">
      <c r="A795" s="44"/>
      <c r="B795" s="45"/>
      <c r="C795" s="45"/>
      <c r="E795" s="44"/>
      <c r="F795" s="45"/>
      <c r="G795" s="45"/>
      <c r="J795" s="44"/>
      <c r="K795" s="45"/>
      <c r="M795" s="44"/>
      <c r="N795" s="45"/>
    </row>
    <row r="796" spans="1:14">
      <c r="A796" s="44"/>
      <c r="B796" s="45"/>
      <c r="C796" s="45"/>
      <c r="E796" s="44"/>
      <c r="F796" s="45"/>
      <c r="G796" s="45"/>
      <c r="J796" s="44"/>
      <c r="K796" s="45"/>
      <c r="M796" s="44"/>
      <c r="N796" s="45"/>
    </row>
    <row r="797" spans="1:14">
      <c r="A797" s="44"/>
      <c r="B797" s="45"/>
      <c r="C797" s="45"/>
      <c r="E797" s="44"/>
      <c r="F797" s="45"/>
      <c r="G797" s="45"/>
      <c r="J797" s="44"/>
      <c r="K797" s="45"/>
      <c r="M797" s="44"/>
      <c r="N797" s="45"/>
    </row>
    <row r="798" spans="1:14">
      <c r="A798" s="44"/>
      <c r="B798" s="45"/>
      <c r="C798" s="45"/>
      <c r="E798" s="44"/>
      <c r="F798" s="45"/>
      <c r="G798" s="45"/>
      <c r="J798" s="44"/>
      <c r="K798" s="45"/>
      <c r="M798" s="44"/>
      <c r="N798" s="45"/>
    </row>
    <row r="799" spans="1:14">
      <c r="A799" s="44"/>
      <c r="B799" s="45"/>
      <c r="C799" s="45"/>
      <c r="E799" s="44"/>
      <c r="F799" s="45"/>
      <c r="G799" s="45"/>
      <c r="J799" s="44"/>
      <c r="K799" s="45"/>
      <c r="M799" s="44"/>
      <c r="N799" s="45"/>
    </row>
    <row r="800" spans="1:14">
      <c r="A800" s="44"/>
      <c r="B800" s="45"/>
      <c r="C800" s="45"/>
      <c r="E800" s="44"/>
      <c r="F800" s="45"/>
      <c r="G800" s="45"/>
      <c r="J800" s="44"/>
      <c r="K800" s="45"/>
      <c r="M800" s="44"/>
      <c r="N800" s="45"/>
    </row>
    <row r="801" spans="1:14">
      <c r="A801" s="44"/>
      <c r="B801" s="45"/>
      <c r="C801" s="45"/>
      <c r="E801" s="44"/>
      <c r="F801" s="45"/>
      <c r="G801" s="45"/>
      <c r="J801" s="44"/>
      <c r="K801" s="45"/>
      <c r="M801" s="44"/>
      <c r="N801" s="45"/>
    </row>
    <row r="802" spans="1:14">
      <c r="A802" s="44"/>
      <c r="B802" s="45"/>
      <c r="C802" s="45"/>
      <c r="E802" s="44"/>
      <c r="F802" s="45"/>
      <c r="G802" s="45"/>
      <c r="J802" s="44"/>
      <c r="K802" s="45"/>
      <c r="M802" s="44"/>
      <c r="N802" s="45"/>
    </row>
    <row r="803" spans="1:14">
      <c r="A803" s="44"/>
      <c r="B803" s="45"/>
      <c r="C803" s="45"/>
      <c r="E803" s="44"/>
      <c r="F803" s="45"/>
      <c r="G803" s="45"/>
      <c r="J803" s="44"/>
      <c r="K803" s="45"/>
      <c r="M803" s="44"/>
      <c r="N803" s="45"/>
    </row>
    <row r="804" spans="1:14">
      <c r="A804" s="44"/>
      <c r="B804" s="45"/>
      <c r="C804" s="45"/>
      <c r="E804" s="44"/>
      <c r="F804" s="45"/>
      <c r="G804" s="45"/>
      <c r="J804" s="44"/>
      <c r="K804" s="45"/>
      <c r="M804" s="44"/>
      <c r="N804" s="45"/>
    </row>
    <row r="805" spans="1:14">
      <c r="A805" s="44"/>
      <c r="B805" s="45"/>
      <c r="C805" s="45"/>
      <c r="E805" s="44"/>
      <c r="F805" s="45"/>
      <c r="G805" s="45"/>
      <c r="J805" s="44"/>
      <c r="K805" s="45"/>
      <c r="M805" s="44"/>
      <c r="N805" s="45"/>
    </row>
    <row r="806" spans="1:14">
      <c r="A806" s="44"/>
      <c r="B806" s="45"/>
      <c r="C806" s="45"/>
      <c r="E806" s="44"/>
      <c r="F806" s="45"/>
      <c r="G806" s="45"/>
      <c r="J806" s="44"/>
      <c r="K806" s="45"/>
      <c r="M806" s="44"/>
      <c r="N806" s="45"/>
    </row>
    <row r="807" spans="1:14">
      <c r="A807" s="44"/>
      <c r="B807" s="45"/>
      <c r="C807" s="45"/>
      <c r="E807" s="44"/>
      <c r="F807" s="45"/>
      <c r="G807" s="45"/>
      <c r="J807" s="44"/>
      <c r="K807" s="45"/>
      <c r="M807" s="44"/>
      <c r="N807" s="45"/>
    </row>
    <row r="808" spans="1:14">
      <c r="A808" s="44"/>
      <c r="B808" s="45"/>
      <c r="C808" s="45"/>
      <c r="E808" s="44"/>
      <c r="F808" s="45"/>
      <c r="G808" s="45"/>
      <c r="J808" s="44"/>
      <c r="K808" s="45"/>
      <c r="M808" s="44"/>
      <c r="N808" s="45"/>
    </row>
    <row r="809" spans="1:14">
      <c r="A809" s="44"/>
      <c r="B809" s="45"/>
      <c r="C809" s="45"/>
      <c r="E809" s="44"/>
      <c r="F809" s="45"/>
      <c r="G809" s="45"/>
      <c r="J809" s="44"/>
      <c r="K809" s="45"/>
      <c r="M809" s="44"/>
      <c r="N809" s="45"/>
    </row>
    <row r="810" spans="1:14">
      <c r="A810" s="44"/>
      <c r="B810" s="45"/>
      <c r="C810" s="45"/>
      <c r="E810" s="44"/>
      <c r="F810" s="45"/>
      <c r="G810" s="45"/>
      <c r="J810" s="44"/>
      <c r="K810" s="45"/>
      <c r="M810" s="44"/>
      <c r="N810" s="45"/>
    </row>
    <row r="811" spans="1:14">
      <c r="A811" s="44"/>
      <c r="B811" s="45"/>
      <c r="C811" s="45"/>
      <c r="E811" s="44"/>
      <c r="F811" s="45"/>
      <c r="G811" s="45"/>
      <c r="J811" s="44"/>
      <c r="K811" s="45"/>
      <c r="M811" s="44"/>
      <c r="N811" s="45"/>
    </row>
    <row r="812" spans="1:14">
      <c r="A812" s="44"/>
      <c r="B812" s="45"/>
      <c r="C812" s="45"/>
      <c r="E812" s="44"/>
      <c r="F812" s="45"/>
      <c r="G812" s="45"/>
      <c r="J812" s="44"/>
      <c r="K812" s="45"/>
      <c r="M812" s="44"/>
      <c r="N812" s="45"/>
    </row>
    <row r="813" spans="1:14">
      <c r="A813" s="44"/>
      <c r="B813" s="45"/>
      <c r="C813" s="45"/>
      <c r="E813" s="44"/>
      <c r="F813" s="45"/>
      <c r="G813" s="45"/>
      <c r="J813" s="44"/>
      <c r="K813" s="45"/>
      <c r="M813" s="44"/>
      <c r="N813" s="45"/>
    </row>
    <row r="814" spans="1:14">
      <c r="A814" s="44"/>
      <c r="B814" s="45"/>
      <c r="C814" s="45"/>
      <c r="E814" s="44"/>
      <c r="F814" s="45"/>
      <c r="G814" s="45"/>
      <c r="J814" s="44"/>
      <c r="K814" s="45"/>
      <c r="M814" s="44"/>
      <c r="N814" s="45"/>
    </row>
    <row r="815" spans="1:14">
      <c r="A815" s="44"/>
      <c r="B815" s="45"/>
      <c r="C815" s="45"/>
      <c r="E815" s="44"/>
      <c r="F815" s="45"/>
      <c r="G815" s="45"/>
      <c r="J815" s="44"/>
      <c r="K815" s="45"/>
      <c r="M815" s="44"/>
      <c r="N815" s="45"/>
    </row>
    <row r="816" spans="1:14">
      <c r="A816" s="44"/>
      <c r="B816" s="45"/>
      <c r="C816" s="45"/>
      <c r="E816" s="44"/>
      <c r="F816" s="45"/>
      <c r="G816" s="45"/>
      <c r="J816" s="44"/>
      <c r="K816" s="45"/>
      <c r="M816" s="44"/>
      <c r="N816" s="45"/>
    </row>
    <row r="817" spans="1:14">
      <c r="A817" s="44"/>
      <c r="B817" s="45"/>
      <c r="C817" s="45"/>
      <c r="E817" s="44"/>
      <c r="F817" s="45"/>
      <c r="G817" s="45"/>
      <c r="J817" s="44"/>
      <c r="K817" s="45"/>
      <c r="M817" s="44"/>
      <c r="N817" s="45"/>
    </row>
    <row r="818" spans="1:14">
      <c r="A818" s="44"/>
      <c r="B818" s="45"/>
      <c r="C818" s="45"/>
      <c r="E818" s="44"/>
      <c r="F818" s="45"/>
      <c r="G818" s="45"/>
      <c r="J818" s="44"/>
      <c r="K818" s="45"/>
      <c r="M818" s="44"/>
      <c r="N818" s="45"/>
    </row>
    <row r="819" spans="1:14">
      <c r="A819" s="44"/>
      <c r="B819" s="45"/>
      <c r="C819" s="45"/>
      <c r="E819" s="44"/>
      <c r="F819" s="45"/>
      <c r="G819" s="45"/>
      <c r="J819" s="44"/>
      <c r="K819" s="45"/>
      <c r="M819" s="44"/>
      <c r="N819" s="45"/>
    </row>
    <row r="820" spans="1:14">
      <c r="A820" s="44"/>
      <c r="B820" s="45"/>
      <c r="C820" s="45"/>
      <c r="E820" s="44"/>
      <c r="F820" s="45"/>
      <c r="G820" s="45"/>
      <c r="J820" s="44"/>
      <c r="K820" s="45"/>
      <c r="M820" s="44"/>
      <c r="N820" s="45"/>
    </row>
    <row r="821" spans="1:14">
      <c r="A821" s="44"/>
      <c r="B821" s="45"/>
      <c r="C821" s="45"/>
      <c r="E821" s="44"/>
      <c r="F821" s="45"/>
      <c r="G821" s="45"/>
      <c r="J821" s="44"/>
      <c r="K821" s="45"/>
      <c r="M821" s="44"/>
      <c r="N821" s="45"/>
    </row>
    <row r="822" spans="1:14">
      <c r="A822" s="44"/>
      <c r="B822" s="45"/>
      <c r="C822" s="45"/>
      <c r="E822" s="44"/>
      <c r="F822" s="45"/>
      <c r="G822" s="45"/>
      <c r="J822" s="44"/>
      <c r="K822" s="45"/>
      <c r="M822" s="44"/>
      <c r="N822" s="45"/>
    </row>
    <row r="823" spans="1:14">
      <c r="A823" s="44"/>
      <c r="B823" s="45"/>
      <c r="C823" s="45"/>
      <c r="E823" s="44"/>
      <c r="F823" s="45"/>
      <c r="G823" s="45"/>
      <c r="J823" s="44"/>
      <c r="K823" s="45"/>
      <c r="M823" s="44"/>
      <c r="N823" s="45"/>
    </row>
    <row r="824" spans="1:14">
      <c r="A824" s="44"/>
      <c r="B824" s="45"/>
      <c r="C824" s="45"/>
      <c r="E824" s="44"/>
      <c r="F824" s="45"/>
      <c r="G824" s="45"/>
      <c r="J824" s="44"/>
      <c r="K824" s="45"/>
      <c r="M824" s="44"/>
      <c r="N824" s="45"/>
    </row>
    <row r="825" spans="1:14">
      <c r="A825" s="44"/>
      <c r="B825" s="45"/>
      <c r="C825" s="45"/>
      <c r="E825" s="44"/>
      <c r="F825" s="45"/>
      <c r="G825" s="45"/>
      <c r="J825" s="44"/>
      <c r="K825" s="45"/>
      <c r="M825" s="44"/>
      <c r="N825" s="45"/>
    </row>
    <row r="826" spans="1:14">
      <c r="A826" s="44"/>
      <c r="B826" s="45"/>
      <c r="C826" s="45"/>
      <c r="E826" s="44"/>
      <c r="F826" s="45"/>
      <c r="G826" s="45"/>
      <c r="J826" s="44"/>
      <c r="K826" s="45"/>
      <c r="M826" s="44"/>
      <c r="N826" s="45"/>
    </row>
    <row r="827" spans="1:14">
      <c r="A827" s="44"/>
      <c r="B827" s="45"/>
      <c r="C827" s="45"/>
      <c r="E827" s="44"/>
      <c r="F827" s="45"/>
      <c r="G827" s="45"/>
      <c r="J827" s="44"/>
      <c r="K827" s="45"/>
      <c r="M827" s="44"/>
      <c r="N827" s="45"/>
    </row>
    <row r="828" spans="1:14">
      <c r="A828" s="44"/>
      <c r="B828" s="45"/>
      <c r="C828" s="45"/>
      <c r="E828" s="44"/>
      <c r="F828" s="45"/>
      <c r="G828" s="45"/>
      <c r="J828" s="44"/>
      <c r="K828" s="45"/>
      <c r="M828" s="44"/>
      <c r="N828" s="45"/>
    </row>
    <row r="829" spans="1:14">
      <c r="A829" s="44"/>
      <c r="B829" s="45"/>
      <c r="C829" s="45"/>
      <c r="E829" s="44"/>
      <c r="F829" s="45"/>
      <c r="G829" s="45"/>
      <c r="J829" s="44"/>
      <c r="K829" s="45"/>
      <c r="M829" s="44"/>
      <c r="N829" s="45"/>
    </row>
    <row r="830" spans="1:14">
      <c r="A830" s="44"/>
      <c r="B830" s="45"/>
      <c r="C830" s="45"/>
      <c r="E830" s="44"/>
      <c r="F830" s="45"/>
      <c r="G830" s="45"/>
      <c r="J830" s="44"/>
      <c r="K830" s="45"/>
      <c r="M830" s="44"/>
      <c r="N830" s="45"/>
    </row>
    <row r="831" spans="1:14">
      <c r="A831" s="44"/>
      <c r="B831" s="45"/>
      <c r="C831" s="45"/>
      <c r="E831" s="44"/>
      <c r="F831" s="45"/>
      <c r="G831" s="45"/>
      <c r="J831" s="44"/>
      <c r="K831" s="45"/>
      <c r="M831" s="44"/>
      <c r="N831" s="45"/>
    </row>
    <row r="832" spans="1:14">
      <c r="A832" s="44"/>
      <c r="B832" s="45"/>
      <c r="C832" s="45"/>
      <c r="E832" s="44"/>
      <c r="F832" s="45"/>
      <c r="G832" s="45"/>
      <c r="J832" s="44"/>
      <c r="K832" s="45"/>
      <c r="M832" s="44"/>
      <c r="N832" s="45"/>
    </row>
    <row r="833" spans="1:14">
      <c r="A833" s="44"/>
      <c r="B833" s="45"/>
      <c r="C833" s="45"/>
      <c r="E833" s="44"/>
      <c r="F833" s="45"/>
      <c r="G833" s="45"/>
      <c r="J833" s="44"/>
      <c r="K833" s="45"/>
      <c r="M833" s="44"/>
      <c r="N833" s="45"/>
    </row>
    <row r="834" spans="1:14">
      <c r="A834" s="44"/>
      <c r="B834" s="45"/>
      <c r="C834" s="45"/>
      <c r="E834" s="44"/>
      <c r="F834" s="45"/>
      <c r="G834" s="45"/>
      <c r="J834" s="44"/>
      <c r="K834" s="45"/>
      <c r="M834" s="44"/>
      <c r="N834" s="45"/>
    </row>
    <row r="835" spans="1:14">
      <c r="A835" s="44"/>
      <c r="B835" s="45"/>
      <c r="C835" s="45"/>
      <c r="E835" s="44"/>
      <c r="F835" s="45"/>
      <c r="G835" s="45"/>
      <c r="J835" s="44"/>
      <c r="K835" s="45"/>
      <c r="M835" s="44"/>
      <c r="N835" s="45"/>
    </row>
    <row r="836" spans="1:14">
      <c r="A836" s="44"/>
      <c r="B836" s="45"/>
      <c r="C836" s="45"/>
      <c r="E836" s="44"/>
      <c r="F836" s="45"/>
      <c r="G836" s="45"/>
      <c r="J836" s="44"/>
      <c r="K836" s="45"/>
      <c r="M836" s="44"/>
      <c r="N836" s="45"/>
    </row>
    <row r="837" spans="1:14">
      <c r="A837" s="44"/>
      <c r="B837" s="45"/>
      <c r="C837" s="45"/>
      <c r="E837" s="44"/>
      <c r="F837" s="45"/>
      <c r="G837" s="45"/>
      <c r="J837" s="44"/>
      <c r="K837" s="45"/>
      <c r="M837" s="44"/>
      <c r="N837" s="45"/>
    </row>
    <row r="838" spans="1:14">
      <c r="A838" s="44"/>
      <c r="B838" s="45"/>
      <c r="C838" s="45"/>
      <c r="E838" s="44"/>
      <c r="F838" s="45"/>
      <c r="G838" s="45"/>
      <c r="J838" s="44"/>
      <c r="K838" s="45"/>
      <c r="M838" s="44"/>
      <c r="N838" s="45"/>
    </row>
    <row r="839" spans="1:14">
      <c r="A839" s="44"/>
      <c r="B839" s="45"/>
      <c r="C839" s="45"/>
      <c r="E839" s="44"/>
      <c r="F839" s="45"/>
      <c r="G839" s="45"/>
      <c r="J839" s="44"/>
      <c r="K839" s="45"/>
      <c r="M839" s="44"/>
      <c r="N839" s="45"/>
    </row>
    <row r="840" spans="1:14">
      <c r="A840" s="44"/>
      <c r="B840" s="45"/>
      <c r="C840" s="45"/>
      <c r="E840" s="44"/>
      <c r="F840" s="45"/>
      <c r="G840" s="45"/>
      <c r="J840" s="44"/>
      <c r="K840" s="45"/>
      <c r="M840" s="44"/>
      <c r="N840" s="45"/>
    </row>
    <row r="841" spans="1:14">
      <c r="A841" s="44"/>
      <c r="B841" s="45"/>
      <c r="C841" s="45"/>
      <c r="E841" s="44"/>
      <c r="F841" s="45"/>
      <c r="G841" s="45"/>
      <c r="J841" s="44"/>
      <c r="K841" s="45"/>
      <c r="M841" s="44"/>
      <c r="N841" s="45"/>
    </row>
    <row r="842" spans="1:14">
      <c r="A842" s="44"/>
      <c r="B842" s="45"/>
      <c r="C842" s="45"/>
      <c r="E842" s="44"/>
      <c r="F842" s="45"/>
      <c r="G842" s="45"/>
      <c r="J842" s="44"/>
      <c r="K842" s="45"/>
      <c r="M842" s="44"/>
      <c r="N842" s="45"/>
    </row>
    <row r="843" spans="1:14">
      <c r="A843" s="44"/>
      <c r="B843" s="45"/>
      <c r="C843" s="45"/>
      <c r="E843" s="44"/>
      <c r="F843" s="45"/>
      <c r="G843" s="45"/>
      <c r="J843" s="44"/>
      <c r="K843" s="45"/>
      <c r="M843" s="44"/>
      <c r="N843" s="45"/>
    </row>
    <row r="844" spans="1:14">
      <c r="A844" s="44"/>
      <c r="B844" s="45"/>
      <c r="C844" s="45"/>
      <c r="E844" s="44"/>
      <c r="F844" s="45"/>
      <c r="G844" s="45"/>
      <c r="J844" s="44"/>
      <c r="K844" s="45"/>
      <c r="M844" s="44"/>
      <c r="N844" s="45"/>
    </row>
    <row r="845" spans="1:14">
      <c r="A845" s="44"/>
      <c r="B845" s="45"/>
      <c r="C845" s="45"/>
      <c r="E845" s="44"/>
      <c r="F845" s="45"/>
      <c r="G845" s="45"/>
      <c r="J845" s="44"/>
      <c r="K845" s="45"/>
      <c r="M845" s="44"/>
      <c r="N845" s="45"/>
    </row>
    <row r="846" spans="1:14">
      <c r="A846" s="44"/>
      <c r="B846" s="45"/>
      <c r="C846" s="45"/>
      <c r="E846" s="44"/>
      <c r="F846" s="45"/>
      <c r="G846" s="45"/>
      <c r="J846" s="44"/>
      <c r="K846" s="45"/>
      <c r="M846" s="44"/>
      <c r="N846" s="45"/>
    </row>
    <row r="847" spans="1:14">
      <c r="A847" s="44"/>
      <c r="B847" s="45"/>
      <c r="C847" s="45"/>
      <c r="E847" s="44"/>
      <c r="F847" s="45"/>
      <c r="G847" s="45"/>
      <c r="J847" s="44"/>
      <c r="K847" s="45"/>
      <c r="M847" s="44"/>
      <c r="N847" s="45"/>
    </row>
    <row r="848" spans="1:14">
      <c r="A848" s="44"/>
      <c r="B848" s="45"/>
      <c r="C848" s="45"/>
      <c r="E848" s="44"/>
      <c r="F848" s="45"/>
      <c r="G848" s="45"/>
      <c r="J848" s="44"/>
      <c r="K848" s="45"/>
      <c r="M848" s="44"/>
      <c r="N848" s="45"/>
    </row>
    <row r="849" spans="1:14">
      <c r="A849" s="44"/>
      <c r="B849" s="45"/>
      <c r="C849" s="45"/>
      <c r="E849" s="44"/>
      <c r="F849" s="45"/>
      <c r="G849" s="45"/>
      <c r="J849" s="44"/>
      <c r="K849" s="45"/>
      <c r="M849" s="44"/>
      <c r="N849" s="45"/>
    </row>
    <row r="850" spans="1:14">
      <c r="A850" s="44"/>
      <c r="B850" s="45"/>
      <c r="C850" s="45"/>
      <c r="E850" s="44"/>
      <c r="F850" s="45"/>
      <c r="G850" s="45"/>
      <c r="J850" s="44"/>
      <c r="K850" s="45"/>
      <c r="M850" s="44"/>
      <c r="N850" s="45"/>
    </row>
    <row r="851" spans="1:14">
      <c r="A851" s="44"/>
      <c r="B851" s="45"/>
      <c r="C851" s="45"/>
      <c r="E851" s="44"/>
      <c r="F851" s="45"/>
      <c r="G851" s="45"/>
      <c r="J851" s="44"/>
      <c r="K851" s="45"/>
      <c r="M851" s="44"/>
      <c r="N851" s="45"/>
    </row>
    <row r="852" spans="1:14">
      <c r="A852" s="44"/>
      <c r="B852" s="45"/>
      <c r="C852" s="45"/>
      <c r="E852" s="44"/>
      <c r="F852" s="45"/>
      <c r="G852" s="45"/>
      <c r="J852" s="44"/>
      <c r="K852" s="45"/>
      <c r="M852" s="44"/>
      <c r="N852" s="45"/>
    </row>
    <row r="853" spans="1:14">
      <c r="A853" s="44"/>
      <c r="B853" s="45"/>
      <c r="C853" s="45"/>
      <c r="E853" s="44"/>
      <c r="F853" s="45"/>
      <c r="G853" s="45"/>
      <c r="J853" s="44"/>
      <c r="K853" s="45"/>
      <c r="M853" s="44"/>
      <c r="N853" s="45"/>
    </row>
    <row r="854" spans="1:14">
      <c r="A854" s="44"/>
      <c r="B854" s="45"/>
      <c r="C854" s="45"/>
      <c r="E854" s="44"/>
      <c r="F854" s="45"/>
      <c r="G854" s="45"/>
      <c r="J854" s="44"/>
      <c r="K854" s="45"/>
      <c r="M854" s="44"/>
      <c r="N854" s="45"/>
    </row>
    <row r="855" spans="1:14">
      <c r="A855" s="44"/>
      <c r="B855" s="45"/>
      <c r="C855" s="45"/>
      <c r="E855" s="44"/>
      <c r="F855" s="45"/>
      <c r="G855" s="45"/>
      <c r="J855" s="44"/>
      <c r="K855" s="45"/>
      <c r="M855" s="44"/>
      <c r="N855" s="45"/>
    </row>
    <row r="856" spans="1:14">
      <c r="A856" s="44"/>
      <c r="B856" s="45"/>
      <c r="C856" s="45"/>
      <c r="E856" s="44"/>
      <c r="F856" s="45"/>
      <c r="G856" s="45"/>
      <c r="J856" s="44"/>
      <c r="K856" s="45"/>
      <c r="M856" s="44"/>
      <c r="N856" s="45"/>
    </row>
    <row r="857" spans="1:14">
      <c r="A857" s="44"/>
      <c r="B857" s="45"/>
      <c r="C857" s="45"/>
      <c r="E857" s="44"/>
      <c r="F857" s="45"/>
      <c r="G857" s="45"/>
      <c r="J857" s="44"/>
      <c r="K857" s="45"/>
      <c r="M857" s="44"/>
      <c r="N857" s="45"/>
    </row>
    <row r="858" spans="1:14">
      <c r="A858" s="44"/>
      <c r="B858" s="45"/>
      <c r="C858" s="45"/>
      <c r="E858" s="44"/>
      <c r="F858" s="45"/>
      <c r="G858" s="45"/>
      <c r="J858" s="44"/>
      <c r="K858" s="45"/>
      <c r="M858" s="44"/>
      <c r="N858" s="45"/>
    </row>
    <row r="859" spans="1:14">
      <c r="A859" s="44"/>
      <c r="B859" s="45"/>
      <c r="C859" s="45"/>
      <c r="E859" s="44"/>
      <c r="F859" s="45"/>
      <c r="G859" s="45"/>
      <c r="J859" s="44"/>
      <c r="K859" s="45"/>
      <c r="M859" s="44"/>
      <c r="N859" s="45"/>
    </row>
    <row r="860" spans="1:14">
      <c r="A860" s="44"/>
      <c r="B860" s="45"/>
      <c r="C860" s="45"/>
      <c r="E860" s="44"/>
      <c r="F860" s="45"/>
      <c r="G860" s="45"/>
      <c r="J860" s="44"/>
      <c r="K860" s="45"/>
      <c r="M860" s="44"/>
      <c r="N860" s="45"/>
    </row>
    <row r="861" spans="1:14">
      <c r="A861" s="44"/>
      <c r="B861" s="45"/>
      <c r="C861" s="45"/>
      <c r="E861" s="44"/>
      <c r="F861" s="45"/>
      <c r="G861" s="45"/>
      <c r="J861" s="44"/>
      <c r="K861" s="45"/>
      <c r="M861" s="44"/>
      <c r="N861" s="45"/>
    </row>
    <row r="862" spans="1:14">
      <c r="A862" s="44"/>
      <c r="B862" s="45"/>
      <c r="C862" s="45"/>
      <c r="E862" s="44"/>
      <c r="F862" s="45"/>
      <c r="G862" s="45"/>
      <c r="J862" s="44"/>
      <c r="K862" s="45"/>
      <c r="M862" s="44"/>
      <c r="N862" s="45"/>
    </row>
    <row r="863" spans="1:14">
      <c r="A863" s="44"/>
      <c r="B863" s="45"/>
      <c r="C863" s="45"/>
      <c r="E863" s="44"/>
      <c r="F863" s="45"/>
      <c r="G863" s="45"/>
      <c r="J863" s="44"/>
      <c r="K863" s="45"/>
      <c r="M863" s="44"/>
      <c r="N863" s="45"/>
    </row>
    <row r="864" spans="1:14">
      <c r="A864" s="44"/>
      <c r="B864" s="45"/>
      <c r="C864" s="45"/>
      <c r="E864" s="44"/>
      <c r="F864" s="45"/>
      <c r="G864" s="45"/>
      <c r="J864" s="44"/>
      <c r="K864" s="45"/>
      <c r="M864" s="44"/>
      <c r="N864" s="45"/>
    </row>
    <row r="865" spans="1:14">
      <c r="A865" s="44"/>
      <c r="B865" s="45"/>
      <c r="C865" s="45"/>
      <c r="E865" s="44"/>
      <c r="F865" s="45"/>
      <c r="G865" s="45"/>
      <c r="J865" s="44"/>
      <c r="K865" s="45"/>
      <c r="M865" s="44"/>
      <c r="N865" s="45"/>
    </row>
    <row r="866" spans="1:14">
      <c r="A866" s="44"/>
      <c r="B866" s="45"/>
      <c r="C866" s="45"/>
      <c r="E866" s="44"/>
      <c r="F866" s="45"/>
      <c r="G866" s="45"/>
      <c r="J866" s="44"/>
      <c r="K866" s="45"/>
      <c r="M866" s="44"/>
      <c r="N866" s="45"/>
    </row>
    <row r="867" spans="1:14">
      <c r="A867" s="44"/>
      <c r="B867" s="45"/>
      <c r="C867" s="45"/>
      <c r="E867" s="44"/>
      <c r="F867" s="45"/>
      <c r="G867" s="45"/>
      <c r="J867" s="44"/>
      <c r="K867" s="45"/>
      <c r="M867" s="44"/>
      <c r="N867" s="45"/>
    </row>
    <row r="868" spans="1:14">
      <c r="A868" s="44"/>
      <c r="B868" s="45"/>
      <c r="C868" s="45"/>
      <c r="E868" s="44"/>
      <c r="F868" s="45"/>
      <c r="G868" s="45"/>
      <c r="J868" s="44"/>
      <c r="K868" s="45"/>
      <c r="M868" s="44"/>
      <c r="N868" s="45"/>
    </row>
    <row r="869" spans="1:14">
      <c r="A869" s="44"/>
      <c r="B869" s="45"/>
      <c r="C869" s="45"/>
      <c r="E869" s="44"/>
      <c r="F869" s="45"/>
      <c r="G869" s="45"/>
      <c r="J869" s="44"/>
      <c r="K869" s="45"/>
      <c r="M869" s="44"/>
      <c r="N869" s="45"/>
    </row>
    <row r="870" spans="1:14">
      <c r="A870" s="44"/>
      <c r="B870" s="45"/>
      <c r="C870" s="45"/>
      <c r="E870" s="44"/>
      <c r="F870" s="45"/>
      <c r="G870" s="45"/>
      <c r="J870" s="44"/>
      <c r="K870" s="45"/>
      <c r="M870" s="44"/>
      <c r="N870" s="45"/>
    </row>
    <row r="871" spans="1:14">
      <c r="A871" s="44"/>
      <c r="B871" s="45"/>
      <c r="C871" s="45"/>
      <c r="E871" s="44"/>
      <c r="F871" s="45"/>
      <c r="G871" s="45"/>
      <c r="J871" s="44"/>
      <c r="K871" s="45"/>
      <c r="M871" s="44"/>
      <c r="N871" s="45"/>
    </row>
    <row r="872" spans="1:14">
      <c r="A872" s="44"/>
      <c r="B872" s="45"/>
      <c r="C872" s="45"/>
      <c r="E872" s="44"/>
      <c r="F872" s="45"/>
      <c r="G872" s="45"/>
      <c r="J872" s="44"/>
      <c r="K872" s="45"/>
      <c r="M872" s="44"/>
      <c r="N872" s="45"/>
    </row>
    <row r="873" spans="1:14">
      <c r="A873" s="44"/>
      <c r="B873" s="45"/>
      <c r="C873" s="45"/>
      <c r="E873" s="44"/>
      <c r="F873" s="45"/>
      <c r="G873" s="45"/>
      <c r="J873" s="44"/>
      <c r="K873" s="45"/>
      <c r="M873" s="44"/>
      <c r="N873" s="45"/>
    </row>
    <row r="874" spans="1:14">
      <c r="A874" s="44"/>
      <c r="B874" s="45"/>
      <c r="C874" s="45"/>
      <c r="E874" s="44"/>
      <c r="F874" s="45"/>
      <c r="G874" s="45"/>
      <c r="J874" s="44"/>
      <c r="K874" s="45"/>
      <c r="M874" s="44"/>
      <c r="N874" s="45"/>
    </row>
    <row r="875" spans="1:14">
      <c r="A875" s="44"/>
      <c r="B875" s="45"/>
      <c r="C875" s="45"/>
      <c r="E875" s="44"/>
      <c r="F875" s="45"/>
      <c r="G875" s="45"/>
      <c r="J875" s="44"/>
      <c r="K875" s="45"/>
      <c r="M875" s="44"/>
      <c r="N875" s="45"/>
    </row>
    <row r="876" spans="1:14">
      <c r="A876" s="44"/>
      <c r="B876" s="45"/>
      <c r="C876" s="45"/>
      <c r="E876" s="44"/>
      <c r="F876" s="45"/>
      <c r="G876" s="45"/>
      <c r="J876" s="44"/>
      <c r="K876" s="45"/>
      <c r="M876" s="44"/>
      <c r="N876" s="45"/>
    </row>
    <row r="877" spans="1:14">
      <c r="A877" s="44"/>
      <c r="B877" s="45"/>
      <c r="C877" s="45"/>
      <c r="E877" s="44"/>
      <c r="F877" s="45"/>
      <c r="G877" s="45"/>
      <c r="J877" s="44"/>
      <c r="K877" s="45"/>
      <c r="M877" s="44"/>
      <c r="N877" s="45"/>
    </row>
    <row r="878" spans="1:14">
      <c r="A878" s="44"/>
      <c r="B878" s="45"/>
      <c r="C878" s="45"/>
      <c r="E878" s="44"/>
      <c r="F878" s="45"/>
      <c r="G878" s="45"/>
      <c r="J878" s="44"/>
      <c r="K878" s="45"/>
      <c r="M878" s="44"/>
      <c r="N878" s="45"/>
    </row>
    <row r="879" spans="1:14">
      <c r="A879" s="44"/>
      <c r="B879" s="45"/>
      <c r="C879" s="45"/>
      <c r="E879" s="44"/>
      <c r="F879" s="45"/>
      <c r="G879" s="45"/>
      <c r="J879" s="44"/>
      <c r="K879" s="45"/>
      <c r="M879" s="44"/>
      <c r="N879" s="45"/>
    </row>
    <row r="880" spans="1:14">
      <c r="A880" s="44"/>
      <c r="B880" s="45"/>
      <c r="C880" s="45"/>
      <c r="E880" s="44"/>
      <c r="F880" s="45"/>
      <c r="G880" s="45"/>
      <c r="J880" s="44"/>
      <c r="K880" s="45"/>
      <c r="M880" s="44"/>
      <c r="N880" s="45"/>
    </row>
    <row r="881" spans="1:14">
      <c r="A881" s="44"/>
      <c r="B881" s="45"/>
      <c r="C881" s="45"/>
      <c r="E881" s="44"/>
      <c r="F881" s="45"/>
      <c r="G881" s="45"/>
      <c r="J881" s="44"/>
      <c r="K881" s="45"/>
      <c r="M881" s="44"/>
      <c r="N881" s="45"/>
    </row>
    <row r="882" spans="1:14">
      <c r="A882" s="44"/>
      <c r="B882" s="45"/>
      <c r="C882" s="45"/>
      <c r="E882" s="44"/>
      <c r="F882" s="45"/>
      <c r="G882" s="45"/>
      <c r="J882" s="44"/>
      <c r="K882" s="45"/>
      <c r="M882" s="44"/>
      <c r="N882" s="45"/>
    </row>
    <row r="883" spans="1:14">
      <c r="A883" s="44"/>
      <c r="B883" s="45"/>
      <c r="C883" s="45"/>
      <c r="E883" s="44"/>
      <c r="F883" s="45"/>
      <c r="G883" s="45"/>
      <c r="J883" s="44"/>
      <c r="K883" s="45"/>
      <c r="M883" s="44"/>
      <c r="N883" s="45"/>
    </row>
    <row r="884" spans="1:14">
      <c r="A884" s="44"/>
      <c r="B884" s="45"/>
      <c r="C884" s="45"/>
      <c r="E884" s="44"/>
      <c r="F884" s="45"/>
      <c r="G884" s="45"/>
      <c r="J884" s="44"/>
      <c r="K884" s="45"/>
      <c r="M884" s="44"/>
      <c r="N884" s="45"/>
    </row>
    <row r="885" spans="1:14">
      <c r="A885" s="44"/>
      <c r="B885" s="45"/>
      <c r="C885" s="45"/>
      <c r="E885" s="44"/>
      <c r="F885" s="45"/>
      <c r="G885" s="45"/>
      <c r="J885" s="44"/>
      <c r="K885" s="45"/>
      <c r="M885" s="44"/>
      <c r="N885" s="45"/>
    </row>
    <row r="886" spans="1:14">
      <c r="A886" s="44"/>
      <c r="B886" s="45"/>
      <c r="C886" s="45"/>
      <c r="E886" s="44"/>
      <c r="F886" s="45"/>
      <c r="G886" s="45"/>
      <c r="J886" s="44"/>
      <c r="K886" s="45"/>
      <c r="M886" s="44"/>
      <c r="N886" s="45"/>
    </row>
    <row r="887" spans="1:14">
      <c r="A887" s="44"/>
      <c r="B887" s="45"/>
      <c r="C887" s="45"/>
      <c r="E887" s="44"/>
      <c r="F887" s="45"/>
      <c r="G887" s="45"/>
      <c r="J887" s="44"/>
      <c r="K887" s="45"/>
      <c r="M887" s="44"/>
      <c r="N887" s="45"/>
    </row>
    <row r="888" spans="1:14">
      <c r="A888" s="44"/>
      <c r="B888" s="45"/>
      <c r="C888" s="45"/>
      <c r="E888" s="44"/>
      <c r="F888" s="45"/>
      <c r="G888" s="45"/>
      <c r="J888" s="44"/>
      <c r="K888" s="45"/>
      <c r="M888" s="44"/>
      <c r="N888" s="45"/>
    </row>
    <row r="889" spans="1:14">
      <c r="A889" s="44"/>
      <c r="B889" s="45"/>
      <c r="C889" s="45"/>
      <c r="E889" s="44"/>
      <c r="F889" s="45"/>
      <c r="G889" s="45"/>
      <c r="J889" s="44"/>
      <c r="K889" s="45"/>
      <c r="M889" s="44"/>
      <c r="N889" s="45"/>
    </row>
    <row r="890" spans="1:14">
      <c r="A890" s="44"/>
      <c r="B890" s="45"/>
      <c r="C890" s="45"/>
      <c r="E890" s="44"/>
      <c r="F890" s="45"/>
      <c r="G890" s="45"/>
      <c r="J890" s="44"/>
      <c r="K890" s="45"/>
      <c r="M890" s="44"/>
      <c r="N890" s="45"/>
    </row>
    <row r="891" spans="1:14">
      <c r="A891" s="44"/>
      <c r="B891" s="45"/>
      <c r="C891" s="45"/>
      <c r="E891" s="44"/>
      <c r="F891" s="45"/>
      <c r="G891" s="45"/>
      <c r="J891" s="44"/>
      <c r="K891" s="45"/>
      <c r="M891" s="44"/>
      <c r="N891" s="45"/>
    </row>
    <row r="892" spans="1:14">
      <c r="A892" s="44"/>
      <c r="B892" s="45"/>
      <c r="C892" s="45"/>
      <c r="E892" s="44"/>
      <c r="F892" s="45"/>
      <c r="G892" s="45"/>
      <c r="J892" s="44"/>
      <c r="K892" s="45"/>
      <c r="M892" s="44"/>
      <c r="N892" s="45"/>
    </row>
    <row r="893" spans="1:14">
      <c r="A893" s="44"/>
      <c r="B893" s="45"/>
      <c r="C893" s="45"/>
      <c r="E893" s="44"/>
      <c r="F893" s="45"/>
      <c r="G893" s="45"/>
      <c r="J893" s="44"/>
      <c r="K893" s="45"/>
      <c r="M893" s="44"/>
      <c r="N893" s="45"/>
    </row>
    <row r="894" spans="1:14">
      <c r="A894" s="44"/>
      <c r="B894" s="45"/>
      <c r="C894" s="45"/>
      <c r="E894" s="44"/>
      <c r="F894" s="45"/>
      <c r="G894" s="45"/>
      <c r="J894" s="44"/>
      <c r="K894" s="45"/>
      <c r="M894" s="44"/>
      <c r="N894" s="45"/>
    </row>
    <row r="895" spans="1:14">
      <c r="A895" s="44"/>
      <c r="B895" s="45"/>
      <c r="C895" s="45"/>
      <c r="E895" s="44"/>
      <c r="F895" s="45"/>
      <c r="G895" s="45"/>
      <c r="J895" s="44"/>
      <c r="K895" s="45"/>
      <c r="M895" s="44"/>
      <c r="N895" s="45"/>
    </row>
    <row r="896" spans="1:14">
      <c r="A896" s="44"/>
      <c r="B896" s="45"/>
      <c r="C896" s="45"/>
      <c r="E896" s="44"/>
      <c r="F896" s="45"/>
      <c r="G896" s="45"/>
      <c r="J896" s="44"/>
      <c r="K896" s="45"/>
      <c r="M896" s="44"/>
      <c r="N896" s="45"/>
    </row>
    <row r="897" spans="1:14">
      <c r="A897" s="44"/>
      <c r="B897" s="45"/>
      <c r="C897" s="45"/>
      <c r="E897" s="44"/>
      <c r="F897" s="45"/>
      <c r="G897" s="45"/>
      <c r="J897" s="44"/>
      <c r="K897" s="45"/>
      <c r="M897" s="44"/>
      <c r="N897" s="45"/>
    </row>
    <row r="898" spans="1:14">
      <c r="A898" s="44"/>
      <c r="B898" s="45"/>
      <c r="C898" s="45"/>
      <c r="E898" s="44"/>
      <c r="F898" s="45"/>
      <c r="G898" s="45"/>
      <c r="J898" s="44"/>
      <c r="K898" s="45"/>
      <c r="M898" s="44"/>
      <c r="N898" s="45"/>
    </row>
    <row r="899" spans="1:14">
      <c r="A899" s="44"/>
      <c r="B899" s="45"/>
      <c r="C899" s="45"/>
      <c r="E899" s="44"/>
      <c r="F899" s="45"/>
      <c r="G899" s="45"/>
      <c r="J899" s="44"/>
      <c r="K899" s="45"/>
      <c r="M899" s="44"/>
      <c r="N899" s="45"/>
    </row>
    <row r="900" spans="1:14">
      <c r="A900" s="44"/>
      <c r="B900" s="45"/>
      <c r="C900" s="45"/>
      <c r="E900" s="44"/>
      <c r="F900" s="45"/>
      <c r="G900" s="45"/>
      <c r="J900" s="44"/>
      <c r="K900" s="45"/>
      <c r="M900" s="44"/>
      <c r="N900" s="45"/>
    </row>
    <row r="901" spans="1:14">
      <c r="A901" s="44"/>
      <c r="B901" s="45"/>
      <c r="C901" s="45"/>
      <c r="E901" s="44"/>
      <c r="F901" s="45"/>
      <c r="G901" s="45"/>
      <c r="J901" s="44"/>
      <c r="K901" s="45"/>
      <c r="M901" s="44"/>
      <c r="N901" s="45"/>
    </row>
    <row r="902" spans="1:14">
      <c r="A902" s="44"/>
      <c r="B902" s="45"/>
      <c r="C902" s="45"/>
      <c r="E902" s="44"/>
      <c r="F902" s="45"/>
      <c r="G902" s="45"/>
      <c r="J902" s="44"/>
      <c r="K902" s="45"/>
      <c r="M902" s="44"/>
      <c r="N902" s="45"/>
    </row>
    <row r="903" spans="1:14">
      <c r="A903" s="44"/>
      <c r="B903" s="45"/>
      <c r="C903" s="45"/>
      <c r="E903" s="44"/>
      <c r="F903" s="45"/>
      <c r="G903" s="45"/>
      <c r="J903" s="44"/>
      <c r="K903" s="45"/>
      <c r="M903" s="44"/>
      <c r="N903" s="45"/>
    </row>
    <row r="904" spans="1:14">
      <c r="A904" s="44"/>
      <c r="B904" s="45"/>
      <c r="C904" s="45"/>
      <c r="E904" s="44"/>
      <c r="F904" s="45"/>
      <c r="G904" s="45"/>
      <c r="J904" s="44"/>
      <c r="K904" s="45"/>
      <c r="M904" s="44"/>
      <c r="N904" s="45"/>
    </row>
    <row r="905" spans="1:14">
      <c r="A905" s="44"/>
      <c r="B905" s="45"/>
      <c r="C905" s="45"/>
      <c r="E905" s="44"/>
      <c r="F905" s="45"/>
      <c r="G905" s="45"/>
      <c r="J905" s="44"/>
      <c r="K905" s="45"/>
      <c r="M905" s="44"/>
      <c r="N905" s="45"/>
    </row>
    <row r="906" spans="1:14">
      <c r="A906" s="44"/>
      <c r="B906" s="45"/>
      <c r="C906" s="45"/>
      <c r="E906" s="44"/>
      <c r="F906" s="45"/>
      <c r="G906" s="45"/>
      <c r="J906" s="44"/>
      <c r="K906" s="45"/>
      <c r="M906" s="44"/>
      <c r="N906" s="45"/>
    </row>
    <row r="907" spans="1:14">
      <c r="A907" s="44"/>
      <c r="B907" s="45"/>
      <c r="C907" s="45"/>
      <c r="E907" s="44"/>
      <c r="F907" s="45"/>
      <c r="G907" s="45"/>
      <c r="J907" s="44"/>
      <c r="K907" s="45"/>
      <c r="M907" s="44"/>
      <c r="N907" s="45"/>
    </row>
    <row r="908" spans="1:14">
      <c r="A908" s="44"/>
      <c r="B908" s="45"/>
      <c r="C908" s="45"/>
      <c r="E908" s="44"/>
      <c r="F908" s="45"/>
      <c r="G908" s="45"/>
      <c r="J908" s="44"/>
      <c r="K908" s="45"/>
      <c r="M908" s="44"/>
      <c r="N908" s="45"/>
    </row>
    <row r="909" spans="1:14">
      <c r="A909" s="44"/>
      <c r="B909" s="45"/>
      <c r="C909" s="45"/>
      <c r="E909" s="44"/>
      <c r="F909" s="45"/>
      <c r="G909" s="45"/>
      <c r="J909" s="44"/>
      <c r="K909" s="45"/>
      <c r="M909" s="44"/>
      <c r="N909" s="45"/>
    </row>
    <row r="910" spans="1:14">
      <c r="A910" s="44"/>
      <c r="B910" s="45"/>
      <c r="C910" s="45"/>
      <c r="E910" s="44"/>
      <c r="F910" s="45"/>
      <c r="G910" s="45"/>
      <c r="J910" s="44"/>
      <c r="K910" s="45"/>
      <c r="M910" s="44"/>
      <c r="N910" s="45"/>
    </row>
    <row r="911" spans="1:14">
      <c r="A911" s="44"/>
      <c r="B911" s="45"/>
      <c r="C911" s="45"/>
      <c r="E911" s="44"/>
      <c r="F911" s="45"/>
      <c r="G911" s="45"/>
      <c r="J911" s="44"/>
      <c r="K911" s="45"/>
      <c r="M911" s="44"/>
      <c r="N911" s="45"/>
    </row>
    <row r="912" spans="1:14">
      <c r="A912" s="44"/>
      <c r="B912" s="45"/>
      <c r="C912" s="45"/>
      <c r="E912" s="44"/>
      <c r="F912" s="45"/>
      <c r="G912" s="45"/>
      <c r="J912" s="44"/>
      <c r="K912" s="45"/>
      <c r="M912" s="44"/>
      <c r="N912" s="45"/>
    </row>
    <row r="913" spans="1:14">
      <c r="A913" s="44"/>
      <c r="B913" s="45"/>
      <c r="C913" s="45"/>
      <c r="E913" s="44"/>
      <c r="F913" s="45"/>
      <c r="G913" s="45"/>
      <c r="J913" s="44"/>
      <c r="K913" s="45"/>
      <c r="M913" s="44"/>
      <c r="N913" s="45"/>
    </row>
    <row r="914" spans="1:14">
      <c r="A914" s="44"/>
      <c r="B914" s="45"/>
      <c r="C914" s="45"/>
      <c r="E914" s="44"/>
      <c r="F914" s="45"/>
      <c r="G914" s="45"/>
      <c r="J914" s="44"/>
      <c r="K914" s="45"/>
      <c r="M914" s="44"/>
      <c r="N914" s="45"/>
    </row>
    <row r="915" spans="1:14">
      <c r="A915" s="44"/>
      <c r="B915" s="45"/>
      <c r="C915" s="45"/>
      <c r="E915" s="44"/>
      <c r="F915" s="45"/>
      <c r="G915" s="45"/>
      <c r="J915" s="44"/>
      <c r="K915" s="45"/>
      <c r="M915" s="44"/>
      <c r="N915" s="45"/>
    </row>
    <row r="916" spans="1:14">
      <c r="A916" s="44"/>
      <c r="B916" s="45"/>
      <c r="C916" s="45"/>
      <c r="E916" s="44"/>
      <c r="F916" s="45"/>
      <c r="G916" s="45"/>
      <c r="J916" s="44"/>
      <c r="K916" s="45"/>
      <c r="M916" s="44"/>
      <c r="N916" s="45"/>
    </row>
    <row r="917" spans="1:14">
      <c r="A917" s="44"/>
      <c r="B917" s="45"/>
      <c r="C917" s="45"/>
      <c r="E917" s="44"/>
      <c r="F917" s="45"/>
      <c r="G917" s="45"/>
      <c r="J917" s="44"/>
      <c r="K917" s="45"/>
      <c r="M917" s="44"/>
      <c r="N917" s="45"/>
    </row>
    <row r="918" spans="1:14">
      <c r="A918" s="44"/>
      <c r="B918" s="45"/>
      <c r="C918" s="45"/>
      <c r="E918" s="44"/>
      <c r="F918" s="45"/>
      <c r="G918" s="45"/>
      <c r="J918" s="44"/>
      <c r="K918" s="45"/>
      <c r="M918" s="44"/>
      <c r="N918" s="45"/>
    </row>
    <row r="919" spans="1:14">
      <c r="A919" s="44"/>
      <c r="B919" s="45"/>
      <c r="C919" s="45"/>
      <c r="E919" s="44"/>
      <c r="F919" s="45"/>
      <c r="G919" s="45"/>
      <c r="J919" s="44"/>
      <c r="K919" s="45"/>
      <c r="M919" s="44"/>
      <c r="N919" s="45"/>
    </row>
    <row r="920" spans="1:14">
      <c r="A920" s="44"/>
      <c r="B920" s="45"/>
      <c r="C920" s="45"/>
      <c r="E920" s="44"/>
      <c r="F920" s="45"/>
      <c r="G920" s="45"/>
      <c r="J920" s="44"/>
      <c r="K920" s="45"/>
      <c r="M920" s="44"/>
      <c r="N920" s="45"/>
    </row>
    <row r="921" spans="1:14">
      <c r="A921" s="44"/>
      <c r="B921" s="45"/>
      <c r="C921" s="45"/>
      <c r="E921" s="44"/>
      <c r="F921" s="45"/>
      <c r="G921" s="45"/>
      <c r="J921" s="44"/>
      <c r="K921" s="45"/>
      <c r="M921" s="44"/>
      <c r="N921" s="45"/>
    </row>
    <row r="922" spans="1:14">
      <c r="A922" s="44"/>
      <c r="B922" s="45"/>
      <c r="C922" s="45"/>
      <c r="E922" s="44"/>
      <c r="F922" s="45"/>
      <c r="G922" s="45"/>
      <c r="J922" s="44"/>
      <c r="K922" s="45"/>
      <c r="M922" s="44"/>
      <c r="N922" s="45"/>
    </row>
    <row r="923" spans="1:14">
      <c r="A923" s="44"/>
      <c r="B923" s="45"/>
      <c r="C923" s="45"/>
      <c r="E923" s="44"/>
      <c r="F923" s="45"/>
      <c r="G923" s="45"/>
      <c r="J923" s="44"/>
      <c r="K923" s="45"/>
      <c r="M923" s="44"/>
      <c r="N923" s="45"/>
    </row>
    <row r="924" spans="1:14">
      <c r="A924" s="44"/>
      <c r="B924" s="45"/>
      <c r="C924" s="45"/>
      <c r="E924" s="44"/>
      <c r="F924" s="45"/>
      <c r="G924" s="45"/>
      <c r="J924" s="44"/>
      <c r="K924" s="45"/>
      <c r="M924" s="44"/>
      <c r="N924" s="45"/>
    </row>
    <row r="925" spans="1:14">
      <c r="A925" s="44"/>
      <c r="B925" s="45"/>
      <c r="C925" s="45"/>
      <c r="E925" s="44"/>
      <c r="F925" s="45"/>
      <c r="G925" s="45"/>
      <c r="J925" s="44"/>
      <c r="K925" s="45"/>
      <c r="M925" s="44"/>
      <c r="N925" s="45"/>
    </row>
    <row r="926" spans="1:14">
      <c r="A926" s="44"/>
      <c r="B926" s="45"/>
      <c r="C926" s="45"/>
      <c r="E926" s="44"/>
      <c r="F926" s="45"/>
      <c r="G926" s="45"/>
      <c r="J926" s="44"/>
      <c r="K926" s="45"/>
      <c r="M926" s="44"/>
      <c r="N926" s="45"/>
    </row>
    <row r="927" spans="1:14">
      <c r="A927" s="44"/>
      <c r="B927" s="45"/>
      <c r="C927" s="45"/>
      <c r="E927" s="44"/>
      <c r="F927" s="45"/>
      <c r="G927" s="45"/>
      <c r="J927" s="44"/>
      <c r="K927" s="45"/>
      <c r="M927" s="44"/>
      <c r="N927" s="45"/>
    </row>
    <row r="928" spans="1:14">
      <c r="A928" s="44"/>
      <c r="B928" s="45"/>
      <c r="C928" s="45"/>
      <c r="E928" s="44"/>
      <c r="F928" s="45"/>
      <c r="G928" s="45"/>
      <c r="J928" s="44"/>
      <c r="K928" s="45"/>
      <c r="M928" s="44"/>
      <c r="N928" s="45"/>
    </row>
    <row r="929" spans="1:14">
      <c r="A929" s="44"/>
      <c r="B929" s="45"/>
      <c r="C929" s="45"/>
      <c r="E929" s="44"/>
      <c r="F929" s="45"/>
      <c r="G929" s="45"/>
      <c r="J929" s="44"/>
      <c r="K929" s="45"/>
      <c r="M929" s="44"/>
      <c r="N929" s="45"/>
    </row>
    <row r="930" spans="1:14">
      <c r="A930" s="44"/>
      <c r="B930" s="45"/>
      <c r="C930" s="45"/>
      <c r="E930" s="44"/>
      <c r="F930" s="45"/>
      <c r="G930" s="45"/>
      <c r="J930" s="44"/>
      <c r="K930" s="45"/>
      <c r="M930" s="44"/>
      <c r="N930" s="45"/>
    </row>
    <row r="931" spans="1:14">
      <c r="A931" s="44"/>
      <c r="B931" s="45"/>
      <c r="C931" s="45"/>
      <c r="E931" s="44"/>
      <c r="F931" s="45"/>
      <c r="G931" s="45"/>
      <c r="J931" s="44"/>
      <c r="K931" s="45"/>
      <c r="M931" s="44"/>
      <c r="N931" s="45"/>
    </row>
    <row r="932" spans="1:14">
      <c r="A932" s="44"/>
      <c r="B932" s="45"/>
      <c r="C932" s="45"/>
      <c r="E932" s="44"/>
      <c r="F932" s="45"/>
      <c r="G932" s="45"/>
      <c r="J932" s="44"/>
      <c r="K932" s="45"/>
      <c r="M932" s="44"/>
      <c r="N932" s="45"/>
    </row>
    <row r="933" spans="1:14">
      <c r="A933" s="44"/>
      <c r="B933" s="45"/>
      <c r="C933" s="45"/>
      <c r="E933" s="44"/>
      <c r="F933" s="45"/>
      <c r="G933" s="45"/>
      <c r="J933" s="44"/>
      <c r="K933" s="45"/>
      <c r="M933" s="44"/>
      <c r="N933" s="45"/>
    </row>
    <row r="934" spans="1:14">
      <c r="A934" s="44"/>
      <c r="B934" s="45"/>
      <c r="C934" s="45"/>
      <c r="E934" s="44"/>
      <c r="F934" s="45"/>
      <c r="G934" s="45"/>
      <c r="J934" s="44"/>
      <c r="K934" s="45"/>
      <c r="M934" s="44"/>
      <c r="N934" s="45"/>
    </row>
    <row r="935" spans="1:14">
      <c r="A935" s="44"/>
      <c r="B935" s="45"/>
      <c r="C935" s="45"/>
      <c r="E935" s="44"/>
      <c r="F935" s="45"/>
      <c r="G935" s="45"/>
      <c r="J935" s="44"/>
      <c r="K935" s="45"/>
      <c r="M935" s="44"/>
      <c r="N935" s="45"/>
    </row>
    <row r="936" spans="1:14">
      <c r="A936" s="44"/>
      <c r="B936" s="45"/>
      <c r="C936" s="45"/>
      <c r="E936" s="44"/>
      <c r="F936" s="45"/>
      <c r="G936" s="45"/>
      <c r="J936" s="44"/>
      <c r="K936" s="45"/>
      <c r="M936" s="44"/>
      <c r="N936" s="45"/>
    </row>
    <row r="937" spans="1:14">
      <c r="A937" s="44"/>
      <c r="B937" s="45"/>
      <c r="C937" s="45"/>
      <c r="E937" s="44"/>
      <c r="F937" s="45"/>
      <c r="G937" s="45"/>
      <c r="J937" s="44"/>
      <c r="K937" s="45"/>
      <c r="M937" s="44"/>
      <c r="N937" s="45"/>
    </row>
    <row r="938" spans="1:14">
      <c r="A938" s="44"/>
      <c r="B938" s="45"/>
      <c r="C938" s="45"/>
      <c r="E938" s="44"/>
      <c r="F938" s="45"/>
      <c r="G938" s="45"/>
      <c r="J938" s="44"/>
      <c r="K938" s="45"/>
      <c r="M938" s="44"/>
      <c r="N938" s="45"/>
    </row>
    <row r="939" spans="1:14">
      <c r="A939" s="44"/>
      <c r="B939" s="45"/>
      <c r="C939" s="45"/>
      <c r="E939" s="44"/>
      <c r="F939" s="45"/>
      <c r="G939" s="45"/>
      <c r="J939" s="44"/>
      <c r="K939" s="45"/>
      <c r="M939" s="44"/>
      <c r="N939" s="45"/>
    </row>
    <row r="940" spans="1:14">
      <c r="A940" s="44"/>
      <c r="B940" s="45"/>
      <c r="C940" s="45"/>
      <c r="E940" s="44"/>
      <c r="F940" s="45"/>
      <c r="G940" s="45"/>
      <c r="J940" s="44"/>
      <c r="K940" s="45"/>
      <c r="M940" s="44"/>
      <c r="N940" s="45"/>
    </row>
    <row r="941" spans="1:14">
      <c r="A941" s="44"/>
      <c r="B941" s="45"/>
      <c r="C941" s="45"/>
      <c r="E941" s="44"/>
      <c r="F941" s="45"/>
      <c r="G941" s="45"/>
      <c r="J941" s="44"/>
      <c r="K941" s="45"/>
      <c r="M941" s="44"/>
      <c r="N941" s="45"/>
    </row>
    <row r="942" spans="1:14">
      <c r="A942" s="44"/>
      <c r="B942" s="45"/>
      <c r="C942" s="45"/>
      <c r="E942" s="44"/>
      <c r="F942" s="45"/>
      <c r="G942" s="45"/>
      <c r="J942" s="44"/>
      <c r="K942" s="45"/>
      <c r="M942" s="44"/>
      <c r="N942" s="45"/>
    </row>
    <row r="943" spans="1:14">
      <c r="A943" s="44"/>
      <c r="B943" s="45"/>
      <c r="C943" s="45"/>
      <c r="E943" s="44"/>
      <c r="F943" s="45"/>
      <c r="G943" s="45"/>
      <c r="J943" s="44"/>
      <c r="K943" s="45"/>
      <c r="M943" s="44"/>
      <c r="N943" s="45"/>
    </row>
    <row r="944" spans="1:14">
      <c r="A944" s="44"/>
      <c r="B944" s="45"/>
      <c r="C944" s="45"/>
      <c r="E944" s="44"/>
      <c r="F944" s="45"/>
      <c r="G944" s="45"/>
      <c r="J944" s="44"/>
      <c r="K944" s="45"/>
      <c r="M944" s="44"/>
      <c r="N944" s="45"/>
    </row>
    <row r="945" spans="1:14">
      <c r="A945" s="44"/>
      <c r="B945" s="45"/>
      <c r="C945" s="45"/>
      <c r="E945" s="44"/>
      <c r="F945" s="45"/>
      <c r="G945" s="45"/>
      <c r="J945" s="44"/>
      <c r="K945" s="45"/>
      <c r="M945" s="44"/>
      <c r="N945" s="45"/>
    </row>
    <row r="946" spans="1:14">
      <c r="A946" s="44"/>
      <c r="B946" s="45"/>
      <c r="C946" s="45"/>
      <c r="E946" s="44"/>
      <c r="F946" s="45"/>
      <c r="G946" s="45"/>
      <c r="J946" s="44"/>
      <c r="K946" s="45"/>
      <c r="M946" s="44"/>
      <c r="N946" s="45"/>
    </row>
    <row r="947" spans="1:14">
      <c r="A947" s="44"/>
      <c r="B947" s="45"/>
      <c r="C947" s="45"/>
      <c r="E947" s="44"/>
      <c r="F947" s="45"/>
      <c r="G947" s="45"/>
      <c r="J947" s="44"/>
      <c r="K947" s="45"/>
      <c r="M947" s="44"/>
      <c r="N947" s="45"/>
    </row>
    <row r="948" spans="1:14">
      <c r="A948" s="44"/>
      <c r="B948" s="45"/>
      <c r="C948" s="45"/>
      <c r="E948" s="44"/>
      <c r="F948" s="45"/>
      <c r="G948" s="45"/>
      <c r="J948" s="44"/>
      <c r="K948" s="45"/>
      <c r="M948" s="44"/>
      <c r="N948" s="45"/>
    </row>
    <row r="949" spans="1:14">
      <c r="A949" s="44"/>
      <c r="B949" s="45"/>
      <c r="C949" s="45"/>
      <c r="E949" s="44"/>
      <c r="F949" s="45"/>
      <c r="G949" s="45"/>
      <c r="J949" s="44"/>
      <c r="K949" s="45"/>
      <c r="M949" s="44"/>
      <c r="N949" s="45"/>
    </row>
    <row r="950" spans="1:14">
      <c r="A950" s="44"/>
      <c r="B950" s="45"/>
      <c r="C950" s="45"/>
      <c r="E950" s="44"/>
      <c r="F950" s="45"/>
      <c r="G950" s="45"/>
      <c r="J950" s="44"/>
      <c r="K950" s="45"/>
      <c r="M950" s="44"/>
      <c r="N950" s="45"/>
    </row>
    <row r="951" spans="1:14">
      <c r="A951" s="44"/>
      <c r="B951" s="45"/>
      <c r="C951" s="45"/>
      <c r="E951" s="44"/>
      <c r="F951" s="45"/>
      <c r="G951" s="45"/>
      <c r="J951" s="44"/>
      <c r="K951" s="45"/>
      <c r="M951" s="44"/>
      <c r="N951" s="45"/>
    </row>
    <row r="952" spans="1:14">
      <c r="A952" s="44"/>
      <c r="B952" s="45"/>
      <c r="C952" s="45"/>
      <c r="E952" s="44"/>
      <c r="F952" s="45"/>
      <c r="G952" s="45"/>
      <c r="J952" s="44"/>
      <c r="K952" s="45"/>
      <c r="M952" s="44"/>
      <c r="N952" s="45"/>
    </row>
    <row r="953" spans="1:14">
      <c r="A953" s="44"/>
      <c r="B953" s="45"/>
      <c r="C953" s="45"/>
      <c r="E953" s="44"/>
      <c r="F953" s="45"/>
      <c r="G953" s="45"/>
      <c r="J953" s="44"/>
      <c r="K953" s="45"/>
      <c r="M953" s="44"/>
      <c r="N953" s="45"/>
    </row>
    <row r="954" spans="1:14">
      <c r="A954" s="44"/>
      <c r="B954" s="45"/>
      <c r="C954" s="45"/>
      <c r="E954" s="44"/>
      <c r="F954" s="45"/>
      <c r="G954" s="45"/>
      <c r="J954" s="44"/>
      <c r="K954" s="45"/>
      <c r="M954" s="44"/>
      <c r="N954" s="45"/>
    </row>
    <row r="955" spans="1:14">
      <c r="A955" s="44"/>
      <c r="B955" s="45"/>
      <c r="C955" s="45"/>
      <c r="E955" s="44"/>
      <c r="F955" s="45"/>
      <c r="G955" s="45"/>
      <c r="J955" s="44"/>
      <c r="K955" s="45"/>
      <c r="M955" s="44"/>
      <c r="N955" s="45"/>
    </row>
    <row r="956" spans="1:14">
      <c r="A956" s="44"/>
      <c r="B956" s="45"/>
      <c r="C956" s="45"/>
      <c r="E956" s="44"/>
      <c r="F956" s="45"/>
      <c r="G956" s="45"/>
      <c r="J956" s="44"/>
      <c r="K956" s="45"/>
      <c r="M956" s="44"/>
      <c r="N956" s="45"/>
    </row>
    <row r="957" spans="1:14">
      <c r="A957" s="44"/>
      <c r="B957" s="45"/>
      <c r="C957" s="45"/>
      <c r="E957" s="44"/>
      <c r="F957" s="45"/>
      <c r="G957" s="45"/>
      <c r="J957" s="44"/>
      <c r="K957" s="45"/>
      <c r="M957" s="44"/>
      <c r="N957" s="45"/>
    </row>
    <row r="958" spans="1:14">
      <c r="A958" s="44"/>
      <c r="B958" s="45"/>
      <c r="C958" s="45"/>
      <c r="E958" s="44"/>
      <c r="F958" s="45"/>
      <c r="G958" s="45"/>
      <c r="J958" s="44"/>
      <c r="K958" s="45"/>
      <c r="M958" s="44"/>
      <c r="N958" s="45"/>
    </row>
    <row r="959" spans="1:14">
      <c r="A959" s="44"/>
      <c r="B959" s="45"/>
      <c r="C959" s="45"/>
      <c r="E959" s="44"/>
      <c r="F959" s="45"/>
      <c r="G959" s="45"/>
      <c r="J959" s="44"/>
      <c r="K959" s="45"/>
      <c r="M959" s="44"/>
      <c r="N959" s="45"/>
    </row>
    <row r="960" spans="1:14">
      <c r="A960" s="44"/>
      <c r="B960" s="45"/>
      <c r="C960" s="45"/>
      <c r="E960" s="44"/>
      <c r="F960" s="45"/>
      <c r="G960" s="45"/>
      <c r="J960" s="44"/>
      <c r="K960" s="45"/>
      <c r="M960" s="44"/>
      <c r="N960" s="45"/>
    </row>
    <row r="961" spans="1:14">
      <c r="A961" s="44"/>
      <c r="B961" s="45"/>
      <c r="C961" s="45"/>
      <c r="E961" s="44"/>
      <c r="F961" s="45"/>
      <c r="G961" s="45"/>
      <c r="J961" s="44"/>
      <c r="K961" s="45"/>
      <c r="M961" s="44"/>
      <c r="N961" s="45"/>
    </row>
    <row r="962" spans="1:14">
      <c r="A962" s="44"/>
      <c r="B962" s="45"/>
      <c r="C962" s="45"/>
      <c r="E962" s="44"/>
      <c r="F962" s="45"/>
      <c r="G962" s="45"/>
      <c r="J962" s="44"/>
      <c r="K962" s="45"/>
      <c r="M962" s="44"/>
      <c r="N962" s="45"/>
    </row>
    <row r="963" spans="1:14">
      <c r="A963" s="44"/>
      <c r="B963" s="45"/>
      <c r="C963" s="45"/>
      <c r="E963" s="44"/>
      <c r="F963" s="45"/>
      <c r="G963" s="45"/>
      <c r="J963" s="44"/>
      <c r="K963" s="45"/>
      <c r="M963" s="44"/>
      <c r="N963" s="45"/>
    </row>
    <row r="964" spans="1:14">
      <c r="A964" s="44"/>
      <c r="B964" s="45"/>
      <c r="C964" s="45"/>
      <c r="E964" s="44"/>
      <c r="F964" s="45"/>
      <c r="G964" s="45"/>
      <c r="J964" s="44"/>
      <c r="K964" s="45"/>
      <c r="M964" s="44"/>
      <c r="N964" s="45"/>
    </row>
    <row r="965" spans="1:14">
      <c r="A965" s="44"/>
      <c r="B965" s="45"/>
      <c r="C965" s="45"/>
      <c r="E965" s="44"/>
      <c r="F965" s="45"/>
      <c r="G965" s="45"/>
      <c r="J965" s="44"/>
      <c r="K965" s="45"/>
      <c r="M965" s="44"/>
      <c r="N965" s="45"/>
    </row>
    <row r="966" spans="1:14">
      <c r="A966" s="44"/>
      <c r="B966" s="45"/>
      <c r="C966" s="45"/>
      <c r="E966" s="44"/>
      <c r="F966" s="45"/>
      <c r="G966" s="45"/>
      <c r="J966" s="44"/>
      <c r="K966" s="45"/>
      <c r="M966" s="44"/>
      <c r="N966" s="45"/>
    </row>
    <row r="967" spans="1:14">
      <c r="A967" s="44"/>
      <c r="B967" s="45"/>
      <c r="C967" s="45"/>
      <c r="E967" s="44"/>
      <c r="F967" s="45"/>
      <c r="G967" s="45"/>
      <c r="J967" s="44"/>
      <c r="K967" s="45"/>
      <c r="M967" s="44"/>
      <c r="N967" s="45"/>
    </row>
    <row r="968" spans="1:14">
      <c r="A968" s="44"/>
      <c r="B968" s="45"/>
      <c r="C968" s="45"/>
      <c r="E968" s="44"/>
      <c r="F968" s="45"/>
      <c r="G968" s="45"/>
      <c r="J968" s="44"/>
      <c r="K968" s="45"/>
      <c r="M968" s="44"/>
      <c r="N968" s="45"/>
    </row>
    <row r="969" spans="1:14">
      <c r="A969" s="44"/>
      <c r="B969" s="45"/>
      <c r="C969" s="45"/>
      <c r="E969" s="44"/>
      <c r="F969" s="45"/>
      <c r="G969" s="45"/>
      <c r="J969" s="44"/>
      <c r="K969" s="45"/>
      <c r="M969" s="44"/>
      <c r="N969" s="45"/>
    </row>
    <row r="970" spans="1:14">
      <c r="A970" s="44"/>
      <c r="B970" s="45"/>
      <c r="C970" s="45"/>
      <c r="E970" s="44"/>
      <c r="F970" s="45"/>
      <c r="G970" s="45"/>
      <c r="J970" s="44"/>
      <c r="K970" s="45"/>
      <c r="M970" s="44"/>
      <c r="N970" s="45"/>
    </row>
    <row r="971" spans="1:14">
      <c r="A971" s="44"/>
      <c r="B971" s="45"/>
      <c r="C971" s="45"/>
      <c r="E971" s="44"/>
      <c r="F971" s="45"/>
      <c r="G971" s="45"/>
      <c r="J971" s="44"/>
      <c r="K971" s="45"/>
      <c r="M971" s="44"/>
      <c r="N971" s="45"/>
    </row>
    <row r="972" spans="1:14">
      <c r="A972" s="44"/>
      <c r="B972" s="45"/>
      <c r="C972" s="45"/>
      <c r="E972" s="44"/>
      <c r="F972" s="45"/>
      <c r="G972" s="45"/>
      <c r="J972" s="44"/>
      <c r="K972" s="45"/>
      <c r="M972" s="44"/>
      <c r="N972" s="45"/>
    </row>
    <row r="973" spans="1:14">
      <c r="A973" s="44"/>
      <c r="B973" s="45"/>
      <c r="C973" s="45"/>
      <c r="E973" s="44"/>
      <c r="F973" s="45"/>
      <c r="G973" s="45"/>
      <c r="J973" s="44"/>
      <c r="K973" s="45"/>
      <c r="M973" s="44"/>
      <c r="N973" s="45"/>
    </row>
    <row r="974" spans="1:14">
      <c r="A974" s="44"/>
      <c r="B974" s="45"/>
      <c r="C974" s="45"/>
      <c r="E974" s="44"/>
      <c r="F974" s="45"/>
      <c r="G974" s="45"/>
      <c r="J974" s="44"/>
      <c r="K974" s="45"/>
      <c r="M974" s="44"/>
      <c r="N974" s="45"/>
    </row>
    <row r="975" spans="1:14">
      <c r="A975" s="44"/>
      <c r="B975" s="45"/>
      <c r="C975" s="45"/>
      <c r="E975" s="44"/>
      <c r="F975" s="45"/>
      <c r="G975" s="45"/>
      <c r="J975" s="44"/>
      <c r="K975" s="45"/>
      <c r="M975" s="44"/>
      <c r="N975" s="45"/>
    </row>
    <row r="976" spans="1:14">
      <c r="A976" s="44"/>
      <c r="B976" s="45"/>
      <c r="C976" s="45"/>
      <c r="E976" s="44"/>
      <c r="F976" s="45"/>
      <c r="G976" s="45"/>
      <c r="J976" s="44"/>
      <c r="K976" s="45"/>
      <c r="M976" s="44"/>
      <c r="N976" s="45"/>
    </row>
    <row r="977" spans="1:14">
      <c r="A977" s="44"/>
      <c r="B977" s="45"/>
      <c r="C977" s="45"/>
      <c r="E977" s="44"/>
      <c r="F977" s="45"/>
      <c r="G977" s="45"/>
      <c r="J977" s="44"/>
      <c r="K977" s="45"/>
      <c r="M977" s="44"/>
      <c r="N977" s="45"/>
    </row>
    <row r="978" spans="1:14">
      <c r="A978" s="44"/>
      <c r="B978" s="45"/>
      <c r="C978" s="45"/>
      <c r="E978" s="44"/>
      <c r="F978" s="45"/>
      <c r="G978" s="45"/>
      <c r="J978" s="44"/>
      <c r="K978" s="45"/>
      <c r="M978" s="44"/>
      <c r="N978" s="45"/>
    </row>
    <row r="979" spans="1:14">
      <c r="A979" s="44"/>
      <c r="B979" s="45"/>
      <c r="C979" s="45"/>
      <c r="E979" s="44"/>
      <c r="F979" s="45"/>
      <c r="G979" s="45"/>
      <c r="J979" s="44"/>
      <c r="K979" s="45"/>
      <c r="M979" s="44"/>
      <c r="N979" s="45"/>
    </row>
    <row r="980" spans="1:14">
      <c r="A980" s="44"/>
      <c r="B980" s="45"/>
      <c r="C980" s="45"/>
      <c r="E980" s="44"/>
      <c r="F980" s="45"/>
      <c r="G980" s="45"/>
      <c r="J980" s="44"/>
      <c r="K980" s="45"/>
      <c r="M980" s="44"/>
      <c r="N980" s="45"/>
    </row>
    <row r="981" spans="1:14">
      <c r="A981" s="44"/>
      <c r="B981" s="45"/>
      <c r="C981" s="45"/>
      <c r="E981" s="44"/>
      <c r="F981" s="45"/>
      <c r="G981" s="45"/>
      <c r="J981" s="44"/>
      <c r="K981" s="45"/>
      <c r="M981" s="44"/>
      <c r="N981" s="45"/>
    </row>
    <row r="982" spans="1:14">
      <c r="A982" s="44"/>
      <c r="B982" s="45"/>
      <c r="C982" s="45"/>
      <c r="E982" s="44"/>
      <c r="F982" s="45"/>
      <c r="G982" s="45"/>
      <c r="J982" s="44"/>
      <c r="K982" s="45"/>
      <c r="M982" s="44"/>
      <c r="N982" s="45"/>
    </row>
    <row r="983" spans="1:14">
      <c r="A983" s="44"/>
      <c r="B983" s="45"/>
      <c r="C983" s="45"/>
      <c r="E983" s="44"/>
      <c r="F983" s="45"/>
      <c r="G983" s="45"/>
      <c r="J983" s="44"/>
      <c r="K983" s="45"/>
      <c r="M983" s="44"/>
      <c r="N983" s="45"/>
    </row>
    <row r="984" spans="1:14">
      <c r="A984" s="44"/>
      <c r="B984" s="45"/>
      <c r="C984" s="45"/>
      <c r="E984" s="44"/>
      <c r="F984" s="45"/>
      <c r="G984" s="45"/>
      <c r="J984" s="44"/>
      <c r="K984" s="45"/>
      <c r="M984" s="44"/>
      <c r="N984" s="45"/>
    </row>
    <row r="985" spans="1:14">
      <c r="A985" s="44"/>
      <c r="B985" s="45"/>
      <c r="C985" s="45"/>
      <c r="E985" s="44"/>
      <c r="F985" s="45"/>
      <c r="G985" s="45"/>
      <c r="J985" s="44"/>
      <c r="K985" s="45"/>
      <c r="M985" s="44"/>
      <c r="N985" s="45"/>
    </row>
    <row r="986" spans="1:14">
      <c r="A986" s="44"/>
      <c r="B986" s="45"/>
      <c r="C986" s="45"/>
      <c r="E986" s="44"/>
      <c r="F986" s="45"/>
      <c r="G986" s="45"/>
      <c r="J986" s="44"/>
      <c r="K986" s="45"/>
      <c r="M986" s="44"/>
      <c r="N986" s="45"/>
    </row>
    <row r="987" spans="1:14">
      <c r="A987" s="44"/>
      <c r="B987" s="45"/>
      <c r="C987" s="45"/>
      <c r="E987" s="44"/>
      <c r="F987" s="45"/>
      <c r="G987" s="45"/>
      <c r="J987" s="44"/>
      <c r="K987" s="45"/>
      <c r="M987" s="44"/>
      <c r="N987" s="45"/>
    </row>
    <row r="988" spans="1:14">
      <c r="A988" s="44"/>
      <c r="B988" s="45"/>
      <c r="C988" s="45"/>
      <c r="E988" s="44"/>
      <c r="F988" s="45"/>
      <c r="G988" s="45"/>
      <c r="J988" s="44"/>
      <c r="K988" s="45"/>
      <c r="M988" s="44"/>
      <c r="N988" s="45"/>
    </row>
    <row r="989" spans="1:14">
      <c r="A989" s="44"/>
      <c r="B989" s="45"/>
      <c r="C989" s="45"/>
      <c r="E989" s="44"/>
      <c r="F989" s="45"/>
      <c r="G989" s="45"/>
      <c r="J989" s="44"/>
      <c r="K989" s="45"/>
      <c r="M989" s="44"/>
      <c r="N989" s="45"/>
    </row>
    <row r="990" spans="1:14">
      <c r="A990" s="44"/>
      <c r="B990" s="45"/>
      <c r="C990" s="45"/>
      <c r="E990" s="44"/>
      <c r="F990" s="45"/>
      <c r="G990" s="45"/>
      <c r="J990" s="44"/>
      <c r="K990" s="45"/>
      <c r="M990" s="44"/>
      <c r="N990" s="45"/>
    </row>
    <row r="991" spans="1:14">
      <c r="A991" s="44"/>
      <c r="B991" s="45"/>
      <c r="C991" s="45"/>
      <c r="E991" s="44"/>
      <c r="F991" s="45"/>
      <c r="G991" s="45"/>
      <c r="J991" s="44"/>
      <c r="K991" s="45"/>
      <c r="M991" s="44"/>
      <c r="N991" s="45"/>
    </row>
    <row r="992" spans="1:14">
      <c r="A992" s="44"/>
      <c r="B992" s="45"/>
      <c r="C992" s="45"/>
      <c r="E992" s="44"/>
      <c r="F992" s="45"/>
      <c r="G992" s="45"/>
      <c r="J992" s="44"/>
      <c r="K992" s="45"/>
      <c r="M992" s="44"/>
      <c r="N992" s="45"/>
    </row>
    <row r="993" spans="1:14">
      <c r="A993" s="44"/>
      <c r="B993" s="45"/>
      <c r="C993" s="45"/>
      <c r="E993" s="44"/>
      <c r="F993" s="45"/>
      <c r="G993" s="45"/>
      <c r="J993" s="44"/>
      <c r="K993" s="45"/>
      <c r="M993" s="44"/>
      <c r="N993" s="45"/>
    </row>
    <row r="994" spans="1:14">
      <c r="A994" s="44"/>
      <c r="B994" s="45"/>
      <c r="C994" s="45"/>
      <c r="E994" s="44"/>
      <c r="F994" s="45"/>
      <c r="G994" s="45"/>
      <c r="J994" s="44"/>
      <c r="K994" s="45"/>
      <c r="M994" s="44"/>
      <c r="N994" s="45"/>
    </row>
    <row r="995" spans="1:14">
      <c r="A995" s="44"/>
      <c r="B995" s="45"/>
      <c r="C995" s="45"/>
      <c r="E995" s="44"/>
      <c r="F995" s="45"/>
      <c r="G995" s="45"/>
      <c r="J995" s="44"/>
      <c r="K995" s="45"/>
      <c r="M995" s="44"/>
      <c r="N995" s="45"/>
    </row>
    <row r="996" spans="1:14">
      <c r="A996" s="44"/>
      <c r="B996" s="45"/>
      <c r="C996" s="45"/>
      <c r="E996" s="44"/>
      <c r="F996" s="45"/>
      <c r="G996" s="45"/>
      <c r="J996" s="44"/>
      <c r="K996" s="45"/>
      <c r="M996" s="44"/>
      <c r="N996" s="45"/>
    </row>
    <row r="997" spans="1:14">
      <c r="A997" s="44"/>
      <c r="B997" s="45"/>
      <c r="C997" s="45"/>
      <c r="E997" s="44"/>
      <c r="F997" s="45"/>
      <c r="G997" s="45"/>
      <c r="J997" s="44"/>
      <c r="K997" s="45"/>
      <c r="M997" s="44"/>
      <c r="N997" s="45"/>
    </row>
    <row r="998" spans="1:14">
      <c r="A998" s="44"/>
      <c r="B998" s="45"/>
      <c r="C998" s="45"/>
      <c r="E998" s="44"/>
      <c r="F998" s="45"/>
      <c r="G998" s="45"/>
      <c r="J998" s="44"/>
      <c r="K998" s="45"/>
      <c r="M998" s="44"/>
      <c r="N998" s="45"/>
    </row>
    <row r="999" spans="1:14">
      <c r="A999" s="44"/>
      <c r="B999" s="45"/>
      <c r="C999" s="45"/>
      <c r="E999" s="44"/>
      <c r="F999" s="45"/>
      <c r="G999" s="45"/>
      <c r="J999" s="44"/>
      <c r="K999" s="45"/>
      <c r="M999" s="44"/>
      <c r="N999" s="45"/>
    </row>
    <row r="1000" spans="1:14">
      <c r="A1000" s="44"/>
      <c r="B1000" s="45"/>
      <c r="C1000" s="45"/>
      <c r="E1000" s="44"/>
      <c r="F1000" s="45"/>
      <c r="G1000" s="45"/>
      <c r="J1000" s="44"/>
      <c r="K1000" s="45"/>
      <c r="M1000" s="44"/>
      <c r="N1000" s="45"/>
    </row>
    <row r="1001" spans="1:14">
      <c r="A1001" s="44"/>
      <c r="B1001" s="45"/>
      <c r="C1001" s="45"/>
      <c r="E1001" s="44"/>
      <c r="F1001" s="45"/>
      <c r="G1001" s="45"/>
      <c r="J1001" s="44"/>
      <c r="K1001" s="45"/>
      <c r="M1001" s="44"/>
      <c r="N1001" s="45"/>
    </row>
    <row r="1002" spans="1:14">
      <c r="A1002" s="44"/>
      <c r="B1002" s="45"/>
      <c r="C1002" s="45"/>
      <c r="E1002" s="44"/>
      <c r="F1002" s="45"/>
      <c r="G1002" s="45"/>
      <c r="J1002" s="44"/>
      <c r="K1002" s="45"/>
      <c r="M1002" s="44"/>
      <c r="N1002" s="45"/>
    </row>
    <row r="1003" spans="1:14">
      <c r="A1003" s="44"/>
      <c r="B1003" s="45"/>
      <c r="C1003" s="45"/>
      <c r="E1003" s="44"/>
      <c r="F1003" s="45"/>
      <c r="G1003" s="45"/>
      <c r="J1003" s="44"/>
      <c r="K1003" s="45"/>
      <c r="M1003" s="44"/>
      <c r="N1003" s="45"/>
    </row>
    <row r="1004" spans="1:14">
      <c r="A1004" s="44"/>
      <c r="B1004" s="45"/>
      <c r="C1004" s="45"/>
      <c r="E1004" s="44"/>
      <c r="F1004" s="45"/>
      <c r="G1004" s="45"/>
      <c r="J1004" s="44"/>
      <c r="K1004" s="45"/>
      <c r="M1004" s="44"/>
      <c r="N1004" s="45"/>
    </row>
    <row r="1005" spans="1:14">
      <c r="A1005" s="44"/>
      <c r="B1005" s="45"/>
      <c r="C1005" s="45"/>
      <c r="E1005" s="44"/>
      <c r="F1005" s="45"/>
      <c r="G1005" s="45"/>
      <c r="J1005" s="44"/>
      <c r="K1005" s="45"/>
      <c r="M1005" s="44"/>
      <c r="N1005" s="45"/>
    </row>
    <row r="1006" spans="1:14">
      <c r="A1006" s="44"/>
      <c r="B1006" s="45"/>
      <c r="C1006" s="45"/>
      <c r="E1006" s="44"/>
      <c r="F1006" s="45"/>
      <c r="G1006" s="45"/>
      <c r="J1006" s="44"/>
      <c r="K1006" s="45"/>
      <c r="M1006" s="44"/>
      <c r="N1006" s="45"/>
    </row>
    <row r="1007" spans="1:14">
      <c r="A1007" s="44"/>
      <c r="B1007" s="45"/>
      <c r="C1007" s="45"/>
      <c r="E1007" s="44"/>
      <c r="F1007" s="45"/>
      <c r="G1007" s="45"/>
      <c r="J1007" s="44"/>
      <c r="K1007" s="45"/>
      <c r="M1007" s="44"/>
      <c r="N1007" s="45"/>
    </row>
    <row r="1008" spans="1:14">
      <c r="A1008" s="44"/>
      <c r="B1008" s="45"/>
      <c r="C1008" s="45"/>
      <c r="E1008" s="44"/>
      <c r="F1008" s="45"/>
      <c r="G1008" s="45"/>
      <c r="J1008" s="44"/>
      <c r="K1008" s="45"/>
      <c r="M1008" s="44"/>
      <c r="N1008" s="45"/>
    </row>
    <row r="1009" spans="1:14">
      <c r="A1009" s="44"/>
      <c r="B1009" s="45"/>
      <c r="C1009" s="45"/>
      <c r="E1009" s="44"/>
      <c r="F1009" s="45"/>
      <c r="G1009" s="45"/>
      <c r="J1009" s="44"/>
      <c r="K1009" s="45"/>
      <c r="M1009" s="44"/>
      <c r="N1009" s="45"/>
    </row>
    <row r="1010" spans="1:14">
      <c r="A1010" s="44"/>
      <c r="B1010" s="45"/>
      <c r="C1010" s="45"/>
      <c r="E1010" s="44"/>
      <c r="F1010" s="45"/>
      <c r="G1010" s="45"/>
      <c r="J1010" s="44"/>
      <c r="K1010" s="45"/>
      <c r="M1010" s="44"/>
      <c r="N1010" s="45"/>
    </row>
    <row r="1011" spans="1:14">
      <c r="A1011" s="44"/>
      <c r="B1011" s="45"/>
      <c r="C1011" s="45"/>
      <c r="E1011" s="44"/>
      <c r="F1011" s="45"/>
      <c r="G1011" s="45"/>
      <c r="J1011" s="44"/>
      <c r="K1011" s="45"/>
      <c r="M1011" s="44"/>
      <c r="N1011" s="45"/>
    </row>
    <row r="1012" spans="1:14">
      <c r="A1012" s="44"/>
      <c r="B1012" s="45"/>
      <c r="C1012" s="45"/>
      <c r="E1012" s="44"/>
      <c r="F1012" s="45"/>
      <c r="G1012" s="45"/>
      <c r="J1012" s="44"/>
      <c r="K1012" s="45"/>
      <c r="M1012" s="44"/>
      <c r="N1012" s="45"/>
    </row>
    <row r="1013" spans="1:14">
      <c r="A1013" s="44"/>
      <c r="B1013" s="45"/>
      <c r="C1013" s="45"/>
      <c r="E1013" s="44"/>
      <c r="F1013" s="45"/>
      <c r="G1013" s="45"/>
      <c r="J1013" s="44"/>
      <c r="K1013" s="45"/>
      <c r="M1013" s="44"/>
      <c r="N1013" s="45"/>
    </row>
    <row r="1014" spans="1:14">
      <c r="A1014" s="44"/>
      <c r="B1014" s="45"/>
      <c r="C1014" s="45"/>
      <c r="E1014" s="44"/>
      <c r="F1014" s="45"/>
      <c r="G1014" s="45"/>
      <c r="J1014" s="44"/>
      <c r="K1014" s="45"/>
      <c r="M1014" s="44"/>
      <c r="N1014" s="45"/>
    </row>
    <row r="1015" spans="1:14">
      <c r="A1015" s="44"/>
      <c r="B1015" s="45"/>
      <c r="C1015" s="45"/>
      <c r="E1015" s="44"/>
      <c r="F1015" s="45"/>
      <c r="G1015" s="45"/>
      <c r="J1015" s="44"/>
      <c r="K1015" s="45"/>
      <c r="M1015" s="44"/>
      <c r="N1015" s="45"/>
    </row>
    <row r="1016" spans="1:14">
      <c r="A1016" s="44"/>
      <c r="B1016" s="45"/>
      <c r="C1016" s="45"/>
      <c r="E1016" s="44"/>
      <c r="F1016" s="45"/>
      <c r="G1016" s="45"/>
      <c r="J1016" s="44"/>
      <c r="K1016" s="45"/>
      <c r="M1016" s="44"/>
      <c r="N1016" s="45"/>
    </row>
    <row r="1017" spans="1:14">
      <c r="A1017" s="44"/>
      <c r="B1017" s="45"/>
      <c r="C1017" s="45"/>
      <c r="E1017" s="44"/>
      <c r="F1017" s="45"/>
      <c r="G1017" s="45"/>
      <c r="J1017" s="44"/>
      <c r="K1017" s="45"/>
      <c r="M1017" s="44"/>
      <c r="N1017" s="45"/>
    </row>
    <row r="1018" spans="1:14">
      <c r="A1018" s="44"/>
      <c r="B1018" s="45"/>
      <c r="C1018" s="45"/>
      <c r="E1018" s="44"/>
      <c r="F1018" s="45"/>
      <c r="G1018" s="45"/>
      <c r="J1018" s="44"/>
      <c r="K1018" s="45"/>
      <c r="M1018" s="44"/>
      <c r="N1018" s="45"/>
    </row>
    <row r="1019" spans="1:14">
      <c r="A1019" s="44"/>
      <c r="B1019" s="45"/>
      <c r="C1019" s="45"/>
      <c r="E1019" s="44"/>
      <c r="F1019" s="45"/>
      <c r="G1019" s="45"/>
      <c r="J1019" s="44"/>
      <c r="K1019" s="45"/>
      <c r="M1019" s="44"/>
      <c r="N1019" s="45"/>
    </row>
    <row r="1020" spans="1:14">
      <c r="A1020" s="44"/>
      <c r="B1020" s="45"/>
      <c r="C1020" s="45"/>
      <c r="E1020" s="44"/>
      <c r="F1020" s="45"/>
      <c r="G1020" s="45"/>
      <c r="J1020" s="44"/>
      <c r="K1020" s="45"/>
      <c r="M1020" s="44"/>
      <c r="N1020" s="45"/>
    </row>
    <row r="1021" spans="1:14">
      <c r="A1021" s="44"/>
      <c r="B1021" s="45"/>
      <c r="C1021" s="45"/>
      <c r="E1021" s="44"/>
      <c r="F1021" s="45"/>
      <c r="G1021" s="45"/>
      <c r="J1021" s="44"/>
      <c r="K1021" s="45"/>
      <c r="M1021" s="44"/>
      <c r="N1021" s="45"/>
    </row>
    <row r="1022" spans="1:14">
      <c r="A1022" s="44"/>
      <c r="B1022" s="45"/>
      <c r="C1022" s="45"/>
      <c r="E1022" s="44"/>
      <c r="F1022" s="45"/>
      <c r="G1022" s="45"/>
      <c r="J1022" s="44"/>
      <c r="K1022" s="45"/>
      <c r="M1022" s="44"/>
      <c r="N1022" s="45"/>
    </row>
    <row r="1023" spans="1:14">
      <c r="A1023" s="44"/>
      <c r="B1023" s="45"/>
      <c r="C1023" s="45"/>
      <c r="E1023" s="44"/>
      <c r="F1023" s="45"/>
      <c r="G1023" s="45"/>
      <c r="J1023" s="44"/>
      <c r="K1023" s="45"/>
      <c r="M1023" s="44"/>
      <c r="N1023" s="45"/>
    </row>
    <row r="1024" spans="1:14">
      <c r="A1024" s="44"/>
      <c r="B1024" s="45"/>
      <c r="C1024" s="45"/>
      <c r="E1024" s="44"/>
      <c r="F1024" s="45"/>
      <c r="G1024" s="45"/>
      <c r="J1024" s="44"/>
      <c r="K1024" s="45"/>
      <c r="M1024" s="44"/>
      <c r="N1024" s="45"/>
    </row>
    <row r="1025" spans="1:14">
      <c r="A1025" s="44"/>
      <c r="B1025" s="45"/>
      <c r="C1025" s="45"/>
      <c r="E1025" s="44"/>
      <c r="F1025" s="45"/>
      <c r="G1025" s="45"/>
      <c r="J1025" s="44"/>
      <c r="K1025" s="45"/>
      <c r="M1025" s="44"/>
      <c r="N1025" s="45"/>
    </row>
    <row r="1026" spans="1:14">
      <c r="A1026" s="44"/>
      <c r="B1026" s="45"/>
      <c r="C1026" s="45"/>
      <c r="E1026" s="44"/>
      <c r="F1026" s="45"/>
      <c r="G1026" s="45"/>
      <c r="J1026" s="44"/>
      <c r="K1026" s="45"/>
      <c r="M1026" s="44"/>
      <c r="N1026" s="45"/>
    </row>
    <row r="1027" spans="1:14">
      <c r="A1027" s="44"/>
      <c r="B1027" s="45"/>
      <c r="C1027" s="45"/>
      <c r="E1027" s="44"/>
      <c r="F1027" s="45"/>
      <c r="G1027" s="45"/>
      <c r="J1027" s="44"/>
      <c r="K1027" s="45"/>
      <c r="M1027" s="44"/>
      <c r="N1027" s="45"/>
    </row>
    <row r="1028" spans="1:14">
      <c r="A1028" s="44"/>
      <c r="B1028" s="45"/>
      <c r="C1028" s="45"/>
      <c r="E1028" s="44"/>
      <c r="F1028" s="45"/>
      <c r="G1028" s="45"/>
      <c r="J1028" s="44"/>
      <c r="K1028" s="45"/>
      <c r="M1028" s="44"/>
      <c r="N1028" s="45"/>
    </row>
    <row r="1029" spans="1:14">
      <c r="A1029" s="44"/>
      <c r="B1029" s="45"/>
      <c r="C1029" s="45"/>
      <c r="E1029" s="44"/>
      <c r="F1029" s="45"/>
      <c r="G1029" s="45"/>
      <c r="J1029" s="44"/>
      <c r="K1029" s="45"/>
      <c r="M1029" s="44"/>
      <c r="N1029" s="45"/>
    </row>
    <row r="1030" spans="1:14">
      <c r="A1030" s="44"/>
      <c r="B1030" s="45"/>
      <c r="C1030" s="45"/>
      <c r="E1030" s="44"/>
      <c r="F1030" s="45"/>
      <c r="G1030" s="45"/>
      <c r="J1030" s="44"/>
      <c r="K1030" s="45"/>
      <c r="M1030" s="44"/>
      <c r="N1030" s="45"/>
    </row>
    <row r="1031" spans="1:14">
      <c r="A1031" s="44"/>
      <c r="B1031" s="45"/>
      <c r="C1031" s="45"/>
      <c r="E1031" s="44"/>
      <c r="F1031" s="45"/>
      <c r="G1031" s="45"/>
      <c r="J1031" s="44"/>
      <c r="K1031" s="45"/>
      <c r="M1031" s="44"/>
      <c r="N1031" s="45"/>
    </row>
    <row r="1032" spans="1:14">
      <c r="A1032" s="44"/>
      <c r="B1032" s="45"/>
      <c r="C1032" s="45"/>
      <c r="E1032" s="44"/>
      <c r="F1032" s="45"/>
      <c r="G1032" s="45"/>
      <c r="J1032" s="44"/>
      <c r="K1032" s="45"/>
      <c r="M1032" s="44"/>
      <c r="N1032" s="45"/>
    </row>
    <row r="1033" spans="1:14">
      <c r="A1033" s="44"/>
      <c r="B1033" s="45"/>
      <c r="C1033" s="45"/>
      <c r="E1033" s="44"/>
      <c r="F1033" s="45"/>
      <c r="G1033" s="45"/>
      <c r="J1033" s="44"/>
      <c r="K1033" s="45"/>
      <c r="M1033" s="44"/>
      <c r="N1033" s="45"/>
    </row>
    <row r="1034" spans="1:14">
      <c r="A1034" s="44"/>
      <c r="B1034" s="45"/>
      <c r="C1034" s="45"/>
      <c r="E1034" s="44"/>
      <c r="F1034" s="45"/>
      <c r="G1034" s="45"/>
      <c r="J1034" s="44"/>
      <c r="K1034" s="45"/>
      <c r="M1034" s="44"/>
      <c r="N1034" s="45"/>
    </row>
    <row r="1035" spans="1:14">
      <c r="A1035" s="44"/>
      <c r="B1035" s="45"/>
      <c r="C1035" s="45"/>
      <c r="E1035" s="44"/>
      <c r="F1035" s="45"/>
      <c r="G1035" s="45"/>
      <c r="J1035" s="44"/>
      <c r="K1035" s="45"/>
      <c r="M1035" s="44"/>
      <c r="N1035" s="45"/>
    </row>
    <row r="1036" spans="1:14">
      <c r="A1036" s="44"/>
      <c r="B1036" s="45"/>
      <c r="C1036" s="45"/>
      <c r="E1036" s="44"/>
      <c r="F1036" s="45"/>
      <c r="G1036" s="45"/>
      <c r="J1036" s="44"/>
      <c r="K1036" s="45"/>
      <c r="M1036" s="44"/>
      <c r="N1036" s="45"/>
    </row>
    <row r="1037" spans="1:14">
      <c r="A1037" s="44"/>
      <c r="B1037" s="45"/>
      <c r="C1037" s="45"/>
      <c r="E1037" s="44"/>
      <c r="F1037" s="45"/>
      <c r="G1037" s="45"/>
      <c r="J1037" s="44"/>
      <c r="K1037" s="45"/>
      <c r="M1037" s="44"/>
      <c r="N1037" s="45"/>
    </row>
    <row r="1038" spans="1:14">
      <c r="A1038" s="44"/>
      <c r="B1038" s="45"/>
      <c r="C1038" s="45"/>
      <c r="E1038" s="44"/>
      <c r="F1038" s="45"/>
      <c r="G1038" s="45"/>
      <c r="J1038" s="44"/>
      <c r="K1038" s="45"/>
      <c r="M1038" s="44"/>
      <c r="N1038" s="45"/>
    </row>
    <row r="1039" spans="1:14">
      <c r="A1039" s="44"/>
      <c r="B1039" s="45"/>
      <c r="C1039" s="45"/>
      <c r="E1039" s="44"/>
      <c r="F1039" s="45"/>
      <c r="G1039" s="45"/>
      <c r="J1039" s="44"/>
      <c r="K1039" s="45"/>
      <c r="M1039" s="44"/>
      <c r="N1039" s="45"/>
    </row>
    <row r="1040" spans="1:14">
      <c r="A1040" s="44"/>
      <c r="B1040" s="45"/>
      <c r="C1040" s="45"/>
      <c r="E1040" s="44"/>
      <c r="F1040" s="45"/>
      <c r="G1040" s="45"/>
      <c r="J1040" s="44"/>
      <c r="K1040" s="45"/>
      <c r="M1040" s="44"/>
      <c r="N1040" s="45"/>
    </row>
    <row r="1041" spans="1:14">
      <c r="A1041" s="44"/>
      <c r="B1041" s="45"/>
      <c r="C1041" s="45"/>
      <c r="E1041" s="44"/>
      <c r="F1041" s="45"/>
      <c r="G1041" s="45"/>
      <c r="J1041" s="44"/>
      <c r="K1041" s="45"/>
      <c r="M1041" s="44"/>
      <c r="N1041" s="45"/>
    </row>
    <row r="1042" spans="1:14">
      <c r="A1042" s="44"/>
      <c r="B1042" s="45"/>
      <c r="C1042" s="45"/>
      <c r="E1042" s="44"/>
      <c r="F1042" s="45"/>
      <c r="G1042" s="45"/>
      <c r="J1042" s="44"/>
      <c r="K1042" s="45"/>
      <c r="M1042" s="44"/>
      <c r="N1042" s="45"/>
    </row>
    <row r="1043" spans="1:14">
      <c r="A1043" s="44"/>
      <c r="B1043" s="45"/>
      <c r="C1043" s="45"/>
      <c r="E1043" s="44"/>
      <c r="F1043" s="45"/>
      <c r="G1043" s="45"/>
      <c r="J1043" s="44"/>
      <c r="K1043" s="45"/>
      <c r="M1043" s="44"/>
      <c r="N1043" s="45"/>
    </row>
    <row r="1044" spans="1:14">
      <c r="A1044" s="44"/>
      <c r="B1044" s="45"/>
      <c r="C1044" s="45"/>
      <c r="E1044" s="44"/>
      <c r="F1044" s="45"/>
      <c r="G1044" s="45"/>
      <c r="J1044" s="44"/>
      <c r="K1044" s="45"/>
      <c r="M1044" s="44"/>
      <c r="N1044" s="45"/>
    </row>
    <row r="1045" spans="1:14">
      <c r="A1045" s="44"/>
      <c r="B1045" s="45"/>
      <c r="C1045" s="45"/>
      <c r="E1045" s="44"/>
      <c r="F1045" s="45"/>
      <c r="G1045" s="45"/>
      <c r="J1045" s="44"/>
      <c r="K1045" s="45"/>
      <c r="M1045" s="44"/>
      <c r="N1045" s="45"/>
    </row>
    <row r="1046" spans="1:14">
      <c r="A1046" s="44"/>
      <c r="B1046" s="45"/>
      <c r="C1046" s="45"/>
      <c r="E1046" s="44"/>
      <c r="F1046" s="45"/>
      <c r="G1046" s="45"/>
      <c r="J1046" s="44"/>
      <c r="K1046" s="45"/>
      <c r="M1046" s="44"/>
      <c r="N1046" s="45"/>
    </row>
    <row r="1047" spans="1:14">
      <c r="A1047" s="44"/>
      <c r="B1047" s="45"/>
      <c r="C1047" s="45"/>
      <c r="E1047" s="44"/>
      <c r="F1047" s="45"/>
      <c r="G1047" s="45"/>
      <c r="J1047" s="44"/>
      <c r="K1047" s="45"/>
      <c r="M1047" s="44"/>
      <c r="N1047" s="45"/>
    </row>
    <row r="1048" spans="1:14">
      <c r="A1048" s="44"/>
      <c r="B1048" s="45"/>
      <c r="C1048" s="45"/>
      <c r="E1048" s="44"/>
      <c r="F1048" s="45"/>
      <c r="G1048" s="45"/>
      <c r="J1048" s="44"/>
      <c r="K1048" s="45"/>
      <c r="M1048" s="44"/>
      <c r="N1048" s="45"/>
    </row>
    <row r="1049" spans="1:14">
      <c r="A1049" s="44"/>
      <c r="B1049" s="45"/>
      <c r="C1049" s="45"/>
      <c r="E1049" s="44"/>
      <c r="F1049" s="45"/>
      <c r="G1049" s="45"/>
      <c r="J1049" s="44"/>
      <c r="K1049" s="45"/>
      <c r="M1049" s="44"/>
      <c r="N1049" s="45"/>
    </row>
    <row r="1050" spans="1:14">
      <c r="A1050" s="44"/>
      <c r="B1050" s="45"/>
      <c r="C1050" s="45"/>
      <c r="E1050" s="44"/>
      <c r="F1050" s="45"/>
      <c r="G1050" s="45"/>
      <c r="J1050" s="44"/>
      <c r="K1050" s="45"/>
      <c r="M1050" s="44"/>
      <c r="N1050" s="45"/>
    </row>
    <row r="1051" spans="1:14">
      <c r="A1051" s="44"/>
      <c r="B1051" s="45"/>
      <c r="C1051" s="45"/>
      <c r="E1051" s="44"/>
      <c r="F1051" s="45"/>
      <c r="G1051" s="45"/>
      <c r="J1051" s="44"/>
      <c r="K1051" s="45"/>
      <c r="M1051" s="44"/>
      <c r="N1051" s="45"/>
    </row>
    <row r="1052" spans="1:14">
      <c r="A1052" s="44"/>
      <c r="B1052" s="45"/>
      <c r="C1052" s="45"/>
      <c r="E1052" s="44"/>
      <c r="F1052" s="45"/>
      <c r="G1052" s="45"/>
      <c r="J1052" s="44"/>
      <c r="K1052" s="45"/>
      <c r="M1052" s="44"/>
      <c r="N1052" s="45"/>
    </row>
    <row r="1053" spans="1:14">
      <c r="A1053" s="44"/>
      <c r="B1053" s="45"/>
      <c r="C1053" s="45"/>
      <c r="E1053" s="44"/>
      <c r="F1053" s="45"/>
      <c r="G1053" s="45"/>
      <c r="J1053" s="44"/>
      <c r="K1053" s="45"/>
      <c r="M1053" s="44"/>
      <c r="N1053" s="45"/>
    </row>
    <row r="1054" spans="1:14">
      <c r="A1054" s="44"/>
      <c r="B1054" s="45"/>
      <c r="C1054" s="45"/>
      <c r="E1054" s="44"/>
      <c r="F1054" s="45"/>
      <c r="G1054" s="45"/>
      <c r="J1054" s="44"/>
      <c r="K1054" s="45"/>
      <c r="M1054" s="44"/>
      <c r="N1054" s="45"/>
    </row>
    <row r="1055" spans="1:14">
      <c r="A1055" s="44"/>
      <c r="B1055" s="45"/>
      <c r="C1055" s="45"/>
      <c r="E1055" s="44"/>
      <c r="F1055" s="45"/>
      <c r="G1055" s="45"/>
      <c r="J1055" s="44"/>
      <c r="K1055" s="45"/>
      <c r="M1055" s="44"/>
      <c r="N1055" s="45"/>
    </row>
    <row r="1056" spans="1:14">
      <c r="A1056" s="44"/>
      <c r="B1056" s="45"/>
      <c r="C1056" s="45"/>
      <c r="E1056" s="44"/>
      <c r="F1056" s="45"/>
      <c r="G1056" s="45"/>
      <c r="J1056" s="44"/>
      <c r="K1056" s="45"/>
      <c r="M1056" s="44"/>
      <c r="N1056" s="45"/>
    </row>
    <row r="1057" spans="1:14">
      <c r="A1057" s="44"/>
      <c r="B1057" s="45"/>
      <c r="C1057" s="45"/>
      <c r="E1057" s="44"/>
      <c r="F1057" s="45"/>
      <c r="G1057" s="45"/>
      <c r="J1057" s="44"/>
      <c r="K1057" s="45"/>
      <c r="M1057" s="44"/>
      <c r="N1057" s="45"/>
    </row>
    <row r="1058" spans="1:14">
      <c r="A1058" s="44"/>
      <c r="B1058" s="45"/>
      <c r="C1058" s="45"/>
      <c r="E1058" s="44"/>
      <c r="F1058" s="45"/>
      <c r="G1058" s="45"/>
      <c r="J1058" s="44"/>
      <c r="K1058" s="45"/>
      <c r="M1058" s="44"/>
      <c r="N1058" s="45"/>
    </row>
    <row r="1059" spans="1:14">
      <c r="A1059" s="44"/>
      <c r="B1059" s="45"/>
      <c r="C1059" s="45"/>
      <c r="E1059" s="44"/>
      <c r="F1059" s="45"/>
      <c r="G1059" s="45"/>
      <c r="J1059" s="44"/>
      <c r="K1059" s="45"/>
      <c r="M1059" s="44"/>
      <c r="N1059" s="45"/>
    </row>
    <row r="1060" spans="1:14">
      <c r="A1060" s="44"/>
      <c r="B1060" s="45"/>
      <c r="C1060" s="45"/>
      <c r="E1060" s="44"/>
      <c r="F1060" s="45"/>
      <c r="G1060" s="45"/>
      <c r="J1060" s="44"/>
      <c r="K1060" s="45"/>
      <c r="M1060" s="44"/>
      <c r="N1060" s="45"/>
    </row>
    <row r="1061" spans="1:14">
      <c r="A1061" s="44"/>
      <c r="B1061" s="45"/>
      <c r="C1061" s="45"/>
      <c r="E1061" s="44"/>
      <c r="F1061" s="45"/>
      <c r="G1061" s="45"/>
      <c r="J1061" s="44"/>
      <c r="K1061" s="45"/>
      <c r="M1061" s="44"/>
      <c r="N1061" s="45"/>
    </row>
    <row r="1062" spans="1:14">
      <c r="A1062" s="44"/>
      <c r="B1062" s="45"/>
      <c r="C1062" s="45"/>
      <c r="E1062" s="44"/>
      <c r="F1062" s="45"/>
      <c r="G1062" s="45"/>
      <c r="J1062" s="44"/>
      <c r="K1062" s="45"/>
      <c r="M1062" s="44"/>
      <c r="N1062" s="45"/>
    </row>
    <row r="1063" spans="1:14">
      <c r="A1063" s="44"/>
      <c r="B1063" s="45"/>
      <c r="C1063" s="45"/>
      <c r="E1063" s="44"/>
      <c r="F1063" s="45"/>
      <c r="G1063" s="45"/>
      <c r="J1063" s="44"/>
      <c r="K1063" s="45"/>
      <c r="M1063" s="44"/>
      <c r="N1063" s="45"/>
    </row>
    <row r="1064" spans="1:14">
      <c r="A1064" s="44"/>
      <c r="B1064" s="45"/>
      <c r="C1064" s="45"/>
      <c r="E1064" s="44"/>
      <c r="F1064" s="45"/>
      <c r="G1064" s="45"/>
      <c r="J1064" s="44"/>
      <c r="K1064" s="45"/>
      <c r="M1064" s="44"/>
      <c r="N1064" s="45"/>
    </row>
    <row r="1065" spans="1:14">
      <c r="A1065" s="44"/>
      <c r="B1065" s="45"/>
      <c r="C1065" s="45"/>
      <c r="E1065" s="44"/>
      <c r="F1065" s="45"/>
      <c r="G1065" s="45"/>
      <c r="J1065" s="44"/>
      <c r="K1065" s="45"/>
      <c r="M1065" s="44"/>
      <c r="N1065" s="45"/>
    </row>
    <row r="1066" spans="1:14">
      <c r="A1066" s="44"/>
      <c r="B1066" s="45"/>
      <c r="C1066" s="45"/>
      <c r="E1066" s="44"/>
      <c r="F1066" s="45"/>
      <c r="G1066" s="45"/>
      <c r="J1066" s="44"/>
      <c r="K1066" s="45"/>
      <c r="M1066" s="44"/>
      <c r="N1066" s="45"/>
    </row>
    <row r="1067" spans="1:14">
      <c r="A1067" s="44"/>
      <c r="B1067" s="45"/>
      <c r="C1067" s="45"/>
      <c r="E1067" s="44"/>
      <c r="F1067" s="45"/>
      <c r="G1067" s="45"/>
      <c r="J1067" s="44"/>
      <c r="K1067" s="45"/>
      <c r="M1067" s="44"/>
      <c r="N1067" s="45"/>
    </row>
    <row r="1068" spans="1:14">
      <c r="A1068" s="44"/>
      <c r="B1068" s="45"/>
      <c r="C1068" s="45"/>
      <c r="E1068" s="44"/>
      <c r="F1068" s="45"/>
      <c r="G1068" s="45"/>
      <c r="J1068" s="44"/>
      <c r="K1068" s="45"/>
      <c r="M1068" s="44"/>
      <c r="N1068" s="45"/>
    </row>
    <row r="1069" spans="1:14">
      <c r="A1069" s="44"/>
      <c r="B1069" s="45"/>
      <c r="C1069" s="45"/>
      <c r="E1069" s="44"/>
      <c r="F1069" s="45"/>
      <c r="G1069" s="45"/>
      <c r="J1069" s="44"/>
      <c r="K1069" s="45"/>
      <c r="M1069" s="44"/>
      <c r="N1069" s="45"/>
    </row>
    <row r="1070" spans="1:14">
      <c r="A1070" s="44"/>
      <c r="B1070" s="45"/>
      <c r="C1070" s="45"/>
      <c r="E1070" s="44"/>
      <c r="F1070" s="45"/>
      <c r="G1070" s="45"/>
      <c r="J1070" s="44"/>
      <c r="K1070" s="45"/>
      <c r="M1070" s="44"/>
      <c r="N1070" s="45"/>
    </row>
    <row r="1071" spans="1:14">
      <c r="A1071" s="44"/>
      <c r="B1071" s="45"/>
      <c r="C1071" s="45"/>
      <c r="E1071" s="44"/>
      <c r="F1071" s="45"/>
      <c r="G1071" s="45"/>
      <c r="J1071" s="44"/>
      <c r="K1071" s="45"/>
      <c r="M1071" s="44"/>
      <c r="N1071" s="45"/>
    </row>
    <row r="1072" spans="1:14">
      <c r="A1072" s="44"/>
      <c r="B1072" s="45"/>
      <c r="C1072" s="45"/>
      <c r="E1072" s="44"/>
      <c r="F1072" s="45"/>
      <c r="G1072" s="45"/>
      <c r="J1072" s="44"/>
      <c r="K1072" s="45"/>
      <c r="M1072" s="44"/>
      <c r="N1072" s="45"/>
    </row>
    <row r="1073" spans="1:14">
      <c r="A1073" s="44"/>
      <c r="B1073" s="45"/>
      <c r="C1073" s="45"/>
      <c r="E1073" s="44"/>
      <c r="F1073" s="45"/>
      <c r="G1073" s="45"/>
      <c r="J1073" s="44"/>
      <c r="K1073" s="45"/>
      <c r="M1073" s="44"/>
      <c r="N1073" s="45"/>
    </row>
    <row r="1074" spans="1:14">
      <c r="A1074" s="44"/>
      <c r="B1074" s="45"/>
      <c r="C1074" s="45"/>
      <c r="E1074" s="44"/>
      <c r="F1074" s="45"/>
      <c r="G1074" s="45"/>
      <c r="J1074" s="44"/>
      <c r="K1074" s="45"/>
      <c r="M1074" s="44"/>
      <c r="N1074" s="45"/>
    </row>
    <row r="1075" spans="1:14">
      <c r="A1075" s="44"/>
      <c r="B1075" s="45"/>
      <c r="C1075" s="45"/>
      <c r="E1075" s="44"/>
      <c r="F1075" s="45"/>
      <c r="G1075" s="45"/>
      <c r="J1075" s="44"/>
      <c r="K1075" s="45"/>
      <c r="M1075" s="44"/>
      <c r="N1075" s="45"/>
    </row>
    <row r="1076" spans="1:14">
      <c r="A1076" s="44"/>
      <c r="B1076" s="45"/>
      <c r="C1076" s="45"/>
      <c r="E1076" s="44"/>
      <c r="F1076" s="45"/>
      <c r="G1076" s="45"/>
      <c r="J1076" s="44"/>
      <c r="K1076" s="45"/>
      <c r="M1076" s="44"/>
      <c r="N1076" s="45"/>
    </row>
    <row r="1077" spans="1:14">
      <c r="A1077" s="44"/>
      <c r="B1077" s="45"/>
      <c r="C1077" s="45"/>
      <c r="E1077" s="44"/>
      <c r="F1077" s="45"/>
      <c r="G1077" s="45"/>
      <c r="J1077" s="44"/>
      <c r="K1077" s="45"/>
      <c r="M1077" s="44"/>
      <c r="N1077" s="45"/>
    </row>
    <row r="1078" spans="1:14">
      <c r="A1078" s="44"/>
      <c r="B1078" s="45"/>
      <c r="C1078" s="45"/>
      <c r="E1078" s="44"/>
      <c r="F1078" s="45"/>
      <c r="G1078" s="45"/>
      <c r="J1078" s="44"/>
      <c r="K1078" s="45"/>
      <c r="M1078" s="44"/>
      <c r="N1078" s="45"/>
    </row>
    <row r="1079" spans="1:14">
      <c r="A1079" s="44"/>
      <c r="B1079" s="45"/>
      <c r="C1079" s="45"/>
      <c r="E1079" s="44"/>
      <c r="F1079" s="45"/>
      <c r="G1079" s="45"/>
      <c r="J1079" s="44"/>
      <c r="K1079" s="45"/>
      <c r="M1079" s="44"/>
      <c r="N1079" s="45"/>
    </row>
    <row r="1080" spans="1:14">
      <c r="A1080" s="44"/>
      <c r="B1080" s="45"/>
      <c r="C1080" s="45"/>
      <c r="E1080" s="44"/>
      <c r="F1080" s="45"/>
      <c r="G1080" s="45"/>
      <c r="J1080" s="44"/>
      <c r="K1080" s="45"/>
      <c r="M1080" s="44"/>
      <c r="N1080" s="45"/>
    </row>
    <row r="1081" spans="1:14">
      <c r="A1081" s="44"/>
      <c r="B1081" s="45"/>
      <c r="C1081" s="45"/>
      <c r="E1081" s="44"/>
      <c r="F1081" s="45"/>
      <c r="G1081" s="45"/>
      <c r="J1081" s="44"/>
      <c r="K1081" s="45"/>
      <c r="M1081" s="44"/>
      <c r="N1081" s="45"/>
    </row>
    <row r="1082" spans="1:14">
      <c r="A1082" s="44"/>
      <c r="B1082" s="45"/>
      <c r="C1082" s="45"/>
      <c r="E1082" s="44"/>
      <c r="F1082" s="45"/>
      <c r="G1082" s="45"/>
      <c r="J1082" s="44"/>
      <c r="K1082" s="45"/>
      <c r="M1082" s="44"/>
      <c r="N1082" s="45"/>
    </row>
    <row r="1083" spans="1:14">
      <c r="A1083" s="44"/>
      <c r="B1083" s="45"/>
      <c r="C1083" s="45"/>
      <c r="E1083" s="44"/>
      <c r="F1083" s="45"/>
      <c r="G1083" s="45"/>
      <c r="J1083" s="44"/>
      <c r="K1083" s="45"/>
      <c r="M1083" s="44"/>
      <c r="N1083" s="45"/>
    </row>
    <row r="1084" spans="1:14">
      <c r="A1084" s="44"/>
      <c r="B1084" s="45"/>
      <c r="C1084" s="45"/>
      <c r="E1084" s="44"/>
      <c r="F1084" s="45"/>
      <c r="G1084" s="45"/>
      <c r="J1084" s="44"/>
      <c r="K1084" s="45"/>
      <c r="M1084" s="44"/>
      <c r="N1084" s="45"/>
    </row>
    <row r="1085" spans="1:14">
      <c r="A1085" s="44"/>
      <c r="B1085" s="45"/>
      <c r="C1085" s="45"/>
      <c r="E1085" s="44"/>
      <c r="F1085" s="45"/>
      <c r="G1085" s="45"/>
      <c r="J1085" s="44"/>
      <c r="K1085" s="45"/>
      <c r="M1085" s="44"/>
      <c r="N1085" s="45"/>
    </row>
    <row r="1086" spans="1:14">
      <c r="A1086" s="44"/>
      <c r="B1086" s="45"/>
      <c r="C1086" s="45"/>
      <c r="E1086" s="44"/>
      <c r="F1086" s="45"/>
      <c r="G1086" s="45"/>
      <c r="J1086" s="44"/>
      <c r="K1086" s="45"/>
      <c r="M1086" s="44"/>
      <c r="N1086" s="45"/>
    </row>
    <row r="1087" spans="1:14">
      <c r="A1087" s="44"/>
      <c r="B1087" s="45"/>
      <c r="C1087" s="45"/>
      <c r="E1087" s="44"/>
      <c r="F1087" s="45"/>
      <c r="G1087" s="45"/>
      <c r="J1087" s="44"/>
      <c r="K1087" s="45"/>
      <c r="M1087" s="44"/>
      <c r="N1087" s="45"/>
    </row>
    <row r="1088" spans="1:14">
      <c r="A1088" s="44"/>
      <c r="B1088" s="45"/>
      <c r="C1088" s="45"/>
      <c r="E1088" s="44"/>
      <c r="F1088" s="45"/>
      <c r="G1088" s="45"/>
      <c r="J1088" s="44"/>
      <c r="K1088" s="45"/>
      <c r="M1088" s="44"/>
      <c r="N1088" s="45"/>
    </row>
    <row r="1089" spans="1:14">
      <c r="A1089" s="44"/>
      <c r="B1089" s="45"/>
      <c r="C1089" s="45"/>
      <c r="E1089" s="44"/>
      <c r="F1089" s="45"/>
      <c r="G1089" s="45"/>
      <c r="J1089" s="44"/>
      <c r="K1089" s="45"/>
      <c r="M1089" s="44"/>
      <c r="N1089" s="45"/>
    </row>
    <row r="1090" spans="1:14">
      <c r="A1090" s="44"/>
      <c r="B1090" s="45"/>
      <c r="C1090" s="45"/>
      <c r="E1090" s="44"/>
      <c r="F1090" s="45"/>
      <c r="G1090" s="45"/>
      <c r="J1090" s="44"/>
      <c r="K1090" s="45"/>
      <c r="M1090" s="44"/>
      <c r="N1090" s="45"/>
    </row>
    <row r="1091" spans="1:14">
      <c r="A1091" s="44"/>
      <c r="B1091" s="45"/>
      <c r="C1091" s="45"/>
      <c r="E1091" s="44"/>
      <c r="F1091" s="45"/>
      <c r="G1091" s="45"/>
      <c r="J1091" s="44"/>
      <c r="K1091" s="45"/>
      <c r="M1091" s="44"/>
      <c r="N1091" s="45"/>
    </row>
    <row r="1092" spans="1:14">
      <c r="A1092" s="44"/>
      <c r="B1092" s="45"/>
      <c r="C1092" s="45"/>
      <c r="E1092" s="44"/>
      <c r="F1092" s="45"/>
      <c r="G1092" s="45"/>
      <c r="J1092" s="44"/>
      <c r="K1092" s="45"/>
      <c r="M1092" s="44"/>
      <c r="N1092" s="45"/>
    </row>
    <row r="1093" spans="1:14">
      <c r="A1093" s="44"/>
      <c r="B1093" s="45"/>
      <c r="C1093" s="45"/>
      <c r="E1093" s="44"/>
      <c r="F1093" s="45"/>
      <c r="G1093" s="45"/>
      <c r="J1093" s="44"/>
      <c r="K1093" s="45"/>
      <c r="M1093" s="44"/>
      <c r="N1093" s="45"/>
    </row>
    <row r="1094" spans="1:14">
      <c r="A1094" s="44"/>
      <c r="B1094" s="45"/>
      <c r="C1094" s="45"/>
      <c r="E1094" s="44"/>
      <c r="F1094" s="45"/>
      <c r="G1094" s="45"/>
      <c r="J1094" s="44"/>
      <c r="K1094" s="45"/>
      <c r="M1094" s="44"/>
      <c r="N1094" s="45"/>
    </row>
    <row r="1095" spans="1:14">
      <c r="A1095" s="44"/>
      <c r="B1095" s="45"/>
      <c r="C1095" s="45"/>
      <c r="E1095" s="44"/>
      <c r="F1095" s="45"/>
      <c r="G1095" s="45"/>
      <c r="J1095" s="44"/>
      <c r="K1095" s="45"/>
      <c r="M1095" s="44"/>
      <c r="N1095" s="45"/>
    </row>
    <row r="1096" spans="1:14">
      <c r="A1096" s="44"/>
      <c r="B1096" s="45"/>
      <c r="C1096" s="45"/>
      <c r="E1096" s="44"/>
      <c r="F1096" s="45"/>
      <c r="G1096" s="45"/>
      <c r="J1096" s="44"/>
      <c r="K1096" s="45"/>
      <c r="M1096" s="44"/>
      <c r="N1096" s="45"/>
    </row>
    <row r="1097" spans="1:14">
      <c r="A1097" s="44"/>
      <c r="B1097" s="45"/>
      <c r="C1097" s="45"/>
      <c r="E1097" s="44"/>
      <c r="F1097" s="45"/>
      <c r="G1097" s="45"/>
      <c r="J1097" s="44"/>
      <c r="K1097" s="45"/>
      <c r="M1097" s="44"/>
      <c r="N1097" s="45"/>
    </row>
    <row r="1098" spans="1:14">
      <c r="A1098" s="44"/>
      <c r="B1098" s="45"/>
      <c r="C1098" s="45"/>
      <c r="E1098" s="44"/>
      <c r="F1098" s="45"/>
      <c r="G1098" s="45"/>
      <c r="J1098" s="44"/>
      <c r="K1098" s="45"/>
      <c r="M1098" s="44"/>
      <c r="N1098" s="45"/>
    </row>
    <row r="1099" spans="1:14">
      <c r="A1099" s="44"/>
      <c r="B1099" s="45"/>
      <c r="C1099" s="45"/>
      <c r="E1099" s="44"/>
      <c r="F1099" s="45"/>
      <c r="G1099" s="45"/>
      <c r="J1099" s="44"/>
      <c r="K1099" s="45"/>
      <c r="M1099" s="44"/>
      <c r="N1099" s="45"/>
    </row>
    <row r="1100" spans="1:14">
      <c r="A1100" s="44"/>
      <c r="B1100" s="45"/>
      <c r="C1100" s="45"/>
      <c r="E1100" s="44"/>
      <c r="F1100" s="45"/>
      <c r="G1100" s="45"/>
      <c r="J1100" s="44"/>
      <c r="K1100" s="45"/>
      <c r="M1100" s="44"/>
      <c r="N1100" s="45"/>
    </row>
    <row r="1101" spans="1:14">
      <c r="A1101" s="44"/>
      <c r="B1101" s="45"/>
      <c r="C1101" s="45"/>
      <c r="E1101" s="44"/>
      <c r="F1101" s="45"/>
      <c r="G1101" s="45"/>
      <c r="J1101" s="44"/>
      <c r="K1101" s="45"/>
      <c r="M1101" s="44"/>
      <c r="N1101" s="45"/>
    </row>
    <row r="1102" spans="1:14">
      <c r="A1102" s="44"/>
      <c r="B1102" s="45"/>
      <c r="C1102" s="45"/>
      <c r="E1102" s="44"/>
      <c r="F1102" s="45"/>
      <c r="G1102" s="45"/>
      <c r="J1102" s="44"/>
      <c r="K1102" s="45"/>
      <c r="M1102" s="44"/>
      <c r="N1102" s="45"/>
    </row>
    <row r="1103" spans="1:14">
      <c r="A1103" s="44"/>
      <c r="B1103" s="45"/>
      <c r="C1103" s="45"/>
      <c r="E1103" s="44"/>
      <c r="F1103" s="45"/>
      <c r="G1103" s="45"/>
      <c r="J1103" s="44"/>
      <c r="K1103" s="45"/>
      <c r="M1103" s="44"/>
      <c r="N1103" s="45"/>
    </row>
    <row r="1104" spans="1:14">
      <c r="A1104" s="44"/>
      <c r="B1104" s="45"/>
      <c r="C1104" s="45"/>
      <c r="E1104" s="44"/>
      <c r="F1104" s="45"/>
      <c r="G1104" s="45"/>
      <c r="J1104" s="44"/>
      <c r="K1104" s="45"/>
      <c r="M1104" s="44"/>
      <c r="N1104" s="45"/>
    </row>
    <row r="1105" spans="1:14">
      <c r="A1105" s="44"/>
      <c r="B1105" s="45"/>
      <c r="C1105" s="45"/>
      <c r="E1105" s="44"/>
      <c r="F1105" s="45"/>
      <c r="G1105" s="45"/>
      <c r="J1105" s="44"/>
      <c r="K1105" s="45"/>
      <c r="M1105" s="44"/>
      <c r="N1105" s="45"/>
    </row>
    <row r="1106" spans="1:14">
      <c r="A1106" s="44"/>
      <c r="B1106" s="45"/>
      <c r="C1106" s="45"/>
      <c r="E1106" s="44"/>
      <c r="F1106" s="45"/>
      <c r="G1106" s="45"/>
      <c r="J1106" s="44"/>
      <c r="K1106" s="45"/>
      <c r="M1106" s="44"/>
      <c r="N1106" s="45"/>
    </row>
    <row r="1107" spans="1:14">
      <c r="A1107" s="44"/>
      <c r="B1107" s="45"/>
      <c r="C1107" s="45"/>
      <c r="E1107" s="44"/>
      <c r="F1107" s="45"/>
      <c r="G1107" s="45"/>
      <c r="J1107" s="44"/>
      <c r="K1107" s="45"/>
      <c r="M1107" s="44"/>
      <c r="N1107" s="45"/>
    </row>
    <row r="1108" spans="1:14">
      <c r="A1108" s="44"/>
      <c r="B1108" s="45"/>
      <c r="C1108" s="45"/>
      <c r="E1108" s="44"/>
      <c r="F1108" s="45"/>
      <c r="G1108" s="45"/>
      <c r="J1108" s="44"/>
      <c r="K1108" s="45"/>
      <c r="M1108" s="44"/>
      <c r="N1108" s="45"/>
    </row>
    <row r="1109" spans="1:14">
      <c r="A1109" s="44"/>
      <c r="B1109" s="45"/>
      <c r="C1109" s="45"/>
      <c r="E1109" s="44"/>
      <c r="F1109" s="45"/>
      <c r="G1109" s="45"/>
      <c r="J1109" s="44"/>
      <c r="K1109" s="45"/>
      <c r="M1109" s="44"/>
      <c r="N1109" s="45"/>
    </row>
    <row r="1110" spans="1:14">
      <c r="A1110" s="44"/>
      <c r="B1110" s="45"/>
      <c r="C1110" s="45"/>
      <c r="E1110" s="44"/>
      <c r="F1110" s="45"/>
      <c r="G1110" s="45"/>
      <c r="J1110" s="44"/>
      <c r="K1110" s="45"/>
      <c r="M1110" s="44"/>
      <c r="N1110" s="45"/>
    </row>
    <row r="1111" spans="1:14">
      <c r="A1111" s="44"/>
      <c r="B1111" s="45"/>
      <c r="C1111" s="45"/>
      <c r="E1111" s="44"/>
      <c r="F1111" s="45"/>
      <c r="G1111" s="45"/>
      <c r="J1111" s="44"/>
      <c r="K1111" s="45"/>
      <c r="M1111" s="44"/>
      <c r="N1111" s="45"/>
    </row>
    <row r="1112" spans="1:14">
      <c r="A1112" s="44"/>
      <c r="B1112" s="45"/>
      <c r="C1112" s="45"/>
      <c r="E1112" s="44"/>
      <c r="F1112" s="45"/>
      <c r="G1112" s="45"/>
      <c r="J1112" s="44"/>
      <c r="K1112" s="45"/>
      <c r="M1112" s="44"/>
      <c r="N1112" s="45"/>
    </row>
    <row r="1113" spans="1:14">
      <c r="A1113" s="44"/>
      <c r="B1113" s="45"/>
      <c r="C1113" s="45"/>
      <c r="E1113" s="44"/>
      <c r="F1113" s="45"/>
      <c r="G1113" s="45"/>
      <c r="J1113" s="44"/>
      <c r="K1113" s="45"/>
      <c r="M1113" s="44"/>
      <c r="N1113" s="45"/>
    </row>
    <row r="1114" spans="1:14">
      <c r="A1114" s="44"/>
      <c r="B1114" s="45"/>
      <c r="C1114" s="45"/>
      <c r="E1114" s="44"/>
      <c r="F1114" s="45"/>
      <c r="G1114" s="45"/>
      <c r="J1114" s="44"/>
      <c r="K1114" s="45"/>
      <c r="M1114" s="44"/>
      <c r="N1114" s="45"/>
    </row>
    <row r="1115" spans="1:14">
      <c r="A1115" s="44"/>
      <c r="B1115" s="45"/>
      <c r="C1115" s="45"/>
      <c r="E1115" s="44"/>
      <c r="F1115" s="45"/>
      <c r="G1115" s="45"/>
      <c r="J1115" s="44"/>
      <c r="K1115" s="45"/>
      <c r="M1115" s="44"/>
      <c r="N1115" s="45"/>
    </row>
    <row r="1116" spans="1:14">
      <c r="A1116" s="44"/>
      <c r="B1116" s="45"/>
      <c r="C1116" s="45"/>
      <c r="E1116" s="44"/>
      <c r="F1116" s="45"/>
      <c r="G1116" s="45"/>
      <c r="J1116" s="44"/>
      <c r="K1116" s="45"/>
      <c r="M1116" s="44"/>
      <c r="N1116" s="45"/>
    </row>
    <row r="1117" spans="1:14">
      <c r="A1117" s="44"/>
      <c r="B1117" s="45"/>
      <c r="C1117" s="45"/>
      <c r="E1117" s="44"/>
      <c r="F1117" s="45"/>
      <c r="G1117" s="45"/>
      <c r="J1117" s="44"/>
      <c r="K1117" s="45"/>
      <c r="M1117" s="44"/>
      <c r="N1117" s="45"/>
    </row>
    <row r="1118" spans="1:14">
      <c r="A1118" s="44"/>
      <c r="B1118" s="45"/>
      <c r="C1118" s="45"/>
      <c r="E1118" s="44"/>
      <c r="F1118" s="45"/>
      <c r="G1118" s="45"/>
      <c r="J1118" s="44"/>
      <c r="K1118" s="45"/>
      <c r="M1118" s="44"/>
      <c r="N1118" s="45"/>
    </row>
    <row r="1119" spans="1:14">
      <c r="A1119" s="44"/>
      <c r="B1119" s="45"/>
      <c r="C1119" s="45"/>
      <c r="E1119" s="44"/>
      <c r="F1119" s="45"/>
      <c r="G1119" s="45"/>
      <c r="J1119" s="44"/>
      <c r="K1119" s="45"/>
      <c r="M1119" s="44"/>
      <c r="N1119" s="45"/>
    </row>
    <row r="1120" spans="1:14">
      <c r="A1120" s="44"/>
      <c r="B1120" s="45"/>
      <c r="C1120" s="45"/>
      <c r="E1120" s="44"/>
      <c r="F1120" s="45"/>
      <c r="G1120" s="45"/>
      <c r="J1120" s="44"/>
      <c r="K1120" s="45"/>
      <c r="M1120" s="44"/>
      <c r="N1120" s="45"/>
    </row>
    <row r="1121" spans="1:14">
      <c r="A1121" s="44"/>
      <c r="B1121" s="45"/>
      <c r="C1121" s="45"/>
      <c r="E1121" s="44"/>
      <c r="F1121" s="45"/>
      <c r="G1121" s="45"/>
      <c r="J1121" s="44"/>
      <c r="K1121" s="45"/>
      <c r="M1121" s="44"/>
      <c r="N1121" s="45"/>
    </row>
    <row r="1122" spans="1:14">
      <c r="A1122" s="44"/>
      <c r="B1122" s="45"/>
      <c r="C1122" s="45"/>
      <c r="E1122" s="44"/>
      <c r="F1122" s="45"/>
      <c r="G1122" s="45"/>
      <c r="J1122" s="44"/>
      <c r="K1122" s="45"/>
      <c r="M1122" s="44"/>
      <c r="N1122" s="45"/>
    </row>
    <row r="1123" spans="1:14">
      <c r="A1123" s="44"/>
      <c r="B1123" s="45"/>
      <c r="C1123" s="45"/>
      <c r="E1123" s="44"/>
      <c r="F1123" s="45"/>
      <c r="G1123" s="45"/>
      <c r="J1123" s="44"/>
      <c r="K1123" s="45"/>
      <c r="M1123" s="44"/>
      <c r="N1123" s="45"/>
    </row>
    <row r="1124" spans="1:14">
      <c r="A1124" s="44"/>
      <c r="B1124" s="45"/>
      <c r="C1124" s="45"/>
      <c r="E1124" s="44"/>
      <c r="F1124" s="45"/>
      <c r="G1124" s="45"/>
      <c r="J1124" s="44"/>
      <c r="K1124" s="45"/>
      <c r="M1124" s="44"/>
      <c r="N1124" s="45"/>
    </row>
    <row r="1125" spans="1:14">
      <c r="A1125" s="44"/>
      <c r="B1125" s="45"/>
      <c r="C1125" s="45"/>
      <c r="E1125" s="44"/>
      <c r="F1125" s="45"/>
      <c r="G1125" s="45"/>
      <c r="J1125" s="44"/>
      <c r="K1125" s="45"/>
      <c r="M1125" s="44"/>
      <c r="N1125" s="45"/>
    </row>
    <row r="1126" spans="1:14">
      <c r="A1126" s="44"/>
      <c r="B1126" s="45"/>
      <c r="C1126" s="45"/>
      <c r="E1126" s="44"/>
      <c r="F1126" s="45"/>
      <c r="G1126" s="45"/>
      <c r="J1126" s="44"/>
      <c r="K1126" s="45"/>
      <c r="M1126" s="44"/>
      <c r="N1126" s="45"/>
    </row>
    <row r="1127" spans="1:14">
      <c r="A1127" s="44"/>
      <c r="B1127" s="45"/>
      <c r="C1127" s="45"/>
      <c r="E1127" s="44"/>
      <c r="F1127" s="45"/>
      <c r="G1127" s="45"/>
      <c r="J1127" s="44"/>
      <c r="K1127" s="45"/>
      <c r="M1127" s="44"/>
      <c r="N1127" s="45"/>
    </row>
    <row r="1128" spans="1:14">
      <c r="A1128" s="44"/>
      <c r="B1128" s="45"/>
      <c r="C1128" s="45"/>
      <c r="E1128" s="44"/>
      <c r="F1128" s="45"/>
      <c r="G1128" s="45"/>
      <c r="J1128" s="44"/>
      <c r="K1128" s="45"/>
      <c r="M1128" s="44"/>
      <c r="N1128" s="45"/>
    </row>
    <row r="1129" spans="1:14">
      <c r="A1129" s="44"/>
      <c r="B1129" s="45"/>
      <c r="C1129" s="45"/>
      <c r="E1129" s="44"/>
      <c r="F1129" s="45"/>
      <c r="G1129" s="45"/>
      <c r="J1129" s="44"/>
      <c r="K1129" s="45"/>
      <c r="M1129" s="44"/>
      <c r="N1129" s="45"/>
    </row>
    <row r="1130" spans="1:14">
      <c r="A1130" s="44"/>
      <c r="B1130" s="45"/>
      <c r="C1130" s="45"/>
      <c r="E1130" s="44"/>
      <c r="F1130" s="45"/>
      <c r="G1130" s="45"/>
      <c r="J1130" s="44"/>
      <c r="K1130" s="45"/>
      <c r="M1130" s="44"/>
      <c r="N1130" s="45"/>
    </row>
    <row r="1131" spans="1:14">
      <c r="A1131" s="44"/>
      <c r="B1131" s="45"/>
      <c r="C1131" s="45"/>
      <c r="E1131" s="44"/>
      <c r="F1131" s="45"/>
      <c r="G1131" s="45"/>
      <c r="J1131" s="44"/>
      <c r="K1131" s="45"/>
      <c r="M1131" s="44"/>
      <c r="N1131" s="45"/>
    </row>
    <row r="1132" spans="1:14">
      <c r="A1132" s="44"/>
      <c r="B1132" s="45"/>
      <c r="C1132" s="45"/>
      <c r="E1132" s="44"/>
      <c r="F1132" s="45"/>
      <c r="G1132" s="45"/>
      <c r="J1132" s="44"/>
      <c r="K1132" s="45"/>
      <c r="M1132" s="44"/>
      <c r="N1132" s="45"/>
    </row>
    <row r="1133" spans="1:14">
      <c r="A1133" s="44"/>
      <c r="B1133" s="45"/>
      <c r="C1133" s="45"/>
      <c r="E1133" s="44"/>
      <c r="F1133" s="45"/>
      <c r="G1133" s="45"/>
      <c r="J1133" s="44"/>
      <c r="K1133" s="45"/>
      <c r="M1133" s="44"/>
      <c r="N1133" s="45"/>
    </row>
    <row r="1134" spans="1:14">
      <c r="A1134" s="44"/>
      <c r="B1134" s="45"/>
      <c r="C1134" s="45"/>
      <c r="E1134" s="44"/>
      <c r="F1134" s="45"/>
      <c r="G1134" s="45"/>
      <c r="J1134" s="44"/>
      <c r="K1134" s="45"/>
      <c r="M1134" s="44"/>
      <c r="N1134" s="45"/>
    </row>
    <row r="1135" spans="1:14">
      <c r="A1135" s="44"/>
      <c r="B1135" s="45"/>
      <c r="C1135" s="45"/>
      <c r="E1135" s="44"/>
      <c r="F1135" s="45"/>
      <c r="G1135" s="45"/>
      <c r="J1135" s="44"/>
      <c r="K1135" s="45"/>
      <c r="M1135" s="44"/>
      <c r="N1135" s="45"/>
    </row>
    <row r="1136" spans="1:14">
      <c r="A1136" s="44"/>
      <c r="B1136" s="45"/>
      <c r="C1136" s="45"/>
      <c r="E1136" s="44"/>
      <c r="F1136" s="45"/>
      <c r="G1136" s="45"/>
      <c r="J1136" s="44"/>
      <c r="K1136" s="45"/>
      <c r="M1136" s="44"/>
      <c r="N1136" s="45"/>
    </row>
    <row r="1137" spans="1:14">
      <c r="A1137" s="44"/>
      <c r="B1137" s="45"/>
      <c r="C1137" s="45"/>
      <c r="E1137" s="44"/>
      <c r="F1137" s="45"/>
      <c r="G1137" s="45"/>
      <c r="J1137" s="44"/>
      <c r="K1137" s="45"/>
      <c r="M1137" s="44"/>
      <c r="N1137" s="45"/>
    </row>
    <row r="1138" spans="1:14">
      <c r="A1138" s="44"/>
      <c r="B1138" s="45"/>
      <c r="C1138" s="45"/>
      <c r="E1138" s="44"/>
      <c r="F1138" s="45"/>
      <c r="G1138" s="45"/>
      <c r="J1138" s="44"/>
      <c r="K1138" s="45"/>
      <c r="M1138" s="44"/>
      <c r="N1138" s="45"/>
    </row>
    <row r="1139" spans="1:14">
      <c r="A1139" s="44"/>
      <c r="B1139" s="45"/>
      <c r="C1139" s="45"/>
      <c r="E1139" s="44"/>
      <c r="F1139" s="45"/>
      <c r="G1139" s="45"/>
      <c r="J1139" s="44"/>
      <c r="K1139" s="45"/>
      <c r="M1139" s="44"/>
      <c r="N1139" s="45"/>
    </row>
    <row r="1140" spans="1:14">
      <c r="A1140" s="44"/>
      <c r="B1140" s="45"/>
      <c r="C1140" s="45"/>
      <c r="E1140" s="44"/>
      <c r="F1140" s="45"/>
      <c r="G1140" s="45"/>
      <c r="J1140" s="44"/>
      <c r="K1140" s="45"/>
      <c r="M1140" s="44"/>
      <c r="N1140" s="45"/>
    </row>
    <row r="1141" spans="1:14">
      <c r="A1141" s="44"/>
      <c r="B1141" s="45"/>
      <c r="C1141" s="45"/>
      <c r="E1141" s="44"/>
      <c r="F1141" s="45"/>
      <c r="G1141" s="45"/>
      <c r="J1141" s="44"/>
      <c r="K1141" s="45"/>
      <c r="M1141" s="44"/>
      <c r="N1141" s="45"/>
    </row>
    <row r="1142" spans="1:14">
      <c r="A1142" s="44"/>
      <c r="B1142" s="45"/>
      <c r="C1142" s="45"/>
      <c r="E1142" s="44"/>
      <c r="F1142" s="45"/>
      <c r="G1142" s="45"/>
      <c r="J1142" s="44"/>
      <c r="K1142" s="45"/>
      <c r="M1142" s="44"/>
      <c r="N1142" s="45"/>
    </row>
    <row r="1143" spans="1:14">
      <c r="A1143" s="44"/>
      <c r="B1143" s="45"/>
      <c r="C1143" s="45"/>
      <c r="E1143" s="44"/>
      <c r="F1143" s="45"/>
      <c r="G1143" s="45"/>
      <c r="J1143" s="44"/>
      <c r="K1143" s="45"/>
      <c r="M1143" s="44"/>
      <c r="N1143" s="45"/>
    </row>
    <row r="1144" spans="1:14">
      <c r="A1144" s="44"/>
      <c r="B1144" s="45"/>
      <c r="C1144" s="45"/>
      <c r="E1144" s="44"/>
      <c r="F1144" s="45"/>
      <c r="G1144" s="45"/>
      <c r="J1144" s="44"/>
      <c r="K1144" s="45"/>
      <c r="M1144" s="44"/>
      <c r="N1144" s="45"/>
    </row>
    <row r="1145" spans="1:14">
      <c r="A1145" s="44"/>
      <c r="B1145" s="45"/>
      <c r="C1145" s="45"/>
      <c r="E1145" s="44"/>
      <c r="F1145" s="45"/>
      <c r="G1145" s="45"/>
      <c r="J1145" s="44"/>
      <c r="K1145" s="45"/>
      <c r="M1145" s="44"/>
      <c r="N1145" s="45"/>
    </row>
    <row r="1146" spans="1:14">
      <c r="A1146" s="44"/>
      <c r="B1146" s="45"/>
      <c r="C1146" s="45"/>
      <c r="E1146" s="44"/>
      <c r="F1146" s="45"/>
      <c r="G1146" s="45"/>
      <c r="J1146" s="44"/>
      <c r="K1146" s="45"/>
      <c r="M1146" s="44"/>
      <c r="N1146" s="45"/>
    </row>
    <row r="1147" spans="1:14">
      <c r="A1147" s="44"/>
      <c r="B1147" s="45"/>
      <c r="C1147" s="45"/>
      <c r="E1147" s="44"/>
      <c r="F1147" s="45"/>
      <c r="G1147" s="45"/>
      <c r="J1147" s="44"/>
      <c r="K1147" s="45"/>
      <c r="M1147" s="44"/>
      <c r="N1147" s="45"/>
    </row>
    <row r="1148" spans="1:14">
      <c r="A1148" s="44"/>
      <c r="B1148" s="45"/>
      <c r="C1148" s="45"/>
      <c r="E1148" s="44"/>
      <c r="F1148" s="45"/>
      <c r="G1148" s="45"/>
      <c r="J1148" s="44"/>
      <c r="K1148" s="45"/>
      <c r="M1148" s="44"/>
      <c r="N1148" s="45"/>
    </row>
    <row r="1149" spans="1:14">
      <c r="A1149" s="44"/>
      <c r="B1149" s="45"/>
      <c r="C1149" s="45"/>
      <c r="E1149" s="44"/>
      <c r="F1149" s="45"/>
      <c r="G1149" s="45"/>
      <c r="J1149" s="44"/>
      <c r="K1149" s="45"/>
      <c r="M1149" s="44"/>
      <c r="N1149" s="45"/>
    </row>
    <row r="1150" spans="1:14">
      <c r="A1150" s="44"/>
      <c r="B1150" s="45"/>
      <c r="C1150" s="45"/>
      <c r="E1150" s="44"/>
      <c r="F1150" s="45"/>
      <c r="G1150" s="45"/>
      <c r="J1150" s="44"/>
      <c r="K1150" s="45"/>
      <c r="M1150" s="44"/>
      <c r="N1150" s="45"/>
    </row>
    <row r="1151" spans="1:14">
      <c r="A1151" s="44"/>
      <c r="B1151" s="45"/>
      <c r="C1151" s="45"/>
      <c r="E1151" s="44"/>
      <c r="F1151" s="45"/>
      <c r="G1151" s="45"/>
      <c r="J1151" s="44"/>
      <c r="K1151" s="45"/>
      <c r="M1151" s="44"/>
      <c r="N1151" s="45"/>
    </row>
    <row r="1152" spans="1:14">
      <c r="A1152" s="44"/>
      <c r="B1152" s="45"/>
      <c r="C1152" s="45"/>
      <c r="E1152" s="44"/>
      <c r="F1152" s="45"/>
      <c r="G1152" s="45"/>
      <c r="J1152" s="44"/>
      <c r="K1152" s="45"/>
      <c r="M1152" s="44"/>
      <c r="N1152" s="45"/>
    </row>
    <row r="1153" spans="1:14">
      <c r="A1153" s="44"/>
      <c r="B1153" s="45"/>
      <c r="C1153" s="45"/>
      <c r="E1153" s="44"/>
      <c r="F1153" s="45"/>
      <c r="G1153" s="45"/>
      <c r="J1153" s="44"/>
      <c r="K1153" s="45"/>
      <c r="M1153" s="44"/>
      <c r="N1153" s="45"/>
    </row>
    <row r="1154" spans="1:14">
      <c r="A1154" s="44"/>
      <c r="B1154" s="45"/>
      <c r="C1154" s="45"/>
      <c r="E1154" s="44"/>
      <c r="F1154" s="45"/>
      <c r="G1154" s="45"/>
      <c r="J1154" s="44"/>
      <c r="K1154" s="45"/>
      <c r="M1154" s="44"/>
      <c r="N1154" s="45"/>
    </row>
    <row r="1155" spans="1:14">
      <c r="A1155" s="44"/>
      <c r="B1155" s="45"/>
      <c r="C1155" s="45"/>
      <c r="E1155" s="44"/>
      <c r="F1155" s="45"/>
      <c r="G1155" s="45"/>
      <c r="J1155" s="44"/>
      <c r="K1155" s="45"/>
      <c r="M1155" s="44"/>
      <c r="N1155" s="45"/>
    </row>
    <row r="1156" spans="1:14">
      <c r="A1156" s="44"/>
      <c r="B1156" s="45"/>
      <c r="C1156" s="45"/>
      <c r="E1156" s="44"/>
      <c r="F1156" s="45"/>
      <c r="G1156" s="45"/>
      <c r="J1156" s="44"/>
      <c r="K1156" s="45"/>
      <c r="M1156" s="44"/>
      <c r="N1156" s="45"/>
    </row>
    <row r="1157" spans="1:14">
      <c r="A1157" s="44"/>
      <c r="B1157" s="45"/>
      <c r="C1157" s="45"/>
      <c r="E1157" s="44"/>
      <c r="F1157" s="45"/>
      <c r="G1157" s="45"/>
      <c r="J1157" s="44"/>
      <c r="K1157" s="45"/>
      <c r="M1157" s="44"/>
      <c r="N1157" s="45"/>
    </row>
    <row r="1158" spans="1:14">
      <c r="A1158" s="44"/>
      <c r="B1158" s="45"/>
      <c r="C1158" s="45"/>
      <c r="E1158" s="44"/>
      <c r="F1158" s="45"/>
      <c r="G1158" s="45"/>
      <c r="J1158" s="44"/>
      <c r="K1158" s="45"/>
      <c r="M1158" s="44"/>
      <c r="N1158" s="45"/>
    </row>
    <row r="1159" spans="1:14">
      <c r="A1159" s="44"/>
      <c r="B1159" s="45"/>
      <c r="C1159" s="45"/>
      <c r="E1159" s="44"/>
      <c r="F1159" s="45"/>
      <c r="G1159" s="45"/>
      <c r="J1159" s="44"/>
      <c r="K1159" s="45"/>
      <c r="M1159" s="44"/>
      <c r="N1159" s="45"/>
    </row>
    <row r="1160" spans="1:14">
      <c r="A1160" s="44"/>
      <c r="B1160" s="45"/>
      <c r="C1160" s="45"/>
      <c r="E1160" s="44"/>
      <c r="F1160" s="45"/>
      <c r="G1160" s="45"/>
      <c r="J1160" s="44"/>
      <c r="K1160" s="45"/>
      <c r="M1160" s="44"/>
      <c r="N1160" s="45"/>
    </row>
    <row r="1161" spans="1:14">
      <c r="A1161" s="44"/>
      <c r="B1161" s="45"/>
      <c r="C1161" s="45"/>
      <c r="E1161" s="44"/>
      <c r="F1161" s="45"/>
      <c r="G1161" s="45"/>
      <c r="J1161" s="44"/>
      <c r="K1161" s="45"/>
      <c r="M1161" s="44"/>
      <c r="N1161" s="45"/>
    </row>
    <row r="1162" spans="1:14">
      <c r="A1162" s="44"/>
      <c r="B1162" s="45"/>
      <c r="C1162" s="45"/>
      <c r="E1162" s="44"/>
      <c r="F1162" s="45"/>
      <c r="G1162" s="45"/>
      <c r="J1162" s="44"/>
      <c r="K1162" s="45"/>
      <c r="M1162" s="44"/>
      <c r="N1162" s="45"/>
    </row>
    <row r="1163" spans="1:14">
      <c r="A1163" s="44"/>
      <c r="B1163" s="45"/>
      <c r="C1163" s="45"/>
      <c r="E1163" s="44"/>
      <c r="F1163" s="45"/>
      <c r="G1163" s="45"/>
      <c r="J1163" s="44"/>
      <c r="K1163" s="45"/>
      <c r="M1163" s="44"/>
      <c r="N1163" s="45"/>
    </row>
    <row r="1164" spans="1:14">
      <c r="A1164" s="44"/>
      <c r="B1164" s="45"/>
      <c r="C1164" s="45"/>
      <c r="E1164" s="44"/>
      <c r="F1164" s="45"/>
      <c r="G1164" s="45"/>
      <c r="J1164" s="44"/>
      <c r="K1164" s="45"/>
      <c r="M1164" s="44"/>
      <c r="N1164" s="45"/>
    </row>
    <row r="1165" spans="1:14">
      <c r="A1165" s="44"/>
      <c r="B1165" s="45"/>
      <c r="C1165" s="45"/>
      <c r="E1165" s="44"/>
      <c r="F1165" s="45"/>
      <c r="G1165" s="45"/>
      <c r="J1165" s="44"/>
      <c r="K1165" s="45"/>
      <c r="M1165" s="44"/>
      <c r="N1165" s="45"/>
    </row>
    <row r="1166" spans="1:14">
      <c r="A1166" s="44"/>
      <c r="B1166" s="45"/>
      <c r="C1166" s="45"/>
      <c r="E1166" s="44"/>
      <c r="F1166" s="45"/>
      <c r="G1166" s="45"/>
      <c r="J1166" s="44"/>
      <c r="K1166" s="45"/>
      <c r="M1166" s="44"/>
      <c r="N1166" s="45"/>
    </row>
    <row r="1167" spans="1:14">
      <c r="A1167" s="44"/>
      <c r="B1167" s="45"/>
      <c r="C1167" s="45"/>
      <c r="E1167" s="44"/>
      <c r="F1167" s="45"/>
      <c r="G1167" s="45"/>
      <c r="J1167" s="44"/>
      <c r="K1167" s="45"/>
      <c r="M1167" s="44"/>
      <c r="N1167" s="45"/>
    </row>
    <row r="1168" spans="1:14">
      <c r="A1168" s="44"/>
      <c r="B1168" s="45"/>
      <c r="C1168" s="45"/>
      <c r="E1168" s="44"/>
      <c r="F1168" s="45"/>
      <c r="G1168" s="45"/>
      <c r="J1168" s="44"/>
      <c r="K1168" s="45"/>
      <c r="M1168" s="44"/>
      <c r="N1168" s="45"/>
    </row>
    <row r="1169" spans="1:14">
      <c r="A1169" s="44"/>
      <c r="B1169" s="45"/>
      <c r="C1169" s="45"/>
      <c r="E1169" s="44"/>
      <c r="F1169" s="45"/>
      <c r="G1169" s="45"/>
      <c r="J1169" s="44"/>
      <c r="K1169" s="45"/>
      <c r="M1169" s="44"/>
      <c r="N1169" s="45"/>
    </row>
    <row r="1170" spans="1:14">
      <c r="A1170" s="44"/>
      <c r="B1170" s="45"/>
      <c r="C1170" s="45"/>
      <c r="E1170" s="44"/>
      <c r="F1170" s="45"/>
      <c r="G1170" s="45"/>
      <c r="J1170" s="44"/>
      <c r="K1170" s="45"/>
      <c r="M1170" s="44"/>
      <c r="N1170" s="45"/>
    </row>
    <row r="1171" spans="1:14">
      <c r="A1171" s="44"/>
      <c r="B1171" s="45"/>
      <c r="C1171" s="45"/>
      <c r="E1171" s="44"/>
      <c r="F1171" s="45"/>
      <c r="G1171" s="45"/>
      <c r="J1171" s="44"/>
      <c r="K1171" s="45"/>
      <c r="M1171" s="44"/>
      <c r="N1171" s="45"/>
    </row>
    <row r="1172" spans="1:14">
      <c r="A1172" s="44"/>
      <c r="B1172" s="45"/>
      <c r="C1172" s="45"/>
      <c r="E1172" s="44"/>
      <c r="F1172" s="45"/>
      <c r="G1172" s="45"/>
      <c r="J1172" s="44"/>
      <c r="K1172" s="45"/>
      <c r="M1172" s="44"/>
      <c r="N1172" s="45"/>
    </row>
    <row r="1173" spans="1:14">
      <c r="A1173" s="44"/>
      <c r="B1173" s="45"/>
      <c r="C1173" s="45"/>
      <c r="E1173" s="44"/>
      <c r="F1173" s="45"/>
      <c r="G1173" s="45"/>
      <c r="J1173" s="44"/>
      <c r="K1173" s="45"/>
      <c r="M1173" s="44"/>
      <c r="N1173" s="45"/>
    </row>
    <row r="1174" spans="1:14">
      <c r="A1174" s="44"/>
      <c r="B1174" s="45"/>
      <c r="C1174" s="45"/>
      <c r="E1174" s="44"/>
      <c r="F1174" s="45"/>
      <c r="G1174" s="45"/>
      <c r="J1174" s="44"/>
      <c r="K1174" s="45"/>
      <c r="M1174" s="44"/>
      <c r="N1174" s="45"/>
    </row>
    <row r="1175" spans="1:14">
      <c r="A1175" s="44"/>
      <c r="B1175" s="45"/>
      <c r="C1175" s="45"/>
      <c r="E1175" s="44"/>
      <c r="F1175" s="45"/>
      <c r="G1175" s="45"/>
      <c r="J1175" s="44"/>
      <c r="K1175" s="45"/>
      <c r="M1175" s="44"/>
      <c r="N1175" s="45"/>
    </row>
    <row r="1176" spans="1:14">
      <c r="A1176" s="44"/>
      <c r="B1176" s="45"/>
      <c r="C1176" s="45"/>
      <c r="E1176" s="44"/>
      <c r="F1176" s="45"/>
      <c r="G1176" s="45"/>
      <c r="J1176" s="44"/>
      <c r="K1176" s="45"/>
      <c r="M1176" s="44"/>
      <c r="N1176" s="45"/>
    </row>
    <row r="1177" spans="1:14">
      <c r="A1177" s="44"/>
      <c r="B1177" s="45"/>
      <c r="C1177" s="45"/>
      <c r="E1177" s="44"/>
      <c r="F1177" s="45"/>
      <c r="G1177" s="45"/>
      <c r="J1177" s="44"/>
      <c r="K1177" s="45"/>
      <c r="M1177" s="44"/>
      <c r="N1177" s="45"/>
    </row>
    <row r="1178" spans="1:14">
      <c r="A1178" s="44"/>
      <c r="B1178" s="45"/>
      <c r="C1178" s="45"/>
      <c r="E1178" s="44"/>
      <c r="F1178" s="45"/>
      <c r="G1178" s="45"/>
      <c r="J1178" s="44"/>
      <c r="K1178" s="45"/>
      <c r="M1178" s="44"/>
      <c r="N1178" s="45"/>
    </row>
    <row r="1179" spans="1:14">
      <c r="A1179" s="44"/>
      <c r="B1179" s="45"/>
      <c r="C1179" s="45"/>
      <c r="E1179" s="44"/>
      <c r="F1179" s="45"/>
      <c r="G1179" s="45"/>
      <c r="J1179" s="44"/>
      <c r="K1179" s="45"/>
      <c r="M1179" s="44"/>
      <c r="N1179" s="45"/>
    </row>
    <row r="1180" spans="1:14">
      <c r="A1180" s="44"/>
      <c r="B1180" s="45"/>
      <c r="C1180" s="45"/>
      <c r="E1180" s="44"/>
      <c r="F1180" s="45"/>
      <c r="G1180" s="45"/>
      <c r="J1180" s="44"/>
      <c r="K1180" s="45"/>
      <c r="M1180" s="44"/>
      <c r="N1180" s="45"/>
    </row>
    <row r="1181" spans="1:14">
      <c r="A1181" s="44"/>
      <c r="B1181" s="45"/>
      <c r="C1181" s="45"/>
      <c r="E1181" s="44"/>
      <c r="F1181" s="45"/>
      <c r="G1181" s="45"/>
      <c r="J1181" s="44"/>
      <c r="K1181" s="45"/>
      <c r="M1181" s="44"/>
      <c r="N1181" s="45"/>
    </row>
    <row r="1182" spans="1:14">
      <c r="A1182" s="44"/>
      <c r="B1182" s="45"/>
      <c r="C1182" s="45"/>
      <c r="E1182" s="44"/>
      <c r="F1182" s="45"/>
      <c r="G1182" s="45"/>
      <c r="J1182" s="44"/>
      <c r="K1182" s="45"/>
      <c r="M1182" s="44"/>
      <c r="N1182" s="45"/>
    </row>
    <row r="1183" spans="1:14">
      <c r="A1183" s="44"/>
      <c r="B1183" s="45"/>
      <c r="C1183" s="45"/>
      <c r="E1183" s="44"/>
      <c r="F1183" s="45"/>
      <c r="G1183" s="45"/>
      <c r="J1183" s="44"/>
      <c r="K1183" s="45"/>
      <c r="M1183" s="44"/>
      <c r="N1183" s="45"/>
    </row>
    <row r="1184" spans="1:14">
      <c r="A1184" s="44"/>
      <c r="B1184" s="45"/>
      <c r="C1184" s="45"/>
      <c r="E1184" s="44"/>
      <c r="F1184" s="45"/>
      <c r="G1184" s="45"/>
      <c r="J1184" s="44"/>
      <c r="K1184" s="45"/>
      <c r="M1184" s="44"/>
      <c r="N1184" s="45"/>
    </row>
    <row r="1185" spans="1:14">
      <c r="A1185" s="44"/>
      <c r="B1185" s="45"/>
      <c r="C1185" s="45"/>
      <c r="E1185" s="44"/>
      <c r="F1185" s="45"/>
      <c r="G1185" s="45"/>
      <c r="J1185" s="44"/>
      <c r="K1185" s="45"/>
      <c r="M1185" s="44"/>
      <c r="N1185" s="45"/>
    </row>
    <row r="1186" spans="1:14">
      <c r="A1186" s="44"/>
      <c r="B1186" s="45"/>
      <c r="C1186" s="45"/>
      <c r="E1186" s="44"/>
      <c r="F1186" s="45"/>
      <c r="G1186" s="45"/>
      <c r="J1186" s="44"/>
      <c r="K1186" s="45"/>
      <c r="M1186" s="44"/>
      <c r="N1186" s="45"/>
    </row>
    <row r="1187" spans="1:14">
      <c r="A1187" s="44"/>
      <c r="B1187" s="45"/>
      <c r="C1187" s="45"/>
      <c r="E1187" s="44"/>
      <c r="F1187" s="45"/>
      <c r="G1187" s="45"/>
      <c r="J1187" s="44"/>
      <c r="K1187" s="45"/>
      <c r="M1187" s="44"/>
      <c r="N1187" s="45"/>
    </row>
    <row r="1188" spans="1:14">
      <c r="A1188" s="44"/>
      <c r="B1188" s="45"/>
      <c r="C1188" s="45"/>
      <c r="E1188" s="44"/>
      <c r="F1188" s="45"/>
      <c r="G1188" s="45"/>
      <c r="J1188" s="44"/>
      <c r="K1188" s="45"/>
      <c r="M1188" s="44"/>
      <c r="N1188" s="45"/>
    </row>
    <row r="1189" spans="1:14">
      <c r="A1189" s="44"/>
      <c r="B1189" s="45"/>
      <c r="C1189" s="45"/>
      <c r="E1189" s="44"/>
      <c r="F1189" s="45"/>
      <c r="G1189" s="45"/>
      <c r="J1189" s="44"/>
      <c r="K1189" s="45"/>
      <c r="M1189" s="44"/>
      <c r="N1189" s="45"/>
    </row>
    <row r="1190" spans="1:14">
      <c r="A1190" s="44"/>
      <c r="B1190" s="45"/>
      <c r="C1190" s="45"/>
      <c r="E1190" s="44"/>
      <c r="F1190" s="45"/>
      <c r="G1190" s="45"/>
      <c r="J1190" s="44"/>
      <c r="K1190" s="45"/>
      <c r="M1190" s="44"/>
      <c r="N1190" s="45"/>
    </row>
    <row r="1191" spans="1:14">
      <c r="A1191" s="44"/>
      <c r="B1191" s="45"/>
      <c r="C1191" s="45"/>
      <c r="E1191" s="44"/>
      <c r="F1191" s="45"/>
      <c r="G1191" s="45"/>
      <c r="J1191" s="44"/>
      <c r="K1191" s="45"/>
      <c r="M1191" s="44"/>
      <c r="N1191" s="45"/>
    </row>
    <row r="1192" spans="1:14">
      <c r="A1192" s="44"/>
      <c r="B1192" s="45"/>
      <c r="C1192" s="45"/>
      <c r="E1192" s="44"/>
      <c r="F1192" s="45"/>
      <c r="G1192" s="45"/>
      <c r="J1192" s="44"/>
      <c r="K1192" s="45"/>
      <c r="M1192" s="44"/>
      <c r="N1192" s="45"/>
    </row>
    <row r="1193" spans="1:14">
      <c r="A1193" s="44"/>
      <c r="B1193" s="45"/>
      <c r="C1193" s="45"/>
      <c r="E1193" s="44"/>
      <c r="F1193" s="45"/>
      <c r="G1193" s="45"/>
      <c r="J1193" s="44"/>
      <c r="K1193" s="45"/>
      <c r="M1193" s="44"/>
      <c r="N1193" s="45"/>
    </row>
    <row r="1194" spans="1:14">
      <c r="A1194" s="44"/>
      <c r="B1194" s="45"/>
      <c r="C1194" s="45"/>
      <c r="E1194" s="44"/>
      <c r="F1194" s="45"/>
      <c r="G1194" s="45"/>
      <c r="J1194" s="44"/>
      <c r="K1194" s="45"/>
      <c r="M1194" s="44"/>
      <c r="N1194" s="45"/>
    </row>
    <row r="1195" spans="1:14">
      <c r="A1195" s="44"/>
      <c r="B1195" s="45"/>
      <c r="C1195" s="45"/>
      <c r="E1195" s="44"/>
      <c r="F1195" s="45"/>
      <c r="G1195" s="45"/>
      <c r="J1195" s="44"/>
      <c r="K1195" s="45"/>
      <c r="M1195" s="44"/>
      <c r="N1195" s="45"/>
    </row>
    <row r="1196" spans="1:14">
      <c r="A1196" s="44"/>
      <c r="B1196" s="45"/>
      <c r="C1196" s="45"/>
      <c r="E1196" s="44"/>
      <c r="F1196" s="45"/>
      <c r="G1196" s="45"/>
      <c r="J1196" s="44"/>
      <c r="K1196" s="45"/>
      <c r="M1196" s="44"/>
      <c r="N1196" s="45"/>
    </row>
    <row r="1197" spans="1:14">
      <c r="A1197" s="44"/>
      <c r="B1197" s="45"/>
      <c r="C1197" s="45"/>
      <c r="E1197" s="44"/>
      <c r="F1197" s="45"/>
      <c r="G1197" s="45"/>
      <c r="J1197" s="44"/>
      <c r="K1197" s="45"/>
      <c r="M1197" s="44"/>
      <c r="N1197" s="45"/>
    </row>
    <row r="1198" spans="1:14">
      <c r="A1198" s="44"/>
      <c r="B1198" s="45"/>
      <c r="C1198" s="45"/>
      <c r="E1198" s="44"/>
      <c r="F1198" s="45"/>
      <c r="G1198" s="45"/>
      <c r="J1198" s="44"/>
      <c r="K1198" s="45"/>
      <c r="M1198" s="44"/>
      <c r="N1198" s="45"/>
    </row>
    <row r="1199" spans="1:14">
      <c r="A1199" s="44"/>
      <c r="B1199" s="45"/>
      <c r="C1199" s="45"/>
      <c r="E1199" s="44"/>
      <c r="F1199" s="45"/>
      <c r="G1199" s="45"/>
      <c r="J1199" s="44"/>
      <c r="K1199" s="45"/>
      <c r="M1199" s="44"/>
      <c r="N1199" s="45"/>
    </row>
    <row r="1200" spans="1:14">
      <c r="A1200" s="44"/>
      <c r="B1200" s="45"/>
      <c r="C1200" s="45"/>
      <c r="E1200" s="44"/>
      <c r="F1200" s="45"/>
      <c r="G1200" s="45"/>
      <c r="J1200" s="44"/>
      <c r="K1200" s="45"/>
      <c r="M1200" s="44"/>
      <c r="N1200" s="45"/>
    </row>
    <row r="1201" spans="1:14">
      <c r="A1201" s="44"/>
      <c r="B1201" s="45"/>
      <c r="C1201" s="45"/>
      <c r="E1201" s="44"/>
      <c r="F1201" s="45"/>
      <c r="G1201" s="45"/>
      <c r="J1201" s="44"/>
      <c r="K1201" s="45"/>
      <c r="M1201" s="44"/>
      <c r="N1201" s="45"/>
    </row>
    <row r="1202" spans="1:14">
      <c r="A1202" s="44"/>
      <c r="B1202" s="45"/>
      <c r="C1202" s="45"/>
      <c r="E1202" s="44"/>
      <c r="F1202" s="45"/>
      <c r="G1202" s="45"/>
      <c r="J1202" s="44"/>
      <c r="K1202" s="45"/>
      <c r="M1202" s="44"/>
      <c r="N1202" s="45"/>
    </row>
    <row r="1203" spans="1:14">
      <c r="A1203" s="44"/>
      <c r="B1203" s="45"/>
      <c r="C1203" s="45"/>
      <c r="E1203" s="44"/>
      <c r="F1203" s="45"/>
      <c r="G1203" s="45"/>
      <c r="J1203" s="44"/>
      <c r="K1203" s="45"/>
      <c r="M1203" s="44"/>
      <c r="N1203" s="45"/>
    </row>
    <row r="1204" spans="1:14">
      <c r="A1204" s="44"/>
      <c r="B1204" s="45"/>
      <c r="C1204" s="45"/>
      <c r="E1204" s="44"/>
      <c r="F1204" s="45"/>
      <c r="G1204" s="45"/>
      <c r="J1204" s="44"/>
      <c r="K1204" s="45"/>
      <c r="M1204" s="44"/>
      <c r="N1204" s="45"/>
    </row>
    <row r="1205" spans="1:14">
      <c r="A1205" s="44"/>
      <c r="B1205" s="45"/>
      <c r="C1205" s="45"/>
      <c r="E1205" s="44"/>
      <c r="F1205" s="45"/>
      <c r="G1205" s="45"/>
      <c r="J1205" s="44"/>
      <c r="K1205" s="45"/>
      <c r="M1205" s="44"/>
      <c r="N1205" s="45"/>
    </row>
    <row r="1206" spans="1:14">
      <c r="A1206" s="44"/>
      <c r="B1206" s="45"/>
      <c r="C1206" s="45"/>
      <c r="E1206" s="44"/>
      <c r="F1206" s="45"/>
      <c r="G1206" s="45"/>
      <c r="J1206" s="44"/>
      <c r="K1206" s="45"/>
      <c r="M1206" s="44"/>
      <c r="N1206" s="45"/>
    </row>
    <row r="1207" spans="1:14">
      <c r="A1207" s="44"/>
      <c r="B1207" s="45"/>
      <c r="C1207" s="45"/>
      <c r="E1207" s="44"/>
      <c r="F1207" s="45"/>
      <c r="G1207" s="45"/>
      <c r="J1207" s="44"/>
      <c r="K1207" s="45"/>
      <c r="M1207" s="44"/>
      <c r="N1207" s="45"/>
    </row>
    <row r="1208" spans="1:14">
      <c r="A1208" s="44"/>
      <c r="B1208" s="45"/>
      <c r="C1208" s="45"/>
      <c r="E1208" s="44"/>
      <c r="F1208" s="45"/>
      <c r="G1208" s="45"/>
      <c r="J1208" s="44"/>
      <c r="K1208" s="45"/>
      <c r="M1208" s="44"/>
      <c r="N1208" s="45"/>
    </row>
    <row r="1209" spans="1:14">
      <c r="A1209" s="44"/>
      <c r="B1209" s="45"/>
      <c r="C1209" s="45"/>
      <c r="E1209" s="44"/>
      <c r="F1209" s="45"/>
      <c r="G1209" s="45"/>
      <c r="J1209" s="44"/>
      <c r="K1209" s="45"/>
      <c r="M1209" s="44"/>
      <c r="N1209" s="45"/>
    </row>
    <row r="1210" spans="1:14">
      <c r="A1210" s="44"/>
      <c r="B1210" s="45"/>
      <c r="C1210" s="45"/>
      <c r="E1210" s="44"/>
      <c r="F1210" s="45"/>
      <c r="G1210" s="45"/>
      <c r="J1210" s="44"/>
      <c r="K1210" s="45"/>
      <c r="M1210" s="44"/>
      <c r="N1210" s="45"/>
    </row>
    <row r="1211" spans="1:14">
      <c r="A1211" s="44"/>
      <c r="B1211" s="45"/>
      <c r="C1211" s="45"/>
      <c r="E1211" s="44"/>
      <c r="F1211" s="45"/>
      <c r="G1211" s="45"/>
      <c r="J1211" s="44"/>
      <c r="K1211" s="45"/>
      <c r="M1211" s="44"/>
      <c r="N1211" s="45"/>
    </row>
    <row r="1212" spans="1:14">
      <c r="A1212" s="44"/>
      <c r="B1212" s="45"/>
      <c r="C1212" s="45"/>
      <c r="E1212" s="44"/>
      <c r="F1212" s="45"/>
      <c r="G1212" s="45"/>
      <c r="J1212" s="44"/>
      <c r="K1212" s="45"/>
      <c r="M1212" s="44"/>
      <c r="N1212" s="45"/>
    </row>
    <row r="1213" spans="1:14">
      <c r="A1213" s="44"/>
      <c r="B1213" s="45"/>
      <c r="C1213" s="45"/>
      <c r="E1213" s="44"/>
      <c r="F1213" s="45"/>
      <c r="G1213" s="45"/>
      <c r="J1213" s="44"/>
      <c r="K1213" s="45"/>
      <c r="M1213" s="44"/>
      <c r="N1213" s="45"/>
    </row>
    <row r="1214" spans="1:14">
      <c r="A1214" s="44"/>
      <c r="B1214" s="45"/>
      <c r="C1214" s="45"/>
      <c r="E1214" s="44"/>
      <c r="F1214" s="45"/>
      <c r="G1214" s="45"/>
      <c r="J1214" s="44"/>
      <c r="K1214" s="45"/>
      <c r="M1214" s="44"/>
      <c r="N1214" s="45"/>
    </row>
    <row r="1215" spans="1:14">
      <c r="A1215" s="44"/>
      <c r="B1215" s="45"/>
      <c r="C1215" s="45"/>
      <c r="E1215" s="44"/>
      <c r="F1215" s="45"/>
      <c r="G1215" s="45"/>
      <c r="J1215" s="44"/>
      <c r="K1215" s="45"/>
      <c r="M1215" s="44"/>
      <c r="N1215" s="45"/>
    </row>
    <row r="1216" spans="1:14">
      <c r="A1216" s="44"/>
      <c r="B1216" s="45"/>
      <c r="C1216" s="45"/>
      <c r="E1216" s="44"/>
      <c r="F1216" s="45"/>
      <c r="G1216" s="45"/>
      <c r="J1216" s="44"/>
      <c r="K1216" s="45"/>
      <c r="M1216" s="44"/>
      <c r="N1216" s="45"/>
    </row>
    <row r="1217" spans="1:14">
      <c r="A1217" s="44"/>
      <c r="B1217" s="45"/>
      <c r="C1217" s="45"/>
      <c r="E1217" s="44"/>
      <c r="F1217" s="45"/>
      <c r="G1217" s="45"/>
      <c r="J1217" s="44"/>
      <c r="K1217" s="45"/>
      <c r="M1217" s="44"/>
      <c r="N1217" s="45"/>
    </row>
    <row r="1218" spans="1:14">
      <c r="A1218" s="44"/>
      <c r="B1218" s="45"/>
      <c r="C1218" s="45"/>
      <c r="E1218" s="44"/>
      <c r="F1218" s="45"/>
      <c r="G1218" s="45"/>
      <c r="J1218" s="44"/>
      <c r="K1218" s="45"/>
      <c r="M1218" s="44"/>
      <c r="N1218" s="45"/>
    </row>
    <row r="1219" spans="1:14">
      <c r="A1219" s="44"/>
      <c r="B1219" s="45"/>
      <c r="C1219" s="45"/>
      <c r="E1219" s="44"/>
      <c r="F1219" s="45"/>
      <c r="G1219" s="45"/>
      <c r="J1219" s="44"/>
      <c r="K1219" s="45"/>
      <c r="M1219" s="44"/>
      <c r="N1219" s="45"/>
    </row>
    <row r="1220" spans="1:14">
      <c r="A1220" s="44"/>
      <c r="B1220" s="45"/>
      <c r="C1220" s="45"/>
      <c r="E1220" s="44"/>
      <c r="F1220" s="45"/>
      <c r="G1220" s="45"/>
      <c r="J1220" s="44"/>
      <c r="K1220" s="45"/>
      <c r="M1220" s="44"/>
      <c r="N1220" s="45"/>
    </row>
    <row r="1221" spans="1:14">
      <c r="A1221" s="44"/>
      <c r="B1221" s="45"/>
      <c r="C1221" s="45"/>
      <c r="E1221" s="44"/>
      <c r="F1221" s="45"/>
      <c r="G1221" s="45"/>
      <c r="J1221" s="44"/>
      <c r="K1221" s="45"/>
      <c r="M1221" s="44"/>
      <c r="N1221" s="45"/>
    </row>
    <row r="1222" spans="1:14">
      <c r="A1222" s="44"/>
      <c r="B1222" s="45"/>
      <c r="C1222" s="45"/>
      <c r="E1222" s="44"/>
      <c r="F1222" s="45"/>
      <c r="G1222" s="45"/>
      <c r="J1222" s="44"/>
      <c r="K1222" s="45"/>
      <c r="M1222" s="44"/>
      <c r="N1222" s="45"/>
    </row>
    <row r="1223" spans="1:14">
      <c r="A1223" s="44"/>
      <c r="B1223" s="45"/>
      <c r="C1223" s="45"/>
      <c r="E1223" s="44"/>
      <c r="F1223" s="45"/>
      <c r="G1223" s="45"/>
      <c r="J1223" s="44"/>
      <c r="K1223" s="45"/>
      <c r="M1223" s="44"/>
      <c r="N1223" s="45"/>
    </row>
    <row r="1224" spans="1:14">
      <c r="A1224" s="44"/>
      <c r="B1224" s="45"/>
      <c r="C1224" s="45"/>
      <c r="E1224" s="44"/>
      <c r="F1224" s="45"/>
      <c r="G1224" s="45"/>
      <c r="J1224" s="44"/>
      <c r="K1224" s="45"/>
      <c r="M1224" s="44"/>
      <c r="N1224" s="45"/>
    </row>
    <row r="1225" spans="1:14">
      <c r="A1225" s="44"/>
      <c r="B1225" s="45"/>
      <c r="C1225" s="45"/>
      <c r="E1225" s="44"/>
      <c r="F1225" s="45"/>
      <c r="G1225" s="45"/>
      <c r="J1225" s="44"/>
      <c r="K1225" s="45"/>
      <c r="M1225" s="44"/>
      <c r="N1225" s="45"/>
    </row>
    <row r="1226" spans="1:14">
      <c r="A1226" s="44"/>
      <c r="B1226" s="45"/>
      <c r="C1226" s="45"/>
      <c r="E1226" s="44"/>
      <c r="F1226" s="45"/>
      <c r="G1226" s="45"/>
      <c r="J1226" s="44"/>
      <c r="K1226" s="45"/>
      <c r="M1226" s="44"/>
      <c r="N1226" s="45"/>
    </row>
    <row r="1227" spans="1:14">
      <c r="A1227" s="44"/>
      <c r="B1227" s="45"/>
      <c r="C1227" s="45"/>
      <c r="E1227" s="44"/>
      <c r="F1227" s="45"/>
      <c r="G1227" s="45"/>
      <c r="J1227" s="44"/>
      <c r="K1227" s="45"/>
      <c r="M1227" s="44"/>
      <c r="N1227" s="45"/>
    </row>
    <row r="1228" spans="1:14">
      <c r="A1228" s="44"/>
      <c r="B1228" s="45"/>
      <c r="C1228" s="45"/>
      <c r="E1228" s="44"/>
      <c r="F1228" s="45"/>
      <c r="G1228" s="45"/>
      <c r="J1228" s="44"/>
      <c r="K1228" s="45"/>
      <c r="M1228" s="44"/>
      <c r="N1228" s="45"/>
    </row>
    <row r="1229" spans="1:14">
      <c r="A1229" s="44"/>
      <c r="B1229" s="45"/>
      <c r="C1229" s="45"/>
      <c r="E1229" s="44"/>
      <c r="F1229" s="45"/>
      <c r="G1229" s="45"/>
      <c r="J1229" s="44"/>
      <c r="K1229" s="45"/>
      <c r="M1229" s="44"/>
      <c r="N1229" s="45"/>
    </row>
    <row r="1230" spans="1:14">
      <c r="A1230" s="44"/>
      <c r="B1230" s="45"/>
      <c r="C1230" s="45"/>
      <c r="E1230" s="44"/>
      <c r="F1230" s="45"/>
      <c r="G1230" s="45"/>
      <c r="J1230" s="44"/>
      <c r="K1230" s="45"/>
      <c r="M1230" s="44"/>
      <c r="N1230" s="45"/>
    </row>
    <row r="1231" spans="1:14">
      <c r="A1231" s="44"/>
      <c r="B1231" s="45"/>
      <c r="C1231" s="45"/>
      <c r="E1231" s="44"/>
      <c r="F1231" s="45"/>
      <c r="G1231" s="45"/>
      <c r="J1231" s="44"/>
      <c r="K1231" s="45"/>
      <c r="M1231" s="44"/>
      <c r="N1231" s="45"/>
    </row>
    <row r="1232" spans="1:14">
      <c r="A1232" s="44"/>
      <c r="B1232" s="45"/>
      <c r="C1232" s="45"/>
      <c r="E1232" s="44"/>
      <c r="F1232" s="45"/>
      <c r="G1232" s="45"/>
      <c r="J1232" s="44"/>
      <c r="K1232" s="45"/>
      <c r="M1232" s="44"/>
      <c r="N1232" s="45"/>
    </row>
    <row r="1233" spans="1:14">
      <c r="A1233" s="44"/>
      <c r="B1233" s="45"/>
      <c r="C1233" s="45"/>
      <c r="E1233" s="44"/>
      <c r="F1233" s="45"/>
      <c r="G1233" s="45"/>
      <c r="J1233" s="44"/>
      <c r="K1233" s="45"/>
      <c r="M1233" s="44"/>
      <c r="N1233" s="45"/>
    </row>
    <row r="1234" spans="1:14">
      <c r="A1234" s="44"/>
      <c r="B1234" s="45"/>
      <c r="C1234" s="45"/>
      <c r="E1234" s="44"/>
      <c r="F1234" s="45"/>
      <c r="G1234" s="45"/>
      <c r="J1234" s="44"/>
      <c r="K1234" s="45"/>
      <c r="M1234" s="44"/>
      <c r="N1234" s="45"/>
    </row>
    <row r="1235" spans="1:14">
      <c r="A1235" s="44"/>
      <c r="B1235" s="45"/>
      <c r="C1235" s="45"/>
      <c r="E1235" s="44"/>
      <c r="F1235" s="45"/>
      <c r="G1235" s="45"/>
      <c r="J1235" s="44"/>
      <c r="K1235" s="45"/>
      <c r="M1235" s="44"/>
      <c r="N1235" s="45"/>
    </row>
    <row r="1236" spans="1:14">
      <c r="A1236" s="44"/>
      <c r="B1236" s="45"/>
      <c r="C1236" s="45"/>
      <c r="E1236" s="44"/>
      <c r="F1236" s="45"/>
      <c r="G1236" s="45"/>
      <c r="J1236" s="44"/>
      <c r="K1236" s="45"/>
      <c r="M1236" s="44"/>
      <c r="N1236" s="45"/>
    </row>
    <row r="1237" spans="1:14">
      <c r="A1237" s="44"/>
      <c r="B1237" s="45"/>
      <c r="C1237" s="45"/>
      <c r="E1237" s="44"/>
      <c r="F1237" s="45"/>
      <c r="G1237" s="45"/>
      <c r="J1237" s="44"/>
      <c r="K1237" s="45"/>
      <c r="M1237" s="44"/>
      <c r="N1237" s="45"/>
    </row>
    <row r="1238" spans="1:14">
      <c r="A1238" s="44"/>
      <c r="B1238" s="45"/>
      <c r="C1238" s="45"/>
      <c r="E1238" s="44"/>
      <c r="F1238" s="45"/>
      <c r="G1238" s="45"/>
      <c r="J1238" s="44"/>
      <c r="K1238" s="45"/>
      <c r="M1238" s="44"/>
      <c r="N1238" s="45"/>
    </row>
    <row r="1239" spans="1:14">
      <c r="A1239" s="44"/>
      <c r="B1239" s="45"/>
      <c r="C1239" s="45"/>
      <c r="E1239" s="44"/>
      <c r="F1239" s="45"/>
      <c r="G1239" s="45"/>
      <c r="J1239" s="44"/>
      <c r="K1239" s="45"/>
      <c r="M1239" s="44"/>
      <c r="N1239" s="45"/>
    </row>
    <row r="1240" spans="1:14">
      <c r="A1240" s="44"/>
      <c r="B1240" s="45"/>
      <c r="C1240" s="45"/>
      <c r="E1240" s="44"/>
      <c r="F1240" s="45"/>
      <c r="G1240" s="45"/>
      <c r="J1240" s="44"/>
      <c r="K1240" s="45"/>
      <c r="M1240" s="44"/>
      <c r="N1240" s="45"/>
    </row>
    <row r="1241" spans="1:14">
      <c r="A1241" s="44"/>
      <c r="B1241" s="45"/>
      <c r="C1241" s="45"/>
      <c r="E1241" s="44"/>
      <c r="F1241" s="45"/>
      <c r="G1241" s="45"/>
      <c r="J1241" s="44"/>
      <c r="K1241" s="45"/>
      <c r="M1241" s="44"/>
      <c r="N1241" s="45"/>
    </row>
    <row r="1242" spans="1:14">
      <c r="A1242" s="44"/>
      <c r="B1242" s="45"/>
      <c r="C1242" s="45"/>
      <c r="E1242" s="44"/>
      <c r="F1242" s="45"/>
      <c r="G1242" s="45"/>
      <c r="J1242" s="44"/>
      <c r="K1242" s="45"/>
      <c r="M1242" s="44"/>
      <c r="N1242" s="45"/>
    </row>
    <row r="1243" spans="1:14">
      <c r="A1243" s="44"/>
      <c r="B1243" s="45"/>
      <c r="C1243" s="45"/>
      <c r="E1243" s="44"/>
      <c r="F1243" s="45"/>
      <c r="G1243" s="45"/>
      <c r="J1243" s="44"/>
      <c r="K1243" s="45"/>
      <c r="M1243" s="44"/>
      <c r="N1243" s="45"/>
    </row>
    <row r="1244" spans="1:14">
      <c r="A1244" s="44"/>
      <c r="B1244" s="45"/>
      <c r="C1244" s="45"/>
      <c r="E1244" s="44"/>
      <c r="F1244" s="45"/>
      <c r="G1244" s="45"/>
      <c r="J1244" s="44"/>
      <c r="K1244" s="45"/>
      <c r="M1244" s="44"/>
      <c r="N1244" s="45"/>
    </row>
    <row r="1245" spans="1:14">
      <c r="A1245" s="44"/>
      <c r="B1245" s="45"/>
      <c r="C1245" s="45"/>
      <c r="E1245" s="44"/>
      <c r="F1245" s="45"/>
      <c r="G1245" s="45"/>
      <c r="J1245" s="44"/>
      <c r="K1245" s="45"/>
      <c r="M1245" s="44"/>
      <c r="N1245" s="45"/>
    </row>
    <row r="1246" spans="1:14">
      <c r="A1246" s="44"/>
      <c r="B1246" s="45"/>
      <c r="C1246" s="45"/>
      <c r="E1246" s="44"/>
      <c r="F1246" s="45"/>
      <c r="G1246" s="45"/>
      <c r="J1246" s="44"/>
      <c r="K1246" s="45"/>
      <c r="M1246" s="44"/>
      <c r="N1246" s="45"/>
    </row>
    <row r="1247" spans="1:14">
      <c r="A1247" s="44"/>
      <c r="B1247" s="45"/>
      <c r="C1247" s="45"/>
      <c r="E1247" s="44"/>
      <c r="F1247" s="45"/>
      <c r="G1247" s="45"/>
      <c r="J1247" s="44"/>
      <c r="K1247" s="45"/>
      <c r="M1247" s="44"/>
      <c r="N1247" s="45"/>
    </row>
    <row r="1248" spans="1:14">
      <c r="A1248" s="44"/>
      <c r="B1248" s="45"/>
      <c r="C1248" s="45"/>
      <c r="E1248" s="44"/>
      <c r="F1248" s="45"/>
      <c r="G1248" s="45"/>
      <c r="J1248" s="44"/>
      <c r="K1248" s="45"/>
      <c r="M1248" s="44"/>
      <c r="N1248" s="45"/>
    </row>
    <row r="1249" spans="1:14">
      <c r="A1249" s="44"/>
      <c r="B1249" s="45"/>
      <c r="C1249" s="45"/>
      <c r="E1249" s="44"/>
      <c r="F1249" s="45"/>
      <c r="G1249" s="45"/>
      <c r="J1249" s="44"/>
      <c r="K1249" s="45"/>
      <c r="M1249" s="44"/>
      <c r="N1249" s="45"/>
    </row>
    <row r="1250" spans="1:14">
      <c r="A1250" s="44"/>
      <c r="B1250" s="45"/>
      <c r="C1250" s="45"/>
      <c r="E1250" s="44"/>
      <c r="F1250" s="45"/>
      <c r="G1250" s="45"/>
      <c r="J1250" s="44"/>
      <c r="K1250" s="45"/>
      <c r="M1250" s="44"/>
      <c r="N1250" s="45"/>
    </row>
    <row r="1251" spans="1:14">
      <c r="A1251" s="44"/>
      <c r="B1251" s="45"/>
      <c r="C1251" s="45"/>
      <c r="E1251" s="44"/>
      <c r="F1251" s="45"/>
      <c r="G1251" s="45"/>
      <c r="J1251" s="44"/>
      <c r="K1251" s="45"/>
      <c r="M1251" s="44"/>
      <c r="N1251" s="45"/>
    </row>
    <row r="1252" spans="1:14">
      <c r="A1252" s="44"/>
      <c r="B1252" s="45"/>
      <c r="C1252" s="45"/>
      <c r="E1252" s="44"/>
      <c r="F1252" s="45"/>
      <c r="G1252" s="45"/>
      <c r="J1252" s="44"/>
      <c r="K1252" s="45"/>
      <c r="M1252" s="44"/>
      <c r="N1252" s="45"/>
    </row>
    <row r="1253" spans="1:14">
      <c r="A1253" s="44"/>
      <c r="B1253" s="45"/>
      <c r="C1253" s="45"/>
      <c r="E1253" s="44"/>
      <c r="F1253" s="45"/>
      <c r="G1253" s="45"/>
      <c r="J1253" s="44"/>
      <c r="K1253" s="45"/>
      <c r="M1253" s="44"/>
      <c r="N1253" s="45"/>
    </row>
    <row r="1254" spans="1:14">
      <c r="A1254" s="44"/>
      <c r="B1254" s="45"/>
      <c r="C1254" s="45"/>
      <c r="E1254" s="44"/>
      <c r="F1254" s="45"/>
      <c r="G1254" s="45"/>
      <c r="J1254" s="44"/>
      <c r="K1254" s="45"/>
      <c r="M1254" s="44"/>
      <c r="N1254" s="45"/>
    </row>
    <row r="1255" spans="1:14">
      <c r="A1255" s="44"/>
      <c r="B1255" s="45"/>
      <c r="C1255" s="45"/>
      <c r="E1255" s="44"/>
      <c r="F1255" s="45"/>
      <c r="G1255" s="45"/>
      <c r="J1255" s="44"/>
      <c r="K1255" s="45"/>
      <c r="M1255" s="44"/>
      <c r="N1255" s="45"/>
    </row>
    <row r="1256" spans="1:14">
      <c r="A1256" s="44"/>
      <c r="B1256" s="45"/>
      <c r="C1256" s="45"/>
      <c r="E1256" s="44"/>
      <c r="F1256" s="45"/>
      <c r="G1256" s="45"/>
      <c r="J1256" s="44"/>
      <c r="K1256" s="45"/>
      <c r="M1256" s="44"/>
      <c r="N1256" s="45"/>
    </row>
    <row r="1257" spans="1:14">
      <c r="A1257" s="44"/>
      <c r="B1257" s="45"/>
      <c r="C1257" s="45"/>
      <c r="E1257" s="44"/>
      <c r="F1257" s="45"/>
      <c r="G1257" s="45"/>
      <c r="J1257" s="44"/>
      <c r="K1257" s="45"/>
      <c r="M1257" s="44"/>
      <c r="N1257" s="45"/>
    </row>
    <row r="1258" spans="1:14">
      <c r="A1258" s="44"/>
      <c r="B1258" s="45"/>
      <c r="C1258" s="45"/>
      <c r="E1258" s="44"/>
      <c r="F1258" s="45"/>
      <c r="G1258" s="45"/>
      <c r="J1258" s="44"/>
      <c r="K1258" s="45"/>
      <c r="M1258" s="44"/>
      <c r="N1258" s="45"/>
    </row>
    <row r="1259" spans="1:14">
      <c r="A1259" s="44"/>
      <c r="B1259" s="45"/>
      <c r="C1259" s="45"/>
      <c r="E1259" s="44"/>
      <c r="F1259" s="45"/>
      <c r="G1259" s="45"/>
      <c r="J1259" s="44"/>
      <c r="K1259" s="45"/>
      <c r="M1259" s="44"/>
      <c r="N1259" s="45"/>
    </row>
    <row r="1260" spans="1:14">
      <c r="A1260" s="44"/>
      <c r="B1260" s="45"/>
      <c r="C1260" s="45"/>
      <c r="E1260" s="44"/>
      <c r="F1260" s="45"/>
      <c r="G1260" s="45"/>
      <c r="J1260" s="44"/>
      <c r="K1260" s="45"/>
      <c r="M1260" s="44"/>
      <c r="N1260" s="45"/>
    </row>
    <row r="1261" spans="1:14">
      <c r="A1261" s="44"/>
      <c r="B1261" s="45"/>
      <c r="C1261" s="45"/>
      <c r="E1261" s="44"/>
      <c r="F1261" s="45"/>
      <c r="G1261" s="45"/>
      <c r="J1261" s="44"/>
      <c r="K1261" s="45"/>
      <c r="M1261" s="44"/>
      <c r="N1261" s="45"/>
    </row>
    <row r="1262" spans="1:14">
      <c r="A1262" s="44"/>
      <c r="B1262" s="45"/>
      <c r="C1262" s="45"/>
      <c r="E1262" s="44"/>
      <c r="F1262" s="45"/>
      <c r="G1262" s="45"/>
      <c r="J1262" s="44"/>
      <c r="K1262" s="45"/>
      <c r="M1262" s="44"/>
      <c r="N1262" s="45"/>
    </row>
    <row r="1263" spans="1:14">
      <c r="A1263" s="44"/>
      <c r="B1263" s="45"/>
      <c r="C1263" s="45"/>
      <c r="E1263" s="44"/>
      <c r="F1263" s="45"/>
      <c r="G1263" s="45"/>
      <c r="J1263" s="44"/>
      <c r="K1263" s="45"/>
      <c r="M1263" s="44"/>
      <c r="N1263" s="45"/>
    </row>
    <row r="1264" spans="1:14">
      <c r="A1264" s="44"/>
      <c r="B1264" s="45"/>
      <c r="C1264" s="45"/>
      <c r="E1264" s="44"/>
      <c r="F1264" s="45"/>
      <c r="G1264" s="45"/>
      <c r="J1264" s="44"/>
      <c r="K1264" s="45"/>
      <c r="M1264" s="44"/>
      <c r="N1264" s="45"/>
    </row>
    <row r="1265" spans="1:14">
      <c r="A1265" s="44"/>
      <c r="B1265" s="45"/>
      <c r="C1265" s="45"/>
      <c r="E1265" s="44"/>
      <c r="F1265" s="45"/>
      <c r="G1265" s="45"/>
      <c r="J1265" s="44"/>
      <c r="K1265" s="45"/>
      <c r="M1265" s="44"/>
      <c r="N1265" s="45"/>
    </row>
    <row r="1266" spans="1:14">
      <c r="A1266" s="44"/>
      <c r="B1266" s="45"/>
      <c r="C1266" s="45"/>
      <c r="E1266" s="44"/>
      <c r="F1266" s="45"/>
      <c r="G1266" s="45"/>
      <c r="J1266" s="44"/>
      <c r="K1266" s="45"/>
      <c r="M1266" s="44"/>
      <c r="N1266" s="45"/>
    </row>
    <row r="1267" spans="1:14">
      <c r="A1267" s="44"/>
      <c r="B1267" s="45"/>
      <c r="C1267" s="45"/>
      <c r="E1267" s="44"/>
      <c r="F1267" s="45"/>
      <c r="G1267" s="45"/>
      <c r="J1267" s="44"/>
      <c r="K1267" s="45"/>
      <c r="M1267" s="44"/>
      <c r="N1267" s="45"/>
    </row>
    <row r="1268" spans="1:14">
      <c r="A1268" s="44"/>
      <c r="B1268" s="45"/>
      <c r="C1268" s="45"/>
      <c r="E1268" s="44"/>
      <c r="F1268" s="45"/>
      <c r="G1268" s="45"/>
      <c r="J1268" s="44"/>
      <c r="K1268" s="45"/>
      <c r="M1268" s="44"/>
      <c r="N1268" s="45"/>
    </row>
    <row r="1269" spans="1:14">
      <c r="A1269" s="44"/>
      <c r="B1269" s="45"/>
      <c r="C1269" s="45"/>
      <c r="E1269" s="44"/>
      <c r="F1269" s="45"/>
      <c r="G1269" s="45"/>
      <c r="J1269" s="44"/>
      <c r="K1269" s="45"/>
      <c r="M1269" s="44"/>
      <c r="N1269" s="45"/>
    </row>
    <row r="1270" spans="1:14">
      <c r="A1270" s="44"/>
      <c r="B1270" s="45"/>
      <c r="C1270" s="45"/>
      <c r="E1270" s="44"/>
      <c r="F1270" s="45"/>
      <c r="G1270" s="45"/>
      <c r="J1270" s="44"/>
      <c r="K1270" s="45"/>
      <c r="M1270" s="44"/>
      <c r="N1270" s="45"/>
    </row>
    <row r="1271" spans="1:14">
      <c r="A1271" s="44"/>
      <c r="B1271" s="45"/>
      <c r="C1271" s="45"/>
      <c r="E1271" s="44"/>
      <c r="F1271" s="45"/>
      <c r="G1271" s="45"/>
      <c r="J1271" s="44"/>
      <c r="K1271" s="45"/>
      <c r="M1271" s="44"/>
      <c r="N1271" s="45"/>
    </row>
    <row r="1272" spans="1:14">
      <c r="A1272" s="44"/>
      <c r="B1272" s="45"/>
      <c r="C1272" s="45"/>
      <c r="E1272" s="44"/>
      <c r="F1272" s="45"/>
      <c r="G1272" s="45"/>
      <c r="J1272" s="44"/>
      <c r="K1272" s="45"/>
      <c r="M1272" s="44"/>
      <c r="N1272" s="45"/>
    </row>
    <row r="1273" spans="1:14">
      <c r="A1273" s="44"/>
      <c r="B1273" s="45"/>
      <c r="C1273" s="45"/>
      <c r="E1273" s="44"/>
      <c r="F1273" s="45"/>
      <c r="G1273" s="45"/>
      <c r="J1273" s="44"/>
      <c r="K1273" s="45"/>
      <c r="M1273" s="44"/>
      <c r="N1273" s="45"/>
    </row>
    <row r="1274" spans="1:14">
      <c r="A1274" s="44"/>
      <c r="B1274" s="45"/>
      <c r="C1274" s="45"/>
      <c r="E1274" s="44"/>
      <c r="F1274" s="45"/>
      <c r="G1274" s="45"/>
      <c r="J1274" s="44"/>
      <c r="K1274" s="45"/>
      <c r="M1274" s="44"/>
      <c r="N1274" s="45"/>
    </row>
    <row r="1275" spans="1:14">
      <c r="A1275" s="44"/>
      <c r="B1275" s="45"/>
      <c r="C1275" s="45"/>
      <c r="E1275" s="44"/>
      <c r="F1275" s="45"/>
      <c r="G1275" s="45"/>
      <c r="J1275" s="44"/>
      <c r="K1275" s="45"/>
      <c r="M1275" s="44"/>
      <c r="N1275" s="45"/>
    </row>
    <row r="1276" spans="1:14">
      <c r="A1276" s="44"/>
      <c r="B1276" s="45"/>
      <c r="C1276" s="45"/>
      <c r="E1276" s="44"/>
      <c r="F1276" s="45"/>
      <c r="G1276" s="45"/>
      <c r="J1276" s="44"/>
      <c r="K1276" s="45"/>
      <c r="M1276" s="44"/>
      <c r="N1276" s="45"/>
    </row>
    <row r="1277" spans="1:14">
      <c r="A1277" s="44"/>
      <c r="B1277" s="45"/>
      <c r="C1277" s="45"/>
      <c r="E1277" s="44"/>
      <c r="F1277" s="45"/>
      <c r="G1277" s="45"/>
      <c r="J1277" s="44"/>
      <c r="K1277" s="45"/>
      <c r="M1277" s="44"/>
      <c r="N1277" s="45"/>
    </row>
    <row r="1278" spans="1:14">
      <c r="A1278" s="44"/>
      <c r="B1278" s="45"/>
      <c r="C1278" s="45"/>
      <c r="E1278" s="44"/>
      <c r="F1278" s="45"/>
      <c r="G1278" s="45"/>
      <c r="J1278" s="44"/>
      <c r="K1278" s="45"/>
      <c r="M1278" s="44"/>
      <c r="N1278" s="45"/>
    </row>
    <row r="1279" spans="1:14">
      <c r="A1279" s="44"/>
      <c r="B1279" s="45"/>
      <c r="C1279" s="45"/>
      <c r="E1279" s="44"/>
      <c r="F1279" s="45"/>
      <c r="G1279" s="45"/>
      <c r="J1279" s="44"/>
      <c r="K1279" s="45"/>
      <c r="M1279" s="44"/>
      <c r="N1279" s="45"/>
    </row>
    <row r="1280" spans="1:14">
      <c r="A1280" s="44"/>
      <c r="B1280" s="45"/>
      <c r="C1280" s="45"/>
      <c r="E1280" s="44"/>
      <c r="F1280" s="45"/>
      <c r="G1280" s="45"/>
      <c r="J1280" s="44"/>
      <c r="K1280" s="45"/>
      <c r="M1280" s="44"/>
      <c r="N1280" s="45"/>
    </row>
    <row r="1281" spans="1:14">
      <c r="A1281" s="44"/>
      <c r="B1281" s="45"/>
      <c r="C1281" s="45"/>
      <c r="E1281" s="44"/>
      <c r="F1281" s="45"/>
      <c r="G1281" s="45"/>
      <c r="J1281" s="44"/>
      <c r="K1281" s="45"/>
      <c r="M1281" s="44"/>
      <c r="N1281" s="45"/>
    </row>
    <row r="1282" spans="1:14">
      <c r="A1282" s="44"/>
      <c r="B1282" s="45"/>
      <c r="C1282" s="45"/>
      <c r="E1282" s="44"/>
      <c r="F1282" s="45"/>
      <c r="G1282" s="45"/>
      <c r="J1282" s="44"/>
      <c r="K1282" s="45"/>
      <c r="M1282" s="44"/>
      <c r="N1282" s="45"/>
    </row>
    <row r="1283" spans="1:14">
      <c r="A1283" s="44"/>
      <c r="B1283" s="45"/>
      <c r="C1283" s="45"/>
      <c r="E1283" s="44"/>
      <c r="F1283" s="45"/>
      <c r="G1283" s="45"/>
      <c r="J1283" s="44"/>
      <c r="K1283" s="45"/>
      <c r="M1283" s="44"/>
      <c r="N1283" s="45"/>
    </row>
    <row r="1284" spans="1:14">
      <c r="A1284" s="44"/>
      <c r="B1284" s="45"/>
      <c r="C1284" s="45"/>
      <c r="E1284" s="44"/>
      <c r="F1284" s="45"/>
      <c r="G1284" s="45"/>
      <c r="J1284" s="44"/>
      <c r="K1284" s="45"/>
      <c r="M1284" s="44"/>
      <c r="N1284" s="45"/>
    </row>
    <row r="1285" spans="1:14">
      <c r="A1285" s="44"/>
      <c r="B1285" s="45"/>
      <c r="C1285" s="45"/>
      <c r="E1285" s="44"/>
      <c r="F1285" s="45"/>
      <c r="G1285" s="45"/>
      <c r="J1285" s="44"/>
      <c r="K1285" s="45"/>
      <c r="M1285" s="44"/>
      <c r="N1285" s="45"/>
    </row>
    <row r="1286" spans="1:14">
      <c r="A1286" s="44"/>
      <c r="B1286" s="45"/>
      <c r="C1286" s="45"/>
      <c r="E1286" s="44"/>
      <c r="F1286" s="45"/>
      <c r="G1286" s="45"/>
      <c r="J1286" s="44"/>
      <c r="K1286" s="45"/>
      <c r="M1286" s="44"/>
      <c r="N1286" s="45"/>
    </row>
    <row r="1287" spans="1:14">
      <c r="A1287" s="44"/>
      <c r="B1287" s="45"/>
      <c r="C1287" s="45"/>
      <c r="E1287" s="44"/>
      <c r="F1287" s="45"/>
      <c r="G1287" s="45"/>
      <c r="J1287" s="44"/>
      <c r="K1287" s="45"/>
      <c r="M1287" s="44"/>
      <c r="N1287" s="45"/>
    </row>
    <row r="1288" spans="1:14">
      <c r="A1288" s="44"/>
      <c r="B1288" s="45"/>
      <c r="C1288" s="45"/>
      <c r="E1288" s="44"/>
      <c r="F1288" s="45"/>
      <c r="G1288" s="45"/>
      <c r="J1288" s="44"/>
      <c r="K1288" s="45"/>
      <c r="M1288" s="44"/>
      <c r="N1288" s="45"/>
    </row>
    <row r="1289" spans="1:14">
      <c r="A1289" s="44"/>
      <c r="B1289" s="45"/>
      <c r="C1289" s="45"/>
      <c r="E1289" s="44"/>
      <c r="F1289" s="45"/>
      <c r="G1289" s="45"/>
      <c r="J1289" s="44"/>
      <c r="K1289" s="45"/>
      <c r="M1289" s="44"/>
      <c r="N1289" s="45"/>
    </row>
    <row r="1290" spans="1:14">
      <c r="A1290" s="44"/>
      <c r="B1290" s="45"/>
      <c r="C1290" s="45"/>
      <c r="E1290" s="44"/>
      <c r="F1290" s="45"/>
      <c r="G1290" s="45"/>
      <c r="J1290" s="44"/>
      <c r="K1290" s="45"/>
      <c r="M1290" s="44"/>
      <c r="N1290" s="45"/>
    </row>
    <row r="1291" spans="1:14">
      <c r="A1291" s="44"/>
      <c r="B1291" s="45"/>
      <c r="C1291" s="45"/>
      <c r="E1291" s="44"/>
      <c r="F1291" s="45"/>
      <c r="G1291" s="45"/>
      <c r="J1291" s="44"/>
      <c r="K1291" s="45"/>
      <c r="M1291" s="44"/>
      <c r="N1291" s="45"/>
    </row>
    <row r="1292" spans="1:14">
      <c r="A1292" s="44"/>
      <c r="B1292" s="45"/>
      <c r="C1292" s="45"/>
      <c r="E1292" s="44"/>
      <c r="F1292" s="45"/>
      <c r="G1292" s="45"/>
      <c r="J1292" s="44"/>
      <c r="K1292" s="45"/>
      <c r="M1292" s="44"/>
      <c r="N1292" s="45"/>
    </row>
    <row r="1293" spans="1:14">
      <c r="A1293" s="44"/>
      <c r="B1293" s="45"/>
      <c r="C1293" s="45"/>
      <c r="E1293" s="44"/>
      <c r="F1293" s="45"/>
      <c r="G1293" s="45"/>
      <c r="J1293" s="44"/>
      <c r="K1293" s="45"/>
      <c r="M1293" s="44"/>
      <c r="N1293" s="45"/>
    </row>
    <row r="1294" spans="1:14">
      <c r="A1294" s="44"/>
      <c r="B1294" s="45"/>
      <c r="C1294" s="45"/>
      <c r="E1294" s="44"/>
      <c r="F1294" s="45"/>
      <c r="G1294" s="45"/>
      <c r="J1294" s="44"/>
      <c r="K1294" s="45"/>
      <c r="M1294" s="44"/>
      <c r="N1294" s="45"/>
    </row>
    <row r="1295" spans="1:14">
      <c r="A1295" s="44"/>
      <c r="B1295" s="45"/>
      <c r="C1295" s="45"/>
      <c r="E1295" s="44"/>
      <c r="F1295" s="45"/>
      <c r="G1295" s="45"/>
      <c r="J1295" s="44"/>
      <c r="K1295" s="45"/>
      <c r="M1295" s="44"/>
      <c r="N1295" s="45"/>
    </row>
    <row r="1296" spans="1:14">
      <c r="A1296" s="44"/>
      <c r="B1296" s="45"/>
      <c r="C1296" s="45"/>
      <c r="E1296" s="44"/>
      <c r="F1296" s="45"/>
      <c r="G1296" s="45"/>
      <c r="J1296" s="44"/>
      <c r="K1296" s="45"/>
      <c r="M1296" s="44"/>
      <c r="N1296" s="45"/>
    </row>
    <row r="1297" spans="1:14">
      <c r="A1297" s="44"/>
      <c r="B1297" s="45"/>
      <c r="C1297" s="45"/>
      <c r="E1297" s="44"/>
      <c r="F1297" s="45"/>
      <c r="G1297" s="45"/>
      <c r="J1297" s="44"/>
      <c r="K1297" s="45"/>
      <c r="M1297" s="44"/>
      <c r="N1297" s="45"/>
    </row>
    <row r="1298" spans="1:14">
      <c r="A1298" s="44"/>
      <c r="B1298" s="45"/>
      <c r="C1298" s="45"/>
      <c r="E1298" s="44"/>
      <c r="F1298" s="45"/>
      <c r="G1298" s="45"/>
      <c r="J1298" s="44"/>
      <c r="K1298" s="45"/>
      <c r="M1298" s="44"/>
      <c r="N1298" s="45"/>
    </row>
    <row r="1299" spans="1:14">
      <c r="A1299" s="44"/>
      <c r="B1299" s="45"/>
      <c r="C1299" s="45"/>
      <c r="E1299" s="44"/>
      <c r="F1299" s="45"/>
      <c r="G1299" s="45"/>
      <c r="J1299" s="44"/>
      <c r="K1299" s="45"/>
      <c r="M1299" s="44"/>
      <c r="N1299" s="45"/>
    </row>
    <row r="1300" spans="1:14">
      <c r="A1300" s="44"/>
      <c r="B1300" s="45"/>
      <c r="C1300" s="45"/>
      <c r="E1300" s="44"/>
      <c r="F1300" s="45"/>
      <c r="G1300" s="45"/>
      <c r="J1300" s="44"/>
      <c r="K1300" s="45"/>
      <c r="M1300" s="44"/>
      <c r="N1300" s="45"/>
    </row>
    <row r="1301" spans="1:14">
      <c r="A1301" s="44"/>
      <c r="B1301" s="45"/>
      <c r="C1301" s="45"/>
      <c r="E1301" s="44"/>
      <c r="F1301" s="45"/>
      <c r="G1301" s="45"/>
      <c r="J1301" s="44"/>
      <c r="K1301" s="45"/>
      <c r="M1301" s="44"/>
      <c r="N1301" s="45"/>
    </row>
    <row r="1302" spans="1:14">
      <c r="A1302" s="44"/>
      <c r="B1302" s="45"/>
      <c r="C1302" s="45"/>
      <c r="E1302" s="44"/>
      <c r="F1302" s="45"/>
      <c r="G1302" s="45"/>
      <c r="J1302" s="44"/>
      <c r="K1302" s="45"/>
      <c r="M1302" s="44"/>
      <c r="N1302" s="45"/>
    </row>
    <row r="1303" spans="1:14">
      <c r="A1303" s="44"/>
      <c r="B1303" s="45"/>
      <c r="C1303" s="45"/>
      <c r="E1303" s="44"/>
      <c r="F1303" s="45"/>
      <c r="G1303" s="45"/>
      <c r="J1303" s="44"/>
      <c r="K1303" s="45"/>
      <c r="M1303" s="44"/>
      <c r="N1303" s="45"/>
    </row>
    <row r="1304" spans="1:14">
      <c r="A1304" s="44"/>
      <c r="B1304" s="45"/>
      <c r="C1304" s="45"/>
      <c r="E1304" s="44"/>
      <c r="F1304" s="45"/>
      <c r="G1304" s="45"/>
      <c r="J1304" s="44"/>
      <c r="K1304" s="45"/>
      <c r="M1304" s="44"/>
      <c r="N1304" s="45"/>
    </row>
    <row r="1305" spans="1:14">
      <c r="A1305" s="44"/>
      <c r="B1305" s="45"/>
      <c r="C1305" s="45"/>
      <c r="E1305" s="44"/>
      <c r="F1305" s="45"/>
      <c r="G1305" s="45"/>
      <c r="J1305" s="44"/>
      <c r="K1305" s="45"/>
      <c r="M1305" s="44"/>
      <c r="N1305" s="45"/>
    </row>
    <row r="1306" spans="1:14">
      <c r="A1306" s="44"/>
      <c r="B1306" s="45"/>
      <c r="C1306" s="45"/>
      <c r="E1306" s="44"/>
      <c r="F1306" s="45"/>
      <c r="G1306" s="45"/>
      <c r="J1306" s="44"/>
      <c r="K1306" s="45"/>
      <c r="M1306" s="44"/>
      <c r="N1306" s="45"/>
    </row>
    <row r="1307" spans="1:14">
      <c r="A1307" s="44"/>
      <c r="B1307" s="45"/>
      <c r="C1307" s="45"/>
      <c r="E1307" s="44"/>
      <c r="F1307" s="45"/>
      <c r="G1307" s="45"/>
      <c r="J1307" s="44"/>
      <c r="K1307" s="45"/>
      <c r="M1307" s="44"/>
      <c r="N1307" s="45"/>
    </row>
    <row r="1308" spans="1:14">
      <c r="A1308" s="44"/>
      <c r="B1308" s="45"/>
      <c r="C1308" s="45"/>
      <c r="E1308" s="44"/>
      <c r="F1308" s="45"/>
      <c r="G1308" s="45"/>
      <c r="J1308" s="44"/>
      <c r="K1308" s="45"/>
      <c r="M1308" s="44"/>
      <c r="N1308" s="45"/>
    </row>
    <row r="1309" spans="1:14">
      <c r="A1309" s="44"/>
      <c r="B1309" s="45"/>
      <c r="C1309" s="45"/>
      <c r="E1309" s="44"/>
      <c r="F1309" s="45"/>
      <c r="G1309" s="45"/>
      <c r="J1309" s="44"/>
      <c r="K1309" s="45"/>
      <c r="M1309" s="44"/>
      <c r="N1309" s="45"/>
    </row>
    <row r="1310" spans="1:14">
      <c r="A1310" s="44"/>
      <c r="B1310" s="45"/>
      <c r="C1310" s="45"/>
      <c r="E1310" s="44"/>
      <c r="F1310" s="45"/>
      <c r="G1310" s="45"/>
      <c r="J1310" s="44"/>
      <c r="K1310" s="45"/>
      <c r="M1310" s="44"/>
      <c r="N1310" s="45"/>
    </row>
    <row r="1311" spans="1:14">
      <c r="A1311" s="44"/>
      <c r="B1311" s="45"/>
      <c r="C1311" s="45"/>
      <c r="E1311" s="44"/>
      <c r="F1311" s="45"/>
      <c r="G1311" s="45"/>
      <c r="J1311" s="44"/>
      <c r="K1311" s="45"/>
      <c r="M1311" s="44"/>
      <c r="N1311" s="45"/>
    </row>
    <row r="1312" spans="1:14">
      <c r="A1312" s="44"/>
      <c r="B1312" s="45"/>
      <c r="C1312" s="45"/>
      <c r="E1312" s="44"/>
      <c r="F1312" s="45"/>
      <c r="G1312" s="45"/>
      <c r="J1312" s="44"/>
      <c r="K1312" s="45"/>
      <c r="M1312" s="44"/>
      <c r="N1312" s="45"/>
    </row>
    <row r="1313" spans="1:14">
      <c r="A1313" s="44"/>
      <c r="B1313" s="45"/>
      <c r="C1313" s="45"/>
      <c r="E1313" s="44"/>
      <c r="F1313" s="45"/>
      <c r="G1313" s="45"/>
      <c r="J1313" s="44"/>
      <c r="K1313" s="45"/>
      <c r="M1313" s="44"/>
      <c r="N1313" s="45"/>
    </row>
    <row r="1314" spans="1:14">
      <c r="A1314" s="44"/>
      <c r="B1314" s="45"/>
      <c r="C1314" s="45"/>
      <c r="E1314" s="44"/>
      <c r="F1314" s="45"/>
      <c r="G1314" s="45"/>
      <c r="J1314" s="44"/>
      <c r="K1314" s="45"/>
      <c r="M1314" s="44"/>
      <c r="N1314" s="45"/>
    </row>
    <row r="1315" spans="1:14">
      <c r="A1315" s="44"/>
      <c r="B1315" s="45"/>
      <c r="C1315" s="45"/>
      <c r="E1315" s="44"/>
      <c r="F1315" s="45"/>
      <c r="G1315" s="45"/>
      <c r="J1315" s="44"/>
      <c r="K1315" s="45"/>
      <c r="M1315" s="44"/>
      <c r="N1315" s="45"/>
    </row>
    <row r="1316" spans="1:14">
      <c r="A1316" s="44"/>
      <c r="B1316" s="45"/>
      <c r="C1316" s="45"/>
      <c r="E1316" s="44"/>
      <c r="F1316" s="45"/>
      <c r="G1316" s="45"/>
      <c r="J1316" s="44"/>
      <c r="K1316" s="45"/>
      <c r="M1316" s="44"/>
      <c r="N1316" s="45"/>
    </row>
    <row r="1317" spans="1:14">
      <c r="A1317" s="44"/>
      <c r="B1317" s="45"/>
      <c r="C1317" s="45"/>
      <c r="E1317" s="44"/>
      <c r="F1317" s="45"/>
      <c r="G1317" s="45"/>
      <c r="J1317" s="44"/>
      <c r="K1317" s="45"/>
      <c r="M1317" s="44"/>
      <c r="N1317" s="45"/>
    </row>
    <row r="1318" spans="1:14">
      <c r="A1318" s="44"/>
      <c r="B1318" s="45"/>
      <c r="C1318" s="45"/>
      <c r="E1318" s="44"/>
      <c r="F1318" s="45"/>
      <c r="G1318" s="45"/>
      <c r="J1318" s="44"/>
      <c r="K1318" s="45"/>
      <c r="M1318" s="44"/>
      <c r="N1318" s="45"/>
    </row>
    <row r="1319" spans="1:14">
      <c r="A1319" s="44"/>
      <c r="B1319" s="45"/>
      <c r="C1319" s="45"/>
      <c r="E1319" s="44"/>
      <c r="F1319" s="45"/>
      <c r="G1319" s="45"/>
      <c r="J1319" s="44"/>
      <c r="K1319" s="45"/>
      <c r="M1319" s="44"/>
      <c r="N1319" s="45"/>
    </row>
    <row r="1320" spans="1:14">
      <c r="A1320" s="44"/>
      <c r="B1320" s="45"/>
      <c r="C1320" s="45"/>
      <c r="E1320" s="44"/>
      <c r="F1320" s="45"/>
      <c r="G1320" s="45"/>
      <c r="J1320" s="44"/>
      <c r="K1320" s="45"/>
      <c r="M1320" s="44"/>
      <c r="N1320" s="45"/>
    </row>
    <row r="1321" spans="1:14">
      <c r="A1321" s="44"/>
      <c r="B1321" s="45"/>
      <c r="C1321" s="45"/>
      <c r="E1321" s="44"/>
      <c r="F1321" s="45"/>
      <c r="G1321" s="45"/>
      <c r="J1321" s="44"/>
      <c r="K1321" s="45"/>
      <c r="M1321" s="44"/>
      <c r="N1321" s="45"/>
    </row>
    <row r="1322" spans="1:14">
      <c r="A1322" s="44"/>
      <c r="B1322" s="45"/>
      <c r="C1322" s="45"/>
      <c r="E1322" s="44"/>
      <c r="F1322" s="45"/>
      <c r="G1322" s="45"/>
      <c r="J1322" s="44"/>
      <c r="K1322" s="45"/>
      <c r="M1322" s="44"/>
      <c r="N1322" s="45"/>
    </row>
    <row r="1323" spans="1:14">
      <c r="A1323" s="44"/>
      <c r="B1323" s="45"/>
      <c r="C1323" s="45"/>
      <c r="E1323" s="44"/>
      <c r="F1323" s="45"/>
      <c r="G1323" s="45"/>
      <c r="J1323" s="44"/>
      <c r="K1323" s="45"/>
      <c r="M1323" s="44"/>
      <c r="N1323" s="45"/>
    </row>
    <row r="1324" spans="1:14">
      <c r="A1324" s="44"/>
      <c r="B1324" s="45"/>
      <c r="C1324" s="45"/>
      <c r="E1324" s="44"/>
      <c r="F1324" s="45"/>
      <c r="G1324" s="45"/>
      <c r="J1324" s="44"/>
      <c r="K1324" s="45"/>
      <c r="M1324" s="44"/>
      <c r="N1324" s="45"/>
    </row>
    <row r="1325" spans="1:14">
      <c r="A1325" s="44"/>
      <c r="B1325" s="45"/>
      <c r="C1325" s="45"/>
      <c r="E1325" s="44"/>
      <c r="F1325" s="45"/>
      <c r="G1325" s="45"/>
      <c r="J1325" s="44"/>
      <c r="K1325" s="45"/>
      <c r="M1325" s="44"/>
      <c r="N1325" s="45"/>
    </row>
    <row r="1326" spans="1:14">
      <c r="A1326" s="44"/>
      <c r="B1326" s="45"/>
      <c r="C1326" s="45"/>
      <c r="E1326" s="44"/>
      <c r="F1326" s="45"/>
      <c r="G1326" s="45"/>
      <c r="J1326" s="44"/>
      <c r="K1326" s="45"/>
      <c r="M1326" s="44"/>
      <c r="N1326" s="45"/>
    </row>
    <row r="1327" spans="1:14">
      <c r="A1327" s="44"/>
      <c r="B1327" s="45"/>
      <c r="C1327" s="45"/>
      <c r="E1327" s="44"/>
      <c r="F1327" s="45"/>
      <c r="G1327" s="45"/>
      <c r="J1327" s="44"/>
      <c r="K1327" s="45"/>
      <c r="M1327" s="44"/>
      <c r="N1327" s="45"/>
    </row>
    <row r="1328" spans="1:14">
      <c r="A1328" s="44"/>
      <c r="B1328" s="45"/>
      <c r="C1328" s="45"/>
      <c r="E1328" s="44"/>
      <c r="F1328" s="45"/>
      <c r="G1328" s="45"/>
      <c r="J1328" s="44"/>
      <c r="K1328" s="45"/>
      <c r="M1328" s="44"/>
      <c r="N1328" s="45"/>
    </row>
    <row r="1329" spans="1:14">
      <c r="A1329" s="44"/>
      <c r="B1329" s="45"/>
      <c r="C1329" s="45"/>
      <c r="E1329" s="44"/>
      <c r="F1329" s="45"/>
      <c r="G1329" s="45"/>
      <c r="J1329" s="44"/>
      <c r="K1329" s="45"/>
      <c r="M1329" s="44"/>
      <c r="N1329" s="45"/>
    </row>
    <row r="1330" spans="1:14">
      <c r="A1330" s="44"/>
      <c r="B1330" s="45"/>
      <c r="C1330" s="45"/>
      <c r="E1330" s="44"/>
      <c r="F1330" s="45"/>
      <c r="G1330" s="45"/>
      <c r="J1330" s="44"/>
      <c r="K1330" s="45"/>
      <c r="M1330" s="44"/>
      <c r="N1330" s="45"/>
    </row>
    <row r="1331" spans="1:14">
      <c r="A1331" s="44"/>
      <c r="B1331" s="45"/>
      <c r="C1331" s="45"/>
      <c r="E1331" s="44"/>
      <c r="F1331" s="45"/>
      <c r="G1331" s="45"/>
      <c r="J1331" s="44"/>
      <c r="K1331" s="45"/>
      <c r="M1331" s="44"/>
      <c r="N1331" s="45"/>
    </row>
    <row r="1332" spans="1:14">
      <c r="A1332" s="44"/>
      <c r="B1332" s="45"/>
      <c r="C1332" s="45"/>
      <c r="E1332" s="44"/>
      <c r="F1332" s="45"/>
      <c r="G1332" s="45"/>
      <c r="J1332" s="44"/>
      <c r="K1332" s="45"/>
      <c r="M1332" s="44"/>
      <c r="N1332" s="45"/>
    </row>
    <row r="1333" spans="1:14">
      <c r="A1333" s="44"/>
      <c r="B1333" s="45"/>
      <c r="C1333" s="45"/>
      <c r="E1333" s="44"/>
      <c r="F1333" s="45"/>
      <c r="G1333" s="45"/>
      <c r="J1333" s="44"/>
      <c r="K1333" s="45"/>
      <c r="M1333" s="44"/>
      <c r="N1333" s="45"/>
    </row>
    <row r="1334" spans="1:14">
      <c r="A1334" s="44"/>
      <c r="B1334" s="45"/>
      <c r="C1334" s="45"/>
      <c r="E1334" s="44"/>
      <c r="F1334" s="45"/>
      <c r="G1334" s="45"/>
      <c r="J1334" s="44"/>
      <c r="K1334" s="45"/>
      <c r="M1334" s="44"/>
      <c r="N1334" s="45"/>
    </row>
    <row r="1335" spans="1:14">
      <c r="A1335" s="44"/>
      <c r="B1335" s="45"/>
      <c r="C1335" s="45"/>
      <c r="E1335" s="44"/>
      <c r="F1335" s="45"/>
      <c r="G1335" s="45"/>
      <c r="J1335" s="44"/>
      <c r="K1335" s="45"/>
      <c r="M1335" s="44"/>
      <c r="N1335" s="45"/>
    </row>
    <row r="1336" spans="1:14">
      <c r="A1336" s="44"/>
      <c r="B1336" s="45"/>
      <c r="C1336" s="45"/>
      <c r="E1336" s="44"/>
      <c r="F1336" s="45"/>
      <c r="G1336" s="45"/>
      <c r="J1336" s="44"/>
      <c r="K1336" s="45"/>
      <c r="M1336" s="44"/>
      <c r="N1336" s="45"/>
    </row>
    <row r="1337" spans="1:14">
      <c r="A1337" s="44"/>
      <c r="B1337" s="45"/>
      <c r="C1337" s="45"/>
      <c r="E1337" s="44"/>
      <c r="F1337" s="45"/>
      <c r="G1337" s="45"/>
      <c r="J1337" s="44"/>
      <c r="K1337" s="45"/>
      <c r="M1337" s="44"/>
      <c r="N1337" s="45"/>
    </row>
    <row r="1338" spans="1:14">
      <c r="A1338" s="44"/>
      <c r="B1338" s="45"/>
      <c r="C1338" s="45"/>
      <c r="E1338" s="44"/>
      <c r="F1338" s="45"/>
      <c r="G1338" s="45"/>
      <c r="J1338" s="44"/>
      <c r="K1338" s="45"/>
      <c r="M1338" s="44"/>
      <c r="N1338" s="45"/>
    </row>
    <row r="1339" spans="1:14">
      <c r="A1339" s="44"/>
      <c r="B1339" s="45"/>
      <c r="C1339" s="45"/>
      <c r="E1339" s="44"/>
      <c r="F1339" s="45"/>
      <c r="G1339" s="45"/>
      <c r="J1339" s="44"/>
      <c r="K1339" s="45"/>
      <c r="M1339" s="44"/>
      <c r="N1339" s="45"/>
    </row>
    <row r="1340" spans="1:14">
      <c r="A1340" s="44"/>
      <c r="B1340" s="45"/>
      <c r="C1340" s="45"/>
      <c r="E1340" s="44"/>
      <c r="F1340" s="45"/>
      <c r="G1340" s="45"/>
      <c r="J1340" s="44"/>
      <c r="K1340" s="45"/>
      <c r="M1340" s="44"/>
      <c r="N1340" s="45"/>
    </row>
    <row r="1341" spans="1:14">
      <c r="A1341" s="44"/>
      <c r="B1341" s="45"/>
      <c r="C1341" s="45"/>
      <c r="E1341" s="44"/>
      <c r="F1341" s="45"/>
      <c r="G1341" s="45"/>
      <c r="J1341" s="44"/>
      <c r="K1341" s="45"/>
      <c r="M1341" s="44"/>
      <c r="N1341" s="45"/>
    </row>
    <row r="1342" spans="1:14">
      <c r="A1342" s="44"/>
      <c r="B1342" s="45"/>
      <c r="C1342" s="45"/>
      <c r="E1342" s="44"/>
      <c r="F1342" s="45"/>
      <c r="G1342" s="45"/>
      <c r="J1342" s="44"/>
      <c r="K1342" s="45"/>
      <c r="M1342" s="44"/>
      <c r="N1342" s="45"/>
    </row>
    <row r="1343" spans="1:14">
      <c r="A1343" s="44"/>
      <c r="B1343" s="45"/>
      <c r="C1343" s="45"/>
      <c r="E1343" s="44"/>
      <c r="F1343" s="45"/>
      <c r="G1343" s="45"/>
      <c r="J1343" s="44"/>
      <c r="K1343" s="45"/>
      <c r="M1343" s="44"/>
      <c r="N1343" s="45"/>
    </row>
    <row r="1344" spans="1:14">
      <c r="A1344" s="44"/>
      <c r="B1344" s="45"/>
      <c r="C1344" s="45"/>
      <c r="E1344" s="44"/>
      <c r="F1344" s="45"/>
      <c r="G1344" s="45"/>
      <c r="J1344" s="44"/>
      <c r="K1344" s="45"/>
      <c r="M1344" s="44"/>
      <c r="N1344" s="45"/>
    </row>
    <row r="1345" spans="1:14">
      <c r="A1345" s="44"/>
      <c r="B1345" s="45"/>
      <c r="C1345" s="45"/>
      <c r="E1345" s="44"/>
      <c r="F1345" s="45"/>
      <c r="G1345" s="45"/>
      <c r="J1345" s="44"/>
      <c r="K1345" s="45"/>
      <c r="M1345" s="44"/>
      <c r="N1345" s="45"/>
    </row>
    <row r="1346" spans="1:14">
      <c r="A1346" s="44"/>
      <c r="B1346" s="45"/>
      <c r="C1346" s="45"/>
      <c r="E1346" s="44"/>
      <c r="F1346" s="45"/>
      <c r="G1346" s="45"/>
      <c r="J1346" s="44"/>
      <c r="K1346" s="45"/>
      <c r="M1346" s="44"/>
      <c r="N1346" s="45"/>
    </row>
    <row r="1347" spans="1:14">
      <c r="A1347" s="44"/>
      <c r="B1347" s="45"/>
      <c r="C1347" s="45"/>
      <c r="E1347" s="44"/>
      <c r="F1347" s="45"/>
      <c r="G1347" s="45"/>
      <c r="J1347" s="44"/>
      <c r="K1347" s="45"/>
      <c r="M1347" s="44"/>
      <c r="N1347" s="45"/>
    </row>
    <row r="1348" spans="1:14">
      <c r="A1348" s="44"/>
      <c r="B1348" s="45"/>
      <c r="C1348" s="45"/>
      <c r="E1348" s="44"/>
      <c r="F1348" s="45"/>
      <c r="G1348" s="45"/>
      <c r="J1348" s="44"/>
      <c r="K1348" s="45"/>
      <c r="M1348" s="44"/>
      <c r="N1348" s="45"/>
    </row>
    <row r="1349" spans="1:14">
      <c r="A1349" s="44"/>
      <c r="B1349" s="45"/>
      <c r="C1349" s="45"/>
      <c r="E1349" s="44"/>
      <c r="F1349" s="45"/>
      <c r="G1349" s="45"/>
      <c r="J1349" s="44"/>
      <c r="K1349" s="45"/>
      <c r="M1349" s="44"/>
      <c r="N1349" s="45"/>
    </row>
    <row r="1350" spans="1:14">
      <c r="A1350" s="44"/>
      <c r="B1350" s="45"/>
      <c r="C1350" s="45"/>
      <c r="E1350" s="44"/>
      <c r="F1350" s="45"/>
      <c r="G1350" s="45"/>
      <c r="J1350" s="44"/>
      <c r="K1350" s="45"/>
      <c r="M1350" s="44"/>
      <c r="N1350" s="45"/>
    </row>
    <row r="1351" spans="1:14">
      <c r="A1351" s="44"/>
      <c r="B1351" s="45"/>
      <c r="C1351" s="45"/>
      <c r="E1351" s="44"/>
      <c r="F1351" s="45"/>
      <c r="G1351" s="45"/>
      <c r="J1351" s="44"/>
      <c r="K1351" s="45"/>
      <c r="M1351" s="44"/>
      <c r="N1351" s="45"/>
    </row>
    <row r="1352" spans="1:14">
      <c r="A1352" s="44"/>
      <c r="B1352" s="45"/>
      <c r="C1352" s="45"/>
      <c r="E1352" s="44"/>
      <c r="F1352" s="45"/>
      <c r="G1352" s="45"/>
      <c r="J1352" s="44"/>
      <c r="K1352" s="45"/>
      <c r="M1352" s="44"/>
      <c r="N1352" s="45"/>
    </row>
    <row r="1353" spans="1:14">
      <c r="A1353" s="44"/>
      <c r="B1353" s="45"/>
      <c r="C1353" s="45"/>
      <c r="E1353" s="44"/>
      <c r="F1353" s="45"/>
      <c r="G1353" s="45"/>
      <c r="J1353" s="44"/>
      <c r="K1353" s="45"/>
      <c r="M1353" s="44"/>
      <c r="N1353" s="45"/>
    </row>
    <row r="1354" spans="1:14">
      <c r="A1354" s="44"/>
      <c r="B1354" s="45"/>
      <c r="C1354" s="45"/>
      <c r="E1354" s="44"/>
      <c r="F1354" s="45"/>
      <c r="G1354" s="45"/>
      <c r="J1354" s="44"/>
      <c r="K1354" s="45"/>
      <c r="M1354" s="44"/>
      <c r="N1354" s="45"/>
    </row>
    <row r="1355" spans="1:14">
      <c r="A1355" s="44"/>
      <c r="B1355" s="45"/>
      <c r="C1355" s="45"/>
      <c r="E1355" s="44"/>
      <c r="F1355" s="45"/>
      <c r="G1355" s="45"/>
      <c r="J1355" s="44"/>
      <c r="K1355" s="45"/>
      <c r="M1355" s="44"/>
      <c r="N1355" s="45"/>
    </row>
    <row r="1356" spans="1:14">
      <c r="A1356" s="44"/>
      <c r="B1356" s="45"/>
      <c r="C1356" s="45"/>
      <c r="E1356" s="44"/>
      <c r="F1356" s="45"/>
      <c r="G1356" s="45"/>
      <c r="J1356" s="44"/>
      <c r="K1356" s="45"/>
      <c r="M1356" s="44"/>
      <c r="N1356" s="45"/>
    </row>
    <row r="1357" spans="1:14">
      <c r="A1357" s="44"/>
      <c r="B1357" s="45"/>
      <c r="C1357" s="45"/>
      <c r="E1357" s="44"/>
      <c r="F1357" s="45"/>
      <c r="G1357" s="45"/>
      <c r="J1357" s="44"/>
      <c r="K1357" s="45"/>
      <c r="M1357" s="44"/>
      <c r="N1357" s="45"/>
    </row>
    <row r="1358" spans="1:14">
      <c r="A1358" s="44"/>
      <c r="B1358" s="45"/>
      <c r="C1358" s="45"/>
      <c r="E1358" s="44"/>
      <c r="F1358" s="45"/>
      <c r="G1358" s="45"/>
      <c r="J1358" s="44"/>
      <c r="K1358" s="45"/>
      <c r="M1358" s="44"/>
      <c r="N1358" s="45"/>
    </row>
    <row r="1359" spans="1:14">
      <c r="A1359" s="44"/>
      <c r="B1359" s="45"/>
      <c r="C1359" s="45"/>
      <c r="E1359" s="44"/>
      <c r="F1359" s="45"/>
      <c r="G1359" s="45"/>
      <c r="J1359" s="44"/>
      <c r="K1359" s="45"/>
      <c r="M1359" s="44"/>
      <c r="N1359" s="45"/>
    </row>
    <row r="1360" spans="1:14">
      <c r="A1360" s="44"/>
      <c r="B1360" s="45"/>
      <c r="C1360" s="45"/>
      <c r="E1360" s="44"/>
      <c r="F1360" s="45"/>
      <c r="G1360" s="45"/>
      <c r="J1360" s="44"/>
      <c r="K1360" s="45"/>
      <c r="M1360" s="44"/>
      <c r="N1360" s="45"/>
    </row>
    <row r="1361" spans="1:14">
      <c r="A1361" s="44"/>
      <c r="B1361" s="45"/>
      <c r="C1361" s="45"/>
      <c r="E1361" s="44"/>
      <c r="F1361" s="45"/>
      <c r="G1361" s="45"/>
      <c r="J1361" s="44"/>
      <c r="K1361" s="45"/>
      <c r="M1361" s="44"/>
      <c r="N1361" s="45"/>
    </row>
    <row r="1362" spans="1:14">
      <c r="A1362" s="44"/>
      <c r="B1362" s="45"/>
      <c r="C1362" s="45"/>
      <c r="E1362" s="44"/>
      <c r="F1362" s="45"/>
      <c r="G1362" s="45"/>
      <c r="J1362" s="44"/>
      <c r="K1362" s="45"/>
      <c r="M1362" s="44"/>
      <c r="N1362" s="45"/>
    </row>
    <row r="1363" spans="1:14">
      <c r="A1363" s="44"/>
      <c r="B1363" s="45"/>
      <c r="C1363" s="45"/>
      <c r="E1363" s="44"/>
      <c r="F1363" s="45"/>
      <c r="G1363" s="45"/>
      <c r="J1363" s="44"/>
      <c r="K1363" s="45"/>
      <c r="M1363" s="44"/>
      <c r="N1363" s="45"/>
    </row>
    <row r="1364" spans="1:14">
      <c r="A1364" s="44"/>
      <c r="B1364" s="45"/>
      <c r="C1364" s="45"/>
      <c r="E1364" s="44"/>
      <c r="F1364" s="45"/>
      <c r="G1364" s="45"/>
      <c r="J1364" s="44"/>
      <c r="K1364" s="45"/>
      <c r="M1364" s="44"/>
      <c r="N1364" s="45"/>
    </row>
    <row r="1365" spans="1:14">
      <c r="A1365" s="44"/>
      <c r="B1365" s="45"/>
      <c r="C1365" s="45"/>
      <c r="E1365" s="44"/>
      <c r="F1365" s="45"/>
      <c r="G1365" s="45"/>
      <c r="J1365" s="44"/>
      <c r="K1365" s="45"/>
      <c r="M1365" s="44"/>
      <c r="N1365" s="45"/>
    </row>
    <row r="1366" spans="1:14">
      <c r="A1366" s="44"/>
      <c r="B1366" s="45"/>
      <c r="C1366" s="45"/>
      <c r="E1366" s="44"/>
      <c r="F1366" s="45"/>
      <c r="G1366" s="45"/>
      <c r="J1366" s="44"/>
      <c r="K1366" s="45"/>
      <c r="M1366" s="44"/>
      <c r="N1366" s="45"/>
    </row>
    <row r="1367" spans="1:14">
      <c r="A1367" s="44"/>
      <c r="B1367" s="45"/>
      <c r="C1367" s="45"/>
      <c r="E1367" s="44"/>
      <c r="F1367" s="45"/>
      <c r="G1367" s="45"/>
      <c r="J1367" s="44"/>
      <c r="K1367" s="45"/>
      <c r="M1367" s="44"/>
      <c r="N1367" s="45"/>
    </row>
    <row r="1368" spans="1:14">
      <c r="A1368" s="44"/>
      <c r="B1368" s="45"/>
      <c r="C1368" s="45"/>
      <c r="E1368" s="44"/>
      <c r="F1368" s="45"/>
      <c r="G1368" s="45"/>
      <c r="J1368" s="44"/>
      <c r="K1368" s="45"/>
      <c r="M1368" s="44"/>
      <c r="N1368" s="45"/>
    </row>
    <row r="1369" spans="1:14">
      <c r="A1369" s="44"/>
      <c r="B1369" s="45"/>
      <c r="C1369" s="45"/>
      <c r="E1369" s="44"/>
      <c r="F1369" s="45"/>
      <c r="G1369" s="45"/>
      <c r="J1369" s="44"/>
      <c r="K1369" s="45"/>
      <c r="M1369" s="44"/>
      <c r="N1369" s="45"/>
    </row>
    <row r="1370" spans="1:14">
      <c r="A1370" s="44"/>
      <c r="B1370" s="45"/>
      <c r="C1370" s="45"/>
      <c r="E1370" s="44"/>
      <c r="F1370" s="45"/>
      <c r="G1370" s="45"/>
      <c r="J1370" s="44"/>
      <c r="K1370" s="45"/>
      <c r="M1370" s="44"/>
      <c r="N1370" s="45"/>
    </row>
    <row r="1371" spans="1:14">
      <c r="A1371" s="44"/>
      <c r="B1371" s="45"/>
      <c r="C1371" s="45"/>
      <c r="E1371" s="44"/>
      <c r="F1371" s="45"/>
      <c r="G1371" s="45"/>
      <c r="J1371" s="44"/>
      <c r="K1371" s="45"/>
      <c r="M1371" s="44"/>
      <c r="N1371" s="45"/>
    </row>
    <row r="1372" spans="1:14">
      <c r="A1372" s="44"/>
      <c r="B1372" s="45"/>
      <c r="C1372" s="45"/>
      <c r="E1372" s="44"/>
      <c r="F1372" s="45"/>
      <c r="G1372" s="45"/>
      <c r="J1372" s="44"/>
      <c r="K1372" s="45"/>
      <c r="M1372" s="44"/>
      <c r="N1372" s="45"/>
    </row>
    <row r="1373" spans="1:14">
      <c r="A1373" s="44"/>
      <c r="B1373" s="45"/>
      <c r="C1373" s="45"/>
      <c r="E1373" s="44"/>
      <c r="F1373" s="45"/>
      <c r="G1373" s="45"/>
      <c r="J1373" s="44"/>
      <c r="K1373" s="45"/>
      <c r="M1373" s="44"/>
      <c r="N1373" s="45"/>
    </row>
    <row r="1374" spans="1:14">
      <c r="A1374" s="44"/>
      <c r="B1374" s="45"/>
      <c r="C1374" s="45"/>
      <c r="E1374" s="44"/>
      <c r="F1374" s="45"/>
      <c r="G1374" s="45"/>
      <c r="J1374" s="44"/>
      <c r="K1374" s="45"/>
      <c r="M1374" s="44"/>
      <c r="N1374" s="45"/>
    </row>
    <row r="1375" spans="1:14">
      <c r="A1375" s="44"/>
      <c r="B1375" s="45"/>
      <c r="C1375" s="45"/>
      <c r="E1375" s="44"/>
      <c r="F1375" s="45"/>
      <c r="G1375" s="45"/>
      <c r="J1375" s="44"/>
      <c r="K1375" s="45"/>
      <c r="M1375" s="44"/>
      <c r="N1375" s="45"/>
    </row>
    <row r="1376" spans="1:14">
      <c r="A1376" s="44"/>
      <c r="B1376" s="45"/>
      <c r="C1376" s="45"/>
      <c r="E1376" s="44"/>
      <c r="F1376" s="45"/>
      <c r="G1376" s="45"/>
      <c r="J1376" s="44"/>
      <c r="K1376" s="45"/>
      <c r="M1376" s="44"/>
      <c r="N1376" s="45"/>
    </row>
    <row r="1377" spans="1:14">
      <c r="A1377" s="44"/>
      <c r="B1377" s="45"/>
      <c r="C1377" s="45"/>
      <c r="E1377" s="44"/>
      <c r="F1377" s="45"/>
      <c r="G1377" s="45"/>
      <c r="J1377" s="44"/>
      <c r="K1377" s="45"/>
      <c r="M1377" s="44"/>
      <c r="N1377" s="45"/>
    </row>
    <row r="1378" spans="1:14">
      <c r="A1378" s="44"/>
      <c r="B1378" s="45"/>
      <c r="C1378" s="45"/>
      <c r="E1378" s="44"/>
      <c r="F1378" s="45"/>
      <c r="G1378" s="45"/>
      <c r="J1378" s="44"/>
      <c r="K1378" s="45"/>
      <c r="M1378" s="44"/>
      <c r="N1378" s="45"/>
    </row>
    <row r="1379" spans="1:14">
      <c r="A1379" s="44"/>
      <c r="B1379" s="45"/>
      <c r="C1379" s="45"/>
      <c r="E1379" s="44"/>
      <c r="F1379" s="45"/>
      <c r="G1379" s="45"/>
      <c r="J1379" s="44"/>
      <c r="K1379" s="45"/>
      <c r="M1379" s="44"/>
      <c r="N1379" s="45"/>
    </row>
    <row r="1380" spans="1:14">
      <c r="A1380" s="44"/>
      <c r="B1380" s="45"/>
      <c r="C1380" s="45"/>
      <c r="E1380" s="44"/>
      <c r="F1380" s="45"/>
      <c r="G1380" s="45"/>
      <c r="J1380" s="44"/>
      <c r="K1380" s="45"/>
      <c r="M1380" s="44"/>
      <c r="N1380" s="45"/>
    </row>
    <row r="1381" spans="1:14">
      <c r="A1381" s="44"/>
      <c r="B1381" s="45"/>
      <c r="C1381" s="45"/>
      <c r="E1381" s="44"/>
      <c r="F1381" s="45"/>
      <c r="G1381" s="45"/>
      <c r="J1381" s="44"/>
      <c r="K1381" s="45"/>
      <c r="M1381" s="44"/>
      <c r="N1381" s="45"/>
    </row>
    <row r="1382" spans="1:14">
      <c r="A1382" s="44"/>
      <c r="B1382" s="45"/>
      <c r="C1382" s="45"/>
      <c r="E1382" s="44"/>
      <c r="F1382" s="45"/>
      <c r="G1382" s="45"/>
      <c r="J1382" s="44"/>
      <c r="K1382" s="45"/>
      <c r="M1382" s="44"/>
      <c r="N1382" s="45"/>
    </row>
    <row r="1383" spans="1:14">
      <c r="A1383" s="44"/>
      <c r="B1383" s="45"/>
      <c r="C1383" s="45"/>
      <c r="E1383" s="44"/>
      <c r="F1383" s="45"/>
      <c r="G1383" s="45"/>
      <c r="J1383" s="44"/>
      <c r="K1383" s="45"/>
      <c r="M1383" s="44"/>
      <c r="N1383" s="45"/>
    </row>
    <row r="1384" spans="1:14">
      <c r="A1384" s="44"/>
      <c r="B1384" s="45"/>
      <c r="C1384" s="45"/>
      <c r="E1384" s="44"/>
      <c r="F1384" s="45"/>
      <c r="G1384" s="45"/>
      <c r="J1384" s="44"/>
      <c r="K1384" s="45"/>
      <c r="M1384" s="44"/>
      <c r="N1384" s="45"/>
    </row>
    <row r="1385" spans="1:14">
      <c r="A1385" s="44"/>
      <c r="B1385" s="45"/>
      <c r="C1385" s="45"/>
      <c r="E1385" s="44"/>
      <c r="F1385" s="45"/>
      <c r="G1385" s="45"/>
      <c r="J1385" s="44"/>
      <c r="K1385" s="45"/>
      <c r="M1385" s="44"/>
      <c r="N1385" s="45"/>
    </row>
    <row r="1386" spans="1:14">
      <c r="A1386" s="44"/>
      <c r="B1386" s="45"/>
      <c r="C1386" s="45"/>
      <c r="E1386" s="44"/>
      <c r="F1386" s="45"/>
      <c r="G1386" s="45"/>
      <c r="J1386" s="44"/>
      <c r="K1386" s="45"/>
      <c r="M1386" s="44"/>
      <c r="N1386" s="45"/>
    </row>
    <row r="1387" spans="1:14">
      <c r="A1387" s="44"/>
      <c r="B1387" s="45"/>
      <c r="C1387" s="45"/>
      <c r="E1387" s="44"/>
      <c r="F1387" s="45"/>
      <c r="G1387" s="45"/>
      <c r="J1387" s="44"/>
      <c r="K1387" s="45"/>
      <c r="M1387" s="44"/>
      <c r="N1387" s="45"/>
    </row>
    <row r="1388" spans="1:14">
      <c r="A1388" s="44"/>
      <c r="B1388" s="45"/>
      <c r="C1388" s="45"/>
      <c r="E1388" s="44"/>
      <c r="F1388" s="45"/>
      <c r="G1388" s="45"/>
      <c r="J1388" s="44"/>
      <c r="K1388" s="45"/>
      <c r="M1388" s="44"/>
      <c r="N1388" s="45"/>
    </row>
    <row r="1389" spans="1:14">
      <c r="A1389" s="44"/>
      <c r="B1389" s="45"/>
      <c r="C1389" s="45"/>
      <c r="E1389" s="44"/>
      <c r="F1389" s="45"/>
      <c r="G1389" s="45"/>
      <c r="J1389" s="44"/>
      <c r="K1389" s="45"/>
      <c r="M1389" s="44"/>
      <c r="N1389" s="45"/>
    </row>
    <row r="1390" spans="1:14">
      <c r="A1390" s="44"/>
      <c r="B1390" s="45"/>
      <c r="C1390" s="45"/>
      <c r="E1390" s="44"/>
      <c r="F1390" s="45"/>
      <c r="G1390" s="47"/>
      <c r="J1390" s="44"/>
      <c r="K1390" s="45"/>
      <c r="M1390" s="44"/>
      <c r="N1390" s="45"/>
    </row>
    <row r="1391" spans="1:14">
      <c r="A1391" s="44"/>
      <c r="B1391" s="45"/>
      <c r="C1391" s="45"/>
      <c r="E1391" s="44"/>
      <c r="F1391" s="45"/>
      <c r="G1391" s="45"/>
      <c r="J1391" s="44"/>
      <c r="K1391" s="45"/>
      <c r="M1391" s="44"/>
      <c r="N1391" s="45"/>
    </row>
    <row r="1392" spans="1:14">
      <c r="A1392" s="44"/>
      <c r="B1392" s="45"/>
      <c r="C1392" s="45"/>
      <c r="E1392" s="44"/>
      <c r="F1392" s="45"/>
      <c r="G1392" s="45"/>
      <c r="J1392" s="44"/>
      <c r="K1392" s="45"/>
      <c r="M1392" s="44"/>
      <c r="N1392" s="45"/>
    </row>
    <row r="1393" spans="1:14">
      <c r="A1393" s="44"/>
      <c r="B1393" s="45"/>
      <c r="C1393" s="45"/>
      <c r="E1393" s="44"/>
      <c r="F1393" s="45"/>
      <c r="G1393" s="45"/>
      <c r="J1393" s="44"/>
      <c r="K1393" s="45"/>
      <c r="M1393" s="44"/>
      <c r="N1393" s="45"/>
    </row>
    <row r="1394" spans="1:14">
      <c r="A1394" s="44"/>
      <c r="B1394" s="45"/>
      <c r="C1394" s="45"/>
      <c r="E1394" s="44"/>
      <c r="F1394" s="45"/>
      <c r="G1394" s="45"/>
      <c r="J1394" s="44"/>
      <c r="K1394" s="45"/>
      <c r="M1394" s="44"/>
      <c r="N1394" s="45"/>
    </row>
    <row r="1395" spans="1:14">
      <c r="A1395" s="44"/>
      <c r="B1395" s="45"/>
      <c r="C1395" s="45"/>
      <c r="E1395" s="44"/>
      <c r="F1395" s="45"/>
      <c r="G1395" s="45"/>
      <c r="J1395" s="44"/>
      <c r="K1395" s="45"/>
      <c r="M1395" s="44"/>
      <c r="N1395" s="45"/>
    </row>
    <row r="1396" spans="1:14">
      <c r="A1396" s="44"/>
      <c r="B1396" s="45"/>
      <c r="C1396" s="45"/>
      <c r="E1396" s="44"/>
      <c r="F1396" s="45"/>
      <c r="G1396" s="45"/>
      <c r="J1396" s="44"/>
      <c r="K1396" s="45"/>
      <c r="M1396" s="44"/>
      <c r="N1396" s="45"/>
    </row>
    <row r="1397" spans="1:14">
      <c r="A1397" s="44"/>
      <c r="B1397" s="45"/>
      <c r="C1397" s="45"/>
      <c r="E1397" s="44"/>
      <c r="F1397" s="45"/>
      <c r="G1397" s="45"/>
      <c r="J1397" s="44"/>
      <c r="K1397" s="45"/>
      <c r="M1397" s="44"/>
      <c r="N1397" s="45"/>
    </row>
    <row r="1398" spans="1:14">
      <c r="A1398" s="44"/>
      <c r="B1398" s="45"/>
      <c r="C1398" s="45"/>
      <c r="E1398" s="44"/>
      <c r="F1398" s="45"/>
      <c r="G1398" s="45"/>
      <c r="J1398" s="44"/>
      <c r="K1398" s="45"/>
      <c r="M1398" s="44"/>
      <c r="N1398" s="45"/>
    </row>
    <row r="1399" spans="1:14">
      <c r="A1399" s="44"/>
      <c r="B1399" s="45"/>
      <c r="C1399" s="45"/>
      <c r="E1399" s="44"/>
      <c r="F1399" s="45"/>
      <c r="G1399" s="45"/>
      <c r="J1399" s="44"/>
      <c r="K1399" s="45"/>
      <c r="M1399" s="44"/>
      <c r="N1399" s="45"/>
    </row>
    <row r="1400" spans="1:14">
      <c r="A1400" s="44"/>
      <c r="B1400" s="45"/>
      <c r="C1400" s="45"/>
      <c r="E1400" s="44"/>
      <c r="F1400" s="45"/>
      <c r="G1400" s="45"/>
      <c r="J1400" s="44"/>
      <c r="K1400" s="45"/>
      <c r="M1400" s="44"/>
      <c r="N1400" s="45"/>
    </row>
    <row r="1401" spans="1:14">
      <c r="A1401" s="44"/>
      <c r="B1401" s="45"/>
      <c r="C1401" s="45"/>
      <c r="E1401" s="44"/>
      <c r="F1401" s="45"/>
      <c r="G1401" s="45"/>
      <c r="J1401" s="44"/>
      <c r="K1401" s="45"/>
      <c r="M1401" s="44"/>
      <c r="N1401" s="45"/>
    </row>
    <row r="1402" spans="1:14">
      <c r="A1402" s="44"/>
      <c r="B1402" s="45"/>
      <c r="C1402" s="45"/>
      <c r="E1402" s="44"/>
      <c r="F1402" s="45"/>
      <c r="G1402" s="45"/>
      <c r="J1402" s="44"/>
      <c r="K1402" s="45"/>
      <c r="M1402" s="44"/>
      <c r="N1402" s="45"/>
    </row>
    <row r="1403" spans="1:14">
      <c r="A1403" s="44"/>
      <c r="B1403" s="45"/>
      <c r="C1403" s="45"/>
      <c r="E1403" s="44"/>
      <c r="F1403" s="45"/>
      <c r="G1403" s="45"/>
      <c r="J1403" s="44"/>
      <c r="K1403" s="45"/>
      <c r="M1403" s="44"/>
      <c r="N1403" s="45"/>
    </row>
    <row r="1404" spans="1:14">
      <c r="A1404" s="44"/>
      <c r="B1404" s="45"/>
      <c r="C1404" s="45"/>
      <c r="E1404" s="44"/>
      <c r="F1404" s="45"/>
      <c r="G1404" s="45"/>
      <c r="J1404" s="44"/>
      <c r="K1404" s="45"/>
      <c r="M1404" s="44"/>
      <c r="N1404" s="45"/>
    </row>
    <row r="1405" spans="1:14">
      <c r="A1405" s="44"/>
      <c r="B1405" s="45"/>
      <c r="C1405" s="45"/>
      <c r="E1405" s="44"/>
      <c r="F1405" s="45"/>
      <c r="G1405" s="45"/>
      <c r="J1405" s="44"/>
      <c r="K1405" s="45"/>
      <c r="M1405" s="44"/>
      <c r="N1405" s="45"/>
    </row>
    <row r="1406" spans="1:14">
      <c r="A1406" s="44"/>
      <c r="B1406" s="45"/>
      <c r="C1406" s="45"/>
      <c r="E1406" s="44"/>
      <c r="F1406" s="45"/>
      <c r="G1406" s="45"/>
      <c r="J1406" s="44"/>
      <c r="K1406" s="45"/>
      <c r="M1406" s="44"/>
      <c r="N1406" s="45"/>
    </row>
    <row r="1407" spans="1:14">
      <c r="A1407" s="44"/>
      <c r="B1407" s="45"/>
      <c r="C1407" s="45"/>
      <c r="E1407" s="44"/>
      <c r="F1407" s="45"/>
      <c r="G1407" s="45"/>
      <c r="J1407" s="44"/>
      <c r="K1407" s="45"/>
      <c r="M1407" s="44"/>
      <c r="N1407" s="45"/>
    </row>
    <row r="1408" spans="1:14">
      <c r="A1408" s="44"/>
      <c r="B1408" s="45"/>
      <c r="C1408" s="45"/>
      <c r="E1408" s="44"/>
      <c r="F1408" s="45"/>
      <c r="G1408" s="45"/>
      <c r="J1408" s="44"/>
      <c r="K1408" s="45"/>
      <c r="M1408" s="44"/>
      <c r="N1408" s="45"/>
    </row>
    <row r="1409" spans="1:14">
      <c r="A1409" s="44"/>
      <c r="B1409" s="45"/>
      <c r="C1409" s="45"/>
      <c r="E1409" s="44"/>
      <c r="F1409" s="45"/>
      <c r="G1409" s="45"/>
      <c r="J1409" s="44"/>
      <c r="K1409" s="45"/>
      <c r="M1409" s="44"/>
      <c r="N1409" s="45"/>
    </row>
    <row r="1410" spans="1:14">
      <c r="A1410" s="44"/>
      <c r="B1410" s="45"/>
      <c r="C1410" s="45"/>
      <c r="E1410" s="44"/>
      <c r="F1410" s="45"/>
      <c r="G1410" s="45"/>
      <c r="J1410" s="44"/>
      <c r="K1410" s="45"/>
      <c r="M1410" s="44"/>
      <c r="N1410" s="45"/>
    </row>
    <row r="1411" spans="1:14">
      <c r="A1411" s="44"/>
      <c r="B1411" s="45"/>
      <c r="C1411" s="45"/>
      <c r="E1411" s="44"/>
      <c r="F1411" s="45"/>
      <c r="G1411" s="45"/>
      <c r="J1411" s="44"/>
      <c r="K1411" s="45"/>
      <c r="M1411" s="44"/>
      <c r="N1411" s="45"/>
    </row>
    <row r="1412" spans="1:14">
      <c r="A1412" s="44"/>
      <c r="B1412" s="45"/>
      <c r="C1412" s="45"/>
      <c r="E1412" s="44"/>
      <c r="F1412" s="45"/>
      <c r="G1412" s="45"/>
      <c r="J1412" s="44"/>
      <c r="K1412" s="45"/>
      <c r="M1412" s="44"/>
      <c r="N1412" s="45"/>
    </row>
    <row r="1413" spans="1:14">
      <c r="A1413" s="44"/>
      <c r="B1413" s="45"/>
      <c r="C1413" s="45"/>
      <c r="E1413" s="44"/>
      <c r="F1413" s="45"/>
      <c r="G1413" s="45"/>
      <c r="J1413" s="44"/>
      <c r="K1413" s="45"/>
      <c r="M1413" s="44"/>
      <c r="N1413" s="45"/>
    </row>
    <row r="1414" spans="1:14">
      <c r="A1414" s="44"/>
      <c r="B1414" s="45"/>
      <c r="C1414" s="45"/>
      <c r="E1414" s="44"/>
      <c r="F1414" s="45"/>
      <c r="G1414" s="45"/>
      <c r="J1414" s="44"/>
      <c r="K1414" s="45"/>
      <c r="M1414" s="44"/>
      <c r="N1414" s="45"/>
    </row>
    <row r="1415" spans="1:14">
      <c r="A1415" s="44"/>
      <c r="B1415" s="45"/>
      <c r="C1415" s="45"/>
      <c r="E1415" s="44"/>
      <c r="F1415" s="45"/>
      <c r="G1415" s="45"/>
      <c r="J1415" s="44"/>
      <c r="K1415" s="45"/>
      <c r="M1415" s="44"/>
      <c r="N1415" s="45"/>
    </row>
    <row r="1416" spans="1:14">
      <c r="A1416" s="44"/>
      <c r="B1416" s="45"/>
      <c r="C1416" s="45"/>
      <c r="E1416" s="44"/>
      <c r="F1416" s="45"/>
      <c r="G1416" s="45"/>
      <c r="J1416" s="44"/>
      <c r="K1416" s="45"/>
      <c r="M1416" s="44"/>
      <c r="N1416" s="45"/>
    </row>
    <row r="1417" spans="1:14">
      <c r="A1417" s="44"/>
      <c r="B1417" s="45"/>
      <c r="C1417" s="45"/>
      <c r="E1417" s="44"/>
      <c r="F1417" s="45"/>
      <c r="G1417" s="45"/>
      <c r="J1417" s="44"/>
      <c r="K1417" s="45"/>
      <c r="M1417" s="44"/>
      <c r="N1417" s="45"/>
    </row>
    <row r="1418" spans="1:14">
      <c r="A1418" s="44"/>
      <c r="B1418" s="45"/>
      <c r="C1418" s="45"/>
      <c r="E1418" s="44"/>
      <c r="F1418" s="45"/>
      <c r="G1418" s="45"/>
      <c r="J1418" s="44"/>
      <c r="K1418" s="45"/>
      <c r="M1418" s="44"/>
      <c r="N1418" s="45"/>
    </row>
    <row r="1419" spans="1:14">
      <c r="A1419" s="44"/>
      <c r="B1419" s="45"/>
      <c r="C1419" s="45"/>
      <c r="E1419" s="44"/>
      <c r="F1419" s="45"/>
      <c r="G1419" s="45"/>
      <c r="J1419" s="44"/>
      <c r="K1419" s="45"/>
      <c r="M1419" s="44"/>
      <c r="N1419" s="45"/>
    </row>
    <row r="1420" spans="1:14">
      <c r="A1420" s="44"/>
      <c r="B1420" s="45"/>
      <c r="C1420" s="45"/>
      <c r="E1420" s="44"/>
      <c r="F1420" s="45"/>
      <c r="G1420" s="45"/>
      <c r="J1420" s="44"/>
      <c r="K1420" s="45"/>
      <c r="M1420" s="44"/>
      <c r="N1420" s="45"/>
    </row>
    <row r="1421" spans="1:14">
      <c r="A1421" s="44"/>
      <c r="B1421" s="45"/>
      <c r="C1421" s="45"/>
      <c r="E1421" s="44"/>
      <c r="F1421" s="45"/>
      <c r="G1421" s="45"/>
      <c r="J1421" s="44"/>
      <c r="K1421" s="45"/>
      <c r="M1421" s="44"/>
      <c r="N1421" s="45"/>
    </row>
    <row r="1422" spans="1:14">
      <c r="A1422" s="44"/>
      <c r="B1422" s="45"/>
      <c r="C1422" s="45"/>
      <c r="E1422" s="44"/>
      <c r="F1422" s="45"/>
      <c r="G1422" s="45"/>
      <c r="J1422" s="44"/>
      <c r="K1422" s="45"/>
      <c r="M1422" s="44"/>
      <c r="N1422" s="45"/>
    </row>
    <row r="1423" spans="1:14">
      <c r="A1423" s="44"/>
      <c r="B1423" s="45"/>
      <c r="C1423" s="45"/>
      <c r="E1423" s="44"/>
      <c r="F1423" s="45"/>
      <c r="G1423" s="45"/>
      <c r="J1423" s="44"/>
      <c r="K1423" s="45"/>
      <c r="M1423" s="44"/>
      <c r="N1423" s="45"/>
    </row>
    <row r="1424" spans="1:14">
      <c r="A1424" s="44"/>
      <c r="B1424" s="45"/>
      <c r="C1424" s="45"/>
      <c r="E1424" s="44"/>
      <c r="F1424" s="45"/>
      <c r="G1424" s="45"/>
      <c r="J1424" s="44"/>
      <c r="K1424" s="45"/>
      <c r="M1424" s="44"/>
      <c r="N1424" s="45"/>
    </row>
    <row r="1425" spans="1:14">
      <c r="A1425" s="44"/>
      <c r="B1425" s="45"/>
      <c r="C1425" s="45"/>
      <c r="E1425" s="44"/>
      <c r="F1425" s="45"/>
      <c r="G1425" s="45"/>
      <c r="J1425" s="44"/>
      <c r="K1425" s="45"/>
      <c r="M1425" s="44"/>
      <c r="N1425" s="45"/>
    </row>
    <row r="1426" spans="1:14">
      <c r="A1426" s="44"/>
      <c r="B1426" s="45"/>
      <c r="C1426" s="45"/>
      <c r="E1426" s="44"/>
      <c r="F1426" s="45"/>
      <c r="G1426" s="45"/>
      <c r="J1426" s="44"/>
      <c r="K1426" s="45"/>
      <c r="M1426" s="44"/>
      <c r="N1426" s="45"/>
    </row>
    <row r="1427" spans="1:14">
      <c r="A1427" s="44"/>
      <c r="B1427" s="45"/>
      <c r="C1427" s="45"/>
      <c r="E1427" s="44"/>
      <c r="F1427" s="45"/>
      <c r="G1427" s="45"/>
      <c r="J1427" s="44"/>
      <c r="K1427" s="45"/>
      <c r="M1427" s="44"/>
      <c r="N1427" s="45"/>
    </row>
    <row r="1428" spans="1:14">
      <c r="A1428" s="44"/>
      <c r="B1428" s="45"/>
      <c r="C1428" s="45"/>
      <c r="E1428" s="44"/>
      <c r="F1428" s="45"/>
      <c r="G1428" s="45"/>
      <c r="J1428" s="44"/>
      <c r="K1428" s="45"/>
      <c r="M1428" s="44"/>
      <c r="N1428" s="45"/>
    </row>
    <row r="1429" spans="1:14">
      <c r="A1429" s="44"/>
      <c r="B1429" s="45"/>
      <c r="C1429" s="45"/>
      <c r="E1429" s="44"/>
      <c r="F1429" s="45"/>
      <c r="G1429" s="45"/>
      <c r="J1429" s="44"/>
      <c r="K1429" s="45"/>
      <c r="M1429" s="44"/>
      <c r="N1429" s="45"/>
    </row>
    <row r="1430" spans="1:14">
      <c r="A1430" s="44"/>
      <c r="B1430" s="45"/>
      <c r="C1430" s="45"/>
      <c r="E1430" s="44"/>
      <c r="F1430" s="45"/>
      <c r="G1430" s="45"/>
      <c r="J1430" s="44"/>
      <c r="K1430" s="45"/>
      <c r="M1430" s="44"/>
      <c r="N1430" s="45"/>
    </row>
    <row r="1431" spans="1:14">
      <c r="A1431" s="44"/>
      <c r="B1431" s="45"/>
      <c r="C1431" s="45"/>
      <c r="E1431" s="44"/>
      <c r="F1431" s="45"/>
      <c r="G1431" s="45"/>
      <c r="J1431" s="44"/>
      <c r="K1431" s="45"/>
      <c r="M1431" s="44"/>
      <c r="N1431" s="45"/>
    </row>
    <row r="1432" spans="1:14">
      <c r="A1432" s="44"/>
      <c r="B1432" s="45"/>
      <c r="C1432" s="45"/>
      <c r="E1432" s="44"/>
      <c r="F1432" s="45"/>
      <c r="G1432" s="45"/>
      <c r="J1432" s="44"/>
      <c r="K1432" s="45"/>
      <c r="M1432" s="44"/>
      <c r="N1432" s="45"/>
    </row>
    <row r="1433" spans="1:14">
      <c r="A1433" s="44"/>
      <c r="B1433" s="45"/>
      <c r="C1433" s="45"/>
      <c r="E1433" s="44"/>
      <c r="F1433" s="45"/>
      <c r="G1433" s="45"/>
      <c r="J1433" s="44"/>
      <c r="K1433" s="45"/>
      <c r="M1433" s="44"/>
      <c r="N1433" s="45"/>
    </row>
    <row r="1434" spans="1:14">
      <c r="A1434" s="44"/>
      <c r="B1434" s="45"/>
      <c r="C1434" s="45"/>
      <c r="E1434" s="44"/>
      <c r="F1434" s="45"/>
      <c r="G1434" s="45"/>
      <c r="J1434" s="44"/>
      <c r="K1434" s="45"/>
      <c r="M1434" s="44"/>
      <c r="N1434" s="45"/>
    </row>
    <row r="1435" spans="1:14">
      <c r="A1435" s="44"/>
      <c r="B1435" s="45"/>
      <c r="C1435" s="45"/>
      <c r="E1435" s="44"/>
      <c r="F1435" s="45"/>
      <c r="G1435" s="45"/>
      <c r="J1435" s="44"/>
      <c r="K1435" s="45"/>
      <c r="M1435" s="44"/>
      <c r="N1435" s="45"/>
    </row>
    <row r="1436" spans="1:14">
      <c r="A1436" s="44"/>
      <c r="B1436" s="45"/>
      <c r="C1436" s="45"/>
      <c r="E1436" s="44"/>
      <c r="F1436" s="45"/>
      <c r="G1436" s="45"/>
      <c r="J1436" s="44"/>
      <c r="K1436" s="45"/>
      <c r="M1436" s="44"/>
      <c r="N1436" s="45"/>
    </row>
    <row r="1437" spans="1:14">
      <c r="A1437" s="44"/>
      <c r="B1437" s="45"/>
      <c r="C1437" s="45"/>
      <c r="E1437" s="44"/>
      <c r="F1437" s="45"/>
      <c r="G1437" s="45"/>
      <c r="J1437" s="44"/>
      <c r="K1437" s="45"/>
      <c r="M1437" s="44"/>
      <c r="N1437" s="45"/>
    </row>
    <row r="1438" spans="1:14">
      <c r="A1438" s="44"/>
      <c r="B1438" s="45"/>
      <c r="C1438" s="45"/>
      <c r="E1438" s="44"/>
      <c r="F1438" s="45"/>
      <c r="G1438" s="45"/>
      <c r="J1438" s="44"/>
      <c r="K1438" s="45"/>
      <c r="M1438" s="44"/>
      <c r="N1438" s="45"/>
    </row>
    <row r="1439" spans="1:14">
      <c r="A1439" s="44"/>
      <c r="B1439" s="45"/>
      <c r="C1439" s="45"/>
      <c r="E1439" s="44"/>
      <c r="F1439" s="45"/>
      <c r="G1439" s="45"/>
      <c r="J1439" s="44"/>
      <c r="K1439" s="45"/>
      <c r="M1439" s="44"/>
      <c r="N1439" s="45"/>
    </row>
    <row r="1440" spans="1:14">
      <c r="A1440" s="44"/>
      <c r="B1440" s="45"/>
      <c r="C1440" s="45"/>
      <c r="E1440" s="44"/>
      <c r="F1440" s="45"/>
      <c r="G1440" s="45"/>
      <c r="J1440" s="44"/>
      <c r="K1440" s="45"/>
      <c r="M1440" s="44"/>
      <c r="N1440" s="47"/>
    </row>
    <row r="1441" spans="1:14">
      <c r="A1441" s="44"/>
      <c r="B1441" s="45"/>
      <c r="C1441" s="45"/>
      <c r="E1441" s="44"/>
      <c r="F1441" s="45"/>
      <c r="G1441" s="45"/>
      <c r="J1441" s="44"/>
      <c r="K1441" s="45"/>
      <c r="M1441" s="44"/>
      <c r="N1441" s="45"/>
    </row>
    <row r="1442" spans="1:14">
      <c r="A1442" s="44"/>
      <c r="B1442" s="45"/>
      <c r="C1442" s="45"/>
      <c r="E1442" s="44"/>
      <c r="F1442" s="45"/>
      <c r="G1442" s="45"/>
      <c r="J1442" s="44"/>
      <c r="K1442" s="45"/>
      <c r="M1442" s="44"/>
      <c r="N1442" s="45"/>
    </row>
    <row r="1443" spans="1:14">
      <c r="A1443" s="44"/>
      <c r="B1443" s="47"/>
      <c r="C1443" s="45"/>
      <c r="E1443" s="44"/>
      <c r="F1443" s="45"/>
      <c r="G1443" s="45"/>
      <c r="J1443" s="44"/>
      <c r="K1443" s="47"/>
      <c r="M1443" s="44"/>
      <c r="N1443" s="45"/>
    </row>
    <row r="1444" spans="1:14">
      <c r="A1444" s="44"/>
      <c r="B1444" s="45"/>
      <c r="C1444" s="45"/>
      <c r="E1444" s="44"/>
      <c r="F1444" s="45"/>
      <c r="G1444" s="45"/>
      <c r="J1444" s="44"/>
      <c r="K1444" s="45"/>
      <c r="M1444" s="44"/>
      <c r="N1444" s="45"/>
    </row>
    <row r="1445" spans="1:14">
      <c r="A1445" s="44"/>
      <c r="B1445" s="45"/>
      <c r="C1445" s="45"/>
      <c r="E1445" s="44"/>
      <c r="F1445" s="45"/>
      <c r="G1445" s="45"/>
      <c r="J1445" s="44"/>
      <c r="K1445" s="45"/>
      <c r="M1445" s="44"/>
      <c r="N1445" s="45"/>
    </row>
    <row r="1446" spans="1:14">
      <c r="A1446" s="44"/>
      <c r="B1446" s="45"/>
      <c r="C1446" s="45"/>
      <c r="E1446" s="44"/>
      <c r="F1446" s="45"/>
      <c r="G1446" s="45"/>
      <c r="J1446" s="44"/>
      <c r="K1446" s="45"/>
      <c r="M1446" s="44"/>
      <c r="N1446" s="45"/>
    </row>
    <row r="1447" spans="1:14">
      <c r="A1447" s="44"/>
      <c r="B1447" s="45"/>
      <c r="C1447" s="45"/>
      <c r="E1447" s="44"/>
      <c r="F1447" s="45"/>
      <c r="G1447" s="45"/>
      <c r="J1447" s="44"/>
      <c r="K1447" s="45"/>
      <c r="M1447" s="44"/>
      <c r="N1447" s="45"/>
    </row>
    <row r="1448" spans="1:14">
      <c r="A1448" s="44"/>
      <c r="B1448" s="45"/>
      <c r="C1448" s="45"/>
      <c r="M1448" s="44"/>
      <c r="N1448" s="45"/>
    </row>
    <row r="1449" spans="1:14">
      <c r="A1449" s="44"/>
      <c r="B1449" s="45"/>
      <c r="C1449" s="45"/>
    </row>
    <row r="1450" spans="1:14">
      <c r="A1450" s="44"/>
      <c r="B1450" s="45"/>
      <c r="C1450" s="45"/>
    </row>
    <row r="1451" spans="1:14">
      <c r="A1451" s="44"/>
      <c r="B1451" s="45"/>
      <c r="C1451" s="45"/>
    </row>
    <row r="1452" spans="1:14">
      <c r="A1452" s="44"/>
      <c r="B1452" s="45"/>
      <c r="C1452" s="45"/>
    </row>
    <row r="1453" spans="1:14">
      <c r="A1453" s="44"/>
      <c r="B1453" s="45"/>
      <c r="C1453" s="45"/>
    </row>
    <row r="1454" spans="1:14">
      <c r="A1454" s="44"/>
      <c r="B1454" s="45"/>
      <c r="C1454" s="45"/>
    </row>
    <row r="1455" spans="1:14">
      <c r="A1455" s="44"/>
      <c r="B1455" s="45"/>
      <c r="C1455" s="45"/>
    </row>
    <row r="1456" spans="1:14">
      <c r="A1456" s="44"/>
      <c r="B1456" s="45"/>
      <c r="C1456" s="45"/>
    </row>
    <row r="1457" spans="1:3">
      <c r="A1457" s="44"/>
      <c r="B1457" s="45"/>
      <c r="C1457" s="45"/>
    </row>
    <row r="1458" spans="1:3">
      <c r="A1458" s="44"/>
      <c r="B1458" s="45"/>
      <c r="C1458" s="45"/>
    </row>
    <row r="1459" spans="1:3">
      <c r="A1459" s="44"/>
      <c r="B1459" s="45"/>
      <c r="C1459" s="45"/>
    </row>
    <row r="1460" spans="1:3">
      <c r="A1460" s="44"/>
      <c r="B1460" s="45"/>
      <c r="C1460" s="45"/>
    </row>
    <row r="1461" spans="1:3">
      <c r="A1461" s="44"/>
      <c r="B1461" s="45"/>
      <c r="C1461" s="45"/>
    </row>
    <row r="1462" spans="1:3">
      <c r="A1462" s="44"/>
      <c r="B1462" s="45"/>
      <c r="C1462" s="45"/>
    </row>
    <row r="1463" spans="1:3">
      <c r="A1463" s="44"/>
      <c r="B1463" s="45"/>
      <c r="C1463" s="45"/>
    </row>
    <row r="1464" spans="1:3">
      <c r="A1464" s="44"/>
      <c r="B1464" s="45"/>
      <c r="C1464" s="45"/>
    </row>
    <row r="1465" spans="1:3">
      <c r="A1465" s="44"/>
      <c r="B1465" s="45"/>
      <c r="C1465" s="45"/>
    </row>
    <row r="1466" spans="1:3">
      <c r="A1466" s="44"/>
      <c r="B1466" s="45"/>
      <c r="C1466" s="45"/>
    </row>
    <row r="1467" spans="1:3">
      <c r="A1467" s="44"/>
      <c r="B1467" s="45"/>
      <c r="C1467" s="45"/>
    </row>
    <row r="1468" spans="1:3">
      <c r="A1468" s="44"/>
      <c r="B1468" s="45"/>
      <c r="C1468" s="45"/>
    </row>
    <row r="1469" spans="1:3">
      <c r="A1469" s="44"/>
      <c r="B1469" s="45"/>
      <c r="C1469" s="45"/>
    </row>
    <row r="1470" spans="1:3">
      <c r="A1470" s="44"/>
      <c r="B1470" s="45"/>
      <c r="C1470" s="45"/>
    </row>
    <row r="1471" spans="1:3">
      <c r="A1471" s="44"/>
      <c r="B1471" s="45"/>
      <c r="C1471" s="45"/>
    </row>
    <row r="1472" spans="1:3">
      <c r="A1472" s="44"/>
      <c r="B1472" s="45"/>
      <c r="C1472" s="45"/>
    </row>
    <row r="1473" spans="1:3">
      <c r="A1473" s="44"/>
      <c r="B1473" s="45"/>
      <c r="C1473" s="45"/>
    </row>
    <row r="1474" spans="1:3">
      <c r="A1474" s="44"/>
      <c r="B1474" s="45"/>
      <c r="C1474" s="45"/>
    </row>
    <row r="1475" spans="1:3">
      <c r="A1475" s="44"/>
      <c r="B1475" s="45"/>
      <c r="C1475" s="45"/>
    </row>
    <row r="1476" spans="1:3">
      <c r="A1476" s="44"/>
      <c r="B1476" s="45"/>
      <c r="C1476" s="45"/>
    </row>
    <row r="1477" spans="1:3">
      <c r="A1477" s="44"/>
      <c r="B1477" s="45"/>
      <c r="C1477" s="45"/>
    </row>
    <row r="1478" spans="1:3">
      <c r="A1478" s="44"/>
      <c r="B1478" s="45"/>
      <c r="C1478" s="45"/>
    </row>
    <row r="1479" spans="1:3">
      <c r="A1479" s="44"/>
      <c r="B1479" s="45"/>
      <c r="C1479" s="45"/>
    </row>
    <row r="1480" spans="1:3">
      <c r="A1480" s="44"/>
      <c r="B1480" s="45"/>
      <c r="C1480" s="45"/>
    </row>
    <row r="1481" spans="1:3">
      <c r="A1481" s="44"/>
      <c r="B1481" s="45"/>
      <c r="C1481" s="45"/>
    </row>
    <row r="1482" spans="1:3">
      <c r="A1482" s="44"/>
      <c r="B1482" s="45"/>
      <c r="C1482" s="45"/>
    </row>
    <row r="1483" spans="1:3">
      <c r="A1483" s="44"/>
      <c r="B1483" s="45"/>
      <c r="C1483" s="45"/>
    </row>
    <row r="1484" spans="1:3">
      <c r="A1484" s="44"/>
      <c r="B1484" s="45"/>
      <c r="C1484" s="45"/>
    </row>
    <row r="1485" spans="1:3">
      <c r="A1485" s="44"/>
      <c r="B1485" s="45"/>
      <c r="C1485" s="45"/>
    </row>
    <row r="1486" spans="1:3">
      <c r="A1486" s="44"/>
      <c r="B1486" s="45"/>
      <c r="C1486" s="45"/>
    </row>
    <row r="1487" spans="1:3">
      <c r="A1487" s="44"/>
      <c r="B1487" s="45"/>
      <c r="C1487" s="45"/>
    </row>
    <row r="1488" spans="1:3">
      <c r="A1488" s="44"/>
      <c r="B1488" s="45"/>
      <c r="C1488" s="45"/>
    </row>
    <row r="1489" spans="1:3">
      <c r="A1489" s="44"/>
      <c r="B1489" s="45"/>
      <c r="C1489" s="45"/>
    </row>
    <row r="1490" spans="1:3">
      <c r="A1490" s="44"/>
      <c r="B1490" s="45"/>
      <c r="C1490" s="45"/>
    </row>
    <row r="1491" spans="1:3">
      <c r="A1491" s="44"/>
      <c r="B1491" s="45"/>
      <c r="C1491" s="45"/>
    </row>
    <row r="1492" spans="1:3">
      <c r="A1492" s="44"/>
      <c r="B1492" s="45"/>
      <c r="C1492" s="45"/>
    </row>
    <row r="1493" spans="1:3">
      <c r="A1493" s="44"/>
      <c r="B1493" s="45"/>
      <c r="C1493" s="45"/>
    </row>
    <row r="1494" spans="1:3">
      <c r="A1494" s="44"/>
      <c r="B1494" s="45"/>
      <c r="C1494" s="45"/>
    </row>
    <row r="1495" spans="1:3">
      <c r="A1495" s="44"/>
      <c r="B1495" s="45"/>
      <c r="C1495" s="4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B184"/>
  <sheetViews>
    <sheetView showGridLines="0" topLeftCell="A19" workbookViewId="0">
      <selection activeCell="B30" sqref="B30"/>
    </sheetView>
  </sheetViews>
  <sheetFormatPr defaultRowHeight="15"/>
  <sheetData>
    <row r="1" spans="1:2" s="25" customFormat="1">
      <c r="A1" s="25" t="s">
        <v>249</v>
      </c>
    </row>
    <row r="2" spans="1:2" s="25" customFormat="1">
      <c r="A2" s="25">
        <v>1</v>
      </c>
      <c r="B2" s="25" t="s">
        <v>250</v>
      </c>
    </row>
    <row r="3" spans="1:2" s="25" customFormat="1">
      <c r="A3" s="25">
        <v>2</v>
      </c>
      <c r="B3" s="25" t="s">
        <v>251</v>
      </c>
    </row>
    <row r="4" spans="1:2" s="25" customFormat="1">
      <c r="B4" s="25" t="s">
        <v>252</v>
      </c>
    </row>
    <row r="5" spans="1:2" s="25" customFormat="1"/>
    <row r="6" spans="1:2">
      <c r="A6" s="89" t="s">
        <v>253</v>
      </c>
      <c r="B6" t="s">
        <v>247</v>
      </c>
    </row>
    <row r="7" spans="1:2">
      <c r="B7" t="s">
        <v>248</v>
      </c>
    </row>
    <row r="10" spans="1:2" s="90" customFormat="1">
      <c r="A10" s="90">
        <v>1</v>
      </c>
      <c r="B10" s="90" t="s">
        <v>201</v>
      </c>
    </row>
    <row r="11" spans="1:2">
      <c r="B11" t="s">
        <v>202</v>
      </c>
    </row>
    <row r="12" spans="1:2">
      <c r="B12" t="s">
        <v>203</v>
      </c>
    </row>
    <row r="13" spans="1:2">
      <c r="B13" t="s">
        <v>204</v>
      </c>
    </row>
    <row r="14" spans="1:2">
      <c r="B14" t="s">
        <v>205</v>
      </c>
    </row>
    <row r="15" spans="1:2">
      <c r="B15" t="s">
        <v>206</v>
      </c>
    </row>
    <row r="16" spans="1:2">
      <c r="B16" t="s">
        <v>207</v>
      </c>
    </row>
    <row r="18" spans="2:2">
      <c r="B18" t="s">
        <v>200</v>
      </c>
    </row>
    <row r="20" spans="2:2">
      <c r="B20" t="s">
        <v>208</v>
      </c>
    </row>
    <row r="22" spans="2:2">
      <c r="B22" t="s">
        <v>200</v>
      </c>
    </row>
    <row r="24" spans="2:2">
      <c r="B24" t="s">
        <v>209</v>
      </c>
    </row>
    <row r="25" spans="2:2">
      <c r="B25" t="s">
        <v>210</v>
      </c>
    </row>
    <row r="26" spans="2:2">
      <c r="B26" t="s">
        <v>211</v>
      </c>
    </row>
    <row r="28" spans="2:2">
      <c r="B28" t="s">
        <v>200</v>
      </c>
    </row>
    <row r="30" spans="2:2">
      <c r="B30" t="s">
        <v>212</v>
      </c>
    </row>
    <row r="32" spans="2:2">
      <c r="B32" t="s">
        <v>200</v>
      </c>
    </row>
    <row r="34" spans="2:2">
      <c r="B34" t="s">
        <v>213</v>
      </c>
    </row>
    <row r="35" spans="2:2">
      <c r="B35" t="s">
        <v>214</v>
      </c>
    </row>
    <row r="36" spans="2:2">
      <c r="B36" t="s">
        <v>215</v>
      </c>
    </row>
    <row r="38" spans="2:2">
      <c r="B38" t="s">
        <v>200</v>
      </c>
    </row>
    <row r="40" spans="2:2">
      <c r="B40" t="s">
        <v>175</v>
      </c>
    </row>
    <row r="42" spans="2:2">
      <c r="B42" t="s">
        <v>216</v>
      </c>
    </row>
    <row r="44" spans="2:2">
      <c r="B44" t="s">
        <v>217</v>
      </c>
    </row>
    <row r="45" spans="2:2">
      <c r="B45" t="s">
        <v>218</v>
      </c>
    </row>
    <row r="46" spans="2:2">
      <c r="B46" t="s">
        <v>219</v>
      </c>
    </row>
    <row r="47" spans="2:2">
      <c r="B47" t="s">
        <v>220</v>
      </c>
    </row>
    <row r="48" spans="2:2">
      <c r="B48" t="s">
        <v>221</v>
      </c>
    </row>
    <row r="49" spans="2:2">
      <c r="B49" t="s">
        <v>222</v>
      </c>
    </row>
    <row r="51" spans="2:2">
      <c r="B51" t="s">
        <v>200</v>
      </c>
    </row>
    <row r="53" spans="2:2">
      <c r="B53" t="s">
        <v>176</v>
      </c>
    </row>
    <row r="55" spans="2:2">
      <c r="B55" t="s">
        <v>223</v>
      </c>
    </row>
    <row r="57" spans="2:2">
      <c r="B57" t="s">
        <v>177</v>
      </c>
    </row>
    <row r="59" spans="2:2">
      <c r="B59" t="s">
        <v>178</v>
      </c>
    </row>
    <row r="61" spans="2:2">
      <c r="B61" t="s">
        <v>224</v>
      </c>
    </row>
    <row r="62" spans="2:2">
      <c r="B62" t="s">
        <v>225</v>
      </c>
    </row>
    <row r="63" spans="2:2">
      <c r="B63" t="s">
        <v>226</v>
      </c>
    </row>
    <row r="65" spans="2:2">
      <c r="B65" t="s">
        <v>179</v>
      </c>
    </row>
    <row r="67" spans="2:2">
      <c r="B67" t="s">
        <v>200</v>
      </c>
    </row>
    <row r="69" spans="2:2">
      <c r="B69" t="s">
        <v>227</v>
      </c>
    </row>
    <row r="70" spans="2:2">
      <c r="B70" t="s">
        <v>228</v>
      </c>
    </row>
    <row r="71" spans="2:2">
      <c r="B71" t="s">
        <v>229</v>
      </c>
    </row>
    <row r="74" spans="2:2">
      <c r="B74" t="s">
        <v>230</v>
      </c>
    </row>
    <row r="76" spans="2:2">
      <c r="B76" t="s">
        <v>200</v>
      </c>
    </row>
    <row r="78" spans="2:2">
      <c r="B78" t="s">
        <v>231</v>
      </c>
    </row>
    <row r="79" spans="2:2">
      <c r="B79" t="s">
        <v>232</v>
      </c>
    </row>
    <row r="80" spans="2:2">
      <c r="B80" t="s">
        <v>233</v>
      </c>
    </row>
    <row r="82" spans="2:2">
      <c r="B82" t="s">
        <v>200</v>
      </c>
    </row>
    <row r="84" spans="2:2">
      <c r="B84" t="s">
        <v>180</v>
      </c>
    </row>
    <row r="86" spans="2:2">
      <c r="B86" t="s">
        <v>200</v>
      </c>
    </row>
    <row r="88" spans="2:2">
      <c r="B88" t="s">
        <v>234</v>
      </c>
    </row>
    <row r="89" spans="2:2">
      <c r="B89" t="s">
        <v>235</v>
      </c>
    </row>
    <row r="90" spans="2:2">
      <c r="B90" t="s">
        <v>236</v>
      </c>
    </row>
    <row r="92" spans="2:2">
      <c r="B92" t="s">
        <v>200</v>
      </c>
    </row>
    <row r="94" spans="2:2">
      <c r="B94" t="s">
        <v>237</v>
      </c>
    </row>
    <row r="96" spans="2:2">
      <c r="B96" t="s">
        <v>238</v>
      </c>
    </row>
    <row r="98" spans="2:2">
      <c r="B98" t="s">
        <v>200</v>
      </c>
    </row>
    <row r="101" spans="2:2" s="90" customFormat="1"/>
    <row r="103" spans="2:2">
      <c r="B103" t="s">
        <v>183</v>
      </c>
    </row>
    <row r="105" spans="2:2">
      <c r="B105" t="s">
        <v>184</v>
      </c>
    </row>
    <row r="107" spans="2:2">
      <c r="B107" t="s">
        <v>185</v>
      </c>
    </row>
    <row r="109" spans="2:2">
      <c r="B109" t="s">
        <v>186</v>
      </c>
    </row>
    <row r="111" spans="2:2">
      <c r="B111" t="s">
        <v>187</v>
      </c>
    </row>
    <row r="113" spans="2:2">
      <c r="B113" t="s">
        <v>188</v>
      </c>
    </row>
    <row r="115" spans="2:2">
      <c r="B115" t="s">
        <v>189</v>
      </c>
    </row>
    <row r="117" spans="2:2">
      <c r="B117" t="s">
        <v>190</v>
      </c>
    </row>
    <row r="119" spans="2:2">
      <c r="B119" t="s">
        <v>240</v>
      </c>
    </row>
    <row r="121" spans="2:2">
      <c r="B121" t="s">
        <v>191</v>
      </c>
    </row>
    <row r="123" spans="2:2">
      <c r="B123" t="s">
        <v>192</v>
      </c>
    </row>
    <row r="125" spans="2:2">
      <c r="B125" t="s">
        <v>193</v>
      </c>
    </row>
    <row r="127" spans="2:2">
      <c r="B127" t="s">
        <v>194</v>
      </c>
    </row>
    <row r="129" spans="2:2">
      <c r="B129" t="s">
        <v>195</v>
      </c>
    </row>
    <row r="131" spans="2:2">
      <c r="B131" t="s">
        <v>200</v>
      </c>
    </row>
    <row r="133" spans="2:2">
      <c r="B133" t="s">
        <v>196</v>
      </c>
    </row>
    <row r="136" spans="2:2">
      <c r="B136" t="s">
        <v>197</v>
      </c>
    </row>
    <row r="138" spans="2:2">
      <c r="B138" t="s">
        <v>200</v>
      </c>
    </row>
    <row r="140" spans="2:2">
      <c r="B140" t="s">
        <v>200</v>
      </c>
    </row>
    <row r="142" spans="2:2">
      <c r="B142" t="s">
        <v>200</v>
      </c>
    </row>
    <row r="145" spans="2:2">
      <c r="B145" t="s">
        <v>239</v>
      </c>
    </row>
    <row r="148" spans="2:2">
      <c r="B148" t="s">
        <v>241</v>
      </c>
    </row>
    <row r="149" spans="2:2">
      <c r="B149" t="s">
        <v>242</v>
      </c>
    </row>
    <row r="153" spans="2:2">
      <c r="B153" t="s">
        <v>243</v>
      </c>
    </row>
    <row r="154" spans="2:2">
      <c r="B154" t="s">
        <v>200</v>
      </c>
    </row>
    <row r="155" spans="2:2">
      <c r="B155" t="s">
        <v>173</v>
      </c>
    </row>
    <row r="157" spans="2:2">
      <c r="B157" t="s">
        <v>174</v>
      </c>
    </row>
    <row r="161" spans="2:2">
      <c r="B161" t="s">
        <v>198</v>
      </c>
    </row>
    <row r="163" spans="2:2">
      <c r="B163" t="s">
        <v>244</v>
      </c>
    </row>
    <row r="165" spans="2:2">
      <c r="B165" t="s">
        <v>200</v>
      </c>
    </row>
    <row r="167" spans="2:2">
      <c r="B167" t="s">
        <v>181</v>
      </c>
    </row>
    <row r="169" spans="2:2">
      <c r="B169" t="s">
        <v>182</v>
      </c>
    </row>
    <row r="172" spans="2:2">
      <c r="B172" t="s">
        <v>239</v>
      </c>
    </row>
    <row r="175" spans="2:2">
      <c r="B175" t="s">
        <v>245</v>
      </c>
    </row>
    <row r="176" spans="2:2">
      <c r="B176" t="s">
        <v>200</v>
      </c>
    </row>
    <row r="177" spans="2:2">
      <c r="B177" t="s">
        <v>200</v>
      </c>
    </row>
    <row r="178" spans="2:2">
      <c r="B178" t="s">
        <v>200</v>
      </c>
    </row>
    <row r="180" spans="2:2">
      <c r="B180" t="s">
        <v>200</v>
      </c>
    </row>
    <row r="182" spans="2:2">
      <c r="B182" t="s">
        <v>199</v>
      </c>
    </row>
    <row r="184" spans="2:2">
      <c r="B184" t="s">
        <v>246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sheetPr>
    <pageSetUpPr fitToPage="1"/>
  </sheetPr>
  <dimension ref="A1:Q29"/>
  <sheetViews>
    <sheetView workbookViewId="0">
      <selection activeCell="E21" sqref="E21"/>
    </sheetView>
  </sheetViews>
  <sheetFormatPr defaultColWidth="9.140625" defaultRowHeight="15"/>
  <cols>
    <col min="1" max="1" width="17" style="25" customWidth="1"/>
    <col min="2" max="2" width="9.140625" style="25"/>
    <col min="3" max="3" width="10.7109375" style="25" customWidth="1"/>
    <col min="4" max="4" width="10.85546875" style="25" customWidth="1"/>
    <col min="5" max="5" width="11" style="25" customWidth="1"/>
    <col min="6" max="6" width="9.140625" style="25"/>
    <col min="7" max="7" width="16.140625" style="25" customWidth="1"/>
    <col min="8" max="8" width="10.42578125" style="25" customWidth="1"/>
    <col min="9" max="9" width="10.85546875" style="25" customWidth="1"/>
    <col min="10" max="10" width="11.140625" style="25" customWidth="1"/>
    <col min="11" max="11" width="12" style="25" customWidth="1"/>
    <col min="12" max="12" width="9.140625" style="25"/>
    <col min="13" max="13" width="16.42578125" style="25" customWidth="1"/>
    <col min="14" max="14" width="9.140625" style="25"/>
    <col min="15" max="15" width="11.5703125" style="25" customWidth="1"/>
    <col min="16" max="16" width="11.28515625" style="25" customWidth="1"/>
    <col min="17" max="17" width="10.85546875" style="25" customWidth="1"/>
    <col min="18" max="16384" width="9.140625" style="25"/>
  </cols>
  <sheetData>
    <row r="1" spans="1:17" ht="30">
      <c r="A1" s="33" t="s">
        <v>0</v>
      </c>
      <c r="B1" s="37" t="s">
        <v>1</v>
      </c>
      <c r="C1" s="38" t="s">
        <v>85</v>
      </c>
      <c r="D1" s="38" t="s">
        <v>86</v>
      </c>
      <c r="E1" s="38" t="s">
        <v>87</v>
      </c>
      <c r="G1" s="33" t="s">
        <v>0</v>
      </c>
      <c r="H1" s="39" t="s">
        <v>1</v>
      </c>
      <c r="I1" s="38" t="s">
        <v>85</v>
      </c>
      <c r="J1" s="38" t="s">
        <v>86</v>
      </c>
      <c r="K1" s="38" t="s">
        <v>87</v>
      </c>
      <c r="M1" s="33" t="s">
        <v>0</v>
      </c>
      <c r="N1" s="39" t="s">
        <v>1</v>
      </c>
      <c r="O1" s="38" t="s">
        <v>85</v>
      </c>
      <c r="P1" s="38" t="s">
        <v>86</v>
      </c>
      <c r="Q1" s="38" t="s">
        <v>87</v>
      </c>
    </row>
    <row r="2" spans="1:17" ht="32.25" customHeight="1">
      <c r="A2" s="29" t="s">
        <v>88</v>
      </c>
      <c r="B2" s="1">
        <v>1180</v>
      </c>
      <c r="C2" s="2"/>
      <c r="D2" s="15"/>
      <c r="E2" s="15"/>
      <c r="G2" s="29" t="s">
        <v>69</v>
      </c>
      <c r="H2" s="1">
        <v>1180</v>
      </c>
      <c r="I2" s="2"/>
      <c r="J2" s="15"/>
      <c r="K2" s="15"/>
      <c r="M2" s="29" t="s">
        <v>70</v>
      </c>
      <c r="N2" s="1">
        <v>1180</v>
      </c>
      <c r="O2" s="2"/>
      <c r="P2" s="15"/>
      <c r="Q2" s="15"/>
    </row>
    <row r="3" spans="1:17" ht="21" customHeight="1">
      <c r="A3" s="3"/>
      <c r="B3" s="1">
        <v>600</v>
      </c>
      <c r="C3" s="2"/>
      <c r="D3" s="15"/>
      <c r="E3" s="15"/>
      <c r="G3" s="3"/>
      <c r="H3" s="1">
        <v>600</v>
      </c>
      <c r="I3" s="2"/>
      <c r="J3" s="15"/>
      <c r="K3" s="15"/>
      <c r="M3" s="3"/>
      <c r="N3" s="1">
        <v>600</v>
      </c>
      <c r="O3" s="2"/>
      <c r="P3" s="15"/>
      <c r="Q3" s="15"/>
    </row>
    <row r="4" spans="1:17" ht="21" customHeight="1">
      <c r="A4" s="3"/>
      <c r="B4" s="1">
        <v>425</v>
      </c>
      <c r="C4" s="2"/>
      <c r="D4" s="15"/>
      <c r="E4" s="15"/>
      <c r="G4" s="3"/>
      <c r="H4" s="1">
        <v>425</v>
      </c>
      <c r="I4" s="2"/>
      <c r="J4" s="15"/>
      <c r="K4" s="15"/>
      <c r="M4" s="3"/>
      <c r="N4" s="1">
        <v>425</v>
      </c>
      <c r="O4" s="2"/>
      <c r="P4" s="15"/>
      <c r="Q4" s="15"/>
    </row>
    <row r="5" spans="1:17" ht="21" customHeight="1">
      <c r="A5" s="3"/>
      <c r="B5" s="1">
        <v>300</v>
      </c>
      <c r="C5" s="2"/>
      <c r="D5" s="15"/>
      <c r="E5" s="15"/>
      <c r="G5" s="3"/>
      <c r="H5" s="1">
        <v>300</v>
      </c>
      <c r="I5" s="2"/>
      <c r="J5" s="15"/>
      <c r="K5" s="15"/>
      <c r="M5" s="3"/>
      <c r="N5" s="1">
        <v>300</v>
      </c>
      <c r="O5" s="2"/>
      <c r="P5" s="15"/>
      <c r="Q5" s="15"/>
    </row>
    <row r="6" spans="1:17" ht="21" customHeight="1">
      <c r="A6" s="3"/>
      <c r="B6" s="4">
        <v>212</v>
      </c>
      <c r="C6" s="5"/>
      <c r="D6" s="15"/>
      <c r="E6" s="15"/>
      <c r="G6" s="3"/>
      <c r="H6" s="4">
        <v>212</v>
      </c>
      <c r="I6" s="5"/>
      <c r="J6" s="15"/>
      <c r="K6" s="15"/>
      <c r="M6" s="3"/>
      <c r="N6" s="4">
        <v>212</v>
      </c>
      <c r="O6" s="5"/>
      <c r="P6" s="15"/>
      <c r="Q6" s="15"/>
    </row>
    <row r="7" spans="1:17" ht="21" customHeight="1">
      <c r="A7" s="3"/>
      <c r="B7" s="4">
        <v>180</v>
      </c>
      <c r="C7" s="5"/>
      <c r="D7" s="15"/>
      <c r="E7" s="15"/>
      <c r="G7" s="3"/>
      <c r="H7" s="4">
        <v>180</v>
      </c>
      <c r="I7" s="5"/>
      <c r="J7" s="15"/>
      <c r="K7" s="15"/>
      <c r="M7" s="3"/>
      <c r="N7" s="4">
        <v>180</v>
      </c>
      <c r="O7" s="5"/>
      <c r="P7" s="15"/>
      <c r="Q7" s="15"/>
    </row>
    <row r="8" spans="1:17" ht="21" customHeight="1">
      <c r="A8" s="3"/>
      <c r="B8" s="4">
        <v>150</v>
      </c>
      <c r="C8" s="5"/>
      <c r="D8" s="15"/>
      <c r="E8" s="15"/>
      <c r="G8" s="3"/>
      <c r="H8" s="4">
        <v>150</v>
      </c>
      <c r="I8" s="5"/>
      <c r="J8" s="15"/>
      <c r="K8" s="15"/>
      <c r="M8" s="3"/>
      <c r="N8" s="4">
        <v>150</v>
      </c>
      <c r="O8" s="5"/>
      <c r="P8" s="15"/>
      <c r="Q8" s="15"/>
    </row>
    <row r="9" spans="1:17" ht="21" customHeight="1">
      <c r="A9" s="3"/>
      <c r="B9" s="4">
        <v>106</v>
      </c>
      <c r="C9" s="5"/>
      <c r="D9" s="15"/>
      <c r="E9" s="15"/>
      <c r="G9" s="3"/>
      <c r="H9" s="4">
        <v>106</v>
      </c>
      <c r="I9" s="5"/>
      <c r="J9" s="15"/>
      <c r="K9" s="15"/>
      <c r="M9" s="3"/>
      <c r="N9" s="4">
        <v>106</v>
      </c>
      <c r="O9" s="5"/>
      <c r="P9" s="15"/>
      <c r="Q9" s="15"/>
    </row>
    <row r="10" spans="1:17" ht="21" customHeight="1">
      <c r="A10" s="3"/>
      <c r="B10" s="4">
        <v>75</v>
      </c>
      <c r="C10" s="5"/>
      <c r="D10" s="15"/>
      <c r="E10" s="15"/>
      <c r="G10" s="3"/>
      <c r="H10" s="4">
        <v>75</v>
      </c>
      <c r="I10" s="5"/>
      <c r="J10" s="15"/>
      <c r="K10" s="15"/>
      <c r="M10" s="3"/>
      <c r="N10" s="4">
        <v>75</v>
      </c>
      <c r="O10" s="5"/>
      <c r="P10" s="15"/>
      <c r="Q10" s="15"/>
    </row>
    <row r="11" spans="1:17" ht="21" customHeight="1">
      <c r="A11" s="3"/>
      <c r="B11" s="6">
        <v>53</v>
      </c>
      <c r="C11" s="5"/>
      <c r="D11" s="15"/>
      <c r="E11" s="15"/>
      <c r="G11" s="3"/>
      <c r="H11" s="6">
        <v>53</v>
      </c>
      <c r="I11" s="5"/>
      <c r="J11" s="15"/>
      <c r="K11" s="15"/>
      <c r="M11" s="3"/>
      <c r="N11" s="6">
        <v>53</v>
      </c>
      <c r="O11" s="5"/>
      <c r="P11" s="15"/>
      <c r="Q11" s="15"/>
    </row>
    <row r="12" spans="1:17" ht="21" customHeight="1">
      <c r="A12" s="3"/>
      <c r="B12" s="6">
        <v>38</v>
      </c>
      <c r="C12" s="5"/>
      <c r="D12" s="15"/>
      <c r="E12" s="15"/>
      <c r="G12" s="3"/>
      <c r="H12" s="6">
        <v>38</v>
      </c>
      <c r="I12" s="5"/>
      <c r="J12" s="15"/>
      <c r="K12" s="15"/>
      <c r="M12" s="3"/>
      <c r="N12" s="6">
        <v>38</v>
      </c>
      <c r="O12" s="5"/>
      <c r="P12" s="15"/>
      <c r="Q12" s="15"/>
    </row>
    <row r="13" spans="1:17" ht="21" customHeight="1">
      <c r="A13" s="11"/>
      <c r="B13" s="12">
        <v>-38</v>
      </c>
      <c r="C13" s="13"/>
      <c r="D13" s="14"/>
      <c r="E13" s="14"/>
      <c r="G13" s="11"/>
      <c r="H13" s="12">
        <v>-38</v>
      </c>
      <c r="I13" s="13"/>
      <c r="J13" s="14"/>
      <c r="K13" s="14"/>
      <c r="M13" s="11"/>
      <c r="N13" s="12">
        <v>-38</v>
      </c>
      <c r="O13" s="13"/>
      <c r="P13" s="14"/>
      <c r="Q13" s="14"/>
    </row>
    <row r="14" spans="1:17" ht="21" customHeight="1">
      <c r="A14" s="7"/>
      <c r="B14" s="8"/>
      <c r="C14" s="9"/>
      <c r="D14" s="9"/>
      <c r="E14" s="9"/>
      <c r="G14" s="7"/>
      <c r="H14" s="8"/>
      <c r="I14" s="9"/>
      <c r="J14" s="9"/>
      <c r="K14" s="9"/>
      <c r="M14" s="7"/>
      <c r="N14" s="8"/>
      <c r="O14" s="9"/>
      <c r="P14" s="9"/>
      <c r="Q14" s="9"/>
    </row>
    <row r="16" spans="1:17" ht="30">
      <c r="A16" s="40" t="s">
        <v>0</v>
      </c>
      <c r="B16" s="34" t="s">
        <v>1</v>
      </c>
      <c r="C16" s="41" t="s">
        <v>85</v>
      </c>
      <c r="D16" s="41" t="s">
        <v>86</v>
      </c>
      <c r="E16" s="41" t="s">
        <v>87</v>
      </c>
      <c r="G16" s="40" t="s">
        <v>0</v>
      </c>
      <c r="H16" s="34" t="s">
        <v>1</v>
      </c>
      <c r="I16" s="41" t="s">
        <v>85</v>
      </c>
      <c r="J16" s="41" t="s">
        <v>86</v>
      </c>
      <c r="K16" s="41" t="s">
        <v>87</v>
      </c>
      <c r="M16" s="40" t="s">
        <v>0</v>
      </c>
      <c r="N16" s="34" t="s">
        <v>1</v>
      </c>
      <c r="O16" s="41" t="s">
        <v>85</v>
      </c>
      <c r="P16" s="41" t="s">
        <v>86</v>
      </c>
      <c r="Q16" s="41" t="s">
        <v>87</v>
      </c>
    </row>
    <row r="17" spans="1:17" ht="31.5" customHeight="1">
      <c r="A17" s="29" t="s">
        <v>71</v>
      </c>
      <c r="B17" s="30">
        <v>1180</v>
      </c>
      <c r="C17" s="31"/>
      <c r="D17" s="32"/>
      <c r="E17" s="32"/>
      <c r="G17" s="29" t="s">
        <v>72</v>
      </c>
      <c r="H17" s="30">
        <v>1180</v>
      </c>
      <c r="I17" s="31"/>
      <c r="J17" s="32"/>
      <c r="K17" s="32"/>
      <c r="M17" s="29" t="s">
        <v>73</v>
      </c>
      <c r="N17" s="30">
        <v>1180</v>
      </c>
      <c r="O17" s="31"/>
      <c r="P17" s="32"/>
      <c r="Q17" s="32"/>
    </row>
    <row r="18" spans="1:17" ht="27" customHeight="1">
      <c r="A18" s="3"/>
      <c r="B18" s="1">
        <v>600</v>
      </c>
      <c r="C18" s="2"/>
      <c r="D18" s="15"/>
      <c r="E18" s="15"/>
      <c r="G18" s="3"/>
      <c r="H18" s="1">
        <v>600</v>
      </c>
      <c r="I18" s="2"/>
      <c r="J18" s="15"/>
      <c r="K18" s="15"/>
      <c r="M18" s="3"/>
      <c r="N18" s="1">
        <v>600</v>
      </c>
      <c r="O18" s="2"/>
      <c r="P18" s="15"/>
      <c r="Q18" s="15"/>
    </row>
    <row r="19" spans="1:17" ht="27" customHeight="1">
      <c r="A19" s="3"/>
      <c r="B19" s="1">
        <v>425</v>
      </c>
      <c r="C19" s="2"/>
      <c r="D19" s="15"/>
      <c r="E19" s="15"/>
      <c r="G19" s="3"/>
      <c r="H19" s="1">
        <v>425</v>
      </c>
      <c r="I19" s="2"/>
      <c r="J19" s="15"/>
      <c r="K19" s="15"/>
      <c r="M19" s="3"/>
      <c r="N19" s="1">
        <v>425</v>
      </c>
      <c r="O19" s="2"/>
      <c r="P19" s="15"/>
      <c r="Q19" s="15"/>
    </row>
    <row r="20" spans="1:17" ht="27" customHeight="1">
      <c r="A20" s="3"/>
      <c r="B20" s="1">
        <v>300</v>
      </c>
      <c r="C20" s="2"/>
      <c r="D20" s="15"/>
      <c r="E20" s="15"/>
      <c r="G20" s="3"/>
      <c r="H20" s="1">
        <v>300</v>
      </c>
      <c r="I20" s="2"/>
      <c r="J20" s="15"/>
      <c r="K20" s="15"/>
      <c r="M20" s="3"/>
      <c r="N20" s="1">
        <v>300</v>
      </c>
      <c r="O20" s="2"/>
      <c r="P20" s="15"/>
      <c r="Q20" s="15"/>
    </row>
    <row r="21" spans="1:17" ht="27" customHeight="1">
      <c r="A21" s="3"/>
      <c r="B21" s="4">
        <v>212</v>
      </c>
      <c r="C21" s="5"/>
      <c r="D21" s="15"/>
      <c r="E21" s="15"/>
      <c r="G21" s="3"/>
      <c r="H21" s="4">
        <v>212</v>
      </c>
      <c r="I21" s="5"/>
      <c r="J21" s="15"/>
      <c r="K21" s="15"/>
      <c r="M21" s="3"/>
      <c r="N21" s="4">
        <v>212</v>
      </c>
      <c r="O21" s="5"/>
      <c r="P21" s="15"/>
      <c r="Q21" s="15"/>
    </row>
    <row r="22" spans="1:17" ht="27" customHeight="1">
      <c r="A22" s="3"/>
      <c r="B22" s="4">
        <v>180</v>
      </c>
      <c r="C22" s="5"/>
      <c r="D22" s="15"/>
      <c r="E22" s="15"/>
      <c r="G22" s="3"/>
      <c r="H22" s="4">
        <v>180</v>
      </c>
      <c r="I22" s="5"/>
      <c r="J22" s="15"/>
      <c r="K22" s="15"/>
      <c r="M22" s="3"/>
      <c r="N22" s="4">
        <v>180</v>
      </c>
      <c r="O22" s="5"/>
      <c r="P22" s="15"/>
      <c r="Q22" s="15"/>
    </row>
    <row r="23" spans="1:17" ht="27" customHeight="1">
      <c r="A23" s="3"/>
      <c r="B23" s="4">
        <v>150</v>
      </c>
      <c r="C23" s="5"/>
      <c r="D23" s="15"/>
      <c r="E23" s="15"/>
      <c r="G23" s="3"/>
      <c r="H23" s="4">
        <v>150</v>
      </c>
      <c r="I23" s="5"/>
      <c r="J23" s="15"/>
      <c r="K23" s="15"/>
      <c r="M23" s="3"/>
      <c r="N23" s="4">
        <v>150</v>
      </c>
      <c r="O23" s="5"/>
      <c r="P23" s="15"/>
      <c r="Q23" s="15"/>
    </row>
    <row r="24" spans="1:17" ht="27" customHeight="1">
      <c r="A24" s="3"/>
      <c r="B24" s="4">
        <v>106</v>
      </c>
      <c r="C24" s="5"/>
      <c r="D24" s="15"/>
      <c r="E24" s="15"/>
      <c r="G24" s="3"/>
      <c r="H24" s="4">
        <v>106</v>
      </c>
      <c r="I24" s="5"/>
      <c r="J24" s="15"/>
      <c r="K24" s="15"/>
      <c r="M24" s="3"/>
      <c r="N24" s="4">
        <v>106</v>
      </c>
      <c r="O24" s="5"/>
      <c r="P24" s="15"/>
      <c r="Q24" s="15"/>
    </row>
    <row r="25" spans="1:17" ht="27" customHeight="1">
      <c r="A25" s="3"/>
      <c r="B25" s="4">
        <v>75</v>
      </c>
      <c r="C25" s="5"/>
      <c r="D25" s="15"/>
      <c r="E25" s="15"/>
      <c r="G25" s="3"/>
      <c r="H25" s="4">
        <v>75</v>
      </c>
      <c r="I25" s="5"/>
      <c r="J25" s="15"/>
      <c r="K25" s="15"/>
      <c r="M25" s="3"/>
      <c r="N25" s="4">
        <v>75</v>
      </c>
      <c r="O25" s="5"/>
      <c r="P25" s="15"/>
      <c r="Q25" s="15"/>
    </row>
    <row r="26" spans="1:17" ht="27" customHeight="1">
      <c r="A26" s="3"/>
      <c r="B26" s="6">
        <v>53</v>
      </c>
      <c r="C26" s="5"/>
      <c r="D26" s="15"/>
      <c r="E26" s="15"/>
      <c r="G26" s="3"/>
      <c r="H26" s="6">
        <v>53</v>
      </c>
      <c r="I26" s="5"/>
      <c r="J26" s="15"/>
      <c r="K26" s="15"/>
      <c r="M26" s="3"/>
      <c r="N26" s="6">
        <v>53</v>
      </c>
      <c r="O26" s="5"/>
      <c r="P26" s="15"/>
      <c r="Q26" s="15"/>
    </row>
    <row r="27" spans="1:17" ht="27" customHeight="1">
      <c r="A27" s="3"/>
      <c r="B27" s="6">
        <v>38</v>
      </c>
      <c r="C27" s="5"/>
      <c r="D27" s="15"/>
      <c r="E27" s="15"/>
      <c r="G27" s="3"/>
      <c r="H27" s="6">
        <v>38</v>
      </c>
      <c r="I27" s="5"/>
      <c r="J27" s="15"/>
      <c r="K27" s="15"/>
      <c r="M27" s="3"/>
      <c r="N27" s="6">
        <v>38</v>
      </c>
      <c r="O27" s="5"/>
      <c r="P27" s="15"/>
      <c r="Q27" s="15"/>
    </row>
    <row r="28" spans="1:17" ht="27" customHeight="1">
      <c r="A28" s="11"/>
      <c r="B28" s="12">
        <v>-38</v>
      </c>
      <c r="C28" s="13"/>
      <c r="D28" s="14"/>
      <c r="E28" s="14"/>
      <c r="G28" s="11"/>
      <c r="H28" s="12">
        <v>-38</v>
      </c>
      <c r="I28" s="13"/>
      <c r="J28" s="14"/>
      <c r="K28" s="14"/>
      <c r="M28" s="11"/>
      <c r="N28" s="12">
        <v>-38</v>
      </c>
      <c r="O28" s="13"/>
      <c r="P28" s="14"/>
      <c r="Q28" s="14"/>
    </row>
    <row r="29" spans="1:17" ht="27" customHeight="1">
      <c r="A29" s="7"/>
      <c r="B29" s="8"/>
      <c r="C29" s="9"/>
      <c r="D29" s="9"/>
      <c r="E29" s="9"/>
      <c r="G29" s="7"/>
      <c r="H29" s="8"/>
      <c r="I29" s="9"/>
      <c r="J29" s="9"/>
      <c r="K29" s="9"/>
      <c r="M29" s="7"/>
      <c r="N29" s="8"/>
      <c r="O29" s="9"/>
      <c r="P29" s="9"/>
      <c r="Q29" s="9"/>
    </row>
  </sheetData>
  <pageMargins left="0.70866141732283472" right="0.70866141732283472" top="0.74803149606299213" bottom="0.74803149606299213" header="0.31496062992125984" footer="0.31496062992125984"/>
  <pageSetup scale="62" orientation="landscape" horizontalDpi="0" verticalDpi="0" r:id="rId1"/>
</worksheet>
</file>

<file path=xl/worksheets/sheet2.xml><?xml version="1.0" encoding="utf-8"?>
<worksheet xmlns="http://schemas.openxmlformats.org/spreadsheetml/2006/main" xmlns:r="http://schemas.openxmlformats.org/officeDocument/2006/relationships">
  <dimension ref="B1:F27"/>
  <sheetViews>
    <sheetView showGridLines="0" workbookViewId="0">
      <selection activeCell="H20" sqref="H20"/>
    </sheetView>
  </sheetViews>
  <sheetFormatPr defaultRowHeight="15"/>
  <cols>
    <col min="2" max="2" width="32" bestFit="1" customWidth="1"/>
    <col min="3" max="3" width="3.28515625" style="25" customWidth="1"/>
    <col min="4" max="4" width="10.7109375" bestFit="1" customWidth="1"/>
  </cols>
  <sheetData>
    <row r="1" spans="2:6">
      <c r="B1" s="25" t="s">
        <v>79</v>
      </c>
      <c r="F1" t="s">
        <v>125</v>
      </c>
    </row>
    <row r="2" spans="2:6" s="25" customFormat="1"/>
    <row r="3" spans="2:6">
      <c r="B3" s="25" t="s">
        <v>19</v>
      </c>
      <c r="C3" s="25" t="s">
        <v>82</v>
      </c>
      <c r="D3" s="35">
        <v>41931</v>
      </c>
    </row>
    <row r="4" spans="2:6">
      <c r="B4" s="25" t="s">
        <v>103</v>
      </c>
      <c r="C4" s="25" t="s">
        <v>82</v>
      </c>
      <c r="D4" s="36">
        <v>0.40763888888888888</v>
      </c>
    </row>
    <row r="5" spans="2:6" s="25" customFormat="1">
      <c r="B5" s="25" t="s">
        <v>104</v>
      </c>
      <c r="C5" s="25" t="s">
        <v>82</v>
      </c>
      <c r="D5" s="36">
        <v>0.4145833333333333</v>
      </c>
    </row>
    <row r="7" spans="2:6">
      <c r="B7" s="25" t="s">
        <v>75</v>
      </c>
      <c r="C7" s="25" t="s">
        <v>82</v>
      </c>
      <c r="D7" s="48">
        <f>PCS!K2</f>
        <v>360.73037000000005</v>
      </c>
      <c r="F7" t="s">
        <v>126</v>
      </c>
    </row>
    <row r="8" spans="2:6" s="25" customFormat="1">
      <c r="B8" s="25" t="s">
        <v>130</v>
      </c>
      <c r="C8" s="25" t="s">
        <v>82</v>
      </c>
      <c r="D8" s="16">
        <v>3.1</v>
      </c>
      <c r="E8" s="25" t="s">
        <v>81</v>
      </c>
    </row>
    <row r="9" spans="2:6">
      <c r="B9" s="25" t="s">
        <v>76</v>
      </c>
      <c r="C9" s="25" t="s">
        <v>82</v>
      </c>
      <c r="D9" s="48">
        <f>PCS!B2</f>
        <v>746.76432</v>
      </c>
      <c r="E9" s="25" t="s">
        <v>78</v>
      </c>
      <c r="F9" t="str">
        <f>F7</f>
        <v>PCS data</v>
      </c>
    </row>
    <row r="10" spans="2:6">
      <c r="B10" s="25" t="s">
        <v>77</v>
      </c>
      <c r="C10" s="25" t="s">
        <v>82</v>
      </c>
      <c r="D10" s="48">
        <f>PCS!N2</f>
        <v>751.70766000000003</v>
      </c>
      <c r="E10" s="25" t="s">
        <v>78</v>
      </c>
      <c r="F10" s="25" t="str">
        <f>F7</f>
        <v>PCS data</v>
      </c>
    </row>
    <row r="11" spans="2:6">
      <c r="B11" t="s">
        <v>127</v>
      </c>
      <c r="C11" s="25" t="s">
        <v>82</v>
      </c>
      <c r="D11" s="48">
        <f>D9+D10</f>
        <v>1498.47198</v>
      </c>
      <c r="E11" s="25" t="s">
        <v>78</v>
      </c>
      <c r="F11" t="s">
        <v>128</v>
      </c>
    </row>
    <row r="12" spans="2:6">
      <c r="B12" s="25" t="s">
        <v>80</v>
      </c>
      <c r="C12" s="25" t="s">
        <v>82</v>
      </c>
      <c r="D12" s="16">
        <f>PCS!G2</f>
        <v>1.4232867</v>
      </c>
      <c r="E12" s="25" t="s">
        <v>81</v>
      </c>
      <c r="F12" t="str">
        <f>F7</f>
        <v>PCS data</v>
      </c>
    </row>
    <row r="13" spans="2:6">
      <c r="C13" s="25" t="s">
        <v>82</v>
      </c>
      <c r="D13" s="10">
        <f>D8*(D12-1)/(D12*(D8-1))</f>
        <v>0.43902032895979093</v>
      </c>
      <c r="E13" t="s">
        <v>131</v>
      </c>
      <c r="F13" t="s">
        <v>132</v>
      </c>
    </row>
    <row r="14" spans="2:6" s="25" customFormat="1">
      <c r="D14" s="16"/>
    </row>
    <row r="15" spans="2:6">
      <c r="B15" t="s">
        <v>134</v>
      </c>
      <c r="C15" s="25" t="s">
        <v>82</v>
      </c>
      <c r="D15" s="48">
        <f>D12*D11</f>
        <v>2132.755239456666</v>
      </c>
      <c r="E15" t="s">
        <v>129</v>
      </c>
      <c r="F15" t="str">
        <f>"Calculation: ("&amp;B11&amp;" x "&amp;B12&amp;")"</f>
        <v>Calculation: (Flowrate Screen Feed x Density Screen feed)</v>
      </c>
    </row>
    <row r="16" spans="2:6">
      <c r="B16" s="25" t="s">
        <v>133</v>
      </c>
      <c r="C16" s="25" t="s">
        <v>82</v>
      </c>
      <c r="D16" s="48">
        <f>D15*D13</f>
        <v>936.32290681698316</v>
      </c>
      <c r="E16" s="25" t="s">
        <v>129</v>
      </c>
      <c r="F16" s="25" t="s">
        <v>132</v>
      </c>
    </row>
    <row r="18" spans="2:6">
      <c r="B18" t="s">
        <v>135</v>
      </c>
      <c r="C18" s="25" t="s">
        <v>82</v>
      </c>
      <c r="D18" s="10">
        <f>D16/D7</f>
        <v>2.5956309329236213</v>
      </c>
      <c r="F18" t="s">
        <v>136</v>
      </c>
    </row>
    <row r="20" spans="2:6">
      <c r="B20" t="s">
        <v>157</v>
      </c>
      <c r="C20" s="25" t="s">
        <v>82</v>
      </c>
      <c r="D20">
        <v>14</v>
      </c>
      <c r="E20" t="s">
        <v>160</v>
      </c>
    </row>
    <row r="21" spans="2:6" s="25" customFormat="1">
      <c r="C21" s="25" t="s">
        <v>82</v>
      </c>
      <c r="D21" s="25">
        <v>5</v>
      </c>
      <c r="E21" s="25" t="s">
        <v>163</v>
      </c>
    </row>
    <row r="22" spans="2:6" s="25" customFormat="1"/>
    <row r="23" spans="2:6">
      <c r="B23" t="s">
        <v>161</v>
      </c>
      <c r="C23" s="25" t="s">
        <v>82</v>
      </c>
      <c r="D23" s="48">
        <f>D15/D20</f>
        <v>152.33965996119042</v>
      </c>
    </row>
    <row r="24" spans="2:6">
      <c r="B24" t="s">
        <v>162</v>
      </c>
      <c r="C24" s="25" t="s">
        <v>82</v>
      </c>
      <c r="D24" s="80">
        <f>D16/D20</f>
        <v>66.880207629784508</v>
      </c>
    </row>
    <row r="26" spans="2:6">
      <c r="B26" t="s">
        <v>158</v>
      </c>
      <c r="C26" s="25" t="s">
        <v>82</v>
      </c>
      <c r="D26" s="80">
        <f>D23/D21</f>
        <v>30.467931992238086</v>
      </c>
    </row>
    <row r="27" spans="2:6">
      <c r="B27" t="s">
        <v>159</v>
      </c>
      <c r="C27" s="25" t="s">
        <v>82</v>
      </c>
      <c r="D27" s="80">
        <f>D24/D21</f>
        <v>13.376041525956902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pageSetUpPr fitToPage="1"/>
  </sheetPr>
  <dimension ref="A1:R243"/>
  <sheetViews>
    <sheetView showGridLines="0" topLeftCell="A19" zoomScaleNormal="100" workbookViewId="0">
      <selection activeCell="H28" sqref="H28"/>
    </sheetView>
  </sheetViews>
  <sheetFormatPr defaultColWidth="8.85546875" defaultRowHeight="11.25"/>
  <cols>
    <col min="1" max="1" width="12.85546875" style="56" bestFit="1" customWidth="1"/>
    <col min="2" max="2" width="14.85546875" style="56" customWidth="1"/>
    <col min="3" max="5" width="12.5703125" style="56" bestFit="1" customWidth="1"/>
    <col min="6" max="6" width="12.5703125" style="62" bestFit="1" customWidth="1"/>
    <col min="7" max="7" width="12.5703125" style="56" bestFit="1" customWidth="1"/>
    <col min="8" max="8" width="15.140625" style="56" bestFit="1" customWidth="1"/>
    <col min="9" max="9" width="9.28515625" style="56" bestFit="1" customWidth="1"/>
    <col min="10" max="10" width="21.5703125" style="56" bestFit="1" customWidth="1"/>
    <col min="11" max="11" width="7.28515625" style="56" bestFit="1" customWidth="1"/>
    <col min="12" max="12" width="6.7109375" style="56" bestFit="1" customWidth="1"/>
    <col min="13" max="13" width="7.28515625" style="56" bestFit="1" customWidth="1"/>
    <col min="14" max="14" width="4.7109375" style="56" bestFit="1" customWidth="1"/>
    <col min="15" max="15" width="7.28515625" style="56" bestFit="1" customWidth="1"/>
    <col min="16" max="18" width="6.7109375" style="56" bestFit="1" customWidth="1"/>
    <col min="19" max="16384" width="8.85546875" style="56"/>
  </cols>
  <sheetData>
    <row r="1" spans="1:13">
      <c r="A1" s="99"/>
      <c r="B1" s="184" t="s">
        <v>68</v>
      </c>
      <c r="C1" s="184"/>
      <c r="D1" s="184"/>
      <c r="E1" s="184"/>
      <c r="F1" s="184"/>
      <c r="G1" s="184"/>
    </row>
    <row r="2" spans="1:13">
      <c r="A2" s="99"/>
      <c r="B2" s="184"/>
      <c r="C2" s="184"/>
      <c r="D2" s="184"/>
      <c r="E2" s="184"/>
      <c r="F2" s="184"/>
      <c r="G2" s="184"/>
    </row>
    <row r="3" spans="1:13">
      <c r="A3" s="99"/>
      <c r="B3" s="184"/>
      <c r="C3" s="184"/>
      <c r="D3" s="184"/>
      <c r="E3" s="184"/>
      <c r="F3" s="184"/>
      <c r="G3" s="184"/>
    </row>
    <row r="4" spans="1:13">
      <c r="A4" s="99"/>
      <c r="B4" s="100"/>
      <c r="C4" s="101"/>
      <c r="D4" s="100"/>
      <c r="E4" s="100"/>
      <c r="F4" s="100"/>
      <c r="G4" s="100"/>
    </row>
    <row r="5" spans="1:13">
      <c r="A5" s="185" t="s">
        <v>277</v>
      </c>
      <c r="B5" s="186"/>
      <c r="C5" s="102"/>
      <c r="D5" s="100"/>
      <c r="E5" s="100"/>
      <c r="F5" s="100"/>
      <c r="G5" s="100"/>
    </row>
    <row r="6" spans="1:13">
      <c r="A6" s="187" t="s">
        <v>278</v>
      </c>
      <c r="B6" s="188"/>
      <c r="C6" s="102"/>
      <c r="D6" s="100"/>
      <c r="E6" s="100"/>
      <c r="F6" s="100"/>
      <c r="G6" s="100"/>
    </row>
    <row r="7" spans="1:13">
      <c r="A7" s="189" t="s">
        <v>279</v>
      </c>
      <c r="B7" s="190"/>
      <c r="C7" s="102"/>
      <c r="D7" s="100"/>
      <c r="E7" s="100"/>
      <c r="F7" s="100"/>
      <c r="G7" s="100"/>
    </row>
    <row r="8" spans="1:13">
      <c r="A8" s="191" t="s">
        <v>294</v>
      </c>
      <c r="B8" s="191"/>
      <c r="C8" s="102" t="s">
        <v>295</v>
      </c>
      <c r="D8" s="100"/>
      <c r="E8" s="100"/>
      <c r="F8" s="100"/>
      <c r="G8" s="100"/>
    </row>
    <row r="9" spans="1:13" ht="12" thickBot="1">
      <c r="A9" s="99"/>
      <c r="B9" s="103"/>
      <c r="C9" s="103"/>
      <c r="D9" s="103"/>
      <c r="E9" s="103"/>
      <c r="F9" s="104"/>
      <c r="G9" s="104"/>
    </row>
    <row r="10" spans="1:13" ht="31.9" customHeight="1" thickTop="1">
      <c r="A10" s="105" t="s">
        <v>18</v>
      </c>
      <c r="B10" s="106" t="s">
        <v>262</v>
      </c>
      <c r="C10" s="106" t="s">
        <v>268</v>
      </c>
      <c r="D10" s="106" t="s">
        <v>269</v>
      </c>
      <c r="E10" s="106" t="s">
        <v>270</v>
      </c>
      <c r="F10" s="106" t="s">
        <v>271</v>
      </c>
      <c r="G10" s="106" t="s">
        <v>272</v>
      </c>
    </row>
    <row r="11" spans="1:13">
      <c r="A11" s="107" t="s">
        <v>276</v>
      </c>
      <c r="B11" s="108" t="s">
        <v>145</v>
      </c>
      <c r="C11" s="108" t="s">
        <v>143</v>
      </c>
      <c r="D11" s="108" t="s">
        <v>143</v>
      </c>
      <c r="E11" s="108" t="s">
        <v>143</v>
      </c>
      <c r="F11" s="108" t="s">
        <v>143</v>
      </c>
      <c r="G11" s="108" t="s">
        <v>143</v>
      </c>
    </row>
    <row r="12" spans="1:13">
      <c r="A12" s="109" t="s">
        <v>22</v>
      </c>
      <c r="B12" s="54"/>
      <c r="C12" s="54">
        <v>832</v>
      </c>
      <c r="D12" s="54">
        <v>834</v>
      </c>
      <c r="E12" s="54">
        <v>826</v>
      </c>
      <c r="F12" s="54">
        <v>834</v>
      </c>
      <c r="G12" s="54">
        <v>826</v>
      </c>
    </row>
    <row r="13" spans="1:13">
      <c r="A13" s="109" t="s">
        <v>23</v>
      </c>
      <c r="B13" s="54"/>
      <c r="C13" s="54">
        <v>4584</v>
      </c>
      <c r="D13" s="54">
        <v>4262</v>
      </c>
      <c r="E13" s="54">
        <v>5822</v>
      </c>
      <c r="F13" s="54">
        <v>4420</v>
      </c>
      <c r="G13" s="54">
        <v>4796</v>
      </c>
    </row>
    <row r="14" spans="1:13">
      <c r="A14" s="109" t="s">
        <v>21</v>
      </c>
      <c r="B14" s="110"/>
      <c r="C14" s="110">
        <f>E52</f>
        <v>1608.07</v>
      </c>
      <c r="D14" s="110">
        <f>E67</f>
        <v>1260.4000000000001</v>
      </c>
      <c r="E14" s="110">
        <f>E82</f>
        <v>2179.7000000000003</v>
      </c>
      <c r="F14" s="110">
        <f>E82</f>
        <v>2179.7000000000003</v>
      </c>
      <c r="G14" s="110">
        <f>E112</f>
        <v>1701.0500000000002</v>
      </c>
    </row>
    <row r="15" spans="1:13">
      <c r="A15" s="111" t="s">
        <v>20</v>
      </c>
      <c r="B15" s="58" t="e">
        <f t="shared" ref="B15:G15" si="0">B14/(B13-B12)</f>
        <v>#DIV/0!</v>
      </c>
      <c r="C15" s="58">
        <f t="shared" si="0"/>
        <v>0.42859008528784648</v>
      </c>
      <c r="D15" s="58">
        <f t="shared" si="0"/>
        <v>0.36767794632438744</v>
      </c>
      <c r="E15" s="58">
        <f t="shared" si="0"/>
        <v>0.43628903122498003</v>
      </c>
      <c r="F15" s="58">
        <f t="shared" si="0"/>
        <v>0.60783602900167322</v>
      </c>
      <c r="G15" s="58">
        <f t="shared" si="0"/>
        <v>0.4284760705289673</v>
      </c>
    </row>
    <row r="16" spans="1:13" ht="12" thickBot="1">
      <c r="A16" s="112"/>
      <c r="B16" s="93"/>
      <c r="C16" s="93"/>
      <c r="D16" s="93"/>
      <c r="E16" s="93"/>
      <c r="F16" s="93"/>
      <c r="G16" s="93"/>
      <c r="H16" s="93"/>
      <c r="I16" s="93"/>
      <c r="K16" s="93"/>
      <c r="L16" s="93"/>
      <c r="M16" s="93"/>
    </row>
    <row r="17" spans="1:18" ht="23.25" thickTop="1">
      <c r="A17" s="105" t="s">
        <v>18</v>
      </c>
      <c r="B17" s="106" t="s">
        <v>74</v>
      </c>
      <c r="C17" s="106" t="s">
        <v>281</v>
      </c>
      <c r="D17" s="106" t="s">
        <v>282</v>
      </c>
      <c r="E17" s="106" t="s">
        <v>283</v>
      </c>
      <c r="F17" s="106" t="s">
        <v>284</v>
      </c>
      <c r="G17" s="106" t="s">
        <v>285</v>
      </c>
      <c r="H17" s="93"/>
      <c r="I17" s="93"/>
      <c r="K17" s="93"/>
      <c r="L17" s="93"/>
      <c r="M17" s="93"/>
    </row>
    <row r="18" spans="1:18">
      <c r="A18" s="109" t="s">
        <v>22</v>
      </c>
      <c r="B18" s="54"/>
      <c r="C18" s="54"/>
      <c r="D18" s="54"/>
      <c r="E18" s="54">
        <v>524</v>
      </c>
      <c r="F18" s="54"/>
      <c r="G18" s="54">
        <v>528</v>
      </c>
      <c r="H18" s="93"/>
      <c r="I18" s="93"/>
      <c r="K18" s="93"/>
      <c r="L18" s="93"/>
      <c r="M18" s="93"/>
    </row>
    <row r="19" spans="1:18">
      <c r="A19" s="109" t="s">
        <v>23</v>
      </c>
      <c r="B19" s="113"/>
      <c r="C19" s="54"/>
      <c r="D19" s="54"/>
      <c r="E19" s="54">
        <v>3156</v>
      </c>
      <c r="F19" s="54"/>
      <c r="G19" s="54">
        <v>1974</v>
      </c>
      <c r="H19" s="93"/>
      <c r="I19" s="93"/>
      <c r="K19" s="93"/>
      <c r="L19" s="93"/>
      <c r="M19" s="93"/>
    </row>
    <row r="20" spans="1:18">
      <c r="A20" s="109" t="s">
        <v>21</v>
      </c>
      <c r="B20" s="114"/>
      <c r="C20" s="114"/>
      <c r="D20" s="114"/>
      <c r="E20" s="114">
        <f>E173</f>
        <v>1652.5100000000002</v>
      </c>
      <c r="F20" s="114"/>
      <c r="G20" s="114">
        <f>E203</f>
        <v>1134.3599999999999</v>
      </c>
      <c r="H20" s="93"/>
      <c r="I20" s="93"/>
      <c r="K20" s="93"/>
      <c r="L20" s="93"/>
      <c r="M20" s="93"/>
    </row>
    <row r="21" spans="1:18">
      <c r="A21" s="111" t="s">
        <v>20</v>
      </c>
      <c r="B21" s="58"/>
      <c r="C21" s="58" t="e">
        <f t="shared" ref="C21:G21" si="1">C20/(C19-C18)</f>
        <v>#DIV/0!</v>
      </c>
      <c r="D21" s="58" t="e">
        <f t="shared" si="1"/>
        <v>#DIV/0!</v>
      </c>
      <c r="E21" s="58">
        <f t="shared" si="1"/>
        <v>0.62785334346504562</v>
      </c>
      <c r="F21" s="58" t="e">
        <f t="shared" si="1"/>
        <v>#DIV/0!</v>
      </c>
      <c r="G21" s="58">
        <f t="shared" si="1"/>
        <v>0.7844813278008298</v>
      </c>
      <c r="H21" s="93"/>
      <c r="I21" s="93"/>
      <c r="J21" s="56" t="s">
        <v>67</v>
      </c>
      <c r="K21" s="93"/>
      <c r="L21" s="93"/>
      <c r="M21" s="93"/>
    </row>
    <row r="22" spans="1:18" ht="45">
      <c r="A22" s="112"/>
      <c r="B22" s="93"/>
      <c r="C22" s="93"/>
      <c r="D22" s="93"/>
      <c r="E22" s="93"/>
      <c r="F22" s="93"/>
      <c r="G22" s="93"/>
      <c r="H22" s="93"/>
      <c r="I22" s="93"/>
      <c r="J22" s="115" t="s">
        <v>165</v>
      </c>
      <c r="K22" s="116" t="s">
        <v>166</v>
      </c>
      <c r="L22" s="116" t="s">
        <v>167</v>
      </c>
      <c r="M22" s="116" t="s">
        <v>168</v>
      </c>
      <c r="N22" s="116" t="s">
        <v>170</v>
      </c>
      <c r="O22" s="116" t="s">
        <v>171</v>
      </c>
      <c r="P22" s="116" t="s">
        <v>169</v>
      </c>
      <c r="Q22" s="116" t="s">
        <v>172</v>
      </c>
      <c r="R22" s="117" t="s">
        <v>65</v>
      </c>
    </row>
    <row r="24" spans="1:18" ht="12" thickBot="1">
      <c r="B24" s="151" t="s">
        <v>0</v>
      </c>
      <c r="C24" s="181" t="s">
        <v>1</v>
      </c>
      <c r="D24" s="182"/>
      <c r="E24" s="161" t="s">
        <v>2</v>
      </c>
      <c r="F24" s="162" t="s">
        <v>14</v>
      </c>
      <c r="G24" s="161" t="s">
        <v>3</v>
      </c>
      <c r="H24" s="56" t="s">
        <v>66</v>
      </c>
      <c r="J24" s="56" t="s">
        <v>48</v>
      </c>
      <c r="K24" s="118" t="s">
        <v>49</v>
      </c>
      <c r="L24" s="118" t="s">
        <v>50</v>
      </c>
      <c r="M24" s="118" t="s">
        <v>51</v>
      </c>
      <c r="N24" s="118" t="s">
        <v>54</v>
      </c>
      <c r="O24" s="118" t="s">
        <v>57</v>
      </c>
      <c r="P24" s="118" t="s">
        <v>60</v>
      </c>
      <c r="Q24" s="118" t="s">
        <v>62</v>
      </c>
      <c r="R24" s="118" t="s">
        <v>64</v>
      </c>
    </row>
    <row r="25" spans="1:18" ht="12" thickTop="1">
      <c r="B25" s="178" t="str">
        <f>B10&amp;" "&amp;B11</f>
        <v>SC-04 Feed DI-027</v>
      </c>
      <c r="C25" s="119" t="s">
        <v>16</v>
      </c>
      <c r="D25" s="120">
        <v>1180</v>
      </c>
      <c r="E25" s="121">
        <f>80.11+56.2</f>
        <v>136.31</v>
      </c>
      <c r="F25" s="122">
        <f>E25/$E$37</f>
        <v>8.5395496861334921E-2</v>
      </c>
      <c r="G25" s="123">
        <f>SUM(E26:E$36)/$E$37</f>
        <v>0.91460450313866515</v>
      </c>
    </row>
    <row r="26" spans="1:18">
      <c r="B26" s="124" t="s">
        <v>4</v>
      </c>
      <c r="C26" s="120" t="s">
        <v>15</v>
      </c>
      <c r="D26" s="120">
        <v>600</v>
      </c>
      <c r="E26" s="121">
        <f>105.33+72.2</f>
        <v>177.53</v>
      </c>
      <c r="F26" s="122">
        <f t="shared" ref="F26:F36" si="2">E26/$E$37</f>
        <v>0.11121900489907408</v>
      </c>
      <c r="G26" s="123">
        <f>SUM(E27:E$36)/$E$37</f>
        <v>0.80338549823959093</v>
      </c>
      <c r="J26" s="125"/>
    </row>
    <row r="27" spans="1:18">
      <c r="B27" s="126">
        <f>FORECAST(0.8,D26:D27,G26:G27)</f>
        <v>593.3653711238951</v>
      </c>
      <c r="C27" s="120" t="s">
        <v>11</v>
      </c>
      <c r="D27" s="120">
        <v>425</v>
      </c>
      <c r="E27" s="121">
        <f>79.57+62.97</f>
        <v>142.54</v>
      </c>
      <c r="F27" s="122">
        <f t="shared" si="2"/>
        <v>8.9298467629775349E-2</v>
      </c>
      <c r="G27" s="123">
        <f>SUM(E28:E$36)/$E$37</f>
        <v>0.7140870306098156</v>
      </c>
    </row>
    <row r="28" spans="1:18">
      <c r="B28" s="127"/>
      <c r="C28" s="120" t="s">
        <v>10</v>
      </c>
      <c r="D28" s="120">
        <v>300</v>
      </c>
      <c r="E28" s="121">
        <f>99.8+88.49</f>
        <v>188.29</v>
      </c>
      <c r="F28" s="122">
        <f t="shared" si="2"/>
        <v>0.11795993033541743</v>
      </c>
      <c r="G28" s="123">
        <f>SUM(E29:E$36)/$E$37</f>
        <v>0.59612710027439819</v>
      </c>
    </row>
    <row r="29" spans="1:18">
      <c r="B29" s="127"/>
      <c r="C29" s="128" t="s">
        <v>5</v>
      </c>
      <c r="D29" s="172">
        <v>212</v>
      </c>
      <c r="E29" s="176">
        <f>92.71+89.31</f>
        <v>182.01999999999998</v>
      </c>
      <c r="F29" s="174">
        <f t="shared" si="2"/>
        <v>0.1140319003646114</v>
      </c>
      <c r="G29" s="177">
        <f>SUM(E30:E$36)/$E$37</f>
        <v>0.48209519990978694</v>
      </c>
      <c r="H29" s="131">
        <f>SUM(F30:F36)*100</f>
        <v>48.209519990978691</v>
      </c>
    </row>
    <row r="30" spans="1:18">
      <c r="B30" s="127"/>
      <c r="C30" s="128" t="s">
        <v>12</v>
      </c>
      <c r="D30" s="129">
        <v>180</v>
      </c>
      <c r="E30" s="130">
        <f>32.67+28</f>
        <v>60.67</v>
      </c>
      <c r="F30" s="122">
        <f t="shared" si="2"/>
        <v>3.800854518800667E-2</v>
      </c>
      <c r="G30" s="123">
        <f>SUM(E31:E$36)/$E$37</f>
        <v>0.44408665472178027</v>
      </c>
    </row>
    <row r="31" spans="1:18">
      <c r="B31" s="127"/>
      <c r="C31" s="128" t="s">
        <v>13</v>
      </c>
      <c r="D31" s="129">
        <v>150</v>
      </c>
      <c r="E31" s="130">
        <v>84.24</v>
      </c>
      <c r="F31" s="122">
        <f t="shared" si="2"/>
        <v>5.2774680181929816E-2</v>
      </c>
      <c r="G31" s="123">
        <f>SUM(E32:E$36)/$E$37</f>
        <v>0.39131197453985045</v>
      </c>
    </row>
    <row r="32" spans="1:18">
      <c r="B32" s="127"/>
      <c r="C32" s="128" t="s">
        <v>9</v>
      </c>
      <c r="D32" s="129">
        <v>106</v>
      </c>
      <c r="E32" s="130">
        <v>128.76</v>
      </c>
      <c r="F32" s="122">
        <f t="shared" si="2"/>
        <v>8.0665572414830036E-2</v>
      </c>
      <c r="G32" s="123">
        <f>SUM(E33:E$36)/$E$37</f>
        <v>0.31064640212502043</v>
      </c>
    </row>
    <row r="33" spans="2:18">
      <c r="B33" s="127"/>
      <c r="C33" s="128" t="s">
        <v>8</v>
      </c>
      <c r="D33" s="129">
        <v>75</v>
      </c>
      <c r="E33" s="130">
        <v>91.24</v>
      </c>
      <c r="F33" s="122">
        <f t="shared" si="2"/>
        <v>5.7160040595907839E-2</v>
      </c>
      <c r="G33" s="123">
        <f>SUM(E34:E$36)/$E$37</f>
        <v>0.25348636152911258</v>
      </c>
    </row>
    <row r="34" spans="2:18">
      <c r="B34" s="127"/>
      <c r="C34" s="128" t="s">
        <v>7</v>
      </c>
      <c r="D34" s="129">
        <v>53</v>
      </c>
      <c r="E34" s="130">
        <v>80.3</v>
      </c>
      <c r="F34" s="122">
        <f t="shared" si="2"/>
        <v>5.0306348748919323E-2</v>
      </c>
      <c r="G34" s="123">
        <f>SUM(E35:E$36)/$E$37</f>
        <v>0.20318001278019324</v>
      </c>
    </row>
    <row r="35" spans="2:18">
      <c r="B35" s="127"/>
      <c r="C35" s="128" t="s">
        <v>17</v>
      </c>
      <c r="D35" s="129">
        <v>38</v>
      </c>
      <c r="E35" s="130">
        <v>42.94</v>
      </c>
      <c r="F35" s="122">
        <f t="shared" si="2"/>
        <v>2.6901053739459474E-2</v>
      </c>
      <c r="G35" s="123">
        <f>SUM(E36:E$36)/$E$37</f>
        <v>0.17627895904073376</v>
      </c>
    </row>
    <row r="36" spans="2:18">
      <c r="B36" s="132"/>
      <c r="C36" s="133">
        <v>-38</v>
      </c>
      <c r="D36" s="134"/>
      <c r="E36" s="135">
        <f>12.18+269.2</f>
        <v>281.38</v>
      </c>
      <c r="F36" s="122">
        <f t="shared" si="2"/>
        <v>0.17627895904073376</v>
      </c>
      <c r="G36" s="136"/>
    </row>
    <row r="37" spans="2:18">
      <c r="B37" s="137"/>
      <c r="C37" s="138" t="s">
        <v>6</v>
      </c>
      <c r="D37" s="139"/>
      <c r="E37" s="140">
        <f>SUM(E25:E36)</f>
        <v>1596.2199999999998</v>
      </c>
      <c r="F37" s="163">
        <f>E37/$E$37</f>
        <v>1</v>
      </c>
      <c r="G37" s="140"/>
    </row>
    <row r="38" spans="2:18" s="95" customFormat="1">
      <c r="C38" s="147"/>
      <c r="D38" s="148"/>
      <c r="E38" s="149"/>
      <c r="F38" s="150"/>
      <c r="G38" s="149"/>
    </row>
    <row r="39" spans="2:18" ht="12" thickBot="1">
      <c r="B39" s="151" t="s">
        <v>0</v>
      </c>
      <c r="C39" s="181" t="s">
        <v>1</v>
      </c>
      <c r="D39" s="182"/>
      <c r="E39" s="161" t="s">
        <v>2</v>
      </c>
      <c r="F39" s="162" t="s">
        <v>14</v>
      </c>
      <c r="G39" s="161" t="s">
        <v>3</v>
      </c>
      <c r="J39" s="141"/>
      <c r="K39" s="141"/>
      <c r="L39" s="141"/>
      <c r="M39" s="141"/>
      <c r="N39" s="141"/>
      <c r="O39" s="141"/>
    </row>
    <row r="40" spans="2:18" ht="23.25" thickTop="1">
      <c r="B40" s="178" t="str">
        <f>C10&amp;" "&amp;"("&amp;C11&amp;")"</f>
        <v>SC-04 feed to deck1 (DI-040)</v>
      </c>
      <c r="C40" s="119" t="s">
        <v>16</v>
      </c>
      <c r="D40" s="120">
        <v>1180</v>
      </c>
      <c r="E40" s="121">
        <f>93.69+56.4</f>
        <v>150.09</v>
      </c>
      <c r="F40" s="122">
        <f>E40/$E$52</f>
        <v>9.333548912671713E-2</v>
      </c>
      <c r="G40" s="142">
        <f>SUM(E41:E$51)/$E$52</f>
        <v>0.90666451087328304</v>
      </c>
      <c r="J40" s="125"/>
      <c r="K40" s="125"/>
      <c r="L40" s="125"/>
      <c r="M40" s="125"/>
      <c r="N40" s="125"/>
      <c r="O40" s="125"/>
    </row>
    <row r="41" spans="2:18">
      <c r="B41" s="124" t="s">
        <v>4</v>
      </c>
      <c r="C41" s="120" t="s">
        <v>15</v>
      </c>
      <c r="D41" s="120">
        <v>600</v>
      </c>
      <c r="E41" s="121">
        <f>111.45+78.6</f>
        <v>190.05</v>
      </c>
      <c r="F41" s="122">
        <f t="shared" ref="F41:F52" si="3">E41/$E$52</f>
        <v>0.11818515363137178</v>
      </c>
      <c r="G41" s="142">
        <f>SUM(E42:E$51)/$E$52</f>
        <v>0.78847935724191132</v>
      </c>
    </row>
    <row r="42" spans="2:18">
      <c r="B42" s="126">
        <f>FORECAST(0.8,D40:D41,G40:G41)</f>
        <v>656.53817416469246</v>
      </c>
      <c r="C42" s="120" t="s">
        <v>11</v>
      </c>
      <c r="D42" s="120">
        <v>425</v>
      </c>
      <c r="E42" s="121">
        <f>85.13+59.6</f>
        <v>144.72999999999999</v>
      </c>
      <c r="F42" s="122">
        <f t="shared" si="3"/>
        <v>9.0002300894861539E-2</v>
      </c>
      <c r="G42" s="142">
        <f>SUM(E43:E$51)/$E$52</f>
        <v>0.6984770563470496</v>
      </c>
      <c r="J42" s="125"/>
    </row>
    <row r="43" spans="2:18">
      <c r="B43" s="127"/>
      <c r="C43" s="120" t="s">
        <v>10</v>
      </c>
      <c r="D43" s="120">
        <v>300</v>
      </c>
      <c r="E43" s="121">
        <f>107.2+80.4</f>
        <v>187.60000000000002</v>
      </c>
      <c r="F43" s="122">
        <f t="shared" si="3"/>
        <v>0.11666158811494526</v>
      </c>
      <c r="G43" s="142">
        <f>SUM(E44:E$51)/$E$52</f>
        <v>0.58181546823210439</v>
      </c>
      <c r="H43" s="125"/>
      <c r="J43" s="60">
        <f>SUM($F$25:F28)</f>
        <v>0.40387289972560181</v>
      </c>
      <c r="K43" s="60">
        <f>1-J43</f>
        <v>0.59612710027439819</v>
      </c>
      <c r="L43" s="60">
        <f>SUM($F$40:F43)</f>
        <v>0.41818453176789572</v>
      </c>
      <c r="M43" s="60">
        <v>1</v>
      </c>
      <c r="N43" s="62">
        <f>+(L43-J43)/(L43+M43-1)</f>
        <v>3.4223245852233665E-2</v>
      </c>
      <c r="O43" s="143">
        <f>1-N43</f>
        <v>0.96577675414776631</v>
      </c>
      <c r="P43" s="62">
        <f>+N43*M43/K43</f>
        <v>5.740931059245697E-2</v>
      </c>
      <c r="Q43" s="62">
        <f>+O43*L43/J43</f>
        <v>1</v>
      </c>
      <c r="R43" s="144">
        <f>+N43*M43+O43*L43</f>
        <v>0.43809614557783549</v>
      </c>
    </row>
    <row r="44" spans="2:18">
      <c r="B44" s="127"/>
      <c r="C44" s="128" t="s">
        <v>5</v>
      </c>
      <c r="D44" s="172">
        <v>212</v>
      </c>
      <c r="E44" s="173">
        <f>98.9+78.1</f>
        <v>177</v>
      </c>
      <c r="F44" s="174">
        <f t="shared" si="3"/>
        <v>0.11006983526836518</v>
      </c>
      <c r="G44" s="175">
        <f>SUM(E45:E$51)/$E$52</f>
        <v>0.47174563296373917</v>
      </c>
      <c r="H44" s="131">
        <f>SUM(F45:F51)*100</f>
        <v>47.174563296373925</v>
      </c>
      <c r="I44" s="146">
        <f>($I$208-H44)/($I$208*(100-H44))*10000</f>
        <v>4.0639305240123464</v>
      </c>
      <c r="J44" s="60">
        <f>SUM($F$25:F29)</f>
        <v>0.51790480009021322</v>
      </c>
      <c r="K44" s="60">
        <f t="shared" ref="K44:K50" si="4">1-J44</f>
        <v>0.48209519990978678</v>
      </c>
      <c r="L44" s="60">
        <f>SUM($F$40:F44)</f>
        <v>0.52825436703626094</v>
      </c>
      <c r="M44" s="60">
        <v>1</v>
      </c>
      <c r="N44" s="62">
        <f t="shared" ref="N44:N50" si="5">+(L44-J44)/(L44+M44-1)</f>
        <v>1.9592013983932274E-2</v>
      </c>
      <c r="O44" s="143">
        <f t="shared" ref="O44:O50" si="6">1-N44</f>
        <v>0.98040798601606771</v>
      </c>
      <c r="P44" s="62">
        <f t="shared" ref="P44:P49" si="7">+N44*M44/K44</f>
        <v>4.0639305240123685E-2</v>
      </c>
      <c r="Q44" s="62">
        <f t="shared" ref="Q44:Q49" si="8">+O44*L44/J44</f>
        <v>1</v>
      </c>
      <c r="R44" s="144">
        <f>+N44*M44+O44*L44</f>
        <v>0.53749681407414551</v>
      </c>
    </row>
    <row r="45" spans="2:18">
      <c r="B45" s="127"/>
      <c r="C45" s="128" t="s">
        <v>12</v>
      </c>
      <c r="D45" s="129">
        <v>180</v>
      </c>
      <c r="E45" s="145">
        <f>26.84+32.61</f>
        <v>59.45</v>
      </c>
      <c r="F45" s="122">
        <f t="shared" si="3"/>
        <v>3.6969783653696672E-2</v>
      </c>
      <c r="G45" s="142">
        <f>SUM(E46:E$51)/$E$52</f>
        <v>0.43477584931004254</v>
      </c>
      <c r="J45" s="60">
        <f>SUM($F$25:F30)</f>
        <v>0.55591334527821989</v>
      </c>
      <c r="K45" s="60">
        <f t="shared" si="4"/>
        <v>0.44408665472178011</v>
      </c>
      <c r="L45" s="60">
        <f>SUM($F$40:F45)</f>
        <v>0.56522415068995757</v>
      </c>
      <c r="M45" s="60">
        <v>1</v>
      </c>
      <c r="N45" s="62">
        <f t="shared" si="5"/>
        <v>1.6472766424386089E-2</v>
      </c>
      <c r="O45" s="143">
        <f t="shared" si="6"/>
        <v>0.98352723357561389</v>
      </c>
      <c r="P45" s="62">
        <f t="shared" si="7"/>
        <v>3.7093585788355345E-2</v>
      </c>
      <c r="Q45" s="62">
        <f t="shared" si="8"/>
        <v>1</v>
      </c>
      <c r="R45" s="144">
        <f>+N45*M45+O45*L45</f>
        <v>0.572386111702606</v>
      </c>
    </row>
    <row r="46" spans="2:18">
      <c r="B46" s="127"/>
      <c r="C46" s="128" t="s">
        <v>13</v>
      </c>
      <c r="D46" s="129">
        <v>150</v>
      </c>
      <c r="E46" s="130">
        <v>83.33</v>
      </c>
      <c r="F46" s="122">
        <f t="shared" si="3"/>
        <v>5.1819883462784579E-2</v>
      </c>
      <c r="G46" s="142">
        <f>SUM(E47:E$51)/$E$52</f>
        <v>0.38295596584725794</v>
      </c>
      <c r="J46" s="60">
        <f>SUM($F$25:F31)</f>
        <v>0.60868802546014966</v>
      </c>
      <c r="K46" s="60">
        <f t="shared" si="4"/>
        <v>0.39131197453985034</v>
      </c>
      <c r="L46" s="60">
        <f>SUM($F$40:F46)</f>
        <v>0.61704403415274212</v>
      </c>
      <c r="M46" s="60">
        <v>1</v>
      </c>
      <c r="N46" s="62">
        <f t="shared" si="5"/>
        <v>1.3541997377976464E-2</v>
      </c>
      <c r="O46" s="143">
        <f t="shared" si="6"/>
        <v>0.98645800262202354</v>
      </c>
      <c r="P46" s="62">
        <f t="shared" si="7"/>
        <v>3.4606652131973996E-2</v>
      </c>
      <c r="Q46" s="62">
        <f t="shared" si="8"/>
        <v>1</v>
      </c>
      <c r="R46" s="144">
        <f>+N46*M46+O46*L46</f>
        <v>0.62223002283812612</v>
      </c>
    </row>
    <row r="47" spans="2:18">
      <c r="B47" s="127"/>
      <c r="C47" s="128" t="s">
        <v>9</v>
      </c>
      <c r="D47" s="129">
        <v>106</v>
      </c>
      <c r="E47" s="130">
        <v>123.5</v>
      </c>
      <c r="F47" s="122">
        <f t="shared" si="3"/>
        <v>7.6800139297418649E-2</v>
      </c>
      <c r="G47" s="142">
        <f>SUM(E48:E$51)/$E$52</f>
        <v>0.3061558265498393</v>
      </c>
      <c r="J47" s="60">
        <f>SUM($F$25:F32)</f>
        <v>0.68935359787497974</v>
      </c>
      <c r="K47" s="60">
        <f t="shared" si="4"/>
        <v>0.31064640212502026</v>
      </c>
      <c r="L47" s="60">
        <f>SUM($F$40:F47)</f>
        <v>0.69384417345016081</v>
      </c>
      <c r="M47" s="60">
        <v>1</v>
      </c>
      <c r="N47" s="62">
        <f t="shared" si="5"/>
        <v>6.4720231818789298E-3</v>
      </c>
      <c r="O47" s="143">
        <f t="shared" si="6"/>
        <v>0.99352797681812111</v>
      </c>
      <c r="P47" s="62">
        <f t="shared" si="7"/>
        <v>2.0834051634289495E-2</v>
      </c>
      <c r="Q47" s="62">
        <f t="shared" si="8"/>
        <v>1</v>
      </c>
      <c r="R47" s="144">
        <f t="shared" ref="R47" si="9">+N47*M47+O47*L47</f>
        <v>0.69582562105685863</v>
      </c>
    </row>
    <row r="48" spans="2:18">
      <c r="B48" s="127"/>
      <c r="C48" s="128" t="s">
        <v>8</v>
      </c>
      <c r="D48" s="129">
        <v>75</v>
      </c>
      <c r="E48" s="130">
        <v>92.87</v>
      </c>
      <c r="F48" s="122">
        <f t="shared" si="3"/>
        <v>5.7752461024706644E-2</v>
      </c>
      <c r="G48" s="142">
        <f>SUM(E49:E$51)/$E$52</f>
        <v>0.24840336552513265</v>
      </c>
      <c r="J48" s="60">
        <f>SUM($F$25:F33)</f>
        <v>0.74651363847088759</v>
      </c>
      <c r="K48" s="60">
        <f t="shared" si="4"/>
        <v>0.25348636152911241</v>
      </c>
      <c r="L48" s="60">
        <f>SUM($F$40:F48)</f>
        <v>0.75159663447486746</v>
      </c>
      <c r="M48" s="60">
        <v>1</v>
      </c>
      <c r="N48" s="62">
        <f t="shared" si="5"/>
        <v>6.76293076742063E-3</v>
      </c>
      <c r="O48" s="143">
        <f t="shared" si="6"/>
        <v>0.99323706923257937</v>
      </c>
      <c r="P48" s="62">
        <f t="shared" si="7"/>
        <v>2.6679663263239985E-2</v>
      </c>
      <c r="Q48" s="62">
        <f t="shared" si="8"/>
        <v>1</v>
      </c>
      <c r="R48" s="144">
        <f>+N48*M48+O48*L48</f>
        <v>0.75327656923830821</v>
      </c>
    </row>
    <row r="49" spans="2:18">
      <c r="B49" s="127"/>
      <c r="C49" s="128" t="s">
        <v>7</v>
      </c>
      <c r="D49" s="129">
        <v>53</v>
      </c>
      <c r="E49" s="130">
        <v>71.739999999999995</v>
      </c>
      <c r="F49" s="122">
        <f t="shared" si="3"/>
        <v>4.4612485774872986E-2</v>
      </c>
      <c r="G49" s="142">
        <f>SUM(E50:E$51)/$E$52</f>
        <v>0.20379087975025967</v>
      </c>
      <c r="J49" s="60">
        <f>SUM($F$25:F34)</f>
        <v>0.79681998721980696</v>
      </c>
      <c r="K49" s="60">
        <f t="shared" si="4"/>
        <v>0.20318001278019304</v>
      </c>
      <c r="L49" s="60">
        <f>SUM($F$40:F49)</f>
        <v>0.79620912024974044</v>
      </c>
      <c r="M49" s="60">
        <v>1</v>
      </c>
      <c r="N49" s="62">
        <f t="shared" si="5"/>
        <v>-7.672192575173078E-4</v>
      </c>
      <c r="O49" s="143">
        <f t="shared" si="6"/>
        <v>1.0007672192575172</v>
      </c>
      <c r="P49" s="62">
        <f t="shared" si="7"/>
        <v>-3.7760567440622782E-3</v>
      </c>
      <c r="Q49" s="62">
        <f t="shared" si="8"/>
        <v>0.99999999999999989</v>
      </c>
      <c r="R49" s="144">
        <f>+N49*M49+O49*L49</f>
        <v>0.79605276796228952</v>
      </c>
    </row>
    <row r="50" spans="2:18">
      <c r="B50" s="127"/>
      <c r="C50" s="128" t="s">
        <v>17</v>
      </c>
      <c r="D50" s="129">
        <v>38</v>
      </c>
      <c r="E50" s="130">
        <v>50.98</v>
      </c>
      <c r="F50" s="122">
        <f t="shared" si="3"/>
        <v>3.1702600011193544E-2</v>
      </c>
      <c r="G50" s="142">
        <f>SUM(E51:E$51)/$E$52</f>
        <v>0.1720882797390661</v>
      </c>
      <c r="J50" s="60">
        <f>SUM($F$25:F35)</f>
        <v>0.82372104095926646</v>
      </c>
      <c r="K50" s="60">
        <f t="shared" si="4"/>
        <v>0.17627895904073354</v>
      </c>
      <c r="L50" s="60">
        <f>SUM($F$40:F50)</f>
        <v>0.82791172026093396</v>
      </c>
      <c r="M50" s="60">
        <v>1</v>
      </c>
      <c r="N50" s="62">
        <f t="shared" si="5"/>
        <v>5.0617465595809152E-3</v>
      </c>
      <c r="O50" s="143">
        <f t="shared" si="6"/>
        <v>0.99493825344041908</v>
      </c>
      <c r="P50" s="62">
        <f>+N50*M50/K50</f>
        <v>2.8714411448341238E-2</v>
      </c>
      <c r="Q50" s="62">
        <f>+O50*L50/J50</f>
        <v>1</v>
      </c>
      <c r="R50" s="144">
        <f>+N50*M50+O50*L50</f>
        <v>0.82878278751884737</v>
      </c>
    </row>
    <row r="51" spans="2:18">
      <c r="B51" s="132"/>
      <c r="C51" s="133">
        <v>-38</v>
      </c>
      <c r="D51" s="134"/>
      <c r="E51" s="135">
        <f>27.73+249</f>
        <v>276.73</v>
      </c>
      <c r="F51" s="122">
        <f t="shared" si="3"/>
        <v>0.1720882797390661</v>
      </c>
      <c r="G51" s="136"/>
    </row>
    <row r="52" spans="2:18">
      <c r="B52" s="137"/>
      <c r="C52" s="138" t="s">
        <v>6</v>
      </c>
      <c r="D52" s="139"/>
      <c r="E52" s="140">
        <f>SUM(E40:E51)</f>
        <v>1608.07</v>
      </c>
      <c r="F52" s="163">
        <f t="shared" si="3"/>
        <v>1</v>
      </c>
      <c r="G52" s="140"/>
    </row>
    <row r="53" spans="2:18" s="95" customFormat="1">
      <c r="C53" s="147"/>
      <c r="D53" s="148"/>
      <c r="E53" s="149"/>
      <c r="F53" s="150"/>
      <c r="G53" s="149"/>
    </row>
    <row r="54" spans="2:18" ht="12" thickBot="1">
      <c r="B54" s="151" t="s">
        <v>0</v>
      </c>
      <c r="C54" s="181" t="s">
        <v>1</v>
      </c>
      <c r="D54" s="182"/>
      <c r="E54" s="161" t="s">
        <v>2</v>
      </c>
      <c r="F54" s="162" t="s">
        <v>14</v>
      </c>
      <c r="G54" s="161" t="s">
        <v>3</v>
      </c>
    </row>
    <row r="55" spans="2:18" ht="23.25" thickTop="1">
      <c r="B55" s="178" t="str">
        <f>D10&amp;" "&amp;"("&amp;D11&amp;")"</f>
        <v>SC-04 feed to deck2 (DI-040)</v>
      </c>
      <c r="C55" s="119" t="s">
        <v>16</v>
      </c>
      <c r="D55" s="120">
        <v>1180</v>
      </c>
      <c r="E55" s="121">
        <f>44.51+23.28</f>
        <v>67.789999999999992</v>
      </c>
      <c r="F55" s="122">
        <f>E55/$E$67</f>
        <v>5.3784512853062509E-2</v>
      </c>
      <c r="G55" s="123">
        <f>SUM(E56:E$66)/$E$67</f>
        <v>0.94621548714693748</v>
      </c>
    </row>
    <row r="56" spans="2:18">
      <c r="B56" s="124" t="s">
        <v>4</v>
      </c>
      <c r="C56" s="120" t="s">
        <v>15</v>
      </c>
      <c r="D56" s="120">
        <v>600</v>
      </c>
      <c r="E56" s="121">
        <f>80.86+37.82</f>
        <v>118.68</v>
      </c>
      <c r="F56" s="122">
        <f t="shared" ref="F56:F67" si="10">E56/$E$67</f>
        <v>9.4160583941605841E-2</v>
      </c>
      <c r="G56" s="123">
        <f>SUM(E57:E$66)/$E$67</f>
        <v>0.85205490320533162</v>
      </c>
    </row>
    <row r="57" spans="2:18">
      <c r="B57" s="126">
        <f>FORECAST(0.8,D56:D57,G56:G57)</f>
        <v>493.41115855922772</v>
      </c>
      <c r="C57" s="120" t="s">
        <v>11</v>
      </c>
      <c r="D57" s="120">
        <v>425</v>
      </c>
      <c r="E57" s="121">
        <f>71.54+36.18</f>
        <v>107.72</v>
      </c>
      <c r="F57" s="122">
        <f t="shared" si="10"/>
        <v>8.5464931767692792E-2</v>
      </c>
      <c r="G57" s="123">
        <f>SUM(E58:E$66)/$E$67</f>
        <v>0.76658997143763885</v>
      </c>
    </row>
    <row r="58" spans="2:18">
      <c r="B58" s="127"/>
      <c r="C58" s="120" t="s">
        <v>10</v>
      </c>
      <c r="D58" s="120">
        <v>300</v>
      </c>
      <c r="E58" s="121">
        <f>93.62+48.88</f>
        <v>142.5</v>
      </c>
      <c r="F58" s="122">
        <f t="shared" si="10"/>
        <v>0.11305934623928911</v>
      </c>
      <c r="G58" s="123">
        <f>SUM(E59:E$66)/$E$67</f>
        <v>0.65353062519834981</v>
      </c>
      <c r="H58" s="125"/>
      <c r="J58" s="60">
        <f t="shared" ref="J58:J65" si="11">J43</f>
        <v>0.40387289972560181</v>
      </c>
      <c r="K58" s="60">
        <f>1-J58</f>
        <v>0.59612710027439819</v>
      </c>
      <c r="L58" s="60">
        <f>SUM($F$55:F58)</f>
        <v>0.34646937480165024</v>
      </c>
      <c r="M58" s="60">
        <v>1</v>
      </c>
      <c r="N58" s="62">
        <f>+(L58-J58)/(L58+M58-1)</f>
        <v>-0.16568138224861698</v>
      </c>
      <c r="O58" s="143">
        <f>1-N58</f>
        <v>1.1656813822486169</v>
      </c>
      <c r="P58" s="62">
        <f>+N58*M58/K58</f>
        <v>-0.27792962637054008</v>
      </c>
      <c r="Q58" s="62">
        <f>+O58*L58/J58</f>
        <v>1</v>
      </c>
      <c r="R58" s="144">
        <f>+N58*M58+O58*L58</f>
        <v>0.23819151747698483</v>
      </c>
    </row>
    <row r="59" spans="2:18">
      <c r="B59" s="127"/>
      <c r="C59" s="128" t="s">
        <v>5</v>
      </c>
      <c r="D59" s="172">
        <v>212</v>
      </c>
      <c r="E59" s="176">
        <f>91.3+53.25</f>
        <v>144.55000000000001</v>
      </c>
      <c r="F59" s="174">
        <f t="shared" si="10"/>
        <v>0.11468581402729293</v>
      </c>
      <c r="G59" s="177">
        <f>SUM(E60:E$66)/$E$67</f>
        <v>0.53884481117105687</v>
      </c>
      <c r="H59" s="131">
        <f>SUM(F60:F66)*100</f>
        <v>53.884481117105679</v>
      </c>
      <c r="I59" s="125">
        <f>($I$208-H59)/($I$208*(100-H59))*10000</f>
        <v>-25.526012876345828</v>
      </c>
      <c r="J59" s="60">
        <f t="shared" si="11"/>
        <v>0.51790480009021322</v>
      </c>
      <c r="K59" s="60">
        <f t="shared" ref="K59:K65" si="12">1-J59</f>
        <v>0.48209519990978678</v>
      </c>
      <c r="L59" s="60">
        <f>SUM($F$55:F59)</f>
        <v>0.46115518882894319</v>
      </c>
      <c r="M59" s="60">
        <v>1</v>
      </c>
      <c r="N59" s="62">
        <f t="shared" ref="N59:N65" si="13">+(L59-J59)/(L59+M59-1)</f>
        <v>-0.12305968280521776</v>
      </c>
      <c r="O59" s="143">
        <f t="shared" ref="O59:O65" si="14">1-N59</f>
        <v>1.1230596828052177</v>
      </c>
      <c r="P59" s="62">
        <f t="shared" ref="P59:P65" si="15">+N59*M59/K59</f>
        <v>-0.25526012876345916</v>
      </c>
      <c r="Q59" s="62">
        <f t="shared" ref="Q59:Q65" si="16">+O59*L59/J59</f>
        <v>1</v>
      </c>
      <c r="R59" s="144">
        <f t="shared" ref="R59:R65" si="17">+N59*M59+O59*L59</f>
        <v>0.39484511728499549</v>
      </c>
    </row>
    <row r="60" spans="2:18">
      <c r="B60" s="127"/>
      <c r="C60" s="128" t="s">
        <v>12</v>
      </c>
      <c r="D60" s="129">
        <v>180</v>
      </c>
      <c r="E60" s="130">
        <f>37.06+14.92</f>
        <v>51.980000000000004</v>
      </c>
      <c r="F60" s="122">
        <f t="shared" si="10"/>
        <v>4.1240875912408756E-2</v>
      </c>
      <c r="G60" s="123">
        <f>SUM(E61:E$66)/$E$67</f>
        <v>0.49760393525864804</v>
      </c>
      <c r="J60" s="60">
        <f t="shared" si="11"/>
        <v>0.55591334527821989</v>
      </c>
      <c r="K60" s="60">
        <f t="shared" si="12"/>
        <v>0.44408665472178011</v>
      </c>
      <c r="L60" s="60">
        <f>SUM($F$55:F60)</f>
        <v>0.5023960647413519</v>
      </c>
      <c r="M60" s="60">
        <v>1</v>
      </c>
      <c r="N60" s="62">
        <f t="shared" si="13"/>
        <v>-0.10652408387080071</v>
      </c>
      <c r="O60" s="143">
        <f t="shared" si="14"/>
        <v>1.1065240838708008</v>
      </c>
      <c r="P60" s="62">
        <f t="shared" si="15"/>
        <v>-0.23987229235145099</v>
      </c>
      <c r="Q60" s="62">
        <f t="shared" si="16"/>
        <v>1</v>
      </c>
      <c r="R60" s="144">
        <f t="shared" si="17"/>
        <v>0.44938926140741919</v>
      </c>
    </row>
    <row r="61" spans="2:18">
      <c r="B61" s="127"/>
      <c r="C61" s="128" t="s">
        <v>13</v>
      </c>
      <c r="D61" s="129">
        <v>150</v>
      </c>
      <c r="E61" s="130">
        <v>67.95</v>
      </c>
      <c r="F61" s="122">
        <f t="shared" si="10"/>
        <v>5.3911456680418912E-2</v>
      </c>
      <c r="G61" s="123">
        <f>SUM(E62:E$66)/$E$67</f>
        <v>0.44369247857822913</v>
      </c>
      <c r="J61" s="60">
        <f t="shared" si="11"/>
        <v>0.60868802546014966</v>
      </c>
      <c r="K61" s="60">
        <f t="shared" si="12"/>
        <v>0.39131197453985034</v>
      </c>
      <c r="L61" s="60">
        <f>SUM($F$55:F61)</f>
        <v>0.55630752142177076</v>
      </c>
      <c r="M61" s="60">
        <v>1</v>
      </c>
      <c r="N61" s="62">
        <f t="shared" si="13"/>
        <v>-9.4157461514287236E-2</v>
      </c>
      <c r="O61" s="143">
        <f t="shared" si="14"/>
        <v>1.0941574615142873</v>
      </c>
      <c r="P61" s="62">
        <f t="shared" si="15"/>
        <v>-0.24061993406925106</v>
      </c>
      <c r="Q61" s="62">
        <f t="shared" si="16"/>
        <v>1</v>
      </c>
      <c r="R61" s="144">
        <f t="shared" si="17"/>
        <v>0.51453056394586238</v>
      </c>
    </row>
    <row r="62" spans="2:18">
      <c r="B62" s="127"/>
      <c r="C62" s="128" t="s">
        <v>9</v>
      </c>
      <c r="D62" s="129">
        <v>106</v>
      </c>
      <c r="E62" s="130">
        <v>108.1</v>
      </c>
      <c r="F62" s="122">
        <f t="shared" si="10"/>
        <v>8.5766423357664226E-2</v>
      </c>
      <c r="G62" s="123">
        <f>SUM(E63:E$66)/$E$67</f>
        <v>0.35792605522056486</v>
      </c>
      <c r="J62" s="60">
        <f t="shared" si="11"/>
        <v>0.68935359787497974</v>
      </c>
      <c r="K62" s="60">
        <f t="shared" si="12"/>
        <v>0.31064640212502026</v>
      </c>
      <c r="L62" s="60">
        <f>SUM($F$55:F62)</f>
        <v>0.64207394477943502</v>
      </c>
      <c r="M62" s="60">
        <v>1</v>
      </c>
      <c r="N62" s="62">
        <f t="shared" si="13"/>
        <v>-7.3635838177152954E-2</v>
      </c>
      <c r="O62" s="143">
        <f t="shared" si="14"/>
        <v>1.0736358381771529</v>
      </c>
      <c r="P62" s="62">
        <f t="shared" si="15"/>
        <v>-0.23704069216136636</v>
      </c>
      <c r="Q62" s="62">
        <f t="shared" si="16"/>
        <v>1</v>
      </c>
      <c r="R62" s="144">
        <f t="shared" si="17"/>
        <v>0.61571775969782683</v>
      </c>
    </row>
    <row r="63" spans="2:18">
      <c r="B63" s="127"/>
      <c r="C63" s="128" t="s">
        <v>8</v>
      </c>
      <c r="D63" s="129">
        <v>75</v>
      </c>
      <c r="E63" s="130">
        <v>73.180000000000007</v>
      </c>
      <c r="F63" s="122">
        <f t="shared" si="10"/>
        <v>5.8060933037131071E-2</v>
      </c>
      <c r="G63" s="123">
        <f>SUM(E64:E$66)/$E$67</f>
        <v>0.29986512218343386</v>
      </c>
      <c r="J63" s="60">
        <f t="shared" si="11"/>
        <v>0.74651363847088759</v>
      </c>
      <c r="K63" s="60">
        <f t="shared" si="12"/>
        <v>0.25348636152911241</v>
      </c>
      <c r="L63" s="60">
        <f>SUM($F$55:F63)</f>
        <v>0.70013487781656614</v>
      </c>
      <c r="M63" s="60">
        <v>1</v>
      </c>
      <c r="N63" s="62">
        <f t="shared" si="13"/>
        <v>-6.6242608565592109E-2</v>
      </c>
      <c r="O63" s="143">
        <f t="shared" si="14"/>
        <v>1.0662426085655921</v>
      </c>
      <c r="P63" s="62">
        <f t="shared" si="15"/>
        <v>-0.26132612486918461</v>
      </c>
      <c r="Q63" s="62">
        <f t="shared" si="16"/>
        <v>1</v>
      </c>
      <c r="R63" s="144">
        <f t="shared" si="17"/>
        <v>0.68027102990529542</v>
      </c>
    </row>
    <row r="64" spans="2:18">
      <c r="B64" s="127"/>
      <c r="C64" s="128" t="s">
        <v>7</v>
      </c>
      <c r="D64" s="129">
        <v>53</v>
      </c>
      <c r="E64" s="130">
        <v>65.03</v>
      </c>
      <c r="F64" s="122">
        <f t="shared" si="10"/>
        <v>5.1594731831164704E-2</v>
      </c>
      <c r="G64" s="123">
        <f>SUM(E65:E$66)/$E$67</f>
        <v>0.24827039035226911</v>
      </c>
      <c r="J64" s="60">
        <f t="shared" si="11"/>
        <v>0.79681998721980696</v>
      </c>
      <c r="K64" s="60">
        <f t="shared" si="12"/>
        <v>0.20318001278019304</v>
      </c>
      <c r="L64" s="60">
        <f>SUM($F$55:F64)</f>
        <v>0.75172960964773083</v>
      </c>
      <c r="M64" s="60">
        <v>1</v>
      </c>
      <c r="N64" s="62">
        <f t="shared" si="13"/>
        <v>-5.998217576291294E-2</v>
      </c>
      <c r="O64" s="143">
        <f t="shared" si="14"/>
        <v>1.0599821757629129</v>
      </c>
      <c r="P64" s="62">
        <f t="shared" si="15"/>
        <v>-0.2952169110640015</v>
      </c>
      <c r="Q64" s="62">
        <f t="shared" si="16"/>
        <v>1</v>
      </c>
      <c r="R64" s="144">
        <f t="shared" si="17"/>
        <v>0.73683781145689398</v>
      </c>
    </row>
    <row r="65" spans="2:18">
      <c r="B65" s="127"/>
      <c r="C65" s="128" t="s">
        <v>17</v>
      </c>
      <c r="D65" s="129">
        <v>38</v>
      </c>
      <c r="E65" s="130">
        <v>51.07</v>
      </c>
      <c r="F65" s="122">
        <f t="shared" si="10"/>
        <v>4.0518882894319264E-2</v>
      </c>
      <c r="G65" s="123">
        <f>SUM(E66:E$66)/$E$67</f>
        <v>0.20775150745794985</v>
      </c>
      <c r="J65" s="60">
        <f t="shared" si="11"/>
        <v>0.82372104095926646</v>
      </c>
      <c r="K65" s="60">
        <f t="shared" si="12"/>
        <v>0.17627895904073354</v>
      </c>
      <c r="L65" s="60">
        <f>SUM($F$55:F65)</f>
        <v>0.7922484925420501</v>
      </c>
      <c r="M65" s="60">
        <v>1</v>
      </c>
      <c r="N65" s="62">
        <f t="shared" si="13"/>
        <v>-3.972560214817436E-2</v>
      </c>
      <c r="O65" s="143">
        <f t="shared" si="14"/>
        <v>1.0397256021481744</v>
      </c>
      <c r="P65" s="62">
        <f t="shared" si="15"/>
        <v>-0.2253564598086536</v>
      </c>
      <c r="Q65" s="62">
        <f t="shared" si="16"/>
        <v>1.0000000000000002</v>
      </c>
      <c r="R65" s="144">
        <f t="shared" si="17"/>
        <v>0.78399543881109224</v>
      </c>
    </row>
    <row r="66" spans="2:18">
      <c r="B66" s="132"/>
      <c r="C66" s="133">
        <v>-38</v>
      </c>
      <c r="D66" s="134"/>
      <c r="E66" s="135">
        <f>238.15+23.7</f>
        <v>261.85000000000002</v>
      </c>
      <c r="F66" s="122">
        <f t="shared" si="10"/>
        <v>0.20775150745794985</v>
      </c>
      <c r="G66" s="136"/>
    </row>
    <row r="67" spans="2:18">
      <c r="B67" s="137"/>
      <c r="C67" s="138" t="s">
        <v>6</v>
      </c>
      <c r="D67" s="139"/>
      <c r="E67" s="140">
        <f>SUM(E55:E66)</f>
        <v>1260.4000000000001</v>
      </c>
      <c r="F67" s="163">
        <f t="shared" si="10"/>
        <v>1</v>
      </c>
      <c r="G67" s="140"/>
    </row>
    <row r="68" spans="2:18" s="95" customFormat="1">
      <c r="C68" s="147"/>
      <c r="D68" s="148"/>
      <c r="E68" s="149"/>
      <c r="F68" s="150"/>
      <c r="G68" s="149"/>
    </row>
    <row r="69" spans="2:18" ht="12" thickBot="1">
      <c r="B69" s="151" t="s">
        <v>0</v>
      </c>
      <c r="C69" s="181" t="s">
        <v>1</v>
      </c>
      <c r="D69" s="182"/>
      <c r="E69" s="161" t="s">
        <v>2</v>
      </c>
      <c r="F69" s="162" t="s">
        <v>14</v>
      </c>
      <c r="G69" s="161" t="s">
        <v>3</v>
      </c>
    </row>
    <row r="70" spans="2:18" ht="23.25" thickTop="1">
      <c r="B70" s="178" t="str">
        <f>E10&amp;" "&amp;"("&amp;E11&amp;")"</f>
        <v>SC-04 feed to deck3 (DI-040)</v>
      </c>
      <c r="C70" s="119" t="s">
        <v>16</v>
      </c>
      <c r="D70" s="120">
        <v>1180</v>
      </c>
      <c r="E70" s="121">
        <f>94.88+119.52</f>
        <v>214.39999999999998</v>
      </c>
      <c r="F70" s="122">
        <f>E70/$E$82</f>
        <v>9.8362159930265605E-2</v>
      </c>
      <c r="G70" s="142">
        <f>SUM(E71:E$81)/$E$82</f>
        <v>0.90163784006973435</v>
      </c>
    </row>
    <row r="71" spans="2:18">
      <c r="B71" s="124" t="s">
        <v>4</v>
      </c>
      <c r="C71" s="120" t="s">
        <v>15</v>
      </c>
      <c r="D71" s="120">
        <v>600</v>
      </c>
      <c r="E71" s="121">
        <f>109.09+159.04</f>
        <v>268.13</v>
      </c>
      <c r="F71" s="122">
        <f t="shared" ref="F71:F81" si="18">E71/$E$82</f>
        <v>0.12301234114786437</v>
      </c>
      <c r="G71" s="142">
        <f>SUM(E72:E$81)/$E$82</f>
        <v>0.77862549892186994</v>
      </c>
    </row>
    <row r="72" spans="2:18">
      <c r="B72" s="126">
        <f>FORECAST(0.8,D70:D71,G70:G71)</f>
        <v>700.78021855070392</v>
      </c>
      <c r="C72" s="120" t="s">
        <v>11</v>
      </c>
      <c r="D72" s="120">
        <v>425</v>
      </c>
      <c r="E72" s="121">
        <f>84.25+125.03</f>
        <v>209.28</v>
      </c>
      <c r="F72" s="122">
        <f t="shared" si="18"/>
        <v>9.6013212827453301E-2</v>
      </c>
      <c r="G72" s="142">
        <f>SUM(E73:E$81)/$E$82</f>
        <v>0.68261228609441649</v>
      </c>
    </row>
    <row r="73" spans="2:18">
      <c r="B73" s="127"/>
      <c r="C73" s="120" t="s">
        <v>10</v>
      </c>
      <c r="D73" s="120">
        <v>300</v>
      </c>
      <c r="E73" s="121">
        <f>105.83+156.27</f>
        <v>262.10000000000002</v>
      </c>
      <c r="F73" s="122">
        <f t="shared" si="18"/>
        <v>0.12024590539982566</v>
      </c>
      <c r="G73" s="142">
        <f>SUM(E74:E$81)/$E$82</f>
        <v>0.56236638069459088</v>
      </c>
      <c r="H73" s="125"/>
      <c r="J73" s="60">
        <f t="shared" ref="J73:J80" si="19">J58</f>
        <v>0.40387289972560181</v>
      </c>
      <c r="K73" s="60">
        <f>1-J73</f>
        <v>0.59612710027439819</v>
      </c>
      <c r="L73" s="60">
        <f>SUM($F$70:F73)</f>
        <v>0.43763361930540895</v>
      </c>
      <c r="M73" s="60">
        <v>1</v>
      </c>
      <c r="N73" s="62">
        <f>+(L73-J73)/(L73+M73-1)</f>
        <v>7.7143798123623444E-2</v>
      </c>
      <c r="O73" s="143">
        <f>1-N73</f>
        <v>0.92285620187637651</v>
      </c>
      <c r="P73" s="62">
        <f>+N73*M73/K73</f>
        <v>0.1294083058597974</v>
      </c>
      <c r="Q73" s="62">
        <f>+O73*L73/J73</f>
        <v>1</v>
      </c>
      <c r="R73" s="144">
        <f>+N73*M73+O73*L73</f>
        <v>0.48101669784922524</v>
      </c>
    </row>
    <row r="74" spans="2:18">
      <c r="B74" s="127"/>
      <c r="C74" s="128" t="s">
        <v>5</v>
      </c>
      <c r="D74" s="172">
        <v>212</v>
      </c>
      <c r="E74" s="176">
        <f>96.07+143.5</f>
        <v>239.57</v>
      </c>
      <c r="F74" s="174">
        <f t="shared" si="18"/>
        <v>0.10990962058998943</v>
      </c>
      <c r="G74" s="175">
        <f>SUM(E75:E$81)/$E$82</f>
        <v>0.45245676010460145</v>
      </c>
      <c r="H74" s="131">
        <f>SUM(F75:F81)*100</f>
        <v>45.245676010460144</v>
      </c>
      <c r="I74" s="125">
        <f>($I$208-H74)/($I$208*(100-H74))*10000</f>
        <v>11.228044093307789</v>
      </c>
      <c r="J74" s="60">
        <f t="shared" si="19"/>
        <v>0.51790480009021322</v>
      </c>
      <c r="K74" s="60">
        <f t="shared" ref="K74:K80" si="20">1-J74</f>
        <v>0.48209519990978678</v>
      </c>
      <c r="L74" s="60">
        <f>SUM($F$70:F74)</f>
        <v>0.54754323989539833</v>
      </c>
      <c r="M74" s="60">
        <v>1</v>
      </c>
      <c r="N74" s="62">
        <f t="shared" ref="N74:N80" si="21">+(L74-J74)/(L74+M74-1)</f>
        <v>5.4129861617590556E-2</v>
      </c>
      <c r="O74" s="143">
        <f t="shared" ref="O74:O80" si="22">1-N74</f>
        <v>0.94587013838240941</v>
      </c>
      <c r="P74" s="62">
        <f t="shared" ref="P74:P80" si="23">+N74*M74/K74</f>
        <v>0.11228044093307657</v>
      </c>
      <c r="Q74" s="62">
        <f t="shared" ref="Q74:Q80" si="24">+O74*L74/J74</f>
        <v>1</v>
      </c>
      <c r="R74" s="144">
        <f t="shared" ref="R74:R80" si="25">+N74*M74+O74*L74</f>
        <v>0.57203466170780382</v>
      </c>
    </row>
    <row r="75" spans="2:18">
      <c r="B75" s="127"/>
      <c r="C75" s="128" t="s">
        <v>12</v>
      </c>
      <c r="D75" s="129">
        <v>180</v>
      </c>
      <c r="E75" s="130">
        <f>27.12+55.09</f>
        <v>82.210000000000008</v>
      </c>
      <c r="F75" s="122">
        <f t="shared" si="18"/>
        <v>3.7716199476992243E-2</v>
      </c>
      <c r="G75" s="142">
        <f>SUM(E76:E$81)/$E$82</f>
        <v>0.41474056062760922</v>
      </c>
      <c r="J75" s="60">
        <f t="shared" si="19"/>
        <v>0.55591334527821989</v>
      </c>
      <c r="K75" s="60">
        <f t="shared" si="20"/>
        <v>0.44408665472178011</v>
      </c>
      <c r="L75" s="60">
        <f>SUM($F$70:F75)</f>
        <v>0.58525943937239056</v>
      </c>
      <c r="M75" s="60">
        <v>1</v>
      </c>
      <c r="N75" s="62">
        <f t="shared" si="21"/>
        <v>5.0142026116896575E-2</v>
      </c>
      <c r="O75" s="143">
        <f t="shared" si="22"/>
        <v>0.94985797388310345</v>
      </c>
      <c r="P75" s="62">
        <f t="shared" si="23"/>
        <v>0.11291045471364257</v>
      </c>
      <c r="Q75" s="62">
        <f t="shared" si="24"/>
        <v>1</v>
      </c>
      <c r="R75" s="144">
        <f t="shared" si="25"/>
        <v>0.60605537139511645</v>
      </c>
    </row>
    <row r="76" spans="2:18">
      <c r="B76" s="127"/>
      <c r="C76" s="128" t="s">
        <v>13</v>
      </c>
      <c r="D76" s="129">
        <v>150</v>
      </c>
      <c r="E76" s="130">
        <v>110.94</v>
      </c>
      <c r="F76" s="122">
        <f t="shared" si="18"/>
        <v>5.0896912419140239E-2</v>
      </c>
      <c r="G76" s="142">
        <f>SUM(E77:E$81)/$E$82</f>
        <v>0.36384364820846898</v>
      </c>
      <c r="J76" s="60">
        <f t="shared" si="19"/>
        <v>0.60868802546014966</v>
      </c>
      <c r="K76" s="60">
        <f t="shared" si="20"/>
        <v>0.39131197453985034</v>
      </c>
      <c r="L76" s="60">
        <f>SUM($F$70:F76)</f>
        <v>0.63615635179153074</v>
      </c>
      <c r="M76" s="60">
        <v>1</v>
      </c>
      <c r="N76" s="62">
        <f t="shared" si="21"/>
        <v>4.3178577489677385E-2</v>
      </c>
      <c r="O76" s="143">
        <f t="shared" si="22"/>
        <v>0.95682142251032265</v>
      </c>
      <c r="P76" s="62">
        <f t="shared" si="23"/>
        <v>0.1103431029435062</v>
      </c>
      <c r="Q76" s="62">
        <f t="shared" si="24"/>
        <v>1</v>
      </c>
      <c r="R76" s="144">
        <f t="shared" si="25"/>
        <v>0.65186660294982701</v>
      </c>
    </row>
    <row r="77" spans="2:18">
      <c r="B77" s="127"/>
      <c r="C77" s="128" t="s">
        <v>9</v>
      </c>
      <c r="D77" s="129">
        <v>106</v>
      </c>
      <c r="E77" s="130">
        <v>180.86</v>
      </c>
      <c r="F77" s="122">
        <f t="shared" si="18"/>
        <v>8.2974721291920905E-2</v>
      </c>
      <c r="G77" s="142">
        <f>SUM(E78:E$81)/$E$82</f>
        <v>0.28086892691654808</v>
      </c>
      <c r="J77" s="60">
        <f t="shared" si="19"/>
        <v>0.68935359787497974</v>
      </c>
      <c r="K77" s="60">
        <f t="shared" si="20"/>
        <v>0.31064640212502026</v>
      </c>
      <c r="L77" s="60">
        <f>SUM($F$70:F77)</f>
        <v>0.7191310730834517</v>
      </c>
      <c r="M77" s="60">
        <v>1</v>
      </c>
      <c r="N77" s="62">
        <f t="shared" si="21"/>
        <v>4.1407576898038485E-2</v>
      </c>
      <c r="O77" s="143">
        <f t="shared" si="22"/>
        <v>0.95859242310196147</v>
      </c>
      <c r="P77" s="62">
        <f t="shared" si="23"/>
        <v>0.13329488645219822</v>
      </c>
      <c r="Q77" s="62">
        <f t="shared" si="24"/>
        <v>1</v>
      </c>
      <c r="R77" s="144">
        <f t="shared" si="25"/>
        <v>0.73076117477301827</v>
      </c>
    </row>
    <row r="78" spans="2:18">
      <c r="B78" s="127"/>
      <c r="C78" s="128" t="s">
        <v>8</v>
      </c>
      <c r="D78" s="129">
        <v>75</v>
      </c>
      <c r="E78" s="130">
        <v>125.14</v>
      </c>
      <c r="F78" s="122">
        <f t="shared" si="18"/>
        <v>5.7411570399596268E-2</v>
      </c>
      <c r="G78" s="142">
        <f>SUM(E79:E$81)/$E$82</f>
        <v>0.22345735651695181</v>
      </c>
      <c r="J78" s="60">
        <f t="shared" si="19"/>
        <v>0.74651363847088759</v>
      </c>
      <c r="K78" s="60">
        <f t="shared" si="20"/>
        <v>0.25348636152911241</v>
      </c>
      <c r="L78" s="60">
        <f>SUM($F$70:F78)</f>
        <v>0.77654264348304802</v>
      </c>
      <c r="M78" s="60">
        <v>1</v>
      </c>
      <c r="N78" s="62">
        <f t="shared" si="21"/>
        <v>3.8670130049098805E-2</v>
      </c>
      <c r="O78" s="143">
        <f t="shared" si="22"/>
        <v>0.96132986995090119</v>
      </c>
      <c r="P78" s="62">
        <f t="shared" si="23"/>
        <v>0.15255309917199478</v>
      </c>
      <c r="Q78" s="62">
        <f t="shared" si="24"/>
        <v>1</v>
      </c>
      <c r="R78" s="144">
        <f t="shared" si="25"/>
        <v>0.78518376851998639</v>
      </c>
    </row>
    <row r="79" spans="2:18">
      <c r="B79" s="127"/>
      <c r="C79" s="128" t="s">
        <v>7</v>
      </c>
      <c r="D79" s="129">
        <v>53</v>
      </c>
      <c r="E79" s="130">
        <v>80.38</v>
      </c>
      <c r="F79" s="122">
        <f t="shared" si="18"/>
        <v>3.6876634399229245E-2</v>
      </c>
      <c r="G79" s="142">
        <f>SUM(E80:E$81)/$E$82</f>
        <v>0.18658072211772256</v>
      </c>
      <c r="J79" s="60">
        <f t="shared" si="19"/>
        <v>0.79681998721980696</v>
      </c>
      <c r="K79" s="60">
        <f t="shared" si="20"/>
        <v>0.20318001278019304</v>
      </c>
      <c r="L79" s="60">
        <f>SUM($F$70:F79)</f>
        <v>0.8134192778822773</v>
      </c>
      <c r="M79" s="60">
        <v>1</v>
      </c>
      <c r="N79" s="62">
        <f t="shared" si="21"/>
        <v>2.0406807551557302E-2</v>
      </c>
      <c r="O79" s="143">
        <f t="shared" si="22"/>
        <v>0.97959319244844267</v>
      </c>
      <c r="P79" s="62">
        <f t="shared" si="23"/>
        <v>0.10043708174009257</v>
      </c>
      <c r="Q79" s="62">
        <f t="shared" si="24"/>
        <v>1</v>
      </c>
      <c r="R79" s="144">
        <f t="shared" si="25"/>
        <v>0.81722679477136428</v>
      </c>
    </row>
    <row r="80" spans="2:18">
      <c r="B80" s="127"/>
      <c r="C80" s="128" t="s">
        <v>17</v>
      </c>
      <c r="D80" s="129">
        <v>38</v>
      </c>
      <c r="E80" s="130">
        <v>49.65</v>
      </c>
      <c r="F80" s="122">
        <f t="shared" si="18"/>
        <v>2.2778363995045185E-2</v>
      </c>
      <c r="G80" s="142">
        <f>SUM(E81:E$81)/$E$82</f>
        <v>0.16380235812267741</v>
      </c>
      <c r="J80" s="60">
        <f t="shared" si="19"/>
        <v>0.82372104095926646</v>
      </c>
      <c r="K80" s="60">
        <f t="shared" si="20"/>
        <v>0.17627895904073354</v>
      </c>
      <c r="L80" s="60">
        <f>SUM($F$70:F80)</f>
        <v>0.83619764187732248</v>
      </c>
      <c r="M80" s="60">
        <v>1</v>
      </c>
      <c r="N80" s="62">
        <f t="shared" si="21"/>
        <v>1.4920636334306299E-2</v>
      </c>
      <c r="O80" s="143">
        <f t="shared" si="22"/>
        <v>0.98507936366569371</v>
      </c>
      <c r="P80" s="62">
        <f t="shared" si="23"/>
        <v>8.464218540602185E-2</v>
      </c>
      <c r="Q80" s="62">
        <f t="shared" si="24"/>
        <v>1</v>
      </c>
      <c r="R80" s="144">
        <f t="shared" si="25"/>
        <v>0.83864167729357275</v>
      </c>
    </row>
    <row r="81" spans="2:18">
      <c r="B81" s="132"/>
      <c r="C81" s="133">
        <v>-38</v>
      </c>
      <c r="D81" s="134"/>
      <c r="E81" s="135">
        <f>340.52+16.52</f>
        <v>357.03999999999996</v>
      </c>
      <c r="F81" s="122">
        <f t="shared" si="18"/>
        <v>0.16380235812267741</v>
      </c>
      <c r="G81" s="136"/>
    </row>
    <row r="82" spans="2:18">
      <c r="B82" s="137"/>
      <c r="C82" s="138" t="s">
        <v>6</v>
      </c>
      <c r="D82" s="139"/>
      <c r="E82" s="140">
        <f>SUM(E70:E81)</f>
        <v>2179.7000000000003</v>
      </c>
      <c r="F82" s="164">
        <f t="shared" ref="F82" si="26">E82/$E$82</f>
        <v>1</v>
      </c>
      <c r="G82" s="140"/>
    </row>
    <row r="83" spans="2:18" s="95" customFormat="1">
      <c r="C83" s="147"/>
      <c r="D83" s="148"/>
      <c r="E83" s="149"/>
      <c r="F83" s="160"/>
      <c r="G83" s="149"/>
    </row>
    <row r="84" spans="2:18" ht="12" thickBot="1">
      <c r="B84" s="151" t="s">
        <v>0</v>
      </c>
      <c r="C84" s="181" t="s">
        <v>1</v>
      </c>
      <c r="D84" s="182"/>
      <c r="E84" s="161" t="s">
        <v>2</v>
      </c>
      <c r="F84" s="162" t="s">
        <v>14</v>
      </c>
      <c r="G84" s="161" t="s">
        <v>3</v>
      </c>
    </row>
    <row r="85" spans="2:18" ht="23.25" thickTop="1">
      <c r="B85" s="178" t="str">
        <f>F10&amp;" "&amp;"("&amp;F11&amp;")"</f>
        <v>SC-04 feed to deck4 (DI-040)</v>
      </c>
      <c r="C85" s="119" t="s">
        <v>16</v>
      </c>
      <c r="D85" s="120">
        <v>1180</v>
      </c>
      <c r="E85" s="121">
        <f>37.83+23.87</f>
        <v>61.7</v>
      </c>
      <c r="F85" s="122">
        <f t="shared" ref="F85:F96" si="27">E85/$E$97</f>
        <v>4.7907074252082828E-2</v>
      </c>
      <c r="G85" s="123">
        <f>SUM(E86:E$96)/$E$97</f>
        <v>0.95209292574791715</v>
      </c>
    </row>
    <row r="86" spans="2:18">
      <c r="B86" s="124" t="s">
        <v>4</v>
      </c>
      <c r="C86" s="120" t="s">
        <v>15</v>
      </c>
      <c r="D86" s="120">
        <v>600</v>
      </c>
      <c r="E86" s="121">
        <f>63.38+41.42</f>
        <v>104.80000000000001</v>
      </c>
      <c r="F86" s="122">
        <f t="shared" si="27"/>
        <v>8.1372145569177975E-2</v>
      </c>
      <c r="G86" s="123">
        <f>SUM(E87:E$96)/$E$97</f>
        <v>0.87072078017873922</v>
      </c>
    </row>
    <row r="87" spans="2:18">
      <c r="B87" s="126">
        <f>FORECAST(0.8,D86:D87,G86:G87)</f>
        <v>441.28895748282412</v>
      </c>
      <c r="C87" s="120" t="s">
        <v>11</v>
      </c>
      <c r="D87" s="120">
        <v>425</v>
      </c>
      <c r="E87" s="121">
        <f>61.1+39.33</f>
        <v>100.43</v>
      </c>
      <c r="F87" s="122">
        <f t="shared" si="27"/>
        <v>7.7979051331226568E-2</v>
      </c>
      <c r="G87" s="123">
        <f>SUM(E88:E$96)/$E$97</f>
        <v>0.79274172884751259</v>
      </c>
    </row>
    <row r="88" spans="2:18">
      <c r="B88" s="127"/>
      <c r="C88" s="120" t="s">
        <v>10</v>
      </c>
      <c r="D88" s="120">
        <v>300</v>
      </c>
      <c r="E88" s="121">
        <f>83.58+60.88</f>
        <v>144.46</v>
      </c>
      <c r="F88" s="122">
        <f t="shared" si="27"/>
        <v>0.11216622279507109</v>
      </c>
      <c r="G88" s="123">
        <f>SUM(E89:E$96)/$E$97</f>
        <v>0.68057550605244155</v>
      </c>
      <c r="H88" s="125"/>
      <c r="J88" s="60">
        <f t="shared" ref="J88:J95" si="28">J73</f>
        <v>0.40387289972560181</v>
      </c>
      <c r="K88" s="60">
        <f>1-J88</f>
        <v>0.59612710027439819</v>
      </c>
      <c r="L88" s="60">
        <f>SUM($F$85:F88)</f>
        <v>0.31942449394755845</v>
      </c>
      <c r="M88" s="60">
        <v>1</v>
      </c>
      <c r="N88" s="62">
        <f>+(L88-J88)/(L88+M88-1)</f>
        <v>-0.26437673809669604</v>
      </c>
      <c r="O88" s="143">
        <f>1-N88</f>
        <v>1.2643767380966962</v>
      </c>
      <c r="P88" s="62">
        <f>+N88*M88/K88</f>
        <v>-0.44349055423751582</v>
      </c>
      <c r="Q88" s="62">
        <f>+O88*L88/J88</f>
        <v>1</v>
      </c>
      <c r="R88" s="144">
        <f>+N88*M88+O88*L88</f>
        <v>0.13949616162890577</v>
      </c>
    </row>
    <row r="89" spans="2:18">
      <c r="B89" s="127"/>
      <c r="C89" s="128" t="s">
        <v>5</v>
      </c>
      <c r="D89" s="172">
        <v>212</v>
      </c>
      <c r="E89" s="176">
        <f>83.76+60.28</f>
        <v>144.04000000000002</v>
      </c>
      <c r="F89" s="174">
        <f t="shared" si="27"/>
        <v>0.11184011305137782</v>
      </c>
      <c r="G89" s="177">
        <f>SUM(E90:E$96)/$E$97</f>
        <v>0.56873539300106368</v>
      </c>
      <c r="H89" s="131">
        <f>SUM(F90:F96)*100</f>
        <v>56.873539300106366</v>
      </c>
      <c r="I89" s="125">
        <f>($I$208-H89)/($I$208*(100-H89))*10000</f>
        <v>-41.671850484110081</v>
      </c>
      <c r="J89" s="60">
        <f t="shared" si="28"/>
        <v>0.51790480009021322</v>
      </c>
      <c r="K89" s="60">
        <f t="shared" ref="K89:K95" si="29">1-J89</f>
        <v>0.48209519990978678</v>
      </c>
      <c r="L89" s="60">
        <f>SUM($F$85:F89)</f>
        <v>0.43126460699893626</v>
      </c>
      <c r="M89" s="60">
        <v>1</v>
      </c>
      <c r="N89" s="62">
        <f t="shared" ref="N89:N95" si="30">+(L89-J89)/(L89+M89-1)</f>
        <v>-0.20089799089747853</v>
      </c>
      <c r="O89" s="143">
        <f t="shared" ref="O89:O95" si="31">1-N89</f>
        <v>1.2008979908974786</v>
      </c>
      <c r="P89" s="62">
        <f t="shared" ref="P89:P95" si="32">+N89*M89/K89</f>
        <v>-0.41671850484110201</v>
      </c>
      <c r="Q89" s="62">
        <f t="shared" ref="Q89:Q95" si="33">+O89*L89/J89</f>
        <v>1</v>
      </c>
      <c r="R89" s="144">
        <f t="shared" ref="R89:R95" si="34">+N89*M89+O89*L89</f>
        <v>0.31700680919273472</v>
      </c>
    </row>
    <row r="90" spans="2:18">
      <c r="B90" s="127"/>
      <c r="C90" s="128" t="s">
        <v>12</v>
      </c>
      <c r="D90" s="129">
        <v>180</v>
      </c>
      <c r="E90" s="130">
        <f>27.5+24.18</f>
        <v>51.68</v>
      </c>
      <c r="F90" s="122">
        <f t="shared" si="27"/>
        <v>4.0127027509686233E-2</v>
      </c>
      <c r="G90" s="123">
        <f>SUM(E91:E$96)/$E$97</f>
        <v>0.52860836549137746</v>
      </c>
      <c r="J90" s="60">
        <f t="shared" si="28"/>
        <v>0.55591334527821989</v>
      </c>
      <c r="K90" s="60">
        <f t="shared" si="29"/>
        <v>0.44408665472178011</v>
      </c>
      <c r="L90" s="60">
        <f>SUM($F$85:F90)</f>
        <v>0.47139163450862248</v>
      </c>
      <c r="M90" s="60">
        <v>1</v>
      </c>
      <c r="N90" s="62">
        <f t="shared" si="30"/>
        <v>-0.17930252592985163</v>
      </c>
      <c r="O90" s="143">
        <f t="shared" si="31"/>
        <v>1.1793025259298515</v>
      </c>
      <c r="P90" s="62">
        <f t="shared" si="32"/>
        <v>-0.40375571754612732</v>
      </c>
      <c r="Q90" s="62">
        <f t="shared" si="33"/>
        <v>1</v>
      </c>
      <c r="R90" s="144">
        <f t="shared" si="34"/>
        <v>0.37661081934836826</v>
      </c>
    </row>
    <row r="91" spans="2:18">
      <c r="B91" s="127"/>
      <c r="C91" s="128" t="s">
        <v>13</v>
      </c>
      <c r="D91" s="129">
        <v>150</v>
      </c>
      <c r="E91" s="130">
        <v>75.47</v>
      </c>
      <c r="F91" s="122">
        <f t="shared" si="27"/>
        <v>5.8598815134597908E-2</v>
      </c>
      <c r="G91" s="123">
        <f>SUM(E92:E$96)/$E$97</f>
        <v>0.47000955035677949</v>
      </c>
      <c r="J91" s="60">
        <f t="shared" si="28"/>
        <v>0.60868802546014966</v>
      </c>
      <c r="K91" s="60">
        <f t="shared" si="29"/>
        <v>0.39131197453985034</v>
      </c>
      <c r="L91" s="60">
        <f>SUM($F$85:F91)</f>
        <v>0.5299904496432204</v>
      </c>
      <c r="M91" s="60">
        <v>1</v>
      </c>
      <c r="N91" s="62">
        <f t="shared" si="30"/>
        <v>-0.14848866780506514</v>
      </c>
      <c r="O91" s="143">
        <f t="shared" si="31"/>
        <v>1.1484886678050652</v>
      </c>
      <c r="P91" s="62">
        <f t="shared" si="32"/>
        <v>-0.37946364401364208</v>
      </c>
      <c r="Q91" s="62">
        <f t="shared" si="33"/>
        <v>1</v>
      </c>
      <c r="R91" s="144">
        <f t="shared" si="34"/>
        <v>0.46019935765508452</v>
      </c>
    </row>
    <row r="92" spans="2:18">
      <c r="B92" s="127"/>
      <c r="C92" s="128" t="s">
        <v>9</v>
      </c>
      <c r="D92" s="129">
        <v>106</v>
      </c>
      <c r="E92" s="130">
        <v>115.67</v>
      </c>
      <c r="F92" s="122">
        <f t="shared" si="27"/>
        <v>8.9812176316668088E-2</v>
      </c>
      <c r="G92" s="123">
        <f>SUM(E93:E$96)/$E$97</f>
        <v>0.38019737404011145</v>
      </c>
      <c r="J92" s="60">
        <f t="shared" si="28"/>
        <v>0.68935359787497974</v>
      </c>
      <c r="K92" s="60">
        <f t="shared" si="29"/>
        <v>0.31064640212502026</v>
      </c>
      <c r="L92" s="60">
        <f>SUM($F$85:F92)</f>
        <v>0.61980262595988844</v>
      </c>
      <c r="M92" s="60">
        <v>1</v>
      </c>
      <c r="N92" s="62">
        <f t="shared" si="30"/>
        <v>-0.11221470997703133</v>
      </c>
      <c r="O92" s="143">
        <f t="shared" si="31"/>
        <v>1.1122147099770314</v>
      </c>
      <c r="P92" s="62">
        <f t="shared" si="32"/>
        <v>-0.36122971072386761</v>
      </c>
      <c r="Q92" s="62">
        <f t="shared" si="33"/>
        <v>1.0000000000000002</v>
      </c>
      <c r="R92" s="144">
        <f t="shared" si="34"/>
        <v>0.57713888789794854</v>
      </c>
    </row>
    <row r="93" spans="2:18">
      <c r="B93" s="127"/>
      <c r="C93" s="128" t="s">
        <v>8</v>
      </c>
      <c r="D93" s="129">
        <v>75</v>
      </c>
      <c r="E93" s="130">
        <v>85.2</v>
      </c>
      <c r="F93" s="122">
        <f t="shared" si="27"/>
        <v>6.6153690863492015E-2</v>
      </c>
      <c r="G93" s="123">
        <f>SUM(E94:E$96)/$E$97</f>
        <v>0.31404368317661946</v>
      </c>
      <c r="J93" s="60">
        <f t="shared" si="28"/>
        <v>0.74651363847088759</v>
      </c>
      <c r="K93" s="60">
        <f t="shared" si="29"/>
        <v>0.25348636152911241</v>
      </c>
      <c r="L93" s="60">
        <f>SUM($F$85:F93)</f>
        <v>0.68595631682338043</v>
      </c>
      <c r="M93" s="60">
        <v>1</v>
      </c>
      <c r="N93" s="62">
        <f t="shared" si="30"/>
        <v>-8.8281600682597716E-2</v>
      </c>
      <c r="O93" s="143">
        <f t="shared" si="31"/>
        <v>1.0882816006825977</v>
      </c>
      <c r="P93" s="62">
        <f t="shared" si="32"/>
        <v>-0.34826962740738515</v>
      </c>
      <c r="Q93" s="62">
        <f t="shared" si="33"/>
        <v>1</v>
      </c>
      <c r="R93" s="144">
        <f t="shared" si="34"/>
        <v>0.65823203778828987</v>
      </c>
    </row>
    <row r="94" spans="2:18">
      <c r="B94" s="127"/>
      <c r="C94" s="128" t="s">
        <v>7</v>
      </c>
      <c r="D94" s="129">
        <v>53</v>
      </c>
      <c r="E94" s="145">
        <v>71.52</v>
      </c>
      <c r="F94" s="122">
        <f t="shared" si="27"/>
        <v>5.5531830640339772E-2</v>
      </c>
      <c r="G94" s="123">
        <f>SUM(E95:E$96)/$E$97</f>
        <v>0.25851185253627967</v>
      </c>
      <c r="J94" s="60">
        <f t="shared" si="28"/>
        <v>0.79681998721980696</v>
      </c>
      <c r="K94" s="60">
        <f t="shared" si="29"/>
        <v>0.20318001278019304</v>
      </c>
      <c r="L94" s="60">
        <f>SUM($F$85:F94)</f>
        <v>0.74148814746372016</v>
      </c>
      <c r="M94" s="60">
        <v>1</v>
      </c>
      <c r="N94" s="62">
        <f t="shared" si="30"/>
        <v>-7.4622689446015841E-2</v>
      </c>
      <c r="O94" s="143">
        <f t="shared" si="31"/>
        <v>1.0746226894460158</v>
      </c>
      <c r="P94" s="62">
        <f t="shared" si="32"/>
        <v>-0.36727377080512918</v>
      </c>
      <c r="Q94" s="62">
        <f t="shared" si="33"/>
        <v>1</v>
      </c>
      <c r="R94" s="144">
        <f t="shared" si="34"/>
        <v>0.72219729777379116</v>
      </c>
    </row>
    <row r="95" spans="2:18">
      <c r="B95" s="127"/>
      <c r="C95" s="128" t="s">
        <v>17</v>
      </c>
      <c r="D95" s="129">
        <v>38</v>
      </c>
      <c r="E95" s="130">
        <v>46.44</v>
      </c>
      <c r="F95" s="122">
        <f t="shared" si="27"/>
        <v>3.6058420231227337E-2</v>
      </c>
      <c r="G95" s="123">
        <f>SUM(E96:E$96)/$E$97</f>
        <v>0.22245343230505235</v>
      </c>
      <c r="J95" s="60">
        <f t="shared" si="28"/>
        <v>0.82372104095926646</v>
      </c>
      <c r="K95" s="60">
        <f t="shared" si="29"/>
        <v>0.17627895904073354</v>
      </c>
      <c r="L95" s="60">
        <f>SUM($F$85:F95)</f>
        <v>0.77754656769494745</v>
      </c>
      <c r="M95" s="60">
        <v>1</v>
      </c>
      <c r="N95" s="62">
        <f t="shared" si="30"/>
        <v>-5.9384833246970865E-2</v>
      </c>
      <c r="O95" s="143">
        <f t="shared" si="31"/>
        <v>1.0593848332469709</v>
      </c>
      <c r="P95" s="62">
        <f t="shared" si="32"/>
        <v>-0.33687987250508189</v>
      </c>
      <c r="Q95" s="62">
        <f t="shared" si="33"/>
        <v>1</v>
      </c>
      <c r="R95" s="144">
        <f t="shared" si="34"/>
        <v>0.7643362077122956</v>
      </c>
    </row>
    <row r="96" spans="2:18">
      <c r="B96" s="132"/>
      <c r="C96" s="133">
        <v>-38</v>
      </c>
      <c r="D96" s="134"/>
      <c r="E96" s="135">
        <f>272.31+14.19</f>
        <v>286.5</v>
      </c>
      <c r="F96" s="122">
        <f t="shared" si="27"/>
        <v>0.22245343230505235</v>
      </c>
      <c r="G96" s="136"/>
    </row>
    <row r="97" spans="2:18">
      <c r="B97" s="137"/>
      <c r="C97" s="138" t="s">
        <v>6</v>
      </c>
      <c r="D97" s="139"/>
      <c r="E97" s="140">
        <f>SUM(E85:E96)</f>
        <v>1287.9100000000001</v>
      </c>
      <c r="F97" s="163">
        <f>E97/$E$97</f>
        <v>1</v>
      </c>
      <c r="G97" s="140"/>
    </row>
    <row r="98" spans="2:18" s="95" customFormat="1">
      <c r="C98" s="147"/>
      <c r="D98" s="148"/>
      <c r="E98" s="149"/>
      <c r="F98" s="150"/>
      <c r="G98" s="149"/>
    </row>
    <row r="99" spans="2:18" ht="12" thickBot="1">
      <c r="B99" s="151" t="s">
        <v>0</v>
      </c>
      <c r="C99" s="181" t="s">
        <v>1</v>
      </c>
      <c r="D99" s="182"/>
      <c r="E99" s="161" t="s">
        <v>2</v>
      </c>
      <c r="F99" s="162" t="s">
        <v>14</v>
      </c>
      <c r="G99" s="161" t="s">
        <v>3</v>
      </c>
    </row>
    <row r="100" spans="2:18" ht="23.25" thickTop="1">
      <c r="B100" s="178" t="str">
        <f>G10&amp;" "&amp;"("&amp;G11&amp;")"</f>
        <v>SC-04 feed to deck5 (DI-040)</v>
      </c>
      <c r="C100" s="119" t="s">
        <v>16</v>
      </c>
      <c r="D100" s="120">
        <v>1180</v>
      </c>
      <c r="E100" s="121">
        <f>101.05+59.17</f>
        <v>160.22</v>
      </c>
      <c r="F100" s="122">
        <f t="shared" ref="F100:F111" si="35">E100/$E$112</f>
        <v>9.4188883336762577E-2</v>
      </c>
      <c r="G100" s="123">
        <f>SUM(E101:E$111)/$E$112</f>
        <v>0.90581111666323733</v>
      </c>
    </row>
    <row r="101" spans="2:18">
      <c r="B101" s="124" t="s">
        <v>4</v>
      </c>
      <c r="C101" s="120" t="s">
        <v>15</v>
      </c>
      <c r="D101" s="120">
        <v>600</v>
      </c>
      <c r="E101" s="121">
        <f>127.22+78.07</f>
        <v>205.29</v>
      </c>
      <c r="F101" s="122">
        <f t="shared" si="35"/>
        <v>0.1206842832368243</v>
      </c>
      <c r="G101" s="123">
        <f>SUM(E102:E$111)/$E$112</f>
        <v>0.78512683342641298</v>
      </c>
    </row>
    <row r="102" spans="2:18">
      <c r="B102" s="126">
        <f>FORECAST(0.8,D100:D101,G100:G101)</f>
        <v>671.47937064640291</v>
      </c>
      <c r="C102" s="120" t="s">
        <v>11</v>
      </c>
      <c r="D102" s="120">
        <v>425</v>
      </c>
      <c r="E102" s="121">
        <f>99.95+64.08</f>
        <v>164.03</v>
      </c>
      <c r="F102" s="122">
        <f t="shared" si="35"/>
        <v>9.6428676405749383E-2</v>
      </c>
      <c r="G102" s="123">
        <f>SUM(E103:E$111)/$E$112</f>
        <v>0.68869815702066361</v>
      </c>
    </row>
    <row r="103" spans="2:18">
      <c r="B103" s="127"/>
      <c r="C103" s="120" t="s">
        <v>10</v>
      </c>
      <c r="D103" s="120">
        <v>300</v>
      </c>
      <c r="E103" s="121">
        <f>125.25+86.88</f>
        <v>212.13</v>
      </c>
      <c r="F103" s="122">
        <f t="shared" si="35"/>
        <v>0.12470532906146202</v>
      </c>
      <c r="G103" s="123">
        <f>SUM(E104:E$111)/$E$112</f>
        <v>0.56399282795920169</v>
      </c>
      <c r="H103" s="125"/>
      <c r="J103" s="60">
        <f t="shared" ref="J103:J110" si="36">J88</f>
        <v>0.40387289972560181</v>
      </c>
      <c r="K103" s="60">
        <f>1-J103</f>
        <v>0.59612710027439819</v>
      </c>
      <c r="L103" s="60">
        <f>SUM($F$101:F103)</f>
        <v>0.34181828870403569</v>
      </c>
      <c r="M103" s="60">
        <v>1</v>
      </c>
      <c r="N103" s="62">
        <f>+(L103-J103)/(L103+M103-1)</f>
        <v>-0.18154268824186953</v>
      </c>
      <c r="O103" s="143">
        <f>1-N103</f>
        <v>1.1815426882418696</v>
      </c>
      <c r="P103" s="62">
        <f>+N103*M103/K103</f>
        <v>-0.30453688174603227</v>
      </c>
      <c r="Q103" s="62">
        <f>+O103*L103/J103</f>
        <v>1</v>
      </c>
      <c r="R103" s="144">
        <f>+N103*M103+O103*L103</f>
        <v>0.22233021148373228</v>
      </c>
    </row>
    <row r="104" spans="2:18">
      <c r="B104" s="127"/>
      <c r="C104" s="128" t="s">
        <v>5</v>
      </c>
      <c r="D104" s="172">
        <v>212</v>
      </c>
      <c r="E104" s="176">
        <f>111.34+81.76</f>
        <v>193.10000000000002</v>
      </c>
      <c r="F104" s="174">
        <f t="shared" si="35"/>
        <v>0.11351812116045971</v>
      </c>
      <c r="G104" s="177">
        <f>SUM(E105:E$111)/$E$112</f>
        <v>0.45047470679874191</v>
      </c>
      <c r="H104" s="131">
        <f>SUM(F105:F111)*100</f>
        <v>45.047470679874188</v>
      </c>
      <c r="I104" s="125">
        <f>($I$208-H104)/($I$208*(100-H104))*10000</f>
        <v>11.935706868282184</v>
      </c>
      <c r="J104" s="60">
        <f t="shared" si="36"/>
        <v>0.51790480009021322</v>
      </c>
      <c r="K104" s="60">
        <f t="shared" ref="K104:K110" si="37">1-J104</f>
        <v>0.48209519990978678</v>
      </c>
      <c r="L104" s="60">
        <f>SUM($F$101:F104)</f>
        <v>0.45533640986449542</v>
      </c>
      <c r="M104" s="60">
        <v>1</v>
      </c>
      <c r="N104" s="62">
        <f t="shared" ref="N104:N110" si="38">+(L104-J104)/(L104+M104-1)</f>
        <v>-0.13741134877471731</v>
      </c>
      <c r="O104" s="143">
        <f t="shared" ref="O104:O110" si="39">1-N104</f>
        <v>1.1374113487747173</v>
      </c>
      <c r="P104" s="62">
        <f t="shared" ref="P104:P110" si="40">+N104*M104/K104</f>
        <v>-0.28502948961207397</v>
      </c>
      <c r="Q104" s="62">
        <f t="shared" ref="Q104:Q110" si="41">+O104*L104/J104</f>
        <v>1</v>
      </c>
      <c r="R104" s="144">
        <f t="shared" ref="R104:R110" si="42">+N104*M104+O104*L104</f>
        <v>0.38049345131549595</v>
      </c>
    </row>
    <row r="105" spans="2:18">
      <c r="B105" s="127"/>
      <c r="C105" s="128" t="s">
        <v>12</v>
      </c>
      <c r="D105" s="129">
        <v>180</v>
      </c>
      <c r="E105" s="130">
        <f>41.76+23.58</f>
        <v>65.34</v>
      </c>
      <c r="F105" s="122">
        <f t="shared" si="35"/>
        <v>3.8411569324828782E-2</v>
      </c>
      <c r="G105" s="123">
        <f>SUM(E106:E$111)/$E$112</f>
        <v>0.41206313747391315</v>
      </c>
      <c r="J105" s="60">
        <f t="shared" si="36"/>
        <v>0.55591334527821989</v>
      </c>
      <c r="K105" s="60">
        <f t="shared" si="37"/>
        <v>0.44408665472178011</v>
      </c>
      <c r="L105" s="60">
        <f>SUM($F$101:F105)</f>
        <v>0.49374797918932423</v>
      </c>
      <c r="M105" s="60">
        <v>1</v>
      </c>
      <c r="N105" s="62">
        <f t="shared" si="38"/>
        <v>-0.12590505421604731</v>
      </c>
      <c r="O105" s="143">
        <f t="shared" si="39"/>
        <v>1.1259050542160474</v>
      </c>
      <c r="P105" s="62">
        <f t="shared" si="40"/>
        <v>-0.28351460886598068</v>
      </c>
      <c r="Q105" s="62">
        <f t="shared" si="41"/>
        <v>1</v>
      </c>
      <c r="R105" s="144">
        <f t="shared" si="42"/>
        <v>0.43000829106217259</v>
      </c>
    </row>
    <row r="106" spans="2:18">
      <c r="B106" s="127"/>
      <c r="C106" s="128" t="s">
        <v>13</v>
      </c>
      <c r="D106" s="129">
        <v>150</v>
      </c>
      <c r="E106" s="130">
        <v>88.27</v>
      </c>
      <c r="F106" s="122">
        <f t="shared" si="35"/>
        <v>5.1891478792510499E-2</v>
      </c>
      <c r="G106" s="123">
        <f>SUM(E107:E$111)/$E$112</f>
        <v>0.36017165868140266</v>
      </c>
      <c r="J106" s="60">
        <f t="shared" si="36"/>
        <v>0.60868802546014966</v>
      </c>
      <c r="K106" s="60">
        <f t="shared" si="37"/>
        <v>0.39131197453985034</v>
      </c>
      <c r="L106" s="60">
        <f>SUM($F$101:F106)</f>
        <v>0.54563945798183477</v>
      </c>
      <c r="M106" s="60">
        <v>1</v>
      </c>
      <c r="N106" s="62">
        <f t="shared" si="38"/>
        <v>-0.11554986824360838</v>
      </c>
      <c r="O106" s="143">
        <f t="shared" si="39"/>
        <v>1.1155498682436085</v>
      </c>
      <c r="P106" s="62">
        <f t="shared" si="40"/>
        <v>-0.29528835241877077</v>
      </c>
      <c r="Q106" s="62">
        <f t="shared" si="41"/>
        <v>1.0000000000000002</v>
      </c>
      <c r="R106" s="144">
        <f t="shared" si="42"/>
        <v>0.49313815721654142</v>
      </c>
    </row>
    <row r="107" spans="2:18">
      <c r="B107" s="127"/>
      <c r="C107" s="128" t="s">
        <v>9</v>
      </c>
      <c r="D107" s="129">
        <v>106</v>
      </c>
      <c r="E107" s="130">
        <v>129.96</v>
      </c>
      <c r="F107" s="122">
        <f t="shared" si="35"/>
        <v>7.6399870668116751E-2</v>
      </c>
      <c r="G107" s="123">
        <f>SUM(E108:E$111)/$E$112</f>
        <v>0.28377178801328584</v>
      </c>
      <c r="J107" s="60">
        <f t="shared" si="36"/>
        <v>0.68935359787497974</v>
      </c>
      <c r="K107" s="60">
        <f t="shared" si="37"/>
        <v>0.31064640212502026</v>
      </c>
      <c r="L107" s="60">
        <f>SUM($F$101:F107)</f>
        <v>0.62203932864995148</v>
      </c>
      <c r="M107" s="60">
        <v>1</v>
      </c>
      <c r="N107" s="62">
        <f t="shared" si="38"/>
        <v>-0.10821545539752989</v>
      </c>
      <c r="O107" s="143">
        <f t="shared" si="39"/>
        <v>1.1082154553975299</v>
      </c>
      <c r="P107" s="62">
        <f t="shared" si="40"/>
        <v>-0.34835573390603236</v>
      </c>
      <c r="Q107" s="62">
        <f t="shared" si="41"/>
        <v>1</v>
      </c>
      <c r="R107" s="144">
        <f t="shared" si="42"/>
        <v>0.58113814247744988</v>
      </c>
    </row>
    <row r="108" spans="2:18">
      <c r="B108" s="127"/>
      <c r="C108" s="128" t="s">
        <v>8</v>
      </c>
      <c r="D108" s="129">
        <v>75</v>
      </c>
      <c r="E108" s="130">
        <v>94.7</v>
      </c>
      <c r="F108" s="122">
        <f t="shared" si="35"/>
        <v>5.5671497016548596E-2</v>
      </c>
      <c r="G108" s="123">
        <f>SUM(E109:E$111)/$E$112</f>
        <v>0.22810029099673729</v>
      </c>
      <c r="J108" s="60">
        <f t="shared" si="36"/>
        <v>0.74651363847088759</v>
      </c>
      <c r="K108" s="60">
        <f t="shared" si="37"/>
        <v>0.25348636152911241</v>
      </c>
      <c r="L108" s="60">
        <f>SUM($F$101:F108)</f>
        <v>0.67771082566650009</v>
      </c>
      <c r="M108" s="60">
        <v>1</v>
      </c>
      <c r="N108" s="62">
        <f t="shared" si="38"/>
        <v>-0.10152237532390429</v>
      </c>
      <c r="O108" s="143">
        <f t="shared" si="39"/>
        <v>1.1015223753239043</v>
      </c>
      <c r="P108" s="62">
        <f t="shared" si="40"/>
        <v>-0.40050429029588891</v>
      </c>
      <c r="Q108" s="62">
        <f t="shared" si="41"/>
        <v>1</v>
      </c>
      <c r="R108" s="144">
        <f t="shared" si="42"/>
        <v>0.6449912631469833</v>
      </c>
    </row>
    <row r="109" spans="2:18">
      <c r="B109" s="127"/>
      <c r="C109" s="128" t="s">
        <v>7</v>
      </c>
      <c r="D109" s="129">
        <v>53</v>
      </c>
      <c r="E109" s="130">
        <v>67.62</v>
      </c>
      <c r="F109" s="122">
        <f t="shared" si="35"/>
        <v>3.9751917933041357E-2</v>
      </c>
      <c r="G109" s="123">
        <f>SUM(E110:E$111)/$E$112</f>
        <v>0.18834837306369592</v>
      </c>
      <c r="J109" s="60">
        <f t="shared" si="36"/>
        <v>0.79681998721980696</v>
      </c>
      <c r="K109" s="60">
        <f t="shared" si="37"/>
        <v>0.20318001278019304</v>
      </c>
      <c r="L109" s="60">
        <f>SUM($F$101:F109)</f>
        <v>0.71746274359954143</v>
      </c>
      <c r="M109" s="60">
        <v>1</v>
      </c>
      <c r="N109" s="62">
        <f t="shared" si="38"/>
        <v>-0.11060817349501222</v>
      </c>
      <c r="O109" s="143">
        <f t="shared" si="39"/>
        <v>1.1106081734950122</v>
      </c>
      <c r="P109" s="62">
        <f t="shared" si="40"/>
        <v>-0.54438510944810237</v>
      </c>
      <c r="Q109" s="62">
        <f t="shared" si="41"/>
        <v>1</v>
      </c>
      <c r="R109" s="144">
        <f t="shared" si="42"/>
        <v>0.68621181372479478</v>
      </c>
    </row>
    <row r="110" spans="2:18">
      <c r="B110" s="127"/>
      <c r="C110" s="128" t="s">
        <v>17</v>
      </c>
      <c r="D110" s="129">
        <v>38</v>
      </c>
      <c r="E110" s="130">
        <v>55.56</v>
      </c>
      <c r="F110" s="122">
        <f t="shared" si="35"/>
        <v>3.2662179242232733E-2</v>
      </c>
      <c r="G110" s="123">
        <f>SUM(E111:E$111)/$E$112</f>
        <v>0.15568619382146318</v>
      </c>
      <c r="J110" s="60">
        <f t="shared" si="36"/>
        <v>0.82372104095926646</v>
      </c>
      <c r="K110" s="60">
        <f t="shared" si="37"/>
        <v>0.17627895904073354</v>
      </c>
      <c r="L110" s="60">
        <f>SUM($F$101:F110)</f>
        <v>0.75012492284177412</v>
      </c>
      <c r="M110" s="60">
        <v>1</v>
      </c>
      <c r="N110" s="62">
        <f t="shared" si="38"/>
        <v>-9.8111815614232253E-2</v>
      </c>
      <c r="O110" s="143">
        <f t="shared" si="39"/>
        <v>1.0981118156142322</v>
      </c>
      <c r="P110" s="62">
        <f t="shared" si="40"/>
        <v>-0.55657133527525049</v>
      </c>
      <c r="Q110" s="62">
        <f t="shared" si="41"/>
        <v>1</v>
      </c>
      <c r="R110" s="144">
        <f t="shared" si="42"/>
        <v>0.72560922534503425</v>
      </c>
    </row>
    <row r="111" spans="2:18">
      <c r="B111" s="132"/>
      <c r="C111" s="133">
        <v>-38</v>
      </c>
      <c r="D111" s="134"/>
      <c r="E111" s="135">
        <f>19.34+245.49</f>
        <v>264.83</v>
      </c>
      <c r="F111" s="122">
        <f t="shared" si="35"/>
        <v>0.15568619382146318</v>
      </c>
      <c r="G111" s="136"/>
    </row>
    <row r="112" spans="2:18">
      <c r="B112" s="137"/>
      <c r="C112" s="138" t="s">
        <v>6</v>
      </c>
      <c r="D112" s="139"/>
      <c r="E112" s="140">
        <f>SUM(E100:E111)</f>
        <v>1701.0500000000002</v>
      </c>
      <c r="F112" s="163">
        <f t="shared" ref="F112" si="43">E112/$E$112</f>
        <v>1</v>
      </c>
      <c r="G112" s="140"/>
    </row>
    <row r="113" spans="2:11">
      <c r="B113" s="95"/>
      <c r="C113" s="147"/>
      <c r="D113" s="148"/>
      <c r="E113" s="149"/>
      <c r="F113" s="150"/>
      <c r="G113" s="149"/>
      <c r="H113" s="95"/>
      <c r="I113" s="95"/>
      <c r="J113" s="95"/>
    </row>
    <row r="114" spans="2:11">
      <c r="B114" s="95"/>
      <c r="C114" s="147"/>
      <c r="D114" s="148"/>
      <c r="E114" s="149"/>
      <c r="F114" s="150"/>
      <c r="G114" s="149"/>
      <c r="H114" s="95"/>
      <c r="I114" s="95"/>
      <c r="J114" s="95"/>
    </row>
    <row r="115" spans="2:11">
      <c r="B115" s="169" t="s">
        <v>0</v>
      </c>
      <c r="C115" s="183" t="s">
        <v>1</v>
      </c>
      <c r="D115" s="183"/>
      <c r="E115" s="152" t="s">
        <v>2</v>
      </c>
      <c r="F115" s="153" t="s">
        <v>14</v>
      </c>
      <c r="G115" s="152" t="s">
        <v>3</v>
      </c>
    </row>
    <row r="116" spans="2:11">
      <c r="B116" s="170" t="s">
        <v>263</v>
      </c>
      <c r="C116" s="154" t="s">
        <v>16</v>
      </c>
      <c r="D116" s="155">
        <v>1180</v>
      </c>
      <c r="E116" s="156">
        <v>0</v>
      </c>
      <c r="F116" s="122">
        <f t="shared" ref="F116:F127" si="44">E116/$E$128</f>
        <v>0</v>
      </c>
      <c r="G116" s="157">
        <f>SUM(E117:E$127)/$E$128</f>
        <v>1</v>
      </c>
    </row>
    <row r="117" spans="2:11">
      <c r="B117" s="170" t="s">
        <v>4</v>
      </c>
      <c r="C117" s="120" t="s">
        <v>15</v>
      </c>
      <c r="D117" s="120">
        <v>600</v>
      </c>
      <c r="E117" s="121">
        <v>0</v>
      </c>
      <c r="F117" s="122">
        <f t="shared" si="44"/>
        <v>0</v>
      </c>
      <c r="G117" s="123">
        <f>SUM(E118:E$127)/$E$128</f>
        <v>1</v>
      </c>
    </row>
    <row r="118" spans="2:11">
      <c r="B118" s="171">
        <f>FORECAST(0.8,D120:D121,G121:G122)</f>
        <v>184.35052023121386</v>
      </c>
      <c r="C118" s="120" t="s">
        <v>11</v>
      </c>
      <c r="D118" s="120">
        <v>425</v>
      </c>
      <c r="E118" s="121">
        <v>0.42</v>
      </c>
      <c r="F118" s="122">
        <f t="shared" si="44"/>
        <v>7.2632944228274965E-4</v>
      </c>
      <c r="G118" s="123">
        <f>SUM(E119:E$127)/$E$128</f>
        <v>0.9992736705577171</v>
      </c>
    </row>
    <row r="119" spans="2:11">
      <c r="B119" s="127"/>
      <c r="C119" s="120" t="s">
        <v>10</v>
      </c>
      <c r="D119" s="120">
        <v>300</v>
      </c>
      <c r="E119" s="121">
        <v>4.3600000000000003</v>
      </c>
      <c r="F119" s="122">
        <f t="shared" si="44"/>
        <v>7.5399913532209258E-3</v>
      </c>
      <c r="G119" s="123">
        <f>SUM(E120:E$127)/$E$128</f>
        <v>0.9917336792044964</v>
      </c>
    </row>
    <row r="120" spans="2:11">
      <c r="B120" s="127"/>
      <c r="C120" s="128" t="s">
        <v>5</v>
      </c>
      <c r="D120" s="172">
        <v>212</v>
      </c>
      <c r="E120" s="176">
        <v>45.76</v>
      </c>
      <c r="F120" s="174">
        <f t="shared" si="44"/>
        <v>7.9135322092520527E-2</v>
      </c>
      <c r="G120" s="177">
        <f>SUM(E121:E$127)/$E$128</f>
        <v>0.9125983571119759</v>
      </c>
      <c r="H120" s="131">
        <f>SUM(F121:F127)*100</f>
        <v>91.259835711197567</v>
      </c>
      <c r="I120" s="125">
        <f>($I$208-H120)/($I$208*(100-H120))*10000</f>
        <v>-1021.7012796307932</v>
      </c>
    </row>
    <row r="121" spans="2:11">
      <c r="B121" s="127"/>
      <c r="C121" s="128" t="s">
        <v>12</v>
      </c>
      <c r="D121" s="129">
        <v>180</v>
      </c>
      <c r="E121" s="130">
        <v>27.74</v>
      </c>
      <c r="F121" s="122">
        <f t="shared" si="44"/>
        <v>4.7972330306960652E-2</v>
      </c>
      <c r="G121" s="123">
        <f>SUM(E122:E$127)/$E$128</f>
        <v>0.8646260268050151</v>
      </c>
      <c r="K121" s="62"/>
    </row>
    <row r="122" spans="2:11">
      <c r="B122" s="127"/>
      <c r="C122" s="128" t="s">
        <v>13</v>
      </c>
      <c r="D122" s="129">
        <v>150</v>
      </c>
      <c r="E122" s="130">
        <v>43.25</v>
      </c>
      <c r="F122" s="122">
        <f t="shared" si="44"/>
        <v>7.4794638996973625E-2</v>
      </c>
      <c r="G122" s="123">
        <f>SUM(E123:E$127)/$E$128</f>
        <v>0.78983138780804152</v>
      </c>
    </row>
    <row r="123" spans="2:11">
      <c r="B123" s="127"/>
      <c r="C123" s="128" t="s">
        <v>9</v>
      </c>
      <c r="D123" s="129">
        <v>106</v>
      </c>
      <c r="E123" s="130">
        <v>81.97</v>
      </c>
      <c r="F123" s="122">
        <f t="shared" si="44"/>
        <v>0.1417552961521833</v>
      </c>
      <c r="G123" s="123">
        <f>SUM(E124:E$127)/$E$128</f>
        <v>0.64807609165585822</v>
      </c>
    </row>
    <row r="124" spans="2:11">
      <c r="B124" s="127"/>
      <c r="C124" s="128" t="s">
        <v>8</v>
      </c>
      <c r="D124" s="129">
        <v>75</v>
      </c>
      <c r="E124" s="130">
        <v>66.83</v>
      </c>
      <c r="F124" s="122">
        <f t="shared" si="44"/>
        <v>0.11557284911370515</v>
      </c>
      <c r="G124" s="123">
        <f>SUM(E125:E$127)/$E$128</f>
        <v>0.53250324254215298</v>
      </c>
    </row>
    <row r="125" spans="2:11">
      <c r="B125" s="127"/>
      <c r="C125" s="128" t="s">
        <v>7</v>
      </c>
      <c r="D125" s="129">
        <v>53</v>
      </c>
      <c r="E125" s="130">
        <v>57.88</v>
      </c>
      <c r="F125" s="122">
        <f t="shared" si="44"/>
        <v>0.10009511456982274</v>
      </c>
      <c r="G125" s="123">
        <f>SUM(E126:E$127)/$E$128</f>
        <v>0.4324081279723303</v>
      </c>
    </row>
    <row r="126" spans="2:11">
      <c r="B126" s="127"/>
      <c r="C126" s="128" t="s">
        <v>17</v>
      </c>
      <c r="D126" s="129">
        <v>38</v>
      </c>
      <c r="E126" s="130">
        <v>40.22</v>
      </c>
      <c r="F126" s="122">
        <f t="shared" si="44"/>
        <v>6.9554690877648068E-2</v>
      </c>
      <c r="G126" s="123">
        <f>SUM(E127:E$127)/$E$128</f>
        <v>0.36285343709468221</v>
      </c>
    </row>
    <row r="127" spans="2:11">
      <c r="B127" s="132"/>
      <c r="C127" s="133">
        <v>-38</v>
      </c>
      <c r="D127" s="134"/>
      <c r="E127" s="135">
        <f>13.75+196.07</f>
        <v>209.82</v>
      </c>
      <c r="F127" s="122">
        <f t="shared" si="44"/>
        <v>0.36285343709468221</v>
      </c>
      <c r="G127" s="136"/>
    </row>
    <row r="128" spans="2:11">
      <c r="B128" s="137"/>
      <c r="C128" s="138" t="s">
        <v>6</v>
      </c>
      <c r="D128" s="139"/>
      <c r="E128" s="140">
        <f>SUM(E116:E127)</f>
        <v>578.25</v>
      </c>
      <c r="F128" s="163">
        <f t="shared" ref="F128" si="45">E128/$E$128</f>
        <v>1</v>
      </c>
      <c r="G128" s="140"/>
    </row>
    <row r="129" spans="2:18" s="95" customFormat="1">
      <c r="C129" s="147"/>
      <c r="D129" s="148"/>
      <c r="E129" s="149"/>
      <c r="F129" s="150"/>
      <c r="G129" s="149"/>
    </row>
    <row r="130" spans="2:18">
      <c r="B130" s="168" t="s">
        <v>0</v>
      </c>
      <c r="C130" s="181" t="s">
        <v>1</v>
      </c>
      <c r="D130" s="182"/>
      <c r="E130" s="161" t="s">
        <v>2</v>
      </c>
      <c r="F130" s="162" t="s">
        <v>14</v>
      </c>
      <c r="G130" s="161" t="s">
        <v>3</v>
      </c>
    </row>
    <row r="131" spans="2:18">
      <c r="B131" s="166" t="s">
        <v>280</v>
      </c>
      <c r="C131" s="119" t="s">
        <v>16</v>
      </c>
      <c r="D131" s="120">
        <v>1180</v>
      </c>
      <c r="E131" s="121">
        <v>210.13</v>
      </c>
      <c r="F131" s="122">
        <f t="shared" ref="F131:F142" si="46">E131/$E$143</f>
        <v>0.19215223673140935</v>
      </c>
      <c r="G131" s="123">
        <f>SUM(E132:E$142)/$E$143</f>
        <v>0.80784776326859065</v>
      </c>
    </row>
    <row r="132" spans="2:18">
      <c r="B132" s="166" t="s">
        <v>4</v>
      </c>
      <c r="C132" s="120" t="s">
        <v>15</v>
      </c>
      <c r="D132" s="120">
        <v>600</v>
      </c>
      <c r="E132" s="121">
        <v>261.73</v>
      </c>
      <c r="F132" s="122">
        <f t="shared" si="46"/>
        <v>0.23933757635612132</v>
      </c>
      <c r="G132" s="123">
        <f>SUM(E133:E$142)/$E$143</f>
        <v>0.56851018691246935</v>
      </c>
    </row>
    <row r="133" spans="2:18">
      <c r="B133" s="167">
        <f>FORECAST(0.8,D131:D132,G131:G132)</f>
        <v>1160.9820807702595</v>
      </c>
      <c r="C133" s="120" t="s">
        <v>11</v>
      </c>
      <c r="D133" s="120">
        <v>425</v>
      </c>
      <c r="E133" s="121">
        <v>199.42</v>
      </c>
      <c r="F133" s="122">
        <f t="shared" si="46"/>
        <v>0.1823585354255825</v>
      </c>
      <c r="G133" s="123">
        <f>SUM(E134:E$142)/$E$143</f>
        <v>0.38615165148688679</v>
      </c>
    </row>
    <row r="134" spans="2:18">
      <c r="B134" s="165"/>
      <c r="C134" s="120" t="s">
        <v>10</v>
      </c>
      <c r="D134" s="120">
        <v>300</v>
      </c>
      <c r="E134" s="121">
        <v>210.92</v>
      </c>
      <c r="F134" s="122">
        <f t="shared" si="46"/>
        <v>0.19287464793884196</v>
      </c>
      <c r="G134" s="123">
        <f>SUM(E135:E$142)/$E$143</f>
        <v>0.19327700354804497</v>
      </c>
      <c r="H134" s="125"/>
      <c r="J134" s="60">
        <f>SUM($F$116:F119)</f>
        <v>8.2663207955036757E-3</v>
      </c>
      <c r="K134" s="60">
        <f>1-J134</f>
        <v>0.99173367920449629</v>
      </c>
      <c r="L134" s="60">
        <f>SUM($F$131:F134)</f>
        <v>0.80672299645195511</v>
      </c>
      <c r="M134" s="60">
        <v>1</v>
      </c>
      <c r="N134" s="62">
        <f>+(L134-J134)/(L134+M134-1)</f>
        <v>0.98975321041812392</v>
      </c>
      <c r="O134" s="143">
        <f>1-N134</f>
        <v>1.0246789581876081E-2</v>
      </c>
      <c r="P134" s="62">
        <f>+N134*M134/K134</f>
        <v>0.99800302356580151</v>
      </c>
      <c r="Q134" s="62">
        <f>+O134*L134/J134</f>
        <v>1.0000000000000089</v>
      </c>
      <c r="R134" s="144">
        <f>+N134*M134+O134*L134</f>
        <v>0.99801953121362763</v>
      </c>
    </row>
    <row r="135" spans="2:18">
      <c r="B135" s="127"/>
      <c r="C135" s="128" t="s">
        <v>5</v>
      </c>
      <c r="D135" s="172">
        <v>212</v>
      </c>
      <c r="E135" s="176">
        <v>115.46</v>
      </c>
      <c r="F135" s="174">
        <f t="shared" si="46"/>
        <v>0.10558176963312484</v>
      </c>
      <c r="G135" s="177">
        <f>SUM(E136:E$142)/$E$143</f>
        <v>8.7695233914920068E-2</v>
      </c>
      <c r="H135" s="131">
        <f>SUM(F136:F142)*100</f>
        <v>8.7695233914920099</v>
      </c>
      <c r="I135" s="125">
        <f>($I$208-H135)/($I$208*(100-H135))*10000</f>
        <v>89.673499367465467</v>
      </c>
      <c r="J135" s="60">
        <f>SUM($F$116:F120)</f>
        <v>8.7401642888024197E-2</v>
      </c>
      <c r="K135" s="60">
        <f t="shared" ref="K135:K141" si="47">1-J135</f>
        <v>0.91259835711197579</v>
      </c>
      <c r="L135" s="60">
        <f>SUM($F$131:F135)</f>
        <v>0.91230476608507993</v>
      </c>
      <c r="M135" s="60">
        <v>1</v>
      </c>
      <c r="N135" s="62">
        <f t="shared" ref="N135:N141" si="48">+(L135-J135)/(L135+M135-1)</f>
        <v>0.90419688010281274</v>
      </c>
      <c r="O135" s="143">
        <f t="shared" ref="O135:O141" si="49">1-N135</f>
        <v>9.5803119897187261E-2</v>
      </c>
      <c r="P135" s="62">
        <f t="shared" ref="P135:P141" si="50">+N135*M135/K135</f>
        <v>0.99079389422116593</v>
      </c>
      <c r="Q135" s="62">
        <f t="shared" ref="Q135:Q141" si="51">+O135*L135/J135</f>
        <v>1.0000000000000011</v>
      </c>
      <c r="R135" s="144">
        <f t="shared" ref="R135:R141" si="52">+N135*M135+O135*L135</f>
        <v>0.99159852299083706</v>
      </c>
    </row>
    <row r="136" spans="2:18">
      <c r="B136" s="127"/>
      <c r="C136" s="128" t="s">
        <v>12</v>
      </c>
      <c r="D136" s="129">
        <v>180</v>
      </c>
      <c r="E136" s="130">
        <v>17.399999999999999</v>
      </c>
      <c r="F136" s="122">
        <f t="shared" si="46"/>
        <v>1.5911335454844727E-2</v>
      </c>
      <c r="G136" s="123">
        <f>SUM(E137:E$142)/$E$143</f>
        <v>7.1783898460075352E-2</v>
      </c>
      <c r="J136" s="60">
        <f>SUM($F$116:F121)</f>
        <v>0.13537397319498484</v>
      </c>
      <c r="K136" s="60">
        <f t="shared" si="47"/>
        <v>0.86462602680501521</v>
      </c>
      <c r="L136" s="60">
        <f>SUM($F$131:F136)</f>
        <v>0.92821610153992462</v>
      </c>
      <c r="M136" s="60">
        <v>1</v>
      </c>
      <c r="N136" s="62">
        <f t="shared" si="48"/>
        <v>0.85415683592387881</v>
      </c>
      <c r="O136" s="143">
        <f t="shared" si="49"/>
        <v>0.14584316407612119</v>
      </c>
      <c r="P136" s="62">
        <f t="shared" si="50"/>
        <v>0.98789165424522052</v>
      </c>
      <c r="Q136" s="62">
        <f t="shared" si="51"/>
        <v>0.99999999999999956</v>
      </c>
      <c r="R136" s="144">
        <f t="shared" si="52"/>
        <v>0.9895308091188636</v>
      </c>
    </row>
    <row r="137" spans="2:18">
      <c r="B137" s="127"/>
      <c r="C137" s="128" t="s">
        <v>13</v>
      </c>
      <c r="D137" s="129">
        <v>150</v>
      </c>
      <c r="E137" s="130">
        <v>17.89</v>
      </c>
      <c r="F137" s="122">
        <f t="shared" si="46"/>
        <v>1.6359413292366218E-2</v>
      </c>
      <c r="G137" s="123">
        <f>SUM(E138:E$142)/$E$143</f>
        <v>5.5424485167709134E-2</v>
      </c>
      <c r="J137" s="60">
        <f>SUM($F$116:F122)</f>
        <v>0.21016861219195848</v>
      </c>
      <c r="K137" s="60">
        <f t="shared" si="47"/>
        <v>0.78983138780804152</v>
      </c>
      <c r="L137" s="60">
        <f>SUM($F$131:F137)</f>
        <v>0.94457551483229085</v>
      </c>
      <c r="M137" s="60">
        <v>1</v>
      </c>
      <c r="N137" s="62">
        <f t="shared" si="48"/>
        <v>0.77749940699100806</v>
      </c>
      <c r="O137" s="143">
        <f t="shared" si="49"/>
        <v>0.22250059300899194</v>
      </c>
      <c r="P137" s="62">
        <f t="shared" si="50"/>
        <v>0.98438656527533364</v>
      </c>
      <c r="Q137" s="62">
        <f t="shared" si="51"/>
        <v>1.0000000000000004</v>
      </c>
      <c r="R137" s="144">
        <f t="shared" si="52"/>
        <v>0.98766801918296665</v>
      </c>
    </row>
    <row r="138" spans="2:18">
      <c r="B138" s="127"/>
      <c r="C138" s="128" t="s">
        <v>9</v>
      </c>
      <c r="D138" s="129">
        <v>106</v>
      </c>
      <c r="E138" s="130">
        <v>16.28</v>
      </c>
      <c r="F138" s="122">
        <f t="shared" si="46"/>
        <v>1.4887157540509895E-2</v>
      </c>
      <c r="G138" s="123">
        <f>SUM(E139:E$142)/$E$143</f>
        <v>4.0537327627199242E-2</v>
      </c>
      <c r="J138" s="60">
        <f>SUM($F$116:F123)</f>
        <v>0.35192390834414178</v>
      </c>
      <c r="K138" s="60">
        <f t="shared" si="47"/>
        <v>0.64807609165585822</v>
      </c>
      <c r="L138" s="60">
        <f>SUM($F$131:F138)</f>
        <v>0.9594626723728007</v>
      </c>
      <c r="M138" s="60">
        <v>1</v>
      </c>
      <c r="N138" s="62">
        <f t="shared" si="48"/>
        <v>0.63320729562744127</v>
      </c>
      <c r="O138" s="143">
        <f t="shared" si="49"/>
        <v>0.36679270437255873</v>
      </c>
      <c r="P138" s="62">
        <f t="shared" si="50"/>
        <v>0.97705702120498439</v>
      </c>
      <c r="Q138" s="62">
        <f t="shared" si="51"/>
        <v>1.0000000000000002</v>
      </c>
      <c r="R138" s="144">
        <f t="shared" si="52"/>
        <v>0.98513120397158316</v>
      </c>
    </row>
    <row r="139" spans="2:18">
      <c r="B139" s="127"/>
      <c r="C139" s="128" t="s">
        <v>8</v>
      </c>
      <c r="D139" s="129">
        <v>75</v>
      </c>
      <c r="E139" s="130">
        <v>7.36</v>
      </c>
      <c r="F139" s="122">
        <f t="shared" si="46"/>
        <v>6.7303120084860465E-3</v>
      </c>
      <c r="G139" s="123">
        <f>SUM(E140:E$142)/$E$143</f>
        <v>3.3807015618713195E-2</v>
      </c>
      <c r="J139" s="60">
        <f>SUM($F$116:F124)</f>
        <v>0.46749675745784691</v>
      </c>
      <c r="K139" s="60">
        <f t="shared" si="47"/>
        <v>0.53250324254215309</v>
      </c>
      <c r="L139" s="60">
        <f>SUM($F$131:F139)</f>
        <v>0.96619298438128676</v>
      </c>
      <c r="M139" s="60">
        <v>1</v>
      </c>
      <c r="N139" s="62">
        <f t="shared" si="48"/>
        <v>0.51614556820942559</v>
      </c>
      <c r="O139" s="143">
        <f t="shared" si="49"/>
        <v>0.48385443179057441</v>
      </c>
      <c r="P139" s="62">
        <f t="shared" si="50"/>
        <v>0.96928154980871761</v>
      </c>
      <c r="Q139" s="62">
        <f t="shared" si="51"/>
        <v>0.99999999999999989</v>
      </c>
      <c r="R139" s="144">
        <f t="shared" si="52"/>
        <v>0.98364232566727239</v>
      </c>
    </row>
    <row r="140" spans="2:18">
      <c r="B140" s="127"/>
      <c r="C140" s="128" t="s">
        <v>7</v>
      </c>
      <c r="D140" s="129">
        <v>53</v>
      </c>
      <c r="E140" s="130">
        <v>4.96</v>
      </c>
      <c r="F140" s="122">
        <f t="shared" si="46"/>
        <v>4.5356450491971182E-3</v>
      </c>
      <c r="G140" s="123">
        <f>SUM(E141:E$142)/$E$143</f>
        <v>2.9271370569516075E-2</v>
      </c>
      <c r="J140" s="60">
        <f>SUM($F$116:F125)</f>
        <v>0.5675918720276697</v>
      </c>
      <c r="K140" s="60">
        <f t="shared" si="47"/>
        <v>0.4324081279723303</v>
      </c>
      <c r="L140" s="60">
        <f>SUM($F$131:F140)</f>
        <v>0.97072862943048388</v>
      </c>
      <c r="M140" s="60">
        <v>1</v>
      </c>
      <c r="N140" s="62">
        <f t="shared" si="48"/>
        <v>0.41529295127447735</v>
      </c>
      <c r="O140" s="143">
        <f t="shared" si="49"/>
        <v>0.58470704872552259</v>
      </c>
      <c r="P140" s="62">
        <f t="shared" si="50"/>
        <v>0.96041892926918304</v>
      </c>
      <c r="Q140" s="62">
        <f t="shared" si="51"/>
        <v>1</v>
      </c>
      <c r="R140" s="144">
        <f t="shared" si="52"/>
        <v>0.98288482330214699</v>
      </c>
    </row>
    <row r="141" spans="2:18">
      <c r="B141" s="127"/>
      <c r="C141" s="128" t="s">
        <v>17</v>
      </c>
      <c r="D141" s="129">
        <v>38</v>
      </c>
      <c r="E141" s="130">
        <v>3.49</v>
      </c>
      <c r="F141" s="122">
        <f t="shared" si="46"/>
        <v>3.1914115366326497E-3</v>
      </c>
      <c r="G141" s="123">
        <f>SUM(E142:E$142)/$E$143</f>
        <v>2.6079959032883428E-2</v>
      </c>
      <c r="J141" s="60">
        <f>SUM($F$116:F126)</f>
        <v>0.63714656290531779</v>
      </c>
      <c r="K141" s="60">
        <f t="shared" si="47"/>
        <v>0.36285343709468221</v>
      </c>
      <c r="L141" s="60">
        <f>SUM($F$131:F141)</f>
        <v>0.97392004096711648</v>
      </c>
      <c r="M141" s="60">
        <v>1</v>
      </c>
      <c r="N141" s="62">
        <f t="shared" si="48"/>
        <v>0.34579171173783202</v>
      </c>
      <c r="O141" s="143">
        <f t="shared" si="49"/>
        <v>0.65420828826216804</v>
      </c>
      <c r="P141" s="62">
        <f t="shared" si="50"/>
        <v>0.95297901683538933</v>
      </c>
      <c r="Q141" s="62">
        <f t="shared" si="51"/>
        <v>1</v>
      </c>
      <c r="R141" s="144">
        <f t="shared" si="52"/>
        <v>0.98293827464314987</v>
      </c>
    </row>
    <row r="142" spans="2:18">
      <c r="B142" s="132"/>
      <c r="C142" s="133">
        <v>-38</v>
      </c>
      <c r="D142" s="134"/>
      <c r="E142" s="135">
        <f>0.83+27.69</f>
        <v>28.52</v>
      </c>
      <c r="F142" s="122">
        <f t="shared" si="46"/>
        <v>2.6079959032883428E-2</v>
      </c>
      <c r="G142" s="136"/>
    </row>
    <row r="143" spans="2:18">
      <c r="B143" s="137"/>
      <c r="C143" s="138" t="s">
        <v>6</v>
      </c>
      <c r="D143" s="139"/>
      <c r="E143" s="140">
        <f>SUM(E131:E142)</f>
        <v>1093.56</v>
      </c>
      <c r="F143" s="163">
        <f t="shared" ref="F143" si="53">E143/$E$143</f>
        <v>1</v>
      </c>
      <c r="G143" s="140"/>
    </row>
    <row r="144" spans="2:18" s="95" customFormat="1">
      <c r="C144" s="147"/>
      <c r="D144" s="148"/>
      <c r="E144" s="149"/>
      <c r="F144" s="150"/>
      <c r="G144" s="149"/>
    </row>
    <row r="145" spans="2:18">
      <c r="B145" s="168" t="s">
        <v>0</v>
      </c>
      <c r="C145" s="181" t="s">
        <v>1</v>
      </c>
      <c r="D145" s="182"/>
      <c r="E145" s="161" t="s">
        <v>2</v>
      </c>
      <c r="F145" s="162" t="s">
        <v>14</v>
      </c>
      <c r="G145" s="161" t="s">
        <v>3</v>
      </c>
    </row>
    <row r="146" spans="2:18">
      <c r="B146" s="166" t="s">
        <v>264</v>
      </c>
      <c r="C146" s="119" t="s">
        <v>16</v>
      </c>
      <c r="D146" s="120">
        <v>1180</v>
      </c>
      <c r="E146" s="121">
        <f>77.53+52.95</f>
        <v>130.48000000000002</v>
      </c>
      <c r="F146" s="122">
        <f t="shared" ref="F146:F157" si="54">E146/$E$158</f>
        <v>0.15359080903558442</v>
      </c>
      <c r="G146" s="123">
        <f>SUM(E147:E$157)/$E$158</f>
        <v>0.84640919096441558</v>
      </c>
    </row>
    <row r="147" spans="2:18">
      <c r="B147" s="166" t="s">
        <v>4</v>
      </c>
      <c r="C147" s="120" t="s">
        <v>15</v>
      </c>
      <c r="D147" s="120">
        <v>600</v>
      </c>
      <c r="E147" s="121">
        <f>103.75+79.86</f>
        <v>183.61</v>
      </c>
      <c r="F147" s="122">
        <f t="shared" si="54"/>
        <v>0.21613127258601816</v>
      </c>
      <c r="G147" s="123">
        <f>SUM(E148:E$157)/$E$158</f>
        <v>0.63027791837839753</v>
      </c>
    </row>
    <row r="148" spans="2:18">
      <c r="B148" s="167">
        <f>FORECAST(0.8,D146:D147,G146:G147)</f>
        <v>1055.4584172975328</v>
      </c>
      <c r="C148" s="120" t="s">
        <v>11</v>
      </c>
      <c r="D148" s="120">
        <v>425</v>
      </c>
      <c r="E148" s="121">
        <f>79.21+63.09</f>
        <v>142.30000000000001</v>
      </c>
      <c r="F148" s="122">
        <f t="shared" si="54"/>
        <v>0.16750438477746521</v>
      </c>
      <c r="G148" s="123">
        <f>SUM(E149:E$157)/$E$158</f>
        <v>0.46277353360093232</v>
      </c>
    </row>
    <row r="149" spans="2:18">
      <c r="B149" s="127"/>
      <c r="C149" s="120" t="s">
        <v>10</v>
      </c>
      <c r="D149" s="120">
        <v>300</v>
      </c>
      <c r="E149" s="121">
        <f>95.52+85.92</f>
        <v>181.44</v>
      </c>
      <c r="F149" s="122">
        <f t="shared" si="54"/>
        <v>0.21357691900227185</v>
      </c>
      <c r="G149" s="123">
        <f>SUM(E150:E$157)/$E$158</f>
        <v>0.24919661459866044</v>
      </c>
      <c r="H149" s="125"/>
      <c r="J149" s="60">
        <f t="shared" ref="J149:J156" si="55">J134</f>
        <v>8.2663207955036757E-3</v>
      </c>
      <c r="K149" s="60">
        <f>1-J149</f>
        <v>0.99173367920449629</v>
      </c>
      <c r="L149" s="60">
        <f>SUM($F$146:F149)</f>
        <v>0.75080338540133962</v>
      </c>
      <c r="M149" s="60">
        <v>1</v>
      </c>
      <c r="N149" s="62">
        <f>+(L149-J149)/(L149+M149-1)</f>
        <v>0.98899003260209728</v>
      </c>
      <c r="O149" s="143">
        <f>1-N149</f>
        <v>1.100996739790272E-2</v>
      </c>
      <c r="P149" s="62">
        <f>+N149*M149/K149</f>
        <v>0.99723348449293381</v>
      </c>
      <c r="Q149" s="62">
        <f>+O149*L149/J149</f>
        <v>1.0000000000000078</v>
      </c>
      <c r="R149" s="144">
        <f>+N149*M149+O149*L149</f>
        <v>0.99725635339760099</v>
      </c>
    </row>
    <row r="150" spans="2:18">
      <c r="B150" s="127"/>
      <c r="C150" s="128" t="s">
        <v>5</v>
      </c>
      <c r="D150" s="172">
        <v>212</v>
      </c>
      <c r="E150" s="176">
        <f>59.26+61.24</f>
        <v>120.5</v>
      </c>
      <c r="F150" s="174">
        <f t="shared" si="54"/>
        <v>0.1418431367932857</v>
      </c>
      <c r="G150" s="177">
        <f>SUM(E151:E$157)/$E$158</f>
        <v>0.10735347780537474</v>
      </c>
      <c r="H150" s="131">
        <f>SUM(F151:F157)*100</f>
        <v>10.735347780537477</v>
      </c>
      <c r="I150" s="125">
        <f>($I$208-H150)/($I$208*(100-H150))*10000</f>
        <v>87.080261309056411</v>
      </c>
      <c r="J150" s="60">
        <f t="shared" si="55"/>
        <v>8.7401642888024197E-2</v>
      </c>
      <c r="K150" s="60">
        <f t="shared" ref="K150:K156" si="56">1-J150</f>
        <v>0.91259835711197579</v>
      </c>
      <c r="L150" s="60">
        <f>SUM($F$146:F150)</f>
        <v>0.89264652219462537</v>
      </c>
      <c r="M150" s="60">
        <v>1</v>
      </c>
      <c r="N150" s="62">
        <f t="shared" ref="N150:N156" si="57">+(L150-J150)/(L150+M150-1)</f>
        <v>0.9020870627791816</v>
      </c>
      <c r="O150" s="143">
        <f t="shared" ref="O150:O156" si="58">1-N150</f>
        <v>9.7912937220818397E-2</v>
      </c>
      <c r="P150" s="62">
        <f t="shared" ref="P150:P156" si="59">+N150*M150/K150</f>
        <v>0.98848201484160192</v>
      </c>
      <c r="Q150" s="62">
        <f t="shared" ref="Q150:Q156" si="60">+O150*L150/J150</f>
        <v>1.0000000000000002</v>
      </c>
      <c r="R150" s="144">
        <f t="shared" ref="R150:R156" si="61">+N150*M150+O150*L150</f>
        <v>0.98948870566720581</v>
      </c>
    </row>
    <row r="151" spans="2:18">
      <c r="B151" s="127"/>
      <c r="C151" s="128" t="s">
        <v>12</v>
      </c>
      <c r="D151" s="129">
        <v>180</v>
      </c>
      <c r="E151" s="130">
        <f>11.84+10.83</f>
        <v>22.67</v>
      </c>
      <c r="F151" s="122">
        <f t="shared" si="54"/>
        <v>2.6685343660612343E-2</v>
      </c>
      <c r="G151" s="123">
        <f>SUM(E152:E$157)/$E$158</f>
        <v>8.0668134144762399E-2</v>
      </c>
      <c r="J151" s="60">
        <f t="shared" si="55"/>
        <v>0.13537397319498484</v>
      </c>
      <c r="K151" s="60">
        <f t="shared" si="56"/>
        <v>0.86462602680501521</v>
      </c>
      <c r="L151" s="60">
        <f>SUM($F$146:F151)</f>
        <v>0.91933186585523774</v>
      </c>
      <c r="M151" s="60">
        <v>1</v>
      </c>
      <c r="N151" s="62">
        <f t="shared" si="57"/>
        <v>0.85274743732607483</v>
      </c>
      <c r="O151" s="143">
        <f t="shared" si="58"/>
        <v>0.14725256267392517</v>
      </c>
      <c r="P151" s="62">
        <f t="shared" si="59"/>
        <v>0.98626158696282318</v>
      </c>
      <c r="Q151" s="62">
        <f t="shared" si="60"/>
        <v>1.0000000000000009</v>
      </c>
      <c r="R151" s="144">
        <f t="shared" si="61"/>
        <v>0.98812141052105984</v>
      </c>
    </row>
    <row r="152" spans="2:18">
      <c r="B152" s="127"/>
      <c r="C152" s="128" t="s">
        <v>13</v>
      </c>
      <c r="D152" s="129">
        <v>150</v>
      </c>
      <c r="E152" s="130">
        <v>13.3</v>
      </c>
      <c r="F152" s="122">
        <f t="shared" si="54"/>
        <v>1.5655715513283819E-2</v>
      </c>
      <c r="G152" s="123">
        <f>SUM(E153:E$157)/$E$158</f>
        <v>6.5012418631478594E-2</v>
      </c>
      <c r="J152" s="60">
        <f t="shared" si="55"/>
        <v>0.21016861219195848</v>
      </c>
      <c r="K152" s="60">
        <f t="shared" si="56"/>
        <v>0.78983138780804152</v>
      </c>
      <c r="L152" s="60">
        <f>SUM($F$146:F152)</f>
        <v>0.93498758136852156</v>
      </c>
      <c r="M152" s="60">
        <v>1</v>
      </c>
      <c r="N152" s="62">
        <f t="shared" si="57"/>
        <v>0.77521775007499127</v>
      </c>
      <c r="O152" s="143">
        <f t="shared" si="58"/>
        <v>0.22478224992500873</v>
      </c>
      <c r="P152" s="62">
        <f t="shared" si="59"/>
        <v>0.98149777540038474</v>
      </c>
      <c r="Q152" s="62">
        <f t="shared" si="60"/>
        <v>0.99999999999999989</v>
      </c>
      <c r="R152" s="144">
        <f t="shared" si="61"/>
        <v>0.98538636226694976</v>
      </c>
    </row>
    <row r="153" spans="2:18">
      <c r="B153" s="127"/>
      <c r="C153" s="128" t="s">
        <v>9</v>
      </c>
      <c r="D153" s="129">
        <v>106</v>
      </c>
      <c r="E153" s="145">
        <v>13.23</v>
      </c>
      <c r="F153" s="122">
        <f t="shared" si="54"/>
        <v>1.5573317010582323E-2</v>
      </c>
      <c r="G153" s="123">
        <f>SUM(E154:E$157)/$E$158</f>
        <v>4.9439101620896264E-2</v>
      </c>
      <c r="J153" s="60">
        <f t="shared" si="55"/>
        <v>0.35192390834414178</v>
      </c>
      <c r="K153" s="60">
        <f t="shared" si="56"/>
        <v>0.64807609165585822</v>
      </c>
      <c r="L153" s="60">
        <f>SUM($F$146:F153)</f>
        <v>0.95056089837910385</v>
      </c>
      <c r="M153" s="60">
        <v>1</v>
      </c>
      <c r="N153" s="62">
        <f t="shared" si="57"/>
        <v>0.62977237024556521</v>
      </c>
      <c r="O153" s="143">
        <f t="shared" si="58"/>
        <v>0.37022762975443479</v>
      </c>
      <c r="P153" s="62">
        <f t="shared" si="59"/>
        <v>0.9717568328071996</v>
      </c>
      <c r="Q153" s="62">
        <f t="shared" si="60"/>
        <v>1</v>
      </c>
      <c r="R153" s="144">
        <f t="shared" si="61"/>
        <v>0.98169627858970698</v>
      </c>
    </row>
    <row r="154" spans="2:18">
      <c r="B154" s="127"/>
      <c r="C154" s="128" t="s">
        <v>8</v>
      </c>
      <c r="D154" s="129">
        <v>75</v>
      </c>
      <c r="E154" s="130">
        <v>6.13</v>
      </c>
      <c r="F154" s="122">
        <f t="shared" si="54"/>
        <v>7.215754593716526E-3</v>
      </c>
      <c r="G154" s="123">
        <f>SUM(E155:E$157)/$E$158</f>
        <v>4.2223347027179732E-2</v>
      </c>
      <c r="J154" s="60">
        <f t="shared" si="55"/>
        <v>0.46749675745784691</v>
      </c>
      <c r="K154" s="60">
        <f t="shared" si="56"/>
        <v>0.53250324254215309</v>
      </c>
      <c r="L154" s="60">
        <f>SUM($F$146:F154)</f>
        <v>0.95777665297282033</v>
      </c>
      <c r="M154" s="60">
        <v>1</v>
      </c>
      <c r="N154" s="62">
        <f t="shared" si="57"/>
        <v>0.51189376353370619</v>
      </c>
      <c r="O154" s="143">
        <f t="shared" si="58"/>
        <v>0.48810623646629381</v>
      </c>
      <c r="P154" s="62">
        <f t="shared" si="59"/>
        <v>0.96129698870929325</v>
      </c>
      <c r="Q154" s="62">
        <f t="shared" si="60"/>
        <v>0.99999999999999989</v>
      </c>
      <c r="R154" s="144">
        <f t="shared" si="61"/>
        <v>0.97939052099155299</v>
      </c>
    </row>
    <row r="155" spans="2:18">
      <c r="B155" s="127"/>
      <c r="C155" s="128" t="s">
        <v>7</v>
      </c>
      <c r="D155" s="129">
        <v>53</v>
      </c>
      <c r="E155" s="130">
        <v>4.7</v>
      </c>
      <c r="F155" s="122">
        <f t="shared" si="54"/>
        <v>5.5324708956717246E-3</v>
      </c>
      <c r="G155" s="123">
        <f>SUM(E156:E$157)/$E$158</f>
        <v>3.669087613150801E-2</v>
      </c>
      <c r="J155" s="60">
        <f t="shared" si="55"/>
        <v>0.5675918720276697</v>
      </c>
      <c r="K155" s="60">
        <f t="shared" si="56"/>
        <v>0.4324081279723303</v>
      </c>
      <c r="L155" s="60">
        <f>SUM($F$146:F155)</f>
        <v>0.9633091238684921</v>
      </c>
      <c r="M155" s="60">
        <v>1</v>
      </c>
      <c r="N155" s="62">
        <f t="shared" si="57"/>
        <v>0.41078947768260154</v>
      </c>
      <c r="O155" s="143">
        <f t="shared" si="58"/>
        <v>0.58921052231739846</v>
      </c>
      <c r="P155" s="62">
        <f t="shared" si="59"/>
        <v>0.95000406123006054</v>
      </c>
      <c r="Q155" s="62">
        <f t="shared" si="60"/>
        <v>1</v>
      </c>
      <c r="R155" s="144">
        <f t="shared" si="61"/>
        <v>0.97838134971027124</v>
      </c>
    </row>
    <row r="156" spans="2:18">
      <c r="B156" s="127"/>
      <c r="C156" s="128" t="s">
        <v>17</v>
      </c>
      <c r="D156" s="129">
        <v>38</v>
      </c>
      <c r="E156" s="130">
        <v>3.26</v>
      </c>
      <c r="F156" s="122">
        <f t="shared" si="54"/>
        <v>3.8374159829552812E-3</v>
      </c>
      <c r="G156" s="123">
        <f>SUM(E157:E$157)/$E$158</f>
        <v>3.2853460148552734E-2</v>
      </c>
      <c r="J156" s="60">
        <f t="shared" si="55"/>
        <v>0.63714656290531779</v>
      </c>
      <c r="K156" s="60">
        <f t="shared" si="56"/>
        <v>0.36285343709468221</v>
      </c>
      <c r="L156" s="60">
        <f>SUM($F$146:F156)</f>
        <v>0.96714653985144738</v>
      </c>
      <c r="M156" s="60">
        <v>1</v>
      </c>
      <c r="N156" s="62">
        <f t="shared" si="57"/>
        <v>0.3412099028931202</v>
      </c>
      <c r="O156" s="143">
        <f t="shared" si="58"/>
        <v>0.65879009710687986</v>
      </c>
      <c r="P156" s="62">
        <f t="shared" si="59"/>
        <v>0.94035185562838031</v>
      </c>
      <c r="Q156" s="62">
        <f t="shared" si="60"/>
        <v>1.0000000000000002</v>
      </c>
      <c r="R156" s="144">
        <f t="shared" si="61"/>
        <v>0.97835646579843805</v>
      </c>
    </row>
    <row r="157" spans="2:18">
      <c r="B157" s="132"/>
      <c r="C157" s="133">
        <v>-38</v>
      </c>
      <c r="D157" s="134"/>
      <c r="E157" s="135">
        <v>27.91</v>
      </c>
      <c r="F157" s="122">
        <f t="shared" si="54"/>
        <v>3.2853460148552734E-2</v>
      </c>
      <c r="G157" s="136"/>
      <c r="J157" s="60"/>
    </row>
    <row r="158" spans="2:18">
      <c r="B158" s="137"/>
      <c r="C158" s="138" t="s">
        <v>6</v>
      </c>
      <c r="D158" s="139"/>
      <c r="E158" s="140">
        <f>SUM(E146:E157)</f>
        <v>849.53</v>
      </c>
      <c r="F158" s="163">
        <f t="shared" ref="F158" si="62">E158/$E$158</f>
        <v>1</v>
      </c>
      <c r="G158" s="140"/>
      <c r="J158" s="60"/>
    </row>
    <row r="159" spans="2:18" s="95" customFormat="1">
      <c r="C159" s="147"/>
      <c r="D159" s="148"/>
      <c r="E159" s="149"/>
      <c r="F159" s="150"/>
      <c r="G159" s="149"/>
      <c r="J159" s="60"/>
    </row>
    <row r="160" spans="2:18">
      <c r="B160" s="168" t="s">
        <v>0</v>
      </c>
      <c r="C160" s="181" t="s">
        <v>1</v>
      </c>
      <c r="D160" s="182"/>
      <c r="E160" s="161" t="s">
        <v>2</v>
      </c>
      <c r="F160" s="162" t="s">
        <v>14</v>
      </c>
      <c r="G160" s="161" t="s">
        <v>3</v>
      </c>
      <c r="J160" s="60"/>
    </row>
    <row r="161" spans="2:18">
      <c r="B161" s="166" t="s">
        <v>265</v>
      </c>
      <c r="C161" s="119" t="s">
        <v>16</v>
      </c>
      <c r="D161" s="120">
        <v>1180</v>
      </c>
      <c r="E161" s="121">
        <f>201.6+104.87</f>
        <v>306.47000000000003</v>
      </c>
      <c r="F161" s="122">
        <f t="shared" ref="F161:F172" si="63">E161/$E$173</f>
        <v>0.18545727408608723</v>
      </c>
      <c r="G161" s="123">
        <f>SUM(E162:E$172)/$E$173</f>
        <v>0.81454272591391275</v>
      </c>
      <c r="J161" s="60"/>
    </row>
    <row r="162" spans="2:18">
      <c r="B162" s="166" t="s">
        <v>4</v>
      </c>
      <c r="C162" s="120" t="s">
        <v>15</v>
      </c>
      <c r="D162" s="120">
        <v>600</v>
      </c>
      <c r="E162" s="121">
        <f>203.38+128.45</f>
        <v>331.83</v>
      </c>
      <c r="F162" s="122">
        <f t="shared" si="63"/>
        <v>0.20080362599923748</v>
      </c>
      <c r="G162" s="123">
        <f>SUM(E163:E$172)/$E$173</f>
        <v>0.61373909991467512</v>
      </c>
      <c r="J162" s="60"/>
    </row>
    <row r="163" spans="2:18">
      <c r="B163" s="167">
        <f>FORECAST(0.8,D161:D162,G161:G162)</f>
        <v>1137.9948768947957</v>
      </c>
      <c r="C163" s="120" t="s">
        <v>11</v>
      </c>
      <c r="D163" s="120">
        <v>425</v>
      </c>
      <c r="E163" s="121">
        <f>156.46+105.73</f>
        <v>262.19</v>
      </c>
      <c r="F163" s="122">
        <f t="shared" si="63"/>
        <v>0.15866167224404087</v>
      </c>
      <c r="G163" s="123">
        <f>SUM(E164:E$172)/$E$173</f>
        <v>0.4550774276706343</v>
      </c>
      <c r="J163" s="60"/>
    </row>
    <row r="164" spans="2:18">
      <c r="B164" s="127"/>
      <c r="C164" s="120" t="s">
        <v>10</v>
      </c>
      <c r="D164" s="120">
        <v>300</v>
      </c>
      <c r="E164" s="121">
        <f>171.65+133.96</f>
        <v>305.61</v>
      </c>
      <c r="F164" s="122">
        <f t="shared" si="63"/>
        <v>0.18493685363477375</v>
      </c>
      <c r="G164" s="123">
        <f>SUM(E165:E$172)/$E$173</f>
        <v>0.27014057403586056</v>
      </c>
      <c r="H164" s="125"/>
      <c r="J164" s="60">
        <f t="shared" ref="J164:J171" si="64">J149</f>
        <v>8.2663207955036757E-3</v>
      </c>
      <c r="K164" s="60">
        <f>1-J164</f>
        <v>0.99173367920449629</v>
      </c>
      <c r="L164" s="60">
        <f>SUM($F$161:F164)</f>
        <v>0.72985942596413933</v>
      </c>
      <c r="M164" s="60">
        <v>1</v>
      </c>
      <c r="N164" s="62">
        <f>+(L164-J164)/(L164+M164-1)</f>
        <v>0.98867409188477084</v>
      </c>
      <c r="O164" s="143">
        <f>1-N164</f>
        <v>1.1325908115229155E-2</v>
      </c>
      <c r="P164" s="62">
        <f>+N164*M164/K164</f>
        <v>0.99691491033945767</v>
      </c>
      <c r="Q164" s="62">
        <f>+O164*L164/J164</f>
        <v>1.0000000000000075</v>
      </c>
      <c r="R164" s="144">
        <f>+N164*M164+O164*L164</f>
        <v>0.99694041268027456</v>
      </c>
    </row>
    <row r="165" spans="2:18">
      <c r="B165" s="127"/>
      <c r="C165" s="128" t="s">
        <v>5</v>
      </c>
      <c r="D165" s="172">
        <v>212</v>
      </c>
      <c r="E165" s="176">
        <f>94.17+80.73</f>
        <v>174.9</v>
      </c>
      <c r="F165" s="174">
        <f t="shared" si="63"/>
        <v>0.10583899643572504</v>
      </c>
      <c r="G165" s="177">
        <f>SUM(E166:E$172)/$E$173</f>
        <v>0.16430157760013553</v>
      </c>
      <c r="H165" s="131">
        <f>SUM(F166:F172)*100</f>
        <v>16.430157760013554</v>
      </c>
      <c r="I165" s="125">
        <f>($I$208-H165)/($I$208*(100-H165))*10000</f>
        <v>78.879252721596444</v>
      </c>
      <c r="J165" s="60">
        <f t="shared" si="64"/>
        <v>8.7401642888024197E-2</v>
      </c>
      <c r="K165" s="60">
        <f t="shared" ref="K165:K171" si="65">1-J165</f>
        <v>0.91259835711197579</v>
      </c>
      <c r="L165" s="60">
        <f>SUM($F$161:F165)</f>
        <v>0.83569842239986436</v>
      </c>
      <c r="M165" s="60">
        <v>1</v>
      </c>
      <c r="N165" s="62">
        <f t="shared" ref="N165:N171" si="66">+(L165-J165)/(L165+M165-1)</f>
        <v>0.89541485236141294</v>
      </c>
      <c r="O165" s="143">
        <f t="shared" ref="O165:O171" si="67">1-N165</f>
        <v>0.10458514763858706</v>
      </c>
      <c r="P165" s="62">
        <f t="shared" ref="P165:P171" si="68">+N165*M165/K165</f>
        <v>0.98117079149151432</v>
      </c>
      <c r="Q165" s="62">
        <f t="shared" ref="Q165:Q171" si="69">+O165*L165/J165</f>
        <v>0.99999999999999889</v>
      </c>
      <c r="R165" s="144">
        <f t="shared" ref="R165:R171" si="70">+N165*M165+O165*L165</f>
        <v>0.98281649524943704</v>
      </c>
    </row>
    <row r="166" spans="2:18">
      <c r="B166" s="127"/>
      <c r="C166" s="128" t="s">
        <v>12</v>
      </c>
      <c r="D166" s="129">
        <v>180</v>
      </c>
      <c r="E166" s="130">
        <f>18.26+13.54</f>
        <v>31.8</v>
      </c>
      <c r="F166" s="122">
        <f t="shared" si="63"/>
        <v>1.9243453897404551E-2</v>
      </c>
      <c r="G166" s="123">
        <f>SUM(E167:E$172)/$E$173</f>
        <v>0.14505812370273097</v>
      </c>
      <c r="J166" s="60">
        <f t="shared" si="64"/>
        <v>0.13537397319498484</v>
      </c>
      <c r="K166" s="60">
        <f t="shared" si="65"/>
        <v>0.86462602680501521</v>
      </c>
      <c r="L166" s="60">
        <f>SUM($F$161:F166)</f>
        <v>0.85494187629726892</v>
      </c>
      <c r="M166" s="60">
        <v>1</v>
      </c>
      <c r="N166" s="62">
        <f t="shared" si="66"/>
        <v>0.841657103309425</v>
      </c>
      <c r="O166" s="143">
        <f t="shared" si="67"/>
        <v>0.158342896690575</v>
      </c>
      <c r="P166" s="62">
        <f t="shared" si="68"/>
        <v>0.97343484606811403</v>
      </c>
      <c r="Q166" s="62">
        <f t="shared" si="69"/>
        <v>0.99999999999999978</v>
      </c>
      <c r="R166" s="144">
        <f t="shared" si="70"/>
        <v>0.97703107650440979</v>
      </c>
    </row>
    <row r="167" spans="2:18">
      <c r="B167" s="127"/>
      <c r="C167" s="128" t="s">
        <v>13</v>
      </c>
      <c r="D167" s="129">
        <v>150</v>
      </c>
      <c r="E167" s="130">
        <v>37.5</v>
      </c>
      <c r="F167" s="122">
        <f t="shared" si="63"/>
        <v>2.2692752237505366E-2</v>
      </c>
      <c r="G167" s="123">
        <f>SUM(E168:E$172)/$E$173</f>
        <v>0.12236537146522561</v>
      </c>
      <c r="J167" s="60">
        <f t="shared" si="64"/>
        <v>0.21016861219195848</v>
      </c>
      <c r="K167" s="60">
        <f t="shared" si="65"/>
        <v>0.78983138780804152</v>
      </c>
      <c r="L167" s="60">
        <f>SUM($F$161:F167)</f>
        <v>0.87763462853477425</v>
      </c>
      <c r="M167" s="60">
        <v>1</v>
      </c>
      <c r="N167" s="62">
        <f t="shared" si="66"/>
        <v>0.76052835045622746</v>
      </c>
      <c r="O167" s="143">
        <f t="shared" si="67"/>
        <v>0.23947164954377254</v>
      </c>
      <c r="P167" s="62">
        <f t="shared" si="68"/>
        <v>0.96289962920676464</v>
      </c>
      <c r="Q167" s="62">
        <f t="shared" si="69"/>
        <v>0.99999999999999989</v>
      </c>
      <c r="R167" s="144">
        <f t="shared" si="70"/>
        <v>0.97069696264818595</v>
      </c>
    </row>
    <row r="168" spans="2:18">
      <c r="B168" s="127"/>
      <c r="C168" s="128" t="s">
        <v>9</v>
      </c>
      <c r="D168" s="129">
        <v>106</v>
      </c>
      <c r="E168" s="130">
        <v>38.71</v>
      </c>
      <c r="F168" s="122">
        <f t="shared" si="63"/>
        <v>2.3424971709702209E-2</v>
      </c>
      <c r="G168" s="123">
        <f>SUM(E169:E$172)/$E$173</f>
        <v>9.8940399755523406E-2</v>
      </c>
      <c r="J168" s="60">
        <f t="shared" si="64"/>
        <v>0.35192390834414178</v>
      </c>
      <c r="K168" s="60">
        <f t="shared" si="65"/>
        <v>0.64807609165585822</v>
      </c>
      <c r="L168" s="60">
        <f>SUM($F$161:F168)</f>
        <v>0.90105960024447651</v>
      </c>
      <c r="M168" s="60">
        <v>1</v>
      </c>
      <c r="N168" s="62">
        <f t="shared" si="66"/>
        <v>0.60943326251819818</v>
      </c>
      <c r="O168" s="143">
        <f t="shared" si="67"/>
        <v>0.39056673748180182</v>
      </c>
      <c r="P168" s="62">
        <f t="shared" si="68"/>
        <v>0.94037300614048858</v>
      </c>
      <c r="Q168" s="62">
        <f t="shared" si="69"/>
        <v>0.99999999999999989</v>
      </c>
      <c r="R168" s="144">
        <f t="shared" si="70"/>
        <v>0.96135717086233985</v>
      </c>
    </row>
    <row r="169" spans="2:18">
      <c r="B169" s="127"/>
      <c r="C169" s="128" t="s">
        <v>8</v>
      </c>
      <c r="D169" s="129">
        <v>75</v>
      </c>
      <c r="E169" s="130">
        <v>23.94</v>
      </c>
      <c r="F169" s="122">
        <f t="shared" si="63"/>
        <v>1.4487053028423428E-2</v>
      </c>
      <c r="G169" s="123">
        <f>SUM(E170:E$172)/$E$173</f>
        <v>8.4453346727099976E-2</v>
      </c>
      <c r="J169" s="60">
        <f t="shared" si="64"/>
        <v>0.46749675745784691</v>
      </c>
      <c r="K169" s="60">
        <f t="shared" si="65"/>
        <v>0.53250324254215309</v>
      </c>
      <c r="L169" s="60">
        <f>SUM($F$161:F169)</f>
        <v>0.91554665327289997</v>
      </c>
      <c r="M169" s="60">
        <v>1</v>
      </c>
      <c r="N169" s="62">
        <f t="shared" si="66"/>
        <v>0.48937964462363814</v>
      </c>
      <c r="O169" s="143">
        <f t="shared" si="67"/>
        <v>0.51062035537636186</v>
      </c>
      <c r="P169" s="62">
        <f t="shared" si="68"/>
        <v>0.91901721065087927</v>
      </c>
      <c r="Q169" s="62">
        <f t="shared" si="69"/>
        <v>1</v>
      </c>
      <c r="R169" s="144">
        <f t="shared" si="70"/>
        <v>0.95687640208148506</v>
      </c>
    </row>
    <row r="170" spans="2:18">
      <c r="B170" s="127"/>
      <c r="C170" s="128" t="s">
        <v>7</v>
      </c>
      <c r="D170" s="129">
        <v>53</v>
      </c>
      <c r="E170" s="130">
        <v>20.04</v>
      </c>
      <c r="F170" s="122">
        <f t="shared" si="63"/>
        <v>1.2127006795722869E-2</v>
      </c>
      <c r="G170" s="123">
        <f>SUM(E171:E$172)/$E$173</f>
        <v>7.2326339931377118E-2</v>
      </c>
      <c r="J170" s="60">
        <f t="shared" si="64"/>
        <v>0.5675918720276697</v>
      </c>
      <c r="K170" s="60">
        <f t="shared" si="65"/>
        <v>0.4324081279723303</v>
      </c>
      <c r="L170" s="60">
        <f>SUM($F$161:F170)</f>
        <v>0.92767366006862284</v>
      </c>
      <c r="M170" s="60">
        <v>1</v>
      </c>
      <c r="N170" s="62">
        <f t="shared" si="66"/>
        <v>0.38815566673987145</v>
      </c>
      <c r="O170" s="143">
        <f t="shared" si="67"/>
        <v>0.61184433326012855</v>
      </c>
      <c r="P170" s="62">
        <f t="shared" si="68"/>
        <v>0.89766043150028263</v>
      </c>
      <c r="Q170" s="62">
        <f t="shared" si="69"/>
        <v>1</v>
      </c>
      <c r="R170" s="144">
        <f t="shared" si="70"/>
        <v>0.95574753876754115</v>
      </c>
    </row>
    <row r="171" spans="2:18">
      <c r="B171" s="127"/>
      <c r="C171" s="128" t="s">
        <v>17</v>
      </c>
      <c r="D171" s="129">
        <v>38</v>
      </c>
      <c r="E171" s="130">
        <v>15.14</v>
      </c>
      <c r="F171" s="122">
        <f t="shared" si="63"/>
        <v>9.1618205033555007E-3</v>
      </c>
      <c r="G171" s="123">
        <f>SUM(E172:E$172)/$E$173</f>
        <v>6.3164519428021607E-2</v>
      </c>
      <c r="J171" s="60">
        <f t="shared" si="64"/>
        <v>0.63714656290531779</v>
      </c>
      <c r="K171" s="60">
        <f t="shared" si="65"/>
        <v>0.36285343709468221</v>
      </c>
      <c r="L171" s="60">
        <f>SUM($F$161:F171)</f>
        <v>0.9368354805719783</v>
      </c>
      <c r="M171" s="60">
        <v>1</v>
      </c>
      <c r="N171" s="62">
        <f t="shared" si="66"/>
        <v>0.31989492699794797</v>
      </c>
      <c r="O171" s="143">
        <f t="shared" si="67"/>
        <v>0.68010507300205203</v>
      </c>
      <c r="P171" s="62">
        <f t="shared" si="68"/>
        <v>0.88160919615176547</v>
      </c>
      <c r="Q171" s="62">
        <f t="shared" si="69"/>
        <v>1</v>
      </c>
      <c r="R171" s="144">
        <f t="shared" si="70"/>
        <v>0.95704148990326576</v>
      </c>
    </row>
    <row r="172" spans="2:18">
      <c r="B172" s="132"/>
      <c r="C172" s="133">
        <v>-38</v>
      </c>
      <c r="D172" s="134"/>
      <c r="E172" s="135">
        <f>4.79+99.59</f>
        <v>104.38000000000001</v>
      </c>
      <c r="F172" s="122">
        <f t="shared" si="63"/>
        <v>6.3164519428021607E-2</v>
      </c>
      <c r="G172" s="136"/>
    </row>
    <row r="173" spans="2:18">
      <c r="B173" s="137"/>
      <c r="C173" s="138" t="s">
        <v>6</v>
      </c>
      <c r="D173" s="139"/>
      <c r="E173" s="140">
        <f>SUM(E161:E172)</f>
        <v>1652.5100000000002</v>
      </c>
      <c r="F173" s="163">
        <f t="shared" ref="F173" si="71">E173/$E$173</f>
        <v>1</v>
      </c>
      <c r="G173" s="140"/>
    </row>
    <row r="174" spans="2:18" s="95" customFormat="1">
      <c r="C174" s="147"/>
      <c r="D174" s="148"/>
      <c r="E174" s="149"/>
      <c r="F174" s="150"/>
      <c r="G174" s="149"/>
    </row>
    <row r="175" spans="2:18">
      <c r="B175" s="168" t="s">
        <v>0</v>
      </c>
      <c r="C175" s="181" t="s">
        <v>1</v>
      </c>
      <c r="D175" s="182"/>
      <c r="E175" s="161" t="s">
        <v>2</v>
      </c>
      <c r="F175" s="162" t="s">
        <v>14</v>
      </c>
      <c r="G175" s="161" t="s">
        <v>3</v>
      </c>
    </row>
    <row r="176" spans="2:18">
      <c r="B176" s="166" t="s">
        <v>266</v>
      </c>
      <c r="C176" s="119" t="s">
        <v>16</v>
      </c>
      <c r="D176" s="120">
        <v>1180</v>
      </c>
      <c r="E176" s="121">
        <v>57.67</v>
      </c>
      <c r="F176" s="122">
        <f t="shared" ref="F176:F187" si="72">E176/$E$188</f>
        <v>0.10360562671792753</v>
      </c>
      <c r="G176" s="123">
        <f>SUM(E177:E$187)/$E$188</f>
        <v>0.89639437328207228</v>
      </c>
    </row>
    <row r="177" spans="2:18">
      <c r="B177" s="166" t="s">
        <v>4</v>
      </c>
      <c r="C177" s="120" t="s">
        <v>15</v>
      </c>
      <c r="D177" s="120">
        <v>600</v>
      </c>
      <c r="E177" s="121">
        <v>108.29</v>
      </c>
      <c r="F177" s="122">
        <f t="shared" si="72"/>
        <v>0.19454574852235779</v>
      </c>
      <c r="G177" s="123">
        <f>SUM(E178:E$187)/$E$188</f>
        <v>0.70184862475971443</v>
      </c>
    </row>
    <row r="178" spans="2:18">
      <c r="B178" s="167">
        <f>FORECAST(0.8,D176:D177,G176:G177)</f>
        <v>892.61907840059166</v>
      </c>
      <c r="C178" s="120" t="s">
        <v>11</v>
      </c>
      <c r="D178" s="120">
        <v>425</v>
      </c>
      <c r="E178" s="121">
        <v>111.61</v>
      </c>
      <c r="F178" s="122">
        <f t="shared" si="72"/>
        <v>0.20051021324757917</v>
      </c>
      <c r="G178" s="123">
        <f>SUM(E179:E$187)/$E$188</f>
        <v>0.50133841151213543</v>
      </c>
    </row>
    <row r="179" spans="2:18">
      <c r="B179" s="127"/>
      <c r="C179" s="120" t="s">
        <v>10</v>
      </c>
      <c r="D179" s="120">
        <v>300</v>
      </c>
      <c r="E179" s="121">
        <v>140.97999999999999</v>
      </c>
      <c r="F179" s="122">
        <f t="shared" si="72"/>
        <v>0.25327416775955303</v>
      </c>
      <c r="G179" s="123">
        <f>SUM(E180:E$187)/$E$188</f>
        <v>0.24806424375258254</v>
      </c>
      <c r="H179" s="125"/>
      <c r="J179" s="143">
        <f t="shared" ref="J179:J186" si="73">J164</f>
        <v>8.2663207955036757E-3</v>
      </c>
      <c r="K179" s="60">
        <f>1-J179</f>
        <v>0.99173367920449629</v>
      </c>
      <c r="L179" s="60">
        <f>SUM($F$176:F179)</f>
        <v>0.7519357562474176</v>
      </c>
      <c r="M179" s="60">
        <v>1</v>
      </c>
      <c r="N179" s="62">
        <f>+(L179-J179)/(L179+M179-1)</f>
        <v>0.98900661296284498</v>
      </c>
      <c r="O179" s="143">
        <f>1-N179</f>
        <v>1.0993387037155022E-2</v>
      </c>
      <c r="P179" s="62">
        <f>+N179*M179/K179</f>
        <v>0.99725020305467615</v>
      </c>
      <c r="Q179" s="62">
        <f>+O179*L179/J179</f>
        <v>1.0000000000000053</v>
      </c>
      <c r="R179" s="144">
        <f>+N179*M179+O179*L179</f>
        <v>0.99727293375834869</v>
      </c>
    </row>
    <row r="180" spans="2:18">
      <c r="B180" s="127"/>
      <c r="C180" s="128" t="s">
        <v>5</v>
      </c>
      <c r="D180" s="172">
        <v>212</v>
      </c>
      <c r="E180" s="176">
        <v>84.74</v>
      </c>
      <c r="F180" s="174">
        <f t="shared" si="72"/>
        <v>0.15223757253471784</v>
      </c>
      <c r="G180" s="177">
        <f>SUM(E181:E$187)/$E$188</f>
        <v>9.5826671217864659E-2</v>
      </c>
      <c r="H180" s="131">
        <f>SUM(F181:F187)*100</f>
        <v>9.5826671217864643</v>
      </c>
      <c r="I180" s="125">
        <f>($I$208-H180)/($I$208*(100-H180))*10000</f>
        <v>88.614507046925453</v>
      </c>
      <c r="J180" s="143">
        <f t="shared" si="73"/>
        <v>8.7401642888024197E-2</v>
      </c>
      <c r="K180" s="60">
        <f t="shared" ref="K180:K186" si="74">1-J180</f>
        <v>0.91259835711197579</v>
      </c>
      <c r="L180" s="60">
        <f>SUM($F$176:F180)</f>
        <v>0.90417332878213541</v>
      </c>
      <c r="M180" s="60">
        <v>1</v>
      </c>
      <c r="N180" s="62">
        <f t="shared" ref="N180:N186" si="75">+(L180-J180)/(L180+M180-1)</f>
        <v>0.90333530075948076</v>
      </c>
      <c r="O180" s="143">
        <f t="shared" ref="O180:O186" si="76">1-N180</f>
        <v>9.6664699240519236E-2</v>
      </c>
      <c r="P180" s="62">
        <f t="shared" ref="P180:P186" si="77">+N180*M180/K180</f>
        <v>0.98984979944319751</v>
      </c>
      <c r="Q180" s="62">
        <f t="shared" ref="Q180:Q186" si="78">+O180*L180/J180</f>
        <v>1.0000000000000004</v>
      </c>
      <c r="R180" s="144">
        <f t="shared" ref="R180:R186" si="79">+N180*M180+O180*L180</f>
        <v>0.99073694364750498</v>
      </c>
    </row>
    <row r="181" spans="2:18">
      <c r="B181" s="127"/>
      <c r="C181" s="128" t="s">
        <v>12</v>
      </c>
      <c r="D181" s="129">
        <v>180</v>
      </c>
      <c r="E181" s="130">
        <v>13.03</v>
      </c>
      <c r="F181" s="122">
        <f t="shared" si="72"/>
        <v>2.3408727520974434E-2</v>
      </c>
      <c r="G181" s="123">
        <f>SUM(E182:E$187)/$E$188</f>
        <v>7.2417943696890225E-2</v>
      </c>
      <c r="J181" s="143">
        <f t="shared" si="73"/>
        <v>0.13537397319498484</v>
      </c>
      <c r="K181" s="60">
        <f t="shared" si="74"/>
        <v>0.86462602680501521</v>
      </c>
      <c r="L181" s="60">
        <f>SUM($F$176:F181)</f>
        <v>0.92758205630310986</v>
      </c>
      <c r="M181" s="60">
        <v>1</v>
      </c>
      <c r="N181" s="62">
        <f t="shared" si="75"/>
        <v>0.8540571453758824</v>
      </c>
      <c r="O181" s="143">
        <f t="shared" si="76"/>
        <v>0.1459428546241176</v>
      </c>
      <c r="P181" s="62">
        <f t="shared" si="77"/>
        <v>0.98777635520852036</v>
      </c>
      <c r="Q181" s="62">
        <f t="shared" si="78"/>
        <v>1</v>
      </c>
      <c r="R181" s="144">
        <f t="shared" si="79"/>
        <v>0.9894311185708673</v>
      </c>
    </row>
    <row r="182" spans="2:18">
      <c r="B182" s="127"/>
      <c r="C182" s="128" t="s">
        <v>13</v>
      </c>
      <c r="D182" s="129">
        <v>150</v>
      </c>
      <c r="E182" s="145">
        <f>20.18-13.03</f>
        <v>7.15</v>
      </c>
      <c r="F182" s="122">
        <f t="shared" si="72"/>
        <v>1.2845157465461797E-2</v>
      </c>
      <c r="G182" s="123">
        <f>SUM(E183:E$187)/$E$188</f>
        <v>5.9572786231428414E-2</v>
      </c>
      <c r="J182" s="143">
        <f t="shared" si="73"/>
        <v>0.21016861219195848</v>
      </c>
      <c r="K182" s="60">
        <f t="shared" si="74"/>
        <v>0.78983138780804152</v>
      </c>
      <c r="L182" s="60">
        <f>SUM($F$176:F182)</f>
        <v>0.94042721376857163</v>
      </c>
      <c r="M182" s="60">
        <v>1</v>
      </c>
      <c r="N182" s="62">
        <f t="shared" si="75"/>
        <v>0.77651793874642316</v>
      </c>
      <c r="O182" s="143">
        <f t="shared" si="76"/>
        <v>0.22348206125357684</v>
      </c>
      <c r="P182" s="62">
        <f t="shared" si="77"/>
        <v>0.98314393519031174</v>
      </c>
      <c r="Q182" s="62">
        <f t="shared" si="78"/>
        <v>1.0000000000000002</v>
      </c>
      <c r="R182" s="144">
        <f t="shared" si="79"/>
        <v>0.98668655093838176</v>
      </c>
    </row>
    <row r="183" spans="2:18">
      <c r="B183" s="127"/>
      <c r="C183" s="128" t="s">
        <v>9</v>
      </c>
      <c r="D183" s="129">
        <v>106</v>
      </c>
      <c r="E183" s="130">
        <v>7.9</v>
      </c>
      <c r="F183" s="122">
        <f t="shared" si="72"/>
        <v>1.4192551605195553E-2</v>
      </c>
      <c r="G183" s="123">
        <f>SUM(E184:E$187)/$E$188</f>
        <v>4.5380234626232863E-2</v>
      </c>
      <c r="J183" s="143">
        <f t="shared" si="73"/>
        <v>0.35192390834414178</v>
      </c>
      <c r="K183" s="60">
        <f t="shared" si="74"/>
        <v>0.64807609165585822</v>
      </c>
      <c r="L183" s="60">
        <f>SUM($F$176:F183)</f>
        <v>0.95461976537376714</v>
      </c>
      <c r="M183" s="60">
        <v>1</v>
      </c>
      <c r="N183" s="62">
        <f t="shared" si="75"/>
        <v>0.63134650977360474</v>
      </c>
      <c r="O183" s="143">
        <f t="shared" si="76"/>
        <v>0.36865349022639526</v>
      </c>
      <c r="P183" s="62">
        <f t="shared" si="77"/>
        <v>0.97418577525440142</v>
      </c>
      <c r="Q183" s="62">
        <f t="shared" si="78"/>
        <v>1</v>
      </c>
      <c r="R183" s="144">
        <f t="shared" si="79"/>
        <v>0.98327041811774651</v>
      </c>
    </row>
    <row r="184" spans="2:18">
      <c r="B184" s="127"/>
      <c r="C184" s="128" t="s">
        <v>8</v>
      </c>
      <c r="D184" s="129">
        <v>75</v>
      </c>
      <c r="E184" s="130">
        <v>3.89</v>
      </c>
      <c r="F184" s="122">
        <f t="shared" si="72"/>
        <v>6.9884842714190761E-3</v>
      </c>
      <c r="G184" s="123">
        <f>SUM(E185:E$187)/$E$188</f>
        <v>3.8391750354813785E-2</v>
      </c>
      <c r="J184" s="143">
        <f t="shared" si="73"/>
        <v>0.46749675745784691</v>
      </c>
      <c r="K184" s="60">
        <f t="shared" si="74"/>
        <v>0.53250324254215309</v>
      </c>
      <c r="L184" s="60">
        <f>SUM($F$176:F184)</f>
        <v>0.96160824964518621</v>
      </c>
      <c r="M184" s="60">
        <v>1</v>
      </c>
      <c r="N184" s="62">
        <f t="shared" si="75"/>
        <v>0.51383865765466996</v>
      </c>
      <c r="O184" s="143">
        <f t="shared" si="76"/>
        <v>0.48616134234533004</v>
      </c>
      <c r="P184" s="62">
        <f t="shared" si="77"/>
        <v>0.96494934979479374</v>
      </c>
      <c r="Q184" s="62">
        <f t="shared" si="78"/>
        <v>1.0000000000000002</v>
      </c>
      <c r="R184" s="144">
        <f t="shared" si="79"/>
        <v>0.98133541511251687</v>
      </c>
    </row>
    <row r="185" spans="2:18">
      <c r="B185" s="127"/>
      <c r="C185" s="128" t="s">
        <v>7</v>
      </c>
      <c r="D185" s="129">
        <v>53</v>
      </c>
      <c r="E185" s="130">
        <v>2.94</v>
      </c>
      <c r="F185" s="122">
        <f t="shared" si="72"/>
        <v>5.2817850277563196E-3</v>
      </c>
      <c r="G185" s="123">
        <f>SUM(E186:E$187)/$E$188</f>
        <v>3.310996532705747E-2</v>
      </c>
      <c r="J185" s="143">
        <f t="shared" si="73"/>
        <v>0.5675918720276697</v>
      </c>
      <c r="K185" s="60">
        <f t="shared" si="74"/>
        <v>0.4324081279723303</v>
      </c>
      <c r="L185" s="60">
        <f>SUM($F$176:F185)</f>
        <v>0.96689003467294254</v>
      </c>
      <c r="M185" s="60">
        <v>1</v>
      </c>
      <c r="N185" s="62">
        <f t="shared" si="75"/>
        <v>0.41297163930367564</v>
      </c>
      <c r="O185" s="143">
        <f t="shared" si="76"/>
        <v>0.58702836069632436</v>
      </c>
      <c r="P185" s="62">
        <f t="shared" si="77"/>
        <v>0.95505059361442346</v>
      </c>
      <c r="Q185" s="62">
        <f t="shared" si="78"/>
        <v>1</v>
      </c>
      <c r="R185" s="144">
        <f t="shared" si="79"/>
        <v>0.98056351133134534</v>
      </c>
    </row>
    <row r="186" spans="2:18">
      <c r="B186" s="127"/>
      <c r="C186" s="128" t="s">
        <v>17</v>
      </c>
      <c r="D186" s="129">
        <v>38</v>
      </c>
      <c r="E186" s="135">
        <v>2.09</v>
      </c>
      <c r="F186" s="122">
        <f t="shared" si="72"/>
        <v>3.7547383360580634E-3</v>
      </c>
      <c r="G186" s="123">
        <f>SUM(E187:E$187)/$E$188</f>
        <v>2.9355226990999406E-2</v>
      </c>
      <c r="J186" s="143">
        <f t="shared" si="73"/>
        <v>0.63714656290531779</v>
      </c>
      <c r="K186" s="60">
        <f t="shared" si="74"/>
        <v>0.36285343709468221</v>
      </c>
      <c r="L186" s="60">
        <f>SUM($F$176:F186)</f>
        <v>0.97064477300900065</v>
      </c>
      <c r="M186" s="60">
        <v>1</v>
      </c>
      <c r="N186" s="62">
        <f t="shared" si="75"/>
        <v>0.34358420235431525</v>
      </c>
      <c r="O186" s="143">
        <f t="shared" si="76"/>
        <v>0.65641579764568481</v>
      </c>
      <c r="P186" s="62">
        <f t="shared" si="77"/>
        <v>0.94689526742628349</v>
      </c>
      <c r="Q186" s="62">
        <f t="shared" si="78"/>
        <v>1</v>
      </c>
      <c r="R186" s="144">
        <f t="shared" si="79"/>
        <v>0.9807307652596331</v>
      </c>
    </row>
    <row r="187" spans="2:18">
      <c r="B187" s="132"/>
      <c r="C187" s="133">
        <v>-38</v>
      </c>
      <c r="D187" s="134"/>
      <c r="E187" s="135">
        <f>1.33+15.01</f>
        <v>16.34</v>
      </c>
      <c r="F187" s="122">
        <f t="shared" si="72"/>
        <v>2.9355226990999406E-2</v>
      </c>
      <c r="G187" s="136"/>
    </row>
    <row r="188" spans="2:18">
      <c r="B188" s="137"/>
      <c r="C188" s="138" t="s">
        <v>6</v>
      </c>
      <c r="D188" s="139"/>
      <c r="E188" s="140">
        <f>SUM(E176:E187)</f>
        <v>556.63</v>
      </c>
      <c r="F188" s="163">
        <f t="shared" ref="F188" si="80">E188/$E$188</f>
        <v>1</v>
      </c>
      <c r="G188" s="140"/>
    </row>
    <row r="189" spans="2:18" s="95" customFormat="1">
      <c r="C189" s="147"/>
      <c r="D189" s="148"/>
      <c r="E189" s="149"/>
      <c r="F189" s="150"/>
      <c r="G189" s="149"/>
    </row>
    <row r="190" spans="2:18">
      <c r="B190" s="168" t="s">
        <v>0</v>
      </c>
      <c r="C190" s="181" t="s">
        <v>1</v>
      </c>
      <c r="D190" s="182"/>
      <c r="E190" s="161" t="s">
        <v>2</v>
      </c>
      <c r="F190" s="162" t="s">
        <v>14</v>
      </c>
      <c r="G190" s="161" t="s">
        <v>3</v>
      </c>
    </row>
    <row r="191" spans="2:18">
      <c r="B191" s="166" t="s">
        <v>267</v>
      </c>
      <c r="C191" s="119" t="s">
        <v>16</v>
      </c>
      <c r="D191" s="120">
        <v>1180</v>
      </c>
      <c r="E191" s="121">
        <v>213.77</v>
      </c>
      <c r="F191" s="122">
        <f t="shared" ref="F191:F202" si="81">E191/$E$203</f>
        <v>0.18844987481928138</v>
      </c>
      <c r="G191" s="123">
        <f>SUM(E192:E$202)/$E$203</f>
        <v>0.81155012518071878</v>
      </c>
    </row>
    <row r="192" spans="2:18">
      <c r="B192" s="166" t="s">
        <v>4</v>
      </c>
      <c r="C192" s="120" t="s">
        <v>15</v>
      </c>
      <c r="D192" s="120">
        <v>600</v>
      </c>
      <c r="E192" s="121">
        <v>269.85000000000002</v>
      </c>
      <c r="F192" s="122">
        <f t="shared" si="81"/>
        <v>0.23788744313974403</v>
      </c>
      <c r="G192" s="123">
        <f>SUM(E193:E$202)/$E$203</f>
        <v>0.5736626820409747</v>
      </c>
    </row>
    <row r="193" spans="2:18">
      <c r="B193" s="167">
        <f>FORECAST(0.8,D191:D192,G191:G192)</f>
        <v>1151.8393181397068</v>
      </c>
      <c r="C193" s="120" t="s">
        <v>11</v>
      </c>
      <c r="D193" s="120">
        <v>425</v>
      </c>
      <c r="E193" s="121">
        <v>209.03</v>
      </c>
      <c r="F193" s="122">
        <f t="shared" si="81"/>
        <v>0.18427130716880005</v>
      </c>
      <c r="G193" s="123">
        <f>SUM(E194:E$202)/$E$203</f>
        <v>0.38939137487217468</v>
      </c>
    </row>
    <row r="194" spans="2:18">
      <c r="B194" s="127"/>
      <c r="C194" s="120" t="s">
        <v>10</v>
      </c>
      <c r="D194" s="120">
        <v>300</v>
      </c>
      <c r="E194" s="121">
        <v>253.21</v>
      </c>
      <c r="F194" s="122">
        <f t="shared" si="81"/>
        <v>0.22321837864522728</v>
      </c>
      <c r="G194" s="123">
        <f>SUM(E195:E$202)/$E$203</f>
        <v>0.16617299622694737</v>
      </c>
      <c r="H194" s="125"/>
      <c r="J194" s="143">
        <f t="shared" ref="J194:J201" si="82">+J179</f>
        <v>8.2663207955036757E-3</v>
      </c>
      <c r="K194" s="60">
        <f>1-J194</f>
        <v>0.99173367920449629</v>
      </c>
      <c r="L194" s="60">
        <f>SUM($F$191:F194)</f>
        <v>0.83382700377305274</v>
      </c>
      <c r="M194" s="60">
        <v>1</v>
      </c>
      <c r="N194" s="62">
        <f>+(L194-J194)/(L194+M194-1)</f>
        <v>0.99008628797328602</v>
      </c>
      <c r="O194" s="143">
        <f>1-N194</f>
        <v>9.9137120267139833E-3</v>
      </c>
      <c r="P194" s="62">
        <f>+N194*M194/K194</f>
        <v>0.99833887739646832</v>
      </c>
      <c r="Q194" s="62">
        <f>+O194*L194/J194</f>
        <v>1.0000000000000149</v>
      </c>
      <c r="R194" s="144">
        <f>+N194*M194+O194*L194</f>
        <v>0.99835260876878984</v>
      </c>
    </row>
    <row r="195" spans="2:18">
      <c r="B195" s="127"/>
      <c r="C195" s="128" t="s">
        <v>5</v>
      </c>
      <c r="D195" s="172">
        <v>212</v>
      </c>
      <c r="E195" s="176">
        <v>104</v>
      </c>
      <c r="F195" s="174">
        <f t="shared" si="81"/>
        <v>9.1681653090729578E-2</v>
      </c>
      <c r="G195" s="177">
        <f>SUM(E196:E$202)/$E$203</f>
        <v>7.4491343136217789E-2</v>
      </c>
      <c r="H195" s="131">
        <f>SUM(F196:F202)*100</f>
        <v>7.4491343136217791</v>
      </c>
      <c r="I195" s="125">
        <f>($H$195-H195)/($I$208*(100-H195))*10000</f>
        <v>0</v>
      </c>
      <c r="J195" s="143">
        <f t="shared" si="82"/>
        <v>8.7401642888024197E-2</v>
      </c>
      <c r="K195" s="60">
        <f t="shared" ref="K195:K201" si="83">1-J195</f>
        <v>0.91259835711197579</v>
      </c>
      <c r="L195" s="60">
        <f>SUM($F$191:F195)</f>
        <v>0.92550865686378236</v>
      </c>
      <c r="M195" s="60">
        <v>1</v>
      </c>
      <c r="N195" s="62">
        <f t="shared" ref="N195:N201" si="84">+(L195-J195)/(L195+M195-1)</f>
        <v>0.90556366789242471</v>
      </c>
      <c r="O195" s="143">
        <f t="shared" ref="O195:O201" si="85">1-N195</f>
        <v>9.4436332107575294E-2</v>
      </c>
      <c r="P195" s="62">
        <f t="shared" ref="P195:P201" si="86">+N195*M195/K195</f>
        <v>0.99229158241987947</v>
      </c>
      <c r="Q195" s="62">
        <f t="shared" ref="Q195:Q201" si="87">+O195*L195/J195</f>
        <v>0.99999999999999889</v>
      </c>
      <c r="R195" s="144">
        <f t="shared" ref="R195:R201" si="88">+N195*M195+O195*L195</f>
        <v>0.99296531078044881</v>
      </c>
    </row>
    <row r="196" spans="2:18">
      <c r="B196" s="127"/>
      <c r="C196" s="128" t="s">
        <v>12</v>
      </c>
      <c r="D196" s="129">
        <v>180</v>
      </c>
      <c r="E196" s="130">
        <v>14.76</v>
      </c>
      <c r="F196" s="122">
        <f t="shared" si="81"/>
        <v>1.3011742304030467E-2</v>
      </c>
      <c r="G196" s="123">
        <f>SUM(E197:E$202)/$E$203</f>
        <v>6.1479600832187328E-2</v>
      </c>
      <c r="J196" s="143">
        <f t="shared" si="82"/>
        <v>0.13537397319498484</v>
      </c>
      <c r="K196" s="60">
        <f t="shared" si="83"/>
        <v>0.86462602680501521</v>
      </c>
      <c r="L196" s="60">
        <f>SUM($F$191:F196)</f>
        <v>0.93852039916781282</v>
      </c>
      <c r="M196" s="60">
        <v>1</v>
      </c>
      <c r="N196" s="62">
        <f t="shared" si="84"/>
        <v>0.85575809186990393</v>
      </c>
      <c r="O196" s="143">
        <f t="shared" si="85"/>
        <v>0.14424190813009607</v>
      </c>
      <c r="P196" s="62">
        <f t="shared" si="86"/>
        <v>0.98974361786461562</v>
      </c>
      <c r="Q196" s="62">
        <f t="shared" si="87"/>
        <v>0.99999999999999933</v>
      </c>
      <c r="R196" s="144">
        <f t="shared" si="88"/>
        <v>0.99113206506488871</v>
      </c>
    </row>
    <row r="197" spans="2:18">
      <c r="B197" s="127"/>
      <c r="C197" s="128" t="s">
        <v>13</v>
      </c>
      <c r="D197" s="129">
        <v>150</v>
      </c>
      <c r="E197" s="130">
        <v>16</v>
      </c>
      <c r="F197" s="122">
        <f t="shared" si="81"/>
        <v>1.410486970626609E-2</v>
      </c>
      <c r="G197" s="123">
        <f>SUM(E198:E$202)/$E$203</f>
        <v>4.7374731125921221E-2</v>
      </c>
      <c r="J197" s="143">
        <f t="shared" si="82"/>
        <v>0.21016861219195848</v>
      </c>
      <c r="K197" s="60">
        <f t="shared" si="83"/>
        <v>0.78983138780804152</v>
      </c>
      <c r="L197" s="60">
        <f>SUM($F$191:F197)</f>
        <v>0.95262526887407895</v>
      </c>
      <c r="M197" s="60">
        <v>1</v>
      </c>
      <c r="N197" s="62">
        <f t="shared" si="84"/>
        <v>0.77937955347294152</v>
      </c>
      <c r="O197" s="143">
        <f t="shared" si="85"/>
        <v>0.22062044652705848</v>
      </c>
      <c r="P197" s="62">
        <f t="shared" si="86"/>
        <v>0.98676700559583208</v>
      </c>
      <c r="Q197" s="62">
        <f t="shared" si="87"/>
        <v>0.99999999999999978</v>
      </c>
      <c r="R197" s="144">
        <f t="shared" si="88"/>
        <v>0.98954816566489989</v>
      </c>
    </row>
    <row r="198" spans="2:18">
      <c r="B198" s="127"/>
      <c r="C198" s="128" t="s">
        <v>9</v>
      </c>
      <c r="D198" s="129">
        <v>106</v>
      </c>
      <c r="E198" s="130">
        <v>14.55</v>
      </c>
      <c r="F198" s="122">
        <f t="shared" si="81"/>
        <v>1.2826615889135726E-2</v>
      </c>
      <c r="G198" s="123">
        <f>SUM(E199:E$202)/$E$203</f>
        <v>3.4548115236785498E-2</v>
      </c>
      <c r="J198" s="143">
        <f t="shared" si="82"/>
        <v>0.35192390834414178</v>
      </c>
      <c r="K198" s="60">
        <f t="shared" si="83"/>
        <v>0.64807609165585822</v>
      </c>
      <c r="L198" s="60">
        <f>SUM($F$191:F198)</f>
        <v>0.96545188476321464</v>
      </c>
      <c r="M198" s="60">
        <v>1</v>
      </c>
      <c r="N198" s="62">
        <f t="shared" si="84"/>
        <v>0.63548270618327696</v>
      </c>
      <c r="O198" s="143">
        <f t="shared" si="85"/>
        <v>0.36451729381672304</v>
      </c>
      <c r="P198" s="62">
        <f t="shared" si="86"/>
        <v>0.98056804496458938</v>
      </c>
      <c r="Q198" s="62">
        <f t="shared" si="87"/>
        <v>0.99999999999999989</v>
      </c>
      <c r="R198" s="144">
        <f t="shared" si="88"/>
        <v>0.98740661452741874</v>
      </c>
    </row>
    <row r="199" spans="2:18">
      <c r="B199" s="127"/>
      <c r="C199" s="128" t="s">
        <v>8</v>
      </c>
      <c r="D199" s="129">
        <v>75</v>
      </c>
      <c r="E199" s="130">
        <v>6.67</v>
      </c>
      <c r="F199" s="122">
        <f t="shared" si="81"/>
        <v>5.8799675587996756E-3</v>
      </c>
      <c r="G199" s="123">
        <f>SUM(E200:E$202)/$E$203</f>
        <v>2.8668147677985829E-2</v>
      </c>
      <c r="J199" s="143">
        <f t="shared" si="82"/>
        <v>0.46749675745784691</v>
      </c>
      <c r="K199" s="60">
        <f t="shared" si="83"/>
        <v>0.53250324254215309</v>
      </c>
      <c r="L199" s="60">
        <f>SUM($F$191:F199)</f>
        <v>0.97133185232201436</v>
      </c>
      <c r="M199" s="60">
        <v>1</v>
      </c>
      <c r="N199" s="62">
        <f t="shared" si="84"/>
        <v>0.51870541840023665</v>
      </c>
      <c r="O199" s="143">
        <f t="shared" si="85"/>
        <v>0.48129458159976335</v>
      </c>
      <c r="P199" s="62">
        <f t="shared" si="86"/>
        <v>0.97408875094159786</v>
      </c>
      <c r="Q199" s="62">
        <f t="shared" si="87"/>
        <v>1.0000000000000002</v>
      </c>
      <c r="R199" s="144">
        <f t="shared" si="88"/>
        <v>0.98620217585808367</v>
      </c>
    </row>
    <row r="200" spans="2:18">
      <c r="B200" s="127"/>
      <c r="C200" s="128" t="s">
        <v>7</v>
      </c>
      <c r="D200" s="129">
        <v>53</v>
      </c>
      <c r="E200" s="130">
        <v>4.58</v>
      </c>
      <c r="F200" s="122">
        <f t="shared" si="81"/>
        <v>4.0375189534186682E-3</v>
      </c>
      <c r="G200" s="123">
        <f>SUM(E201:E$202)/$E$203</f>
        <v>2.4630628724567161E-2</v>
      </c>
      <c r="J200" s="143">
        <f t="shared" si="82"/>
        <v>0.5675918720276697</v>
      </c>
      <c r="K200" s="60">
        <f t="shared" si="83"/>
        <v>0.4324081279723303</v>
      </c>
      <c r="L200" s="60">
        <f>SUM($F$191:F200)</f>
        <v>0.97536937127543299</v>
      </c>
      <c r="M200" s="60">
        <v>1</v>
      </c>
      <c r="N200" s="62">
        <f t="shared" si="84"/>
        <v>0.41807494807278672</v>
      </c>
      <c r="O200" s="143">
        <f t="shared" si="85"/>
        <v>0.58192505192721322</v>
      </c>
      <c r="P200" s="62">
        <f t="shared" si="86"/>
        <v>0.96685265846700097</v>
      </c>
      <c r="Q200" s="62">
        <f t="shared" si="87"/>
        <v>1</v>
      </c>
      <c r="R200" s="144">
        <f t="shared" si="88"/>
        <v>0.98566682010045636</v>
      </c>
    </row>
    <row r="201" spans="2:18">
      <c r="B201" s="127"/>
      <c r="C201" s="128" t="s">
        <v>17</v>
      </c>
      <c r="D201" s="129">
        <v>38</v>
      </c>
      <c r="E201" s="130">
        <v>3.09</v>
      </c>
      <c r="F201" s="122">
        <f t="shared" si="81"/>
        <v>2.7240029620226383E-3</v>
      </c>
      <c r="G201" s="123">
        <f>SUM(E202:E$202)/$E$203</f>
        <v>2.1906625762544523E-2</v>
      </c>
      <c r="J201" s="143">
        <f t="shared" si="82"/>
        <v>0.63714656290531779</v>
      </c>
      <c r="K201" s="60">
        <f t="shared" si="83"/>
        <v>0.36285343709468221</v>
      </c>
      <c r="L201" s="60">
        <f>SUM($F$191:F201)</f>
        <v>0.97809337423745568</v>
      </c>
      <c r="M201" s="60">
        <v>1</v>
      </c>
      <c r="N201" s="62">
        <f t="shared" si="84"/>
        <v>0.34858309064607251</v>
      </c>
      <c r="O201" s="143">
        <f t="shared" si="85"/>
        <v>0.65141690935392749</v>
      </c>
      <c r="P201" s="62">
        <f t="shared" si="86"/>
        <v>0.96067187191922332</v>
      </c>
      <c r="Q201" s="62">
        <f t="shared" si="87"/>
        <v>1</v>
      </c>
      <c r="R201" s="144">
        <f t="shared" si="88"/>
        <v>0.98572965355139031</v>
      </c>
    </row>
    <row r="202" spans="2:18">
      <c r="B202" s="132"/>
      <c r="C202" s="133">
        <v>-38</v>
      </c>
      <c r="D202" s="134"/>
      <c r="E202" s="135">
        <f>24.21+0.64</f>
        <v>24.85</v>
      </c>
      <c r="F202" s="122">
        <f t="shared" si="81"/>
        <v>2.1906625762544523E-2</v>
      </c>
      <c r="G202" s="136"/>
    </row>
    <row r="203" spans="2:18">
      <c r="B203" s="137"/>
      <c r="C203" s="138" t="s">
        <v>6</v>
      </c>
      <c r="D203" s="139"/>
      <c r="E203" s="140">
        <f>SUM(E191:E202)</f>
        <v>1134.3599999999999</v>
      </c>
      <c r="F203" s="163">
        <f t="shared" ref="F203" si="89">E203/$E$203</f>
        <v>1</v>
      </c>
      <c r="G203" s="140"/>
    </row>
    <row r="208" spans="2:18">
      <c r="I208" s="56">
        <f>I209*100</f>
        <v>48.209519990978691</v>
      </c>
    </row>
    <row r="209" spans="8:9">
      <c r="I209" s="60">
        <f>SUM(F30:F36)</f>
        <v>0.48209519990978689</v>
      </c>
    </row>
    <row r="222" spans="8:9">
      <c r="H222" s="125"/>
    </row>
    <row r="223" spans="8:9">
      <c r="H223" s="158"/>
    </row>
    <row r="239" spans="3:6">
      <c r="C239" s="56">
        <f>69.52-100</f>
        <v>-30.480000000000004</v>
      </c>
      <c r="D239" s="56">
        <f>C239/C240</f>
        <v>0.38080959520239888</v>
      </c>
      <c r="E239" s="56">
        <f>19.96/69.52</f>
        <v>0.28711162255466055</v>
      </c>
      <c r="F239" s="159">
        <f>69.52/19.96</f>
        <v>3.4829659318637272</v>
      </c>
    </row>
    <row r="240" spans="3:6">
      <c r="C240" s="56">
        <f>19.96-100</f>
        <v>-80.039999999999992</v>
      </c>
      <c r="D240" s="56">
        <f>D239*E239</f>
        <v>0.10933486076294421</v>
      </c>
    </row>
    <row r="242" spans="4:5">
      <c r="E242" s="56">
        <f>D239*F239</f>
        <v>1.3263468466167718</v>
      </c>
    </row>
    <row r="243" spans="4:5">
      <c r="D243" s="56">
        <f>D240*100</f>
        <v>10.933486076294422</v>
      </c>
    </row>
  </sheetData>
  <mergeCells count="17">
    <mergeCell ref="B1:G3"/>
    <mergeCell ref="C39:D39"/>
    <mergeCell ref="C54:D54"/>
    <mergeCell ref="C69:D69"/>
    <mergeCell ref="C84:D84"/>
    <mergeCell ref="A5:B5"/>
    <mergeCell ref="A6:B6"/>
    <mergeCell ref="A7:B7"/>
    <mergeCell ref="A8:B8"/>
    <mergeCell ref="C190:D190"/>
    <mergeCell ref="C24:D24"/>
    <mergeCell ref="C115:D115"/>
    <mergeCell ref="C99:D99"/>
    <mergeCell ref="C130:D130"/>
    <mergeCell ref="C145:D145"/>
    <mergeCell ref="C160:D160"/>
    <mergeCell ref="C175:D175"/>
  </mergeCells>
  <pageMargins left="0.70866141732283472" right="0.70866141732283472" top="1.299212598425197" bottom="0.74803149606299213" header="0.31496062992125984" footer="0.31496062992125984"/>
  <pageSetup scale="91" orientation="landscape" r:id="rId1"/>
  <drawing r:id="rId2"/>
</worksheet>
</file>

<file path=xl/worksheets/sheet4.xml><?xml version="1.0" encoding="utf-8"?>
<worksheet xmlns="http://schemas.openxmlformats.org/spreadsheetml/2006/main" xmlns:r="http://schemas.openxmlformats.org/officeDocument/2006/relationships">
  <dimension ref="A2:M24"/>
  <sheetViews>
    <sheetView showGridLines="0" topLeftCell="A2" zoomScaleNormal="100" workbookViewId="0">
      <selection activeCell="I9" sqref="I9"/>
    </sheetView>
  </sheetViews>
  <sheetFormatPr defaultColWidth="8.85546875" defaultRowHeight="15"/>
  <cols>
    <col min="1" max="1" width="20.28515625" style="25" bestFit="1" customWidth="1"/>
    <col min="2" max="2" width="8.85546875" style="25"/>
    <col min="3" max="3" width="17.42578125" style="25" bestFit="1" customWidth="1"/>
    <col min="4" max="5" width="10.7109375" style="25" customWidth="1"/>
    <col min="6" max="6" width="9.7109375" style="25" bestFit="1" customWidth="1"/>
    <col min="7" max="7" width="10.5703125" style="25" bestFit="1" customWidth="1"/>
    <col min="8" max="11" width="10.7109375" style="25" customWidth="1"/>
    <col min="12" max="12" width="8.85546875" style="25"/>
    <col min="13" max="13" width="59.42578125" style="25" bestFit="1" customWidth="1"/>
    <col min="14" max="16384" width="8.85546875" style="25"/>
  </cols>
  <sheetData>
    <row r="2" spans="1:13">
      <c r="A2" s="25" t="s">
        <v>152</v>
      </c>
    </row>
    <row r="5" spans="1:13" ht="28.9" customHeight="1">
      <c r="D5" s="192" t="s">
        <v>148</v>
      </c>
      <c r="E5" s="193"/>
      <c r="F5" s="192" t="s">
        <v>155</v>
      </c>
      <c r="G5" s="193"/>
      <c r="H5" s="194" t="s">
        <v>156</v>
      </c>
      <c r="I5" s="193"/>
      <c r="J5" s="81"/>
      <c r="K5" s="81"/>
      <c r="L5" s="43"/>
    </row>
    <row r="6" spans="1:13" ht="30">
      <c r="D6" s="85" t="s">
        <v>153</v>
      </c>
      <c r="E6" s="85" t="s">
        <v>147</v>
      </c>
      <c r="F6" s="85" t="s">
        <v>153</v>
      </c>
      <c r="G6" s="85" t="s">
        <v>147</v>
      </c>
      <c r="H6" s="85" t="s">
        <v>154</v>
      </c>
      <c r="I6" s="85" t="s">
        <v>151</v>
      </c>
      <c r="J6" s="43"/>
      <c r="K6" s="43"/>
      <c r="M6" s="25" t="s">
        <v>149</v>
      </c>
    </row>
    <row r="7" spans="1:13">
      <c r="A7" s="25" t="s">
        <v>146</v>
      </c>
      <c r="B7" s="25" t="s">
        <v>145</v>
      </c>
      <c r="C7" s="17" t="s">
        <v>150</v>
      </c>
      <c r="D7" s="82">
        <v>593.37</v>
      </c>
      <c r="E7" s="82">
        <v>17.63</v>
      </c>
      <c r="F7" s="83">
        <f>D7-$D$14</f>
        <v>18.870000000000005</v>
      </c>
      <c r="G7" s="83">
        <f>E7-$E$14</f>
        <v>-0.81000000000000227</v>
      </c>
      <c r="H7" s="84">
        <f>F7/$D$14</f>
        <v>3.2845953002610971E-2</v>
      </c>
      <c r="I7" s="84">
        <f>G7/$E$14</f>
        <v>-4.3926247288503376E-2</v>
      </c>
      <c r="J7" s="48"/>
      <c r="K7" s="48"/>
    </row>
    <row r="9" spans="1:13">
      <c r="A9" s="25" t="s">
        <v>144</v>
      </c>
      <c r="B9" s="25" t="s">
        <v>143</v>
      </c>
      <c r="C9" s="17" t="s">
        <v>142</v>
      </c>
      <c r="D9" s="82">
        <v>671.48</v>
      </c>
      <c r="E9" s="83">
        <v>15.57</v>
      </c>
      <c r="F9" s="83">
        <f>D9-$D$14</f>
        <v>96.980000000000018</v>
      </c>
      <c r="G9" s="83">
        <f>E9-$E$14</f>
        <v>-2.870000000000001</v>
      </c>
      <c r="H9" s="84">
        <f>F9/$D$14</f>
        <v>0.16880765883376853</v>
      </c>
      <c r="I9" s="84">
        <f>G9/$E$14</f>
        <v>-0.15563991323210416</v>
      </c>
      <c r="J9" s="80"/>
      <c r="K9" s="80"/>
      <c r="M9" s="25" t="str">
        <f>IF(OR((AND(D9&gt;$D$14,E9&lt;$E$14)),AND(D9&lt;$D$14,E9&gt;$E$14)),"OK_P80 and -38um makes sense","Not OK_P80 and -38um does not makes sense")</f>
        <v>OK_P80 and -38um makes sense</v>
      </c>
    </row>
    <row r="10" spans="1:13">
      <c r="C10" s="17" t="s">
        <v>141</v>
      </c>
      <c r="D10" s="82">
        <v>441.29</v>
      </c>
      <c r="E10" s="83">
        <v>22.25</v>
      </c>
      <c r="F10" s="83">
        <f>D10-$D$14</f>
        <v>-133.20999999999998</v>
      </c>
      <c r="G10" s="83">
        <f t="shared" ref="G10:G13" si="0">E10-$E$14</f>
        <v>3.8099999999999987</v>
      </c>
      <c r="H10" s="84">
        <f t="shared" ref="H10:H13" si="1">F10/$D$14</f>
        <v>-0.23187119234116618</v>
      </c>
      <c r="I10" s="84">
        <f t="shared" ref="I10:I13" si="2">G10/$E$14</f>
        <v>0.20661605206073744</v>
      </c>
      <c r="J10" s="80"/>
      <c r="K10" s="80"/>
      <c r="M10" s="25" t="str">
        <f>IF(OR((AND(D10&gt;$D$14,E10&lt;$E$14)),AND(D10&lt;$D$14,E10&gt;$E$14)),"OK_P80 and -38um makes sense","Not OK_P80 and -38um does not makes sense")</f>
        <v>OK_P80 and -38um makes sense</v>
      </c>
    </row>
    <row r="11" spans="1:13">
      <c r="C11" s="17" t="s">
        <v>140</v>
      </c>
      <c r="D11" s="82">
        <v>700.78</v>
      </c>
      <c r="E11" s="83">
        <v>16.399999999999999</v>
      </c>
      <c r="F11" s="83">
        <f>D11-$D$14</f>
        <v>126.27999999999997</v>
      </c>
      <c r="G11" s="83">
        <f t="shared" si="0"/>
        <v>-2.0400000000000027</v>
      </c>
      <c r="H11" s="84">
        <f t="shared" si="1"/>
        <v>0.21980852915578761</v>
      </c>
      <c r="I11" s="84">
        <f t="shared" si="2"/>
        <v>-0.11062906724511945</v>
      </c>
      <c r="J11" s="80"/>
      <c r="K11" s="80"/>
      <c r="M11" s="25" t="str">
        <f>IF(OR((AND(D11&gt;$D$14,E11&lt;$E$14)),AND(D11&lt;$D$14,E11&gt;$E$14)),"OK_P80 and -38um makes sense","Not OK_P80 and -38um does not makes sense")</f>
        <v>OK_P80 and -38um makes sense</v>
      </c>
    </row>
    <row r="12" spans="1:13">
      <c r="C12" s="17" t="s">
        <v>139</v>
      </c>
      <c r="D12" s="82">
        <v>493.41</v>
      </c>
      <c r="E12" s="83">
        <v>20.78</v>
      </c>
      <c r="F12" s="83">
        <f>D12-$D$14</f>
        <v>-81.089999999999975</v>
      </c>
      <c r="G12" s="83">
        <f t="shared" si="0"/>
        <v>2.34</v>
      </c>
      <c r="H12" s="84">
        <f t="shared" si="1"/>
        <v>-0.1411488250652741</v>
      </c>
      <c r="I12" s="84">
        <f t="shared" si="2"/>
        <v>0.12689804772234273</v>
      </c>
      <c r="J12" s="80"/>
      <c r="K12" s="80"/>
      <c r="M12" s="25" t="str">
        <f>IF(OR((AND(D12&gt;$D$14,E12&lt;$E$14)),AND(D12&lt;$D$14,E12&gt;$E$14)),"OK_P80 and -38um makes sense","Not OK_P80 and -38um does not makes sense")</f>
        <v>OK_P80 and -38um makes sense</v>
      </c>
    </row>
    <row r="13" spans="1:13">
      <c r="C13" s="17" t="s">
        <v>138</v>
      </c>
      <c r="D13" s="82">
        <v>565.54</v>
      </c>
      <c r="E13" s="83">
        <v>17.2</v>
      </c>
      <c r="F13" s="83">
        <f>D13-$D$14</f>
        <v>-8.9600000000000364</v>
      </c>
      <c r="G13" s="83">
        <f t="shared" si="0"/>
        <v>-1.240000000000002</v>
      </c>
      <c r="H13" s="84">
        <f t="shared" si="1"/>
        <v>-1.5596170583115816E-2</v>
      </c>
      <c r="I13" s="84">
        <f t="shared" si="2"/>
        <v>-6.7245119305856943E-2</v>
      </c>
      <c r="J13" s="80"/>
      <c r="K13" s="80"/>
      <c r="M13" s="25" t="str">
        <f>IF(OR((AND(D13&gt;$D$14,E13&lt;$E$14)),AND(D13&lt;$D$14,E13&gt;$E$14)),"OK_P80 and -38um in opposite directions from mean","Check: data either close to mean or P80 and -38um do not make sense")</f>
        <v>Check: data either close to mean or P80 and -38um do not make sense</v>
      </c>
    </row>
    <row r="14" spans="1:13">
      <c r="C14" s="17" t="s">
        <v>34</v>
      </c>
      <c r="D14" s="82">
        <f>AVERAGE(D9:D13)</f>
        <v>574.5</v>
      </c>
      <c r="E14" s="83">
        <f>AVERAGE(E9:E13)</f>
        <v>18.440000000000001</v>
      </c>
      <c r="F14" s="27">
        <f>AVERAGE(F9:F13)</f>
        <v>0</v>
      </c>
      <c r="G14" s="27">
        <f>AVERAGE(G9:G13)</f>
        <v>-1.4210854715202005E-15</v>
      </c>
      <c r="H14" s="18">
        <f t="shared" ref="H14:I14" si="3">AVERAGE(H9:H13)</f>
        <v>7.6327832942979518E-18</v>
      </c>
      <c r="I14" s="18">
        <f t="shared" si="3"/>
        <v>-7.7715611723760953E-17</v>
      </c>
      <c r="J14" s="80"/>
      <c r="K14" s="80"/>
    </row>
    <row r="15" spans="1:13">
      <c r="C15" s="17" t="s">
        <v>137</v>
      </c>
      <c r="D15" s="83">
        <f>STDEVPA(D9,D10,D11,D12,D13)</f>
        <v>99.752225639331101</v>
      </c>
      <c r="E15" s="27">
        <f>STDEVPA(E9,E10,E11,E12,E13)</f>
        <v>2.6049107470314543</v>
      </c>
      <c r="F15" s="16"/>
      <c r="G15" s="16"/>
      <c r="H15" s="16"/>
      <c r="I15" s="16"/>
    </row>
    <row r="17" spans="3:6" ht="45">
      <c r="D17" s="85" t="s">
        <v>291</v>
      </c>
      <c r="E17" s="85" t="s">
        <v>292</v>
      </c>
      <c r="F17" s="85" t="s">
        <v>293</v>
      </c>
    </row>
    <row r="18" spans="3:6">
      <c r="C18" s="17" t="s">
        <v>142</v>
      </c>
      <c r="D18" s="82">
        <f>Data!B193</f>
        <v>1151.8393181397068</v>
      </c>
      <c r="E18" s="179">
        <f>Data!G201</f>
        <v>2.1906625762544523E-2</v>
      </c>
      <c r="F18" s="179">
        <f>Data!G195</f>
        <v>7.4491343136217789E-2</v>
      </c>
    </row>
    <row r="19" spans="3:6">
      <c r="C19" s="17" t="s">
        <v>141</v>
      </c>
      <c r="D19" s="82">
        <f>Data!B178</f>
        <v>892.61907840059166</v>
      </c>
      <c r="E19" s="179">
        <f>Data!G186</f>
        <v>2.9355226990999406E-2</v>
      </c>
      <c r="F19" s="179">
        <f>Data!G180</f>
        <v>9.5826671217864659E-2</v>
      </c>
    </row>
    <row r="20" spans="3:6">
      <c r="C20" s="17" t="s">
        <v>140</v>
      </c>
      <c r="D20" s="82">
        <f>Data!B163</f>
        <v>1137.9948768947957</v>
      </c>
      <c r="E20" s="180">
        <f>Data!G171</f>
        <v>6.3164519428021607E-2</v>
      </c>
      <c r="F20" s="180">
        <f>Data!G165</f>
        <v>0.16430157760013553</v>
      </c>
    </row>
    <row r="21" spans="3:6">
      <c r="C21" s="17" t="s">
        <v>139</v>
      </c>
      <c r="D21" s="82">
        <f>Data!B148</f>
        <v>1055.4584172975328</v>
      </c>
      <c r="E21" s="179">
        <f>Data!G156</f>
        <v>3.2853460148552734E-2</v>
      </c>
      <c r="F21" s="180">
        <f>Data!G150</f>
        <v>0.10735347780537474</v>
      </c>
    </row>
    <row r="22" spans="3:6">
      <c r="C22" s="17" t="s">
        <v>138</v>
      </c>
      <c r="D22" s="82">
        <f>Data!B133</f>
        <v>1160.9820807702595</v>
      </c>
      <c r="E22" s="179">
        <f>Data!G141</f>
        <v>2.6079959032883428E-2</v>
      </c>
      <c r="F22" s="179">
        <f>Data!G135</f>
        <v>8.7695233914920068E-2</v>
      </c>
    </row>
    <row r="23" spans="3:6">
      <c r="C23" s="17" t="s">
        <v>34</v>
      </c>
      <c r="D23" s="17"/>
      <c r="E23" s="17"/>
      <c r="F23" s="179"/>
    </row>
    <row r="24" spans="3:6">
      <c r="C24" s="17" t="s">
        <v>137</v>
      </c>
      <c r="D24" s="17"/>
      <c r="E24" s="17"/>
      <c r="F24" s="17"/>
    </row>
  </sheetData>
  <mergeCells count="3">
    <mergeCell ref="D5:E5"/>
    <mergeCell ref="F5:G5"/>
    <mergeCell ref="H5:I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T31"/>
  <sheetViews>
    <sheetView showGridLines="0" tabSelected="1" zoomScaleNormal="100" workbookViewId="0">
      <selection activeCell="R16" sqref="R16"/>
    </sheetView>
  </sheetViews>
  <sheetFormatPr defaultRowHeight="15"/>
  <cols>
    <col min="1" max="1" width="2.7109375" style="25" customWidth="1"/>
    <col min="2" max="2" width="6.28515625" customWidth="1"/>
    <col min="3" max="3" width="23.28515625" bestFit="1" customWidth="1"/>
    <col min="9" max="9" width="2.140625" style="25" customWidth="1"/>
    <col min="15" max="15" width="2.140625" customWidth="1"/>
  </cols>
  <sheetData>
    <row r="1" spans="2:20" s="25" customFormat="1">
      <c r="B1" s="56" t="s">
        <v>93</v>
      </c>
    </row>
    <row r="2" spans="2:20" s="25" customFormat="1" ht="39.6" customHeight="1">
      <c r="C2" s="25" t="s">
        <v>259</v>
      </c>
      <c r="D2" s="195" t="s">
        <v>261</v>
      </c>
      <c r="E2" s="196"/>
      <c r="F2" s="196"/>
      <c r="G2" s="196"/>
      <c r="H2" s="197"/>
      <c r="I2" s="28"/>
      <c r="J2" s="195" t="s">
        <v>290</v>
      </c>
      <c r="K2" s="196"/>
      <c r="L2" s="196"/>
      <c r="M2" s="196"/>
      <c r="N2" s="197"/>
      <c r="P2" s="195"/>
      <c r="Q2" s="196"/>
      <c r="R2" s="196"/>
      <c r="S2" s="196"/>
      <c r="T2" s="197"/>
    </row>
    <row r="3" spans="2:20" ht="36" customHeight="1">
      <c r="B3" s="54" t="s">
        <v>258</v>
      </c>
      <c r="C3" s="91" t="s">
        <v>260</v>
      </c>
      <c r="D3" s="55" t="s">
        <v>280</v>
      </c>
      <c r="E3" s="55" t="s">
        <v>264</v>
      </c>
      <c r="F3" s="55" t="s">
        <v>265</v>
      </c>
      <c r="G3" s="55" t="s">
        <v>266</v>
      </c>
      <c r="H3" s="55" t="s">
        <v>267</v>
      </c>
      <c r="I3" s="92"/>
      <c r="J3" s="55" t="s">
        <v>280</v>
      </c>
      <c r="K3" s="55" t="s">
        <v>264</v>
      </c>
      <c r="L3" s="55" t="s">
        <v>265</v>
      </c>
      <c r="M3" s="55" t="s">
        <v>266</v>
      </c>
      <c r="N3" s="55" t="s">
        <v>267</v>
      </c>
      <c r="O3" s="56"/>
      <c r="P3" s="55" t="s">
        <v>280</v>
      </c>
      <c r="Q3" s="55" t="s">
        <v>264</v>
      </c>
      <c r="R3" s="55" t="s">
        <v>265</v>
      </c>
      <c r="S3" s="55" t="s">
        <v>266</v>
      </c>
      <c r="T3" s="55" t="s">
        <v>267</v>
      </c>
    </row>
    <row r="4" spans="2:20" s="25" customFormat="1" ht="15.75" customHeight="1">
      <c r="B4" s="54"/>
      <c r="C4" s="91"/>
      <c r="D4" s="55"/>
      <c r="E4" s="55"/>
      <c r="F4" s="55"/>
      <c r="G4" s="55"/>
      <c r="H4" s="55"/>
      <c r="I4" s="92"/>
      <c r="J4" s="54"/>
      <c r="K4" s="57"/>
      <c r="L4" s="54"/>
      <c r="M4" s="54"/>
      <c r="N4" s="57"/>
      <c r="O4" s="56"/>
      <c r="P4" s="54"/>
      <c r="Q4" s="57"/>
      <c r="R4" s="54"/>
      <c r="S4" s="54"/>
      <c r="T4" s="57"/>
    </row>
    <row r="5" spans="2:20">
      <c r="B5" s="54" t="s">
        <v>48</v>
      </c>
      <c r="C5" s="91" t="s">
        <v>254</v>
      </c>
      <c r="D5" s="58">
        <f>SUM(Data!$F$40:$F$44)</f>
        <v>0.52825436703626094</v>
      </c>
      <c r="E5" s="58">
        <f>SUM(Data!$F$55:$F$59)</f>
        <v>0.46115518882894319</v>
      </c>
      <c r="F5" s="58">
        <f>SUM(Data!$F$70:$F$74)</f>
        <v>0.54754323989539833</v>
      </c>
      <c r="G5" s="58">
        <f>SUM(Data!$F$85:$F$89)</f>
        <v>0.43126460699893626</v>
      </c>
      <c r="H5" s="58">
        <f>SUM(Data!$F$100:$F$104)</f>
        <v>0.54952529320125798</v>
      </c>
      <c r="I5" s="93"/>
      <c r="J5" s="58">
        <f>SUM(Data!$F$40:$F$44)</f>
        <v>0.52825436703626094</v>
      </c>
      <c r="K5" s="58">
        <f>SUM(Data!$F$55:$F$59)</f>
        <v>0.46115518882894319</v>
      </c>
      <c r="L5" s="58">
        <f>SUM(Data!$F$70:$F$74)</f>
        <v>0.54754323989539833</v>
      </c>
      <c r="M5" s="58">
        <f>SUM(Data!$F$85:$F$89)</f>
        <v>0.43126460699893626</v>
      </c>
      <c r="N5" s="58">
        <f>SUM(Data!$F$40:$F$44)</f>
        <v>0.52825436703626094</v>
      </c>
      <c r="O5" s="56"/>
      <c r="P5" s="58">
        <f>SUM(Data!$F$40:$F$44)</f>
        <v>0.52825436703626094</v>
      </c>
      <c r="Q5" s="58">
        <f>SUM(Data!$F$55:$F$59)</f>
        <v>0.46115518882894319</v>
      </c>
      <c r="R5" s="58">
        <f>SUM(Data!$F$70:$F$74)</f>
        <v>0.54754323989539833</v>
      </c>
      <c r="S5" s="58">
        <f>SUM(Data!$F$85:$F$89)</f>
        <v>0.43126460699893626</v>
      </c>
      <c r="T5" s="58">
        <f>SUM(Data!$F$40:$F$44)</f>
        <v>0.52825436703626094</v>
      </c>
    </row>
    <row r="6" spans="2:20">
      <c r="B6" s="54" t="s">
        <v>49</v>
      </c>
      <c r="C6" s="91" t="s">
        <v>255</v>
      </c>
      <c r="D6" s="59">
        <f>1-D5</f>
        <v>0.47174563296373906</v>
      </c>
      <c r="E6" s="59">
        <f t="shared" ref="E6:H6" si="0">1-E5</f>
        <v>0.53884481117105687</v>
      </c>
      <c r="F6" s="59">
        <f t="shared" si="0"/>
        <v>0.45245676010460167</v>
      </c>
      <c r="G6" s="59">
        <f t="shared" si="0"/>
        <v>0.56873539300106368</v>
      </c>
      <c r="H6" s="59">
        <f t="shared" si="0"/>
        <v>0.45047470679874202</v>
      </c>
      <c r="I6" s="94"/>
      <c r="J6" s="59">
        <f>1-J5</f>
        <v>0.47174563296373906</v>
      </c>
      <c r="K6" s="59">
        <f t="shared" ref="K6:N6" si="1">1-K5</f>
        <v>0.53884481117105687</v>
      </c>
      <c r="L6" s="59">
        <f t="shared" si="1"/>
        <v>0.45245676010460167</v>
      </c>
      <c r="M6" s="59">
        <f t="shared" si="1"/>
        <v>0.56873539300106368</v>
      </c>
      <c r="N6" s="59">
        <f t="shared" si="1"/>
        <v>0.47174563296373906</v>
      </c>
      <c r="O6" s="56"/>
      <c r="P6" s="59">
        <f>1-P5</f>
        <v>0.47174563296373906</v>
      </c>
      <c r="Q6" s="59">
        <f t="shared" ref="Q6:T6" si="2">1-Q5</f>
        <v>0.53884481117105687</v>
      </c>
      <c r="R6" s="59">
        <f t="shared" si="2"/>
        <v>0.45245676010460167</v>
      </c>
      <c r="S6" s="59">
        <f t="shared" si="2"/>
        <v>0.56873539300106368</v>
      </c>
      <c r="T6" s="59">
        <f t="shared" si="2"/>
        <v>0.47174563296373906</v>
      </c>
    </row>
    <row r="7" spans="2:20">
      <c r="B7" s="54" t="s">
        <v>50</v>
      </c>
      <c r="C7" s="91" t="s">
        <v>167</v>
      </c>
      <c r="D7" s="59">
        <f>SUM(Data!$F131:$F135)</f>
        <v>0.91230476608507993</v>
      </c>
      <c r="E7" s="59">
        <f>SUM(Data!$F146:$F150)</f>
        <v>0.89264652219462537</v>
      </c>
      <c r="F7" s="59">
        <f>SUM(Data!$F161:$F165)</f>
        <v>0.83569842239986436</v>
      </c>
      <c r="G7" s="59">
        <f>SUM(Data!$F176:$F180)</f>
        <v>0.90417332878213541</v>
      </c>
      <c r="H7" s="59">
        <f>SUM(Data!$F191:$F195)</f>
        <v>0.92550865686378236</v>
      </c>
      <c r="I7" s="94"/>
      <c r="J7" s="59">
        <f>SUM(Data!$F131:$F135)</f>
        <v>0.91230476608507993</v>
      </c>
      <c r="K7" s="59">
        <f>SUM(Data!$F146:$F150)</f>
        <v>0.89264652219462537</v>
      </c>
      <c r="L7" s="59">
        <f>SUM(Data!$F161:$F165)</f>
        <v>0.83569842239986436</v>
      </c>
      <c r="M7" s="59">
        <f>SUM(Data!$F176:$F180)</f>
        <v>0.90417332878213541</v>
      </c>
      <c r="N7" s="59">
        <f>SUM(Data!$F191:$F195)</f>
        <v>0.92550865686378236</v>
      </c>
      <c r="O7" s="56"/>
      <c r="P7" s="59">
        <f>SUM(Data!$F131:$F135)</f>
        <v>0.91230476608507993</v>
      </c>
      <c r="Q7" s="59">
        <f>SUM(Data!$F146:$F150)</f>
        <v>0.89264652219462537</v>
      </c>
      <c r="R7" s="59">
        <f>SUM(Data!$F161:$F165)</f>
        <v>0.83569842239986436</v>
      </c>
      <c r="S7" s="59">
        <f>SUM(Data!$F176:$F180)</f>
        <v>0.90417332878213541</v>
      </c>
      <c r="T7" s="59">
        <f>SUM(Data!$F191:$F195)</f>
        <v>0.92550865686378236</v>
      </c>
    </row>
    <row r="8" spans="2:20">
      <c r="B8" s="63" t="s">
        <v>51</v>
      </c>
      <c r="C8" s="96" t="s">
        <v>256</v>
      </c>
      <c r="D8" s="64">
        <f>Data!$G$120</f>
        <v>0.9125983571119759</v>
      </c>
      <c r="E8" s="64">
        <f>Data!$G$120</f>
        <v>0.9125983571119759</v>
      </c>
      <c r="F8" s="64">
        <f>Data!$G$120</f>
        <v>0.9125983571119759</v>
      </c>
      <c r="G8" s="64">
        <f>Data!$G$120</f>
        <v>0.9125983571119759</v>
      </c>
      <c r="H8" s="64">
        <f>Data!$G$120</f>
        <v>0.9125983571119759</v>
      </c>
      <c r="I8" s="94"/>
      <c r="J8" s="64">
        <v>1</v>
      </c>
      <c r="K8" s="64">
        <v>1</v>
      </c>
      <c r="L8" s="64">
        <v>1</v>
      </c>
      <c r="M8" s="64">
        <v>1</v>
      </c>
      <c r="N8" s="64">
        <v>1</v>
      </c>
      <c r="O8" s="56"/>
      <c r="P8" s="64">
        <v>1</v>
      </c>
      <c r="Q8" s="64">
        <v>1</v>
      </c>
      <c r="R8" s="64">
        <v>1</v>
      </c>
      <c r="S8" s="64">
        <v>1</v>
      </c>
      <c r="T8" s="64">
        <v>1</v>
      </c>
    </row>
    <row r="9" spans="2:20">
      <c r="B9" s="54"/>
      <c r="C9" s="91"/>
      <c r="D9" s="54"/>
      <c r="E9" s="54"/>
      <c r="F9" s="54"/>
      <c r="G9" s="54"/>
      <c r="H9" s="54"/>
      <c r="I9" s="95"/>
      <c r="J9" s="54"/>
      <c r="K9" s="54"/>
      <c r="L9" s="54"/>
      <c r="M9" s="54"/>
      <c r="N9" s="54"/>
      <c r="O9" s="56"/>
      <c r="P9" s="54"/>
      <c r="Q9" s="54"/>
      <c r="R9" s="54"/>
      <c r="S9" s="54"/>
      <c r="T9" s="54"/>
    </row>
    <row r="10" spans="2:20">
      <c r="B10" s="54" t="s">
        <v>54</v>
      </c>
      <c r="C10" s="91" t="s">
        <v>170</v>
      </c>
      <c r="D10" s="58">
        <f>+(D7-D5)/(D7+D8-1)</f>
        <v>0.46557030546855577</v>
      </c>
      <c r="E10" s="58">
        <f>+(E7-E5)/(E7+E8-1)</f>
        <v>0.53585107394565556</v>
      </c>
      <c r="F10" s="58">
        <f>+(F7-F5)/(F7+F8-1)</f>
        <v>0.38508141474622848</v>
      </c>
      <c r="G10" s="58">
        <f>+(G7-G5)/(G7+G8-1)</f>
        <v>0.57899744806348286</v>
      </c>
      <c r="H10" s="58">
        <f>+(H7-H5)/(H7+H8-1)</f>
        <v>0.448610210143641</v>
      </c>
      <c r="I10" s="93"/>
      <c r="J10" s="58">
        <f>+(J7-J5)/(J7+J8-1)</f>
        <v>0.42096721767318168</v>
      </c>
      <c r="K10" s="58">
        <f>+(K7-K5)/(K7+K8-1)</f>
        <v>0.48338432138270665</v>
      </c>
      <c r="L10" s="58">
        <f>+(L7-L5)/(L7+L8-1)</f>
        <v>0.34480761813211824</v>
      </c>
      <c r="M10" s="58">
        <f>+(M7-M5)/(M7+M8-1)</f>
        <v>0.52302883388539834</v>
      </c>
      <c r="N10" s="58">
        <f>+(N7-N5)/(N7+N8-1)</f>
        <v>0.42922806489317356</v>
      </c>
      <c r="O10" s="56"/>
      <c r="P10" s="58">
        <f>+(P7-P5)/(P7+P8-1)</f>
        <v>0.42096721767318168</v>
      </c>
      <c r="Q10" s="58">
        <f>+(Q7-Q5)/(Q7+Q8-1)</f>
        <v>0.48338432138270665</v>
      </c>
      <c r="R10" s="58">
        <f>+(R7-R5)/(R7+R8-1)</f>
        <v>0.34480761813211824</v>
      </c>
      <c r="S10" s="58">
        <f>+(S7-S5)/(S7+S8-1)</f>
        <v>0.52302883388539834</v>
      </c>
      <c r="T10" s="58">
        <f>+(T7-T5)/(T7+T8-1)</f>
        <v>0.42922806489317356</v>
      </c>
    </row>
    <row r="11" spans="2:20">
      <c r="B11" s="54" t="s">
        <v>57</v>
      </c>
      <c r="C11" s="91" t="s">
        <v>257</v>
      </c>
      <c r="D11" s="59">
        <f>1-D10</f>
        <v>0.53442969453144418</v>
      </c>
      <c r="E11" s="59">
        <f>1-E10</f>
        <v>0.46414892605434444</v>
      </c>
      <c r="F11" s="59">
        <f>1-F10</f>
        <v>0.61491858525377152</v>
      </c>
      <c r="G11" s="59">
        <f>1-G10</f>
        <v>0.42100255193651714</v>
      </c>
      <c r="H11" s="59">
        <f>1-H10</f>
        <v>0.551389789856359</v>
      </c>
      <c r="I11" s="94"/>
      <c r="J11" s="59">
        <f>1-J10</f>
        <v>0.57903278232681832</v>
      </c>
      <c r="K11" s="59">
        <f>1-K10</f>
        <v>0.51661567861729329</v>
      </c>
      <c r="L11" s="59">
        <f>1-L10</f>
        <v>0.65519238186788176</v>
      </c>
      <c r="M11" s="59">
        <f>1-M10</f>
        <v>0.47697116611460166</v>
      </c>
      <c r="N11" s="59">
        <f>1-N10</f>
        <v>0.57077193510682644</v>
      </c>
      <c r="O11" s="56"/>
      <c r="P11" s="59">
        <f>1-P10</f>
        <v>0.57903278232681832</v>
      </c>
      <c r="Q11" s="59">
        <f>1-Q10</f>
        <v>0.51661567861729329</v>
      </c>
      <c r="R11" s="59">
        <f>1-R10</f>
        <v>0.65519238186788176</v>
      </c>
      <c r="S11" s="59">
        <f>1-S10</f>
        <v>0.47697116611460166</v>
      </c>
      <c r="T11" s="59">
        <f>1-T10</f>
        <v>0.57077193510682644</v>
      </c>
    </row>
    <row r="12" spans="2:20">
      <c r="B12" s="54" t="s">
        <v>60</v>
      </c>
      <c r="C12" s="91" t="s">
        <v>169</v>
      </c>
      <c r="D12" s="59">
        <f>+D10*D8/D6</f>
        <v>0.90065210189954903</v>
      </c>
      <c r="E12" s="59">
        <f>+E10*E8/E6</f>
        <v>0.90752810382775362</v>
      </c>
      <c r="F12" s="59">
        <f>+F10*F8/F6</f>
        <v>0.77670331717558827</v>
      </c>
      <c r="G12" s="59">
        <f>+G10*G8/G6</f>
        <v>0.92906495072616813</v>
      </c>
      <c r="H12" s="59">
        <f>+H10*H8/H6</f>
        <v>0.90882114929407687</v>
      </c>
      <c r="I12" s="94"/>
      <c r="J12" s="59">
        <f>+J10*J8/J6</f>
        <v>0.89236060337953249</v>
      </c>
      <c r="K12" s="59">
        <f>+K10*K8/K6</f>
        <v>0.8970752085970366</v>
      </c>
      <c r="L12" s="59">
        <f>+L10*L8/L6</f>
        <v>0.76207860846725672</v>
      </c>
      <c r="M12" s="59">
        <f>+M10*M8/M6</f>
        <v>0.9196347551460019</v>
      </c>
      <c r="N12" s="59">
        <f>+N10*N8/N6</f>
        <v>0.90987183537142857</v>
      </c>
      <c r="O12" s="56"/>
      <c r="P12" s="59">
        <f>+P10*P8/P6</f>
        <v>0.89236060337953249</v>
      </c>
      <c r="Q12" s="59">
        <f>+Q10*Q8/Q6</f>
        <v>0.8970752085970366</v>
      </c>
      <c r="R12" s="59">
        <f>+R10*R8/R6</f>
        <v>0.76207860846725672</v>
      </c>
      <c r="S12" s="59">
        <f>+S10*S8/S6</f>
        <v>0.9196347551460019</v>
      </c>
      <c r="T12" s="59">
        <f>+T10*T8/T6</f>
        <v>0.90987183537142857</v>
      </c>
    </row>
    <row r="13" spans="2:20">
      <c r="B13" s="54" t="s">
        <v>62</v>
      </c>
      <c r="C13" s="91" t="s">
        <v>172</v>
      </c>
      <c r="D13" s="59">
        <f>+D11*D7/D5</f>
        <v>0.92296966742342557</v>
      </c>
      <c r="E13" s="59">
        <f>+E11*E7/E5</f>
        <v>0.8984414241871741</v>
      </c>
      <c r="F13" s="59">
        <f>+F11*F7/F5</f>
        <v>0.93853134174226183</v>
      </c>
      <c r="G13" s="59">
        <f>+G11*G7/G5</f>
        <v>0.88265828596306184</v>
      </c>
      <c r="H13" s="59">
        <f>+H11*H7/H5</f>
        <v>0.92864883588072455</v>
      </c>
      <c r="I13" s="94"/>
      <c r="J13" s="59">
        <f>+J11*J7/J5</f>
        <v>1</v>
      </c>
      <c r="K13" s="59">
        <f>+K11*K7/K5</f>
        <v>0.99999999999999989</v>
      </c>
      <c r="L13" s="59">
        <f>+L11*L7/L5</f>
        <v>1</v>
      </c>
      <c r="M13" s="59">
        <f>+M11*M7/M5</f>
        <v>1</v>
      </c>
      <c r="N13" s="59">
        <f>+N11*N7/N5</f>
        <v>1</v>
      </c>
      <c r="O13" s="56"/>
      <c r="P13" s="59">
        <f>+P11*P7/P5</f>
        <v>1</v>
      </c>
      <c r="Q13" s="59">
        <f>+Q11*Q7/Q5</f>
        <v>0.99999999999999989</v>
      </c>
      <c r="R13" s="59">
        <f>+R11*R7/R5</f>
        <v>1</v>
      </c>
      <c r="S13" s="59">
        <f>+S11*S7/S5</f>
        <v>1</v>
      </c>
      <c r="T13" s="59">
        <f>+T11*T7/T5</f>
        <v>1</v>
      </c>
    </row>
    <row r="14" spans="2:20">
      <c r="B14" s="54" t="s">
        <v>64</v>
      </c>
      <c r="C14" s="91" t="s">
        <v>65</v>
      </c>
      <c r="D14" s="59">
        <f>D$10*D$8+D$11*D$7</f>
        <v>0.91244145334915472</v>
      </c>
      <c r="E14" s="59">
        <f t="shared" ref="E14:H14" si="3">E$10*E$8+E$11*E$7</f>
        <v>0.90333773436227416</v>
      </c>
      <c r="F14" s="59">
        <f t="shared" si="3"/>
        <v>0.86531115805269687</v>
      </c>
      <c r="G14" s="59">
        <f t="shared" si="3"/>
        <v>0.90905139868497564</v>
      </c>
      <c r="H14" s="59">
        <f t="shared" si="3"/>
        <v>0.91971696457910701</v>
      </c>
      <c r="I14" s="94"/>
      <c r="J14" s="59">
        <f>J$10*J$8+J$11*J$7</f>
        <v>0.94922158470944262</v>
      </c>
      <c r="K14" s="59">
        <f t="shared" ref="K14:N14" si="4">K$10*K$8+K$11*K$7</f>
        <v>0.94453951021164984</v>
      </c>
      <c r="L14" s="59">
        <f t="shared" si="4"/>
        <v>0.89235085802751657</v>
      </c>
      <c r="M14" s="59">
        <f t="shared" si="4"/>
        <v>0.95429344088433465</v>
      </c>
      <c r="N14" s="59">
        <f t="shared" si="4"/>
        <v>0.9574824319294345</v>
      </c>
      <c r="O14" s="56"/>
      <c r="P14" s="59">
        <f>P$10*P$8+P$11*P$7</f>
        <v>0.94922158470944262</v>
      </c>
      <c r="Q14" s="59">
        <f t="shared" ref="Q14:T14" si="5">Q$10*Q$8+Q$11*Q$7</f>
        <v>0.94453951021164984</v>
      </c>
      <c r="R14" s="59">
        <f t="shared" si="5"/>
        <v>0.89235085802751657</v>
      </c>
      <c r="S14" s="59">
        <f t="shared" si="5"/>
        <v>0.95429344088433465</v>
      </c>
      <c r="T14" s="59">
        <f t="shared" si="5"/>
        <v>0.9574824319294345</v>
      </c>
    </row>
    <row r="15" spans="2:20" s="25" customFormat="1">
      <c r="B15" s="56"/>
      <c r="C15" s="60"/>
      <c r="D15" s="60"/>
      <c r="E15" s="60"/>
      <c r="F15" s="60"/>
      <c r="G15" s="60"/>
      <c r="H15" s="56"/>
      <c r="I15" s="56"/>
      <c r="J15" s="60"/>
      <c r="K15" s="60"/>
      <c r="L15" s="60"/>
      <c r="M15" s="60"/>
      <c r="N15" s="60"/>
      <c r="O15" s="56"/>
      <c r="P15" s="56"/>
      <c r="Q15" s="56"/>
      <c r="R15" s="56"/>
    </row>
    <row r="16" spans="2:20" ht="23.25">
      <c r="B16" s="56"/>
      <c r="C16" s="65" t="s">
        <v>288</v>
      </c>
      <c r="D16" s="97" t="s">
        <v>286</v>
      </c>
      <c r="E16" s="97" t="s">
        <v>287</v>
      </c>
      <c r="F16" s="97"/>
      <c r="G16" s="98"/>
      <c r="H16" s="56"/>
      <c r="I16" s="56"/>
      <c r="J16" s="56"/>
      <c r="K16" s="56"/>
      <c r="L16" s="56"/>
      <c r="M16" s="56"/>
      <c r="N16" s="56"/>
      <c r="O16" s="56"/>
      <c r="P16" s="56"/>
      <c r="Q16" s="56"/>
      <c r="R16" s="56"/>
    </row>
    <row r="17" spans="2:18">
      <c r="B17" s="56"/>
      <c r="C17" s="65" t="s">
        <v>142</v>
      </c>
      <c r="D17" s="78">
        <f>H14</f>
        <v>0.91971696457910701</v>
      </c>
      <c r="E17" s="79">
        <f>N14</f>
        <v>0.9574824319294345</v>
      </c>
      <c r="F17" s="79">
        <f>T14</f>
        <v>0.9574824319294345</v>
      </c>
      <c r="G17" s="56"/>
      <c r="H17" s="61"/>
      <c r="I17" s="61"/>
      <c r="J17" s="61"/>
      <c r="K17" s="61"/>
      <c r="L17" s="61"/>
      <c r="M17" s="61"/>
      <c r="N17" s="56"/>
      <c r="O17" s="56"/>
      <c r="P17" s="56"/>
      <c r="Q17" s="56"/>
      <c r="R17" s="56"/>
    </row>
    <row r="18" spans="2:18">
      <c r="B18" s="56"/>
      <c r="C18" s="65" t="s">
        <v>141</v>
      </c>
      <c r="D18" s="78">
        <f>G14</f>
        <v>0.90905139868497564</v>
      </c>
      <c r="E18" s="79">
        <f>M14</f>
        <v>0.95429344088433465</v>
      </c>
      <c r="F18" s="79">
        <f>S14</f>
        <v>0.95429344088433465</v>
      </c>
      <c r="G18" s="56"/>
      <c r="H18" s="56"/>
      <c r="I18" s="56"/>
      <c r="J18" s="56"/>
      <c r="K18" s="56"/>
      <c r="L18" s="56"/>
      <c r="M18" s="56"/>
      <c r="N18" s="56"/>
      <c r="O18" s="56"/>
      <c r="P18" s="56"/>
      <c r="Q18" s="56"/>
      <c r="R18" s="56"/>
    </row>
    <row r="19" spans="2:18">
      <c r="B19" s="56"/>
      <c r="C19" s="65" t="s">
        <v>140</v>
      </c>
      <c r="D19" s="78">
        <f>F14</f>
        <v>0.86531115805269687</v>
      </c>
      <c r="E19" s="79">
        <f>L14</f>
        <v>0.89235085802751657</v>
      </c>
      <c r="F19" s="79">
        <f>R14</f>
        <v>0.89235085802751657</v>
      </c>
      <c r="G19" s="56"/>
      <c r="H19" s="56"/>
      <c r="I19" s="56"/>
      <c r="J19" s="56"/>
      <c r="K19" s="56"/>
      <c r="L19" s="56"/>
      <c r="M19" s="56"/>
      <c r="N19" s="56"/>
      <c r="O19" s="56"/>
      <c r="P19" s="56"/>
      <c r="Q19" s="56"/>
      <c r="R19" s="56"/>
    </row>
    <row r="20" spans="2:18">
      <c r="B20" s="56"/>
      <c r="C20" s="65" t="s">
        <v>139</v>
      </c>
      <c r="D20" s="78">
        <f>E14</f>
        <v>0.90333773436227416</v>
      </c>
      <c r="E20" s="79">
        <f>K14</f>
        <v>0.94453951021164984</v>
      </c>
      <c r="F20" s="79">
        <f>Q14</f>
        <v>0.94453951021164984</v>
      </c>
      <c r="G20" s="56"/>
      <c r="H20" s="56"/>
      <c r="I20" s="56"/>
      <c r="J20" s="56"/>
      <c r="K20" s="56"/>
      <c r="L20" s="56"/>
      <c r="M20" s="56"/>
      <c r="N20" s="56"/>
      <c r="O20" s="56"/>
      <c r="P20" s="56"/>
      <c r="Q20" s="56"/>
      <c r="R20" s="56"/>
    </row>
    <row r="21" spans="2:18">
      <c r="B21" s="56"/>
      <c r="C21" s="65" t="s">
        <v>138</v>
      </c>
      <c r="D21" s="78">
        <f>D14</f>
        <v>0.91244145334915472</v>
      </c>
      <c r="E21" s="79">
        <f>J14</f>
        <v>0.94922158470944262</v>
      </c>
      <c r="F21" s="79">
        <f>P14</f>
        <v>0.94922158470944262</v>
      </c>
      <c r="G21" s="56"/>
      <c r="H21" s="56"/>
      <c r="I21" s="56"/>
      <c r="J21" s="56"/>
      <c r="K21" s="56"/>
      <c r="L21" s="56"/>
      <c r="M21" s="56"/>
      <c r="N21" s="56"/>
      <c r="O21" s="56"/>
      <c r="P21" s="56"/>
      <c r="Q21" s="56"/>
      <c r="R21" s="56"/>
    </row>
    <row r="22" spans="2:18">
      <c r="B22" s="56"/>
      <c r="C22" s="56" t="s">
        <v>289</v>
      </c>
      <c r="D22" s="144">
        <f>AVERAGE(D17:D21)</f>
        <v>0.90197174180564166</v>
      </c>
      <c r="E22" s="144">
        <f t="shared" ref="E22:F22" si="6">AVERAGE(E17:E21)</f>
        <v>0.93957756515247559</v>
      </c>
      <c r="F22" s="144">
        <f t="shared" si="6"/>
        <v>0.93957756515247559</v>
      </c>
      <c r="G22" s="56"/>
      <c r="H22" s="56"/>
      <c r="I22" s="56"/>
      <c r="J22" s="56"/>
      <c r="K22" s="56"/>
      <c r="L22" s="56"/>
      <c r="M22" s="56"/>
      <c r="N22" s="56"/>
      <c r="O22" s="56"/>
      <c r="P22" s="56"/>
      <c r="Q22" s="56"/>
      <c r="R22" s="56"/>
    </row>
    <row r="23" spans="2:18">
      <c r="B23" s="56"/>
      <c r="C23" s="56"/>
      <c r="D23" s="56"/>
      <c r="E23" s="56"/>
      <c r="F23" s="56"/>
      <c r="G23" s="56"/>
      <c r="H23" s="56"/>
      <c r="I23" s="56"/>
      <c r="J23" s="56"/>
      <c r="K23" s="56"/>
      <c r="L23" s="56"/>
      <c r="M23" s="56"/>
      <c r="N23" s="56"/>
      <c r="O23" s="56"/>
      <c r="P23" s="56"/>
      <c r="Q23" s="56"/>
      <c r="R23" s="56"/>
    </row>
    <row r="24" spans="2:18">
      <c r="B24" s="56"/>
      <c r="C24" s="56"/>
      <c r="D24" s="56"/>
      <c r="E24" s="56"/>
      <c r="F24" s="56"/>
      <c r="G24" s="56"/>
      <c r="H24" s="56"/>
      <c r="I24" s="56"/>
      <c r="J24" s="56"/>
      <c r="K24" s="56"/>
      <c r="L24" s="56"/>
      <c r="M24" s="56"/>
      <c r="N24" s="56"/>
      <c r="O24" s="56"/>
      <c r="P24" s="56"/>
      <c r="Q24" s="56"/>
      <c r="R24" s="56"/>
    </row>
    <row r="25" spans="2:18">
      <c r="B25" s="56"/>
      <c r="C25" s="56"/>
      <c r="D25" s="56"/>
      <c r="E25" s="56"/>
      <c r="F25" s="56"/>
      <c r="G25" s="56"/>
      <c r="H25" s="56"/>
      <c r="I25" s="56"/>
      <c r="J25" s="56"/>
      <c r="K25" s="56"/>
      <c r="L25" s="56"/>
      <c r="M25" s="56"/>
      <c r="N25" s="56"/>
      <c r="O25" s="56"/>
      <c r="P25" s="56"/>
      <c r="Q25" s="56"/>
      <c r="R25" s="56"/>
    </row>
    <row r="26" spans="2:18">
      <c r="B26" s="56"/>
      <c r="C26" s="56"/>
      <c r="D26" s="56"/>
      <c r="E26" s="56"/>
      <c r="F26" s="56"/>
      <c r="G26" s="56"/>
      <c r="H26" s="56"/>
      <c r="I26" s="56"/>
      <c r="J26" s="56"/>
      <c r="K26" s="56"/>
      <c r="L26" s="56"/>
      <c r="M26" s="56"/>
      <c r="N26" s="56"/>
      <c r="O26" s="56"/>
      <c r="P26" s="56"/>
      <c r="Q26" s="56"/>
      <c r="R26" s="56"/>
    </row>
    <row r="27" spans="2:18">
      <c r="B27" s="56"/>
      <c r="C27" s="56"/>
      <c r="D27" s="56"/>
      <c r="E27" s="56"/>
      <c r="F27" s="56"/>
      <c r="G27" s="56"/>
      <c r="H27" s="56"/>
      <c r="I27" s="56"/>
      <c r="J27" s="56"/>
      <c r="K27" s="56"/>
      <c r="L27" s="56"/>
      <c r="M27" s="56"/>
      <c r="N27" s="56"/>
      <c r="O27" s="56"/>
      <c r="P27" s="56"/>
      <c r="Q27" s="56"/>
      <c r="R27" s="56"/>
    </row>
    <row r="28" spans="2:18">
      <c r="B28" s="56"/>
      <c r="C28" s="56"/>
      <c r="D28" s="56"/>
      <c r="E28" s="56"/>
      <c r="F28" s="56"/>
      <c r="G28" s="56"/>
      <c r="H28" s="56"/>
      <c r="I28" s="56"/>
      <c r="J28" s="56"/>
      <c r="K28" s="56"/>
      <c r="L28" s="56"/>
      <c r="M28" s="56"/>
      <c r="N28" s="56"/>
      <c r="O28" s="56"/>
      <c r="P28" s="56"/>
      <c r="Q28" s="56"/>
      <c r="R28" s="56"/>
    </row>
    <row r="29" spans="2:18">
      <c r="B29" s="56"/>
      <c r="C29" s="56"/>
      <c r="D29" s="56"/>
      <c r="E29" s="56"/>
      <c r="F29" s="56"/>
      <c r="G29" s="56"/>
      <c r="H29" s="56"/>
      <c r="I29" s="56"/>
      <c r="J29" s="56"/>
      <c r="K29" s="56"/>
      <c r="L29" s="56"/>
      <c r="M29" s="56"/>
      <c r="N29" s="56"/>
      <c r="O29" s="56"/>
      <c r="P29" s="56"/>
      <c r="Q29" s="56"/>
      <c r="R29" s="56"/>
    </row>
    <row r="30" spans="2:18">
      <c r="B30" s="56"/>
      <c r="C30" s="56"/>
      <c r="D30" s="56"/>
      <c r="E30" s="56"/>
      <c r="F30" s="56"/>
      <c r="G30" s="56"/>
      <c r="H30" s="56"/>
      <c r="I30" s="56"/>
      <c r="J30" s="56"/>
      <c r="K30" s="56"/>
      <c r="L30" s="56"/>
      <c r="M30" s="56"/>
      <c r="N30" s="56"/>
      <c r="O30" s="56"/>
      <c r="P30" s="56"/>
      <c r="Q30" s="56"/>
      <c r="R30" s="56"/>
    </row>
    <row r="31" spans="2:18">
      <c r="B31" s="56"/>
      <c r="C31" s="56"/>
      <c r="D31" s="56"/>
      <c r="E31" s="56"/>
      <c r="F31" s="56"/>
      <c r="G31" s="56"/>
      <c r="H31" s="56"/>
      <c r="I31" s="56"/>
      <c r="J31" s="56"/>
      <c r="K31" s="56"/>
      <c r="L31" s="56"/>
      <c r="M31" s="56"/>
      <c r="N31" s="56"/>
      <c r="O31" s="56"/>
      <c r="P31" s="56"/>
      <c r="Q31" s="56"/>
      <c r="R31" s="56"/>
    </row>
  </sheetData>
  <mergeCells count="3">
    <mergeCell ref="D2:H2"/>
    <mergeCell ref="J2:N2"/>
    <mergeCell ref="P2:T2"/>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dimension ref="A1:N40"/>
  <sheetViews>
    <sheetView workbookViewId="0">
      <selection activeCell="B7" sqref="B7"/>
    </sheetView>
  </sheetViews>
  <sheetFormatPr defaultRowHeight="15"/>
  <cols>
    <col min="1" max="1" width="9.7109375" bestFit="1" customWidth="1"/>
    <col min="2" max="6" width="15" customWidth="1"/>
    <col min="7" max="7" width="15" style="25" customWidth="1"/>
    <col min="8" max="12" width="15" customWidth="1"/>
  </cols>
  <sheetData>
    <row r="1" spans="1:14">
      <c r="B1" s="198" t="s">
        <v>83</v>
      </c>
      <c r="C1" s="199"/>
      <c r="D1" s="199"/>
      <c r="E1" s="199"/>
      <c r="F1" s="200"/>
      <c r="H1" s="25"/>
      <c r="I1" s="25"/>
      <c r="J1" s="25"/>
      <c r="K1" s="25"/>
      <c r="L1" s="25"/>
      <c r="M1" s="25"/>
      <c r="N1" s="25"/>
    </row>
    <row r="2" spans="1:14">
      <c r="B2" s="17" t="s">
        <v>25</v>
      </c>
      <c r="C2" s="17" t="s">
        <v>26</v>
      </c>
      <c r="D2" s="17" t="s">
        <v>27</v>
      </c>
      <c r="E2" s="17" t="s">
        <v>28</v>
      </c>
      <c r="F2" s="17" t="s">
        <v>29</v>
      </c>
      <c r="H2" s="25"/>
      <c r="I2" s="25"/>
      <c r="J2" s="25"/>
      <c r="K2" s="25"/>
      <c r="L2" s="25"/>
      <c r="M2" s="25"/>
      <c r="N2" s="25"/>
    </row>
    <row r="3" spans="1:14">
      <c r="A3" t="s">
        <v>24</v>
      </c>
      <c r="B3" s="27">
        <f>'Derrick cal'!D$14*100</f>
        <v>91.244145334915473</v>
      </c>
      <c r="C3" s="27">
        <f>'Derrick cal'!E$14*100</f>
        <v>90.333773436227418</v>
      </c>
      <c r="D3" s="27">
        <f>'Derrick cal'!F$14*100</f>
        <v>86.531115805269692</v>
      </c>
      <c r="E3" s="27">
        <f>'Derrick cal'!G$14*100</f>
        <v>90.905139868497571</v>
      </c>
      <c r="F3" s="27">
        <f>'Derrick cal'!H$14*100</f>
        <v>91.971696457910696</v>
      </c>
      <c r="H3" s="25"/>
      <c r="I3" s="25"/>
      <c r="J3" s="25"/>
      <c r="K3" s="25"/>
      <c r="L3" s="25"/>
      <c r="M3" s="25"/>
      <c r="N3" s="25"/>
    </row>
    <row r="4" spans="1:14">
      <c r="H4" s="25"/>
      <c r="I4" s="25"/>
      <c r="J4" s="25"/>
      <c r="K4" s="25"/>
      <c r="L4" s="25"/>
      <c r="M4" s="25"/>
      <c r="N4" s="25"/>
    </row>
    <row r="5" spans="1:14">
      <c r="B5" s="19" t="s">
        <v>30</v>
      </c>
      <c r="C5" s="25"/>
    </row>
    <row r="6" spans="1:14">
      <c r="A6" t="s">
        <v>25</v>
      </c>
      <c r="B6" s="27">
        <f>'Derrick cal'!D$14*100</f>
        <v>91.244145334915473</v>
      </c>
      <c r="C6" s="25"/>
    </row>
    <row r="7" spans="1:14">
      <c r="A7" t="s">
        <v>26</v>
      </c>
      <c r="B7" s="27">
        <f>'Derrick cal'!E$14*100</f>
        <v>90.333773436227418</v>
      </c>
      <c r="C7" s="25"/>
    </row>
    <row r="8" spans="1:14">
      <c r="A8" t="s">
        <v>27</v>
      </c>
      <c r="B8" s="27">
        <f>'Derrick cal'!F$14*100</f>
        <v>86.531115805269692</v>
      </c>
      <c r="C8" s="25"/>
    </row>
    <row r="9" spans="1:14">
      <c r="A9" t="s">
        <v>28</v>
      </c>
      <c r="B9" s="27">
        <f>'Derrick cal'!G$14*100</f>
        <v>90.905139868497571</v>
      </c>
      <c r="C9" s="25"/>
    </row>
    <row r="10" spans="1:14">
      <c r="A10" t="s">
        <v>29</v>
      </c>
      <c r="B10" s="27">
        <f>'Derrick cal'!H$14*100</f>
        <v>91.971696457910696</v>
      </c>
      <c r="C10" s="25"/>
    </row>
    <row r="11" spans="1:14">
      <c r="A11" t="s">
        <v>31</v>
      </c>
      <c r="B11" s="16">
        <f>AVERAGE(B6:B10)</f>
        <v>90.197174180564176</v>
      </c>
      <c r="C11" s="25"/>
    </row>
    <row r="12" spans="1:14">
      <c r="A12" t="s">
        <v>32</v>
      </c>
      <c r="B12" s="16">
        <f>STDEV(B6:B10)</f>
        <v>2.1333621758770693</v>
      </c>
      <c r="C12" s="25"/>
    </row>
    <row r="14" spans="1:14">
      <c r="A14" t="s">
        <v>45</v>
      </c>
      <c r="B14" s="16">
        <f>B11+B12</f>
        <v>92.330536356441243</v>
      </c>
      <c r="C14" s="16"/>
    </row>
    <row r="15" spans="1:14">
      <c r="A15" t="s">
        <v>46</v>
      </c>
      <c r="B15" s="16">
        <f>B11-B12</f>
        <v>88.063812004687108</v>
      </c>
      <c r="C15" s="16"/>
    </row>
    <row r="28" spans="2:5">
      <c r="B28" t="s">
        <v>33</v>
      </c>
    </row>
    <row r="29" spans="2:5" ht="15.75" thickBot="1"/>
    <row r="30" spans="2:5">
      <c r="B30" s="22"/>
      <c r="C30" s="22" t="s">
        <v>84</v>
      </c>
      <c r="D30" s="22"/>
    </row>
    <row r="31" spans="2:5">
      <c r="B31" s="20" t="s">
        <v>34</v>
      </c>
      <c r="C31" s="23">
        <v>71.962000000000018</v>
      </c>
      <c r="D31" s="23"/>
      <c r="E31" s="16"/>
    </row>
    <row r="32" spans="2:5">
      <c r="B32" s="20" t="s">
        <v>35</v>
      </c>
      <c r="C32" s="23">
        <v>138.05361999999877</v>
      </c>
      <c r="D32" s="23"/>
    </row>
    <row r="33" spans="2:6">
      <c r="B33" s="20" t="s">
        <v>36</v>
      </c>
      <c r="C33" s="23">
        <v>5</v>
      </c>
      <c r="D33" s="23"/>
    </row>
    <row r="34" spans="2:6">
      <c r="B34" s="20" t="s">
        <v>37</v>
      </c>
      <c r="C34" s="23">
        <v>0</v>
      </c>
      <c r="D34" s="23"/>
    </row>
    <row r="35" spans="2:6">
      <c r="B35" s="20" t="s">
        <v>38</v>
      </c>
      <c r="C35" s="23">
        <v>5</v>
      </c>
      <c r="D35" s="23"/>
    </row>
    <row r="36" spans="2:6">
      <c r="B36" s="20" t="s">
        <v>39</v>
      </c>
      <c r="C36" s="23">
        <v>-2.2679557072140222</v>
      </c>
      <c r="D36" s="23"/>
      <c r="E36" t="s">
        <v>47</v>
      </c>
    </row>
    <row r="37" spans="2:6">
      <c r="B37" s="20" t="s">
        <v>40</v>
      </c>
      <c r="C37" s="23">
        <v>3.631221892708407E-2</v>
      </c>
      <c r="D37" s="23"/>
      <c r="E37" s="10">
        <f>1-C37</f>
        <v>0.96368778107291597</v>
      </c>
      <c r="F37" t="s">
        <v>44</v>
      </c>
    </row>
    <row r="38" spans="2:6">
      <c r="B38" s="20" t="s">
        <v>41</v>
      </c>
      <c r="C38" s="23">
        <v>2.0150483720881205</v>
      </c>
      <c r="D38" s="23"/>
    </row>
    <row r="39" spans="2:6">
      <c r="B39" s="20" t="s">
        <v>42</v>
      </c>
      <c r="C39" s="23">
        <v>7.2624437854168139E-2</v>
      </c>
      <c r="D39" s="23"/>
      <c r="E39" s="10"/>
    </row>
    <row r="40" spans="2:6" ht="15.75" thickBot="1">
      <c r="B40" s="21" t="s">
        <v>43</v>
      </c>
      <c r="C40" s="24">
        <v>2.5705818346975402</v>
      </c>
      <c r="D40" s="24"/>
    </row>
  </sheetData>
  <mergeCells count="1">
    <mergeCell ref="B1:F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
  <sheetViews>
    <sheetView topLeftCell="A13" zoomScale="90" zoomScaleNormal="90" workbookViewId="0">
      <selection activeCell="W46" sqref="W46"/>
    </sheetView>
  </sheetViews>
  <sheetFormatPr defaultRowHeight="1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sheetPr>
    <pageSetUpPr fitToPage="1"/>
  </sheetPr>
  <dimension ref="A1:Q24"/>
  <sheetViews>
    <sheetView showGridLines="0" workbookViewId="0">
      <selection activeCell="M22" sqref="M22"/>
    </sheetView>
  </sheetViews>
  <sheetFormatPr defaultRowHeight="15"/>
  <cols>
    <col min="1" max="1" width="8.85546875" style="25"/>
    <col min="3" max="3" width="8.85546875" style="25"/>
  </cols>
  <sheetData>
    <row r="1" spans="2:17" s="25" customFormat="1"/>
    <row r="2" spans="2:17" ht="18.75">
      <c r="B2" s="201" t="s">
        <v>164</v>
      </c>
      <c r="C2" s="202"/>
      <c r="D2" s="202"/>
      <c r="E2" s="202"/>
      <c r="F2" s="202"/>
      <c r="G2" s="202"/>
      <c r="H2" s="202"/>
      <c r="I2" s="203"/>
      <c r="J2" s="25"/>
      <c r="K2" s="25"/>
      <c r="L2" s="25"/>
      <c r="M2" s="25"/>
      <c r="N2" s="25"/>
      <c r="O2" s="25"/>
      <c r="P2" s="25"/>
      <c r="Q2" s="25"/>
    </row>
    <row r="3" spans="2:17">
      <c r="B3" s="66" t="s">
        <v>48</v>
      </c>
      <c r="C3" s="67" t="s">
        <v>82</v>
      </c>
      <c r="D3" s="67" t="s">
        <v>89</v>
      </c>
      <c r="E3" s="67"/>
      <c r="F3" s="67"/>
      <c r="G3" s="67"/>
      <c r="H3" s="67"/>
      <c r="I3" s="86"/>
      <c r="J3" s="25"/>
      <c r="K3" s="25"/>
      <c r="L3" s="25"/>
    </row>
    <row r="4" spans="2:17">
      <c r="B4" s="70" t="s">
        <v>49</v>
      </c>
      <c r="C4" s="28" t="s">
        <v>82</v>
      </c>
      <c r="D4" s="28" t="s">
        <v>90</v>
      </c>
      <c r="E4" s="28"/>
      <c r="F4" s="28"/>
      <c r="G4" s="28"/>
      <c r="H4" s="28"/>
      <c r="I4" s="87"/>
      <c r="J4" s="25"/>
      <c r="K4" s="25"/>
      <c r="L4" s="25"/>
    </row>
    <row r="5" spans="2:17">
      <c r="B5" s="70" t="s">
        <v>50</v>
      </c>
      <c r="C5" s="28" t="s">
        <v>82</v>
      </c>
      <c r="D5" s="28" t="s">
        <v>91</v>
      </c>
      <c r="E5" s="28"/>
      <c r="F5" s="28"/>
      <c r="G5" s="28"/>
      <c r="H5" s="28"/>
      <c r="I5" s="87"/>
      <c r="J5" s="25"/>
      <c r="K5" s="25"/>
      <c r="L5" s="25"/>
    </row>
    <row r="6" spans="2:17">
      <c r="B6" s="73" t="s">
        <v>51</v>
      </c>
      <c r="C6" s="74" t="s">
        <v>82</v>
      </c>
      <c r="D6" s="74" t="s">
        <v>92</v>
      </c>
      <c r="E6" s="74"/>
      <c r="F6" s="74"/>
      <c r="G6" s="74"/>
      <c r="H6" s="74"/>
      <c r="I6" s="88"/>
      <c r="J6" s="25"/>
      <c r="K6" s="25"/>
      <c r="L6" s="25"/>
    </row>
    <row r="8" spans="2:17">
      <c r="B8" s="25" t="s">
        <v>52</v>
      </c>
      <c r="D8" s="25"/>
      <c r="E8" s="25"/>
      <c r="F8" s="25"/>
      <c r="G8" s="25"/>
      <c r="H8" s="25"/>
      <c r="I8" s="25"/>
      <c r="J8" s="25"/>
      <c r="K8" s="25"/>
      <c r="L8" s="25"/>
    </row>
    <row r="9" spans="2:17" ht="18.75">
      <c r="B9" s="66"/>
      <c r="C9" s="67"/>
      <c r="D9" s="67"/>
      <c r="E9" s="67"/>
      <c r="F9" s="67"/>
      <c r="G9" s="68"/>
      <c r="H9" s="68" t="s">
        <v>53</v>
      </c>
      <c r="I9" s="69"/>
      <c r="J9" s="25"/>
      <c r="K9" s="25"/>
      <c r="L9" s="25"/>
    </row>
    <row r="10" spans="2:17" ht="18.75">
      <c r="B10" s="70" t="s">
        <v>54</v>
      </c>
      <c r="C10" s="28" t="s">
        <v>82</v>
      </c>
      <c r="D10" s="28" t="s">
        <v>170</v>
      </c>
      <c r="E10" s="28"/>
      <c r="F10" s="28"/>
      <c r="G10" s="71" t="s">
        <v>55</v>
      </c>
      <c r="H10" s="71"/>
      <c r="I10" s="72"/>
      <c r="J10" s="25"/>
      <c r="K10" s="25"/>
      <c r="L10" s="25"/>
    </row>
    <row r="11" spans="2:17" ht="18.75">
      <c r="B11" s="73"/>
      <c r="C11" s="74"/>
      <c r="D11" s="74"/>
      <c r="E11" s="74"/>
      <c r="F11" s="74"/>
      <c r="G11" s="75"/>
      <c r="H11" s="75" t="s">
        <v>56</v>
      </c>
      <c r="I11" s="76"/>
      <c r="J11" s="25"/>
      <c r="K11" s="25"/>
      <c r="L11" s="25"/>
    </row>
    <row r="12" spans="2:17" ht="18.75">
      <c r="B12" s="66"/>
      <c r="C12" s="67"/>
      <c r="D12" s="67"/>
      <c r="E12" s="67"/>
      <c r="F12" s="67"/>
      <c r="G12" s="68"/>
      <c r="H12" s="68"/>
      <c r="I12" s="69"/>
      <c r="J12" s="25"/>
      <c r="K12" s="25"/>
      <c r="L12" s="25"/>
    </row>
    <row r="13" spans="2:17" ht="18.75">
      <c r="B13" s="70" t="s">
        <v>57</v>
      </c>
      <c r="C13" s="28" t="s">
        <v>82</v>
      </c>
      <c r="D13" s="28" t="s">
        <v>171</v>
      </c>
      <c r="E13" s="28"/>
      <c r="F13" s="28"/>
      <c r="G13" s="71" t="s">
        <v>55</v>
      </c>
      <c r="H13" s="71" t="s">
        <v>58</v>
      </c>
      <c r="I13" s="72"/>
      <c r="J13" s="25"/>
      <c r="K13" s="25"/>
      <c r="L13" s="25"/>
    </row>
    <row r="14" spans="2:17" ht="18.75">
      <c r="B14" s="73"/>
      <c r="C14" s="74"/>
      <c r="D14" s="74"/>
      <c r="E14" s="74"/>
      <c r="F14" s="74"/>
      <c r="G14" s="75"/>
      <c r="H14" s="75"/>
      <c r="I14" s="76"/>
      <c r="J14" s="25"/>
      <c r="K14" s="25"/>
      <c r="L14" s="25"/>
    </row>
    <row r="15" spans="2:17" ht="18.75">
      <c r="B15" s="66"/>
      <c r="C15" s="67"/>
      <c r="D15" s="67"/>
      <c r="E15" s="67"/>
      <c r="F15" s="67"/>
      <c r="G15" s="68"/>
      <c r="H15" s="68" t="s">
        <v>59</v>
      </c>
      <c r="I15" s="69"/>
      <c r="J15" s="25"/>
      <c r="K15" s="25"/>
      <c r="L15" s="25"/>
    </row>
    <row r="16" spans="2:17" ht="18.75">
      <c r="B16" s="70" t="s">
        <v>60</v>
      </c>
      <c r="C16" s="28" t="s">
        <v>82</v>
      </c>
      <c r="D16" s="28" t="s">
        <v>169</v>
      </c>
      <c r="E16" s="28"/>
      <c r="F16" s="28"/>
      <c r="G16" s="71" t="s">
        <v>55</v>
      </c>
      <c r="H16" s="71"/>
      <c r="I16" s="72"/>
      <c r="J16" s="25"/>
      <c r="K16" s="25"/>
      <c r="L16" s="25"/>
    </row>
    <row r="17" spans="2:17" ht="18.75">
      <c r="B17" s="73"/>
      <c r="C17" s="74"/>
      <c r="D17" s="74"/>
      <c r="E17" s="74"/>
      <c r="F17" s="74"/>
      <c r="G17" s="75"/>
      <c r="H17" s="75" t="s">
        <v>49</v>
      </c>
      <c r="I17" s="76"/>
      <c r="J17" s="25"/>
      <c r="K17" s="25"/>
      <c r="L17" s="25"/>
    </row>
    <row r="18" spans="2:17" ht="18.75">
      <c r="B18" s="66"/>
      <c r="C18" s="67"/>
      <c r="D18" s="67"/>
      <c r="E18" s="67"/>
      <c r="F18" s="67"/>
      <c r="G18" s="68"/>
      <c r="H18" s="68" t="s">
        <v>61</v>
      </c>
      <c r="I18" s="69"/>
      <c r="J18" s="25"/>
      <c r="K18" s="25"/>
      <c r="L18" s="25"/>
    </row>
    <row r="19" spans="2:17" ht="18.75">
      <c r="B19" s="70" t="s">
        <v>62</v>
      </c>
      <c r="C19" s="28" t="s">
        <v>82</v>
      </c>
      <c r="D19" s="28" t="s">
        <v>172</v>
      </c>
      <c r="E19" s="28"/>
      <c r="F19" s="28"/>
      <c r="G19" s="71" t="s">
        <v>55</v>
      </c>
      <c r="H19" s="71"/>
      <c r="I19" s="72"/>
      <c r="J19" s="25"/>
      <c r="K19" s="25"/>
      <c r="L19" s="25"/>
    </row>
    <row r="20" spans="2:17" ht="18.75">
      <c r="B20" s="73"/>
      <c r="C20" s="74"/>
      <c r="D20" s="74"/>
      <c r="E20" s="74"/>
      <c r="F20" s="74"/>
      <c r="G20" s="75"/>
      <c r="H20" s="75" t="s">
        <v>48</v>
      </c>
      <c r="I20" s="76"/>
      <c r="J20" s="25"/>
      <c r="K20" s="25"/>
      <c r="L20" s="25"/>
    </row>
    <row r="21" spans="2:17" ht="18.75">
      <c r="B21" s="66"/>
      <c r="C21" s="67"/>
      <c r="D21" s="67"/>
      <c r="E21" s="67"/>
      <c r="F21" s="67"/>
      <c r="G21" s="68"/>
      <c r="H21" s="68" t="s">
        <v>63</v>
      </c>
      <c r="I21" s="69"/>
      <c r="J21" s="25"/>
      <c r="K21" s="25"/>
      <c r="L21" s="25"/>
    </row>
    <row r="22" spans="2:17" ht="18.75">
      <c r="B22" s="70" t="s">
        <v>64</v>
      </c>
      <c r="C22" s="28" t="s">
        <v>82</v>
      </c>
      <c r="D22" s="28" t="s">
        <v>65</v>
      </c>
      <c r="E22" s="28"/>
      <c r="F22" s="28"/>
      <c r="G22" s="71" t="s">
        <v>55</v>
      </c>
      <c r="H22" s="71"/>
      <c r="I22" s="72"/>
      <c r="J22" s="25"/>
      <c r="K22" s="25"/>
      <c r="L22" s="25"/>
    </row>
    <row r="23" spans="2:17" ht="18.75">
      <c r="B23" s="73"/>
      <c r="C23" s="74"/>
      <c r="D23" s="74"/>
      <c r="E23" s="74"/>
      <c r="F23" s="74"/>
      <c r="G23" s="75"/>
      <c r="H23" s="77">
        <v>100</v>
      </c>
      <c r="I23" s="76"/>
      <c r="J23" s="25"/>
      <c r="K23" s="25"/>
      <c r="L23" s="25"/>
      <c r="M23" s="25"/>
      <c r="N23" s="25"/>
      <c r="O23" s="25"/>
      <c r="P23" s="25"/>
      <c r="Q23" s="25"/>
    </row>
    <row r="24" spans="2:17" ht="18.75">
      <c r="B24" s="25"/>
      <c r="D24" s="25"/>
      <c r="E24" s="25"/>
      <c r="F24" s="25"/>
      <c r="G24" s="26"/>
      <c r="H24" s="26"/>
      <c r="I24" s="26"/>
      <c r="J24" s="25"/>
      <c r="K24" s="25"/>
      <c r="L24" s="25"/>
      <c r="M24" s="25"/>
      <c r="N24" s="25"/>
      <c r="O24" s="25"/>
      <c r="P24" s="25"/>
      <c r="Q24" s="25"/>
    </row>
  </sheetData>
  <mergeCells count="1">
    <mergeCell ref="B2:I2"/>
  </mergeCells>
  <pageMargins left="0.70866141732283472" right="0.70866141732283472" top="0.74803149606299213" bottom="0.74803149606299213" header="0.31496062992125984" footer="0.31496062992125984"/>
  <pageSetup paperSize="9" orientation="landscape" r:id="rId1"/>
  <drawing r:id="rId2"/>
</worksheet>
</file>

<file path=xl/worksheets/sheet9.xml><?xml version="1.0" encoding="utf-8"?>
<worksheet xmlns="http://schemas.openxmlformats.org/spreadsheetml/2006/main" xmlns:r="http://schemas.openxmlformats.org/officeDocument/2006/relationships">
  <dimension ref="F1:V10"/>
  <sheetViews>
    <sheetView workbookViewId="0"/>
  </sheetViews>
  <sheetFormatPr defaultRowHeight="15"/>
  <cols>
    <col min="6" max="6" width="4.5703125" bestFit="1" customWidth="1"/>
    <col min="7" max="7" width="17" bestFit="1" customWidth="1"/>
    <col min="8" max="8" width="21.5703125" bestFit="1" customWidth="1"/>
    <col min="19" max="19" width="6" customWidth="1"/>
    <col min="20" max="21" width="12.85546875" customWidth="1"/>
    <col min="22" max="22" width="14.140625" customWidth="1"/>
  </cols>
  <sheetData>
    <row r="1" spans="6:22">
      <c r="F1" s="42" t="s">
        <v>105</v>
      </c>
      <c r="G1" s="42" t="s">
        <v>106</v>
      </c>
      <c r="H1" s="42" t="s">
        <v>123</v>
      </c>
      <c r="S1" s="42">
        <v>10371</v>
      </c>
      <c r="T1" s="42" t="s">
        <v>102</v>
      </c>
      <c r="U1" s="42" t="s">
        <v>102</v>
      </c>
      <c r="V1" s="42" t="s">
        <v>98</v>
      </c>
    </row>
    <row r="2" spans="6:22">
      <c r="F2" s="42" t="s">
        <v>107</v>
      </c>
      <c r="G2" s="42" t="s">
        <v>108</v>
      </c>
      <c r="H2" s="42">
        <v>1</v>
      </c>
      <c r="S2" s="43"/>
    </row>
    <row r="3" spans="6:22">
      <c r="F3" s="42" t="s">
        <v>109</v>
      </c>
      <c r="G3" s="42" t="s">
        <v>110</v>
      </c>
      <c r="H3" s="42">
        <v>5</v>
      </c>
    </row>
    <row r="4" spans="6:22">
      <c r="F4" s="42" t="s">
        <v>111</v>
      </c>
      <c r="G4" s="42" t="s">
        <v>112</v>
      </c>
      <c r="H4" s="42">
        <v>0</v>
      </c>
    </row>
    <row r="5" spans="6:22">
      <c r="F5" s="42" t="s">
        <v>113</v>
      </c>
      <c r="G5" s="42" t="s">
        <v>114</v>
      </c>
      <c r="H5" s="42" t="s">
        <v>124</v>
      </c>
    </row>
    <row r="6" spans="6:22">
      <c r="F6" s="42" t="s">
        <v>115</v>
      </c>
      <c r="G6" s="42" t="s">
        <v>116</v>
      </c>
    </row>
    <row r="7" spans="6:22">
      <c r="F7" s="42" t="s">
        <v>117</v>
      </c>
      <c r="G7" s="42" t="s">
        <v>118</v>
      </c>
    </row>
    <row r="8" spans="6:22">
      <c r="F8" s="42" t="s">
        <v>119</v>
      </c>
      <c r="G8" s="42" t="s">
        <v>120</v>
      </c>
    </row>
    <row r="9" spans="6:22">
      <c r="F9" s="42" t="s">
        <v>121</v>
      </c>
      <c r="G9" s="42" t="s">
        <v>122</v>
      </c>
    </row>
    <row r="10" spans="6:22">
      <c r="F10" s="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Sheet5</vt:lpstr>
      <vt:lpstr>Process data</vt:lpstr>
      <vt:lpstr>Data</vt:lpstr>
      <vt:lpstr>Feed variability</vt:lpstr>
      <vt:lpstr>Derrick cal</vt:lpstr>
      <vt:lpstr>Efficiency</vt:lpstr>
      <vt:lpstr>% Commulative passing</vt:lpstr>
      <vt:lpstr>Derrick Fomula</vt:lpstr>
      <vt:lpstr>PCS</vt:lpstr>
      <vt:lpstr>alternative methods</vt:lpstr>
      <vt:lpstr>Sheet2</vt:lpstr>
      <vt:lpstr>XXXDataSheetXXX!ExternalData_10</vt:lpstr>
      <vt:lpstr>XXXDataSheetXXX!ExternalData_11</vt:lpstr>
      <vt:lpstr>XXXDataSheetXXX!ExternalData_12</vt:lpstr>
      <vt:lpstr>PCS!ExternalData_5</vt:lpstr>
      <vt:lpstr>PCS!ExternalData_6</vt:lpstr>
      <vt:lpstr>PCS!ExternalData_7</vt:lpstr>
      <vt:lpstr>PCS!ExternalData_8</vt:lpstr>
      <vt:lpstr>Data!Print_Area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quyen.nguyen</dc:creator>
  <cp:lastModifiedBy>thinh.duong</cp:lastModifiedBy>
  <cp:lastPrinted>2014-10-20T02:48:12Z</cp:lastPrinted>
  <dcterms:created xsi:type="dcterms:W3CDTF">2014-06-01T04:40:25Z</dcterms:created>
  <dcterms:modified xsi:type="dcterms:W3CDTF">2014-11-03T07:53:21Z</dcterms:modified>
</cp:coreProperties>
</file>