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760" activeTab="1"/>
  </bookViews>
  <sheets>
    <sheet name="Data" sheetId="1" r:id="rId1"/>
    <sheet name="Derrick cal 212" sheetId="6" r:id="rId2"/>
    <sheet name="Derrick cal" sheetId="5" state="hidden" r:id="rId3"/>
    <sheet name="Efficiency" sheetId="2" state="hidden" r:id="rId4"/>
    <sheet name="Fines recovery" sheetId="7" r:id="rId5"/>
    <sheet name="% commulative passing" sheetId="3" r:id="rId6"/>
    <sheet name="Derrick Fomula" sheetId="4" r:id="rId7"/>
  </sheets>
  <externalReferences>
    <externalReference r:id="rId8"/>
  </externalReferences>
  <definedNames>
    <definedName name="_xlnm.Print_Area" localSheetId="0">Data!$A$7:$F$18</definedName>
  </definedNames>
  <calcPr calcId="125725"/>
</workbook>
</file>

<file path=xl/calcChain.xml><?xml version="1.0" encoding="utf-8"?>
<calcChain xmlns="http://schemas.openxmlformats.org/spreadsheetml/2006/main">
  <c r="D55" i="6"/>
  <c r="C55"/>
  <c r="D46"/>
  <c r="C46"/>
  <c r="P95" i="1"/>
  <c r="O95"/>
  <c r="N95"/>
  <c r="L95"/>
  <c r="K95"/>
  <c r="L81"/>
  <c r="G5" i="6"/>
  <c r="C5"/>
  <c r="R39" i="1"/>
  <c r="F35" l="1"/>
  <c r="J39"/>
  <c r="C3" i="6"/>
  <c r="D3" s="1"/>
  <c r="F25" i="1"/>
  <c r="C22" i="6"/>
  <c r="M5"/>
  <c r="L5"/>
  <c r="K5"/>
  <c r="J5"/>
  <c r="I5"/>
  <c r="F5"/>
  <c r="E5"/>
  <c r="D5"/>
  <c r="I3"/>
  <c r="F21" i="1"/>
  <c r="C4" i="6" l="1"/>
  <c r="C8"/>
  <c r="D56" l="1"/>
  <c r="C56"/>
  <c r="D47"/>
  <c r="C47"/>
  <c r="I52" i="7"/>
  <c r="J52"/>
  <c r="J42"/>
  <c r="I42"/>
  <c r="J51" l="1"/>
  <c r="I51"/>
  <c r="J45"/>
  <c r="I45"/>
  <c r="J35"/>
  <c r="I35"/>
  <c r="J41"/>
  <c r="I41"/>
  <c r="F22" i="6"/>
  <c r="G22"/>
  <c r="J14" i="7"/>
  <c r="I14"/>
  <c r="D22" i="6"/>
  <c r="C4" i="7"/>
  <c r="L4"/>
  <c r="K4"/>
  <c r="J4"/>
  <c r="I4"/>
  <c r="H4"/>
  <c r="F4"/>
  <c r="E4"/>
  <c r="D4"/>
  <c r="B4"/>
  <c r="K19"/>
  <c r="B212" i="1"/>
  <c r="G220"/>
  <c r="F211"/>
  <c r="F212"/>
  <c r="F213"/>
  <c r="F214"/>
  <c r="F215"/>
  <c r="F216"/>
  <c r="F217"/>
  <c r="F218"/>
  <c r="F219"/>
  <c r="F220"/>
  <c r="F221"/>
  <c r="F210"/>
  <c r="E205"/>
  <c r="E221"/>
  <c r="G211"/>
  <c r="G212"/>
  <c r="G213"/>
  <c r="G214"/>
  <c r="G215"/>
  <c r="G216"/>
  <c r="G217"/>
  <c r="G218"/>
  <c r="G219"/>
  <c r="G210"/>
  <c r="E222"/>
  <c r="E211"/>
  <c r="E212"/>
  <c r="E213"/>
  <c r="E214"/>
  <c r="E215"/>
  <c r="E216"/>
  <c r="E217"/>
  <c r="E218"/>
  <c r="E219"/>
  <c r="E220"/>
  <c r="E210"/>
  <c r="B196"/>
  <c r="G195"/>
  <c r="G196"/>
  <c r="G197"/>
  <c r="G198"/>
  <c r="G199"/>
  <c r="G200"/>
  <c r="G201"/>
  <c r="G202"/>
  <c r="G203"/>
  <c r="G204"/>
  <c r="G194"/>
  <c r="G177"/>
  <c r="G166"/>
  <c r="G165"/>
  <c r="G164"/>
  <c r="G163"/>
  <c r="G187"/>
  <c r="F206"/>
  <c r="F189"/>
  <c r="F195"/>
  <c r="F196"/>
  <c r="F197"/>
  <c r="F198"/>
  <c r="F199"/>
  <c r="F200"/>
  <c r="F201"/>
  <c r="F202"/>
  <c r="F203"/>
  <c r="F204"/>
  <c r="F205"/>
  <c r="F194"/>
  <c r="E206"/>
  <c r="E195"/>
  <c r="E196"/>
  <c r="E197"/>
  <c r="E198"/>
  <c r="E199"/>
  <c r="E200"/>
  <c r="E201"/>
  <c r="E202"/>
  <c r="E203"/>
  <c r="E204"/>
  <c r="E194"/>
  <c r="F222" l="1"/>
  <c r="W45" l="1"/>
  <c r="L2" i="7" l="1"/>
  <c r="K2"/>
  <c r="J2"/>
  <c r="I2"/>
  <c r="H2"/>
  <c r="F2"/>
  <c r="E2"/>
  <c r="D2"/>
  <c r="C2"/>
  <c r="B2"/>
  <c r="W187" i="1"/>
  <c r="W173"/>
  <c r="W159"/>
  <c r="W145"/>
  <c r="W131"/>
  <c r="W101"/>
  <c r="W87"/>
  <c r="W73"/>
  <c r="W59"/>
  <c r="T145"/>
  <c r="U173"/>
  <c r="T173"/>
  <c r="E19" i="7" l="1"/>
  <c r="T131" i="1"/>
  <c r="U131"/>
  <c r="U187"/>
  <c r="T187"/>
  <c r="U159"/>
  <c r="T159"/>
  <c r="U145"/>
  <c r="U101"/>
  <c r="T101"/>
  <c r="U87"/>
  <c r="T87"/>
  <c r="U73"/>
  <c r="T73"/>
  <c r="U59"/>
  <c r="T59"/>
  <c r="T45"/>
  <c r="U45"/>
  <c r="N39"/>
  <c r="L39"/>
  <c r="J40"/>
  <c r="N40" s="1"/>
  <c r="L40"/>
  <c r="J41"/>
  <c r="N41" s="1"/>
  <c r="L41"/>
  <c r="J42"/>
  <c r="N42" s="1"/>
  <c r="L42"/>
  <c r="J43"/>
  <c r="N43" s="1"/>
  <c r="L43"/>
  <c r="J44"/>
  <c r="N44" s="1"/>
  <c r="L44"/>
  <c r="J45"/>
  <c r="N45" s="1"/>
  <c r="L45"/>
  <c r="F32"/>
  <c r="F27" i="6"/>
  <c r="I4"/>
  <c r="G3"/>
  <c r="G4" s="1"/>
  <c r="F34"/>
  <c r="B5" i="5"/>
  <c r="P38" i="1"/>
  <c r="B3" i="5"/>
  <c r="K181" i="1"/>
  <c r="L181"/>
  <c r="N181" s="1"/>
  <c r="K182"/>
  <c r="L182"/>
  <c r="N182" s="1"/>
  <c r="K183"/>
  <c r="L183"/>
  <c r="N183"/>
  <c r="P183" s="1"/>
  <c r="K184"/>
  <c r="L184"/>
  <c r="N184"/>
  <c r="O184" s="1"/>
  <c r="R184" s="1"/>
  <c r="P184"/>
  <c r="K185"/>
  <c r="L185"/>
  <c r="N185" s="1"/>
  <c r="K186"/>
  <c r="L186"/>
  <c r="N186" s="1"/>
  <c r="K187"/>
  <c r="L187"/>
  <c r="N187"/>
  <c r="L180"/>
  <c r="N180" s="1"/>
  <c r="O180" s="1"/>
  <c r="Q180" s="1"/>
  <c r="K180"/>
  <c r="J187"/>
  <c r="J186"/>
  <c r="J185"/>
  <c r="J184"/>
  <c r="J183"/>
  <c r="J182"/>
  <c r="J181"/>
  <c r="J180"/>
  <c r="J167"/>
  <c r="N167" s="1"/>
  <c r="L167"/>
  <c r="J168"/>
  <c r="N168" s="1"/>
  <c r="L168"/>
  <c r="J169"/>
  <c r="N169" s="1"/>
  <c r="L169"/>
  <c r="J170"/>
  <c r="N170" s="1"/>
  <c r="L170"/>
  <c r="J171"/>
  <c r="N171" s="1"/>
  <c r="L171"/>
  <c r="J172"/>
  <c r="N172" s="1"/>
  <c r="L172"/>
  <c r="J173"/>
  <c r="N173" s="1"/>
  <c r="L173"/>
  <c r="L166"/>
  <c r="N166" s="1"/>
  <c r="O166" s="1"/>
  <c r="Q166" s="1"/>
  <c r="K166"/>
  <c r="J166"/>
  <c r="J153"/>
  <c r="N153" s="1"/>
  <c r="L153"/>
  <c r="J154"/>
  <c r="N154" s="1"/>
  <c r="L154"/>
  <c r="J155"/>
  <c r="N155" s="1"/>
  <c r="L155"/>
  <c r="J156"/>
  <c r="N156" s="1"/>
  <c r="L156"/>
  <c r="J157"/>
  <c r="N157" s="1"/>
  <c r="L157"/>
  <c r="J158"/>
  <c r="N158" s="1"/>
  <c r="L158"/>
  <c r="J159"/>
  <c r="N159" s="1"/>
  <c r="L159"/>
  <c r="L152"/>
  <c r="N152" s="1"/>
  <c r="O152" s="1"/>
  <c r="Q152" s="1"/>
  <c r="K152"/>
  <c r="J152"/>
  <c r="J139"/>
  <c r="N139" s="1"/>
  <c r="L139"/>
  <c r="J140"/>
  <c r="N140" s="1"/>
  <c r="L140"/>
  <c r="J141"/>
  <c r="N141" s="1"/>
  <c r="L141"/>
  <c r="J142"/>
  <c r="N142" s="1"/>
  <c r="L142"/>
  <c r="J143"/>
  <c r="N143" s="1"/>
  <c r="L143"/>
  <c r="J144"/>
  <c r="N144" s="1"/>
  <c r="L144"/>
  <c r="J145"/>
  <c r="N145" s="1"/>
  <c r="L145"/>
  <c r="L138"/>
  <c r="N138" s="1"/>
  <c r="O138" s="1"/>
  <c r="Q138" s="1"/>
  <c r="K138"/>
  <c r="J138"/>
  <c r="J131"/>
  <c r="N131" s="1"/>
  <c r="J125"/>
  <c r="N125" s="1"/>
  <c r="L125"/>
  <c r="J126"/>
  <c r="N126" s="1"/>
  <c r="L126"/>
  <c r="J127"/>
  <c r="N127" s="1"/>
  <c r="L127"/>
  <c r="J128"/>
  <c r="N128" s="1"/>
  <c r="L128"/>
  <c r="J129"/>
  <c r="N129" s="1"/>
  <c r="L129"/>
  <c r="J130"/>
  <c r="N130" s="1"/>
  <c r="L130"/>
  <c r="L131"/>
  <c r="P124"/>
  <c r="O124"/>
  <c r="L124"/>
  <c r="J124"/>
  <c r="K124" s="1"/>
  <c r="L96"/>
  <c r="L97"/>
  <c r="L98"/>
  <c r="L99"/>
  <c r="L100"/>
  <c r="L101"/>
  <c r="N94"/>
  <c r="L94"/>
  <c r="O94" s="1"/>
  <c r="Q94" s="1"/>
  <c r="K94"/>
  <c r="J94"/>
  <c r="L82"/>
  <c r="L83"/>
  <c r="L84"/>
  <c r="L85"/>
  <c r="L86"/>
  <c r="L87"/>
  <c r="J80"/>
  <c r="P80"/>
  <c r="L80"/>
  <c r="N80" s="1"/>
  <c r="O80" s="1"/>
  <c r="Q80" s="1"/>
  <c r="K80"/>
  <c r="L67"/>
  <c r="L68"/>
  <c r="L69"/>
  <c r="L70"/>
  <c r="L71"/>
  <c r="L72"/>
  <c r="L73"/>
  <c r="Q66"/>
  <c r="P66"/>
  <c r="O66"/>
  <c r="N66"/>
  <c r="L66"/>
  <c r="J66"/>
  <c r="K66"/>
  <c r="J55"/>
  <c r="N55" s="1"/>
  <c r="J59"/>
  <c r="J73" s="1"/>
  <c r="J52"/>
  <c r="K52"/>
  <c r="L53"/>
  <c r="L54"/>
  <c r="L55"/>
  <c r="L56"/>
  <c r="L57"/>
  <c r="L58"/>
  <c r="L59"/>
  <c r="L52"/>
  <c r="J38"/>
  <c r="K38" s="1"/>
  <c r="L38"/>
  <c r="B37"/>
  <c r="B23"/>
  <c r="F60"/>
  <c r="F46"/>
  <c r="D11"/>
  <c r="E11"/>
  <c r="F11"/>
  <c r="G11"/>
  <c r="G17"/>
  <c r="F17"/>
  <c r="E17"/>
  <c r="D17"/>
  <c r="C17"/>
  <c r="C16"/>
  <c r="C11"/>
  <c r="B11"/>
  <c r="B17"/>
  <c r="G31"/>
  <c r="B16"/>
  <c r="B179"/>
  <c r="B165"/>
  <c r="B151"/>
  <c r="B137"/>
  <c r="B123"/>
  <c r="B109"/>
  <c r="B93"/>
  <c r="B79"/>
  <c r="B65"/>
  <c r="B51"/>
  <c r="E146"/>
  <c r="E145"/>
  <c r="E144"/>
  <c r="E143"/>
  <c r="E142"/>
  <c r="E141"/>
  <c r="E140"/>
  <c r="E139"/>
  <c r="E138"/>
  <c r="E137"/>
  <c r="E136"/>
  <c r="E135"/>
  <c r="G16"/>
  <c r="F16"/>
  <c r="G10"/>
  <c r="F10"/>
  <c r="E10"/>
  <c r="D10"/>
  <c r="C10"/>
  <c r="I7" i="5"/>
  <c r="J7" s="1"/>
  <c r="K7" s="1"/>
  <c r="L7" s="1"/>
  <c r="R45" i="1" l="1"/>
  <c r="O45"/>
  <c r="Q45" s="1"/>
  <c r="R43"/>
  <c r="O43"/>
  <c r="Q43" s="1"/>
  <c r="O41"/>
  <c r="Q41" s="1"/>
  <c r="O39"/>
  <c r="Q39" s="1"/>
  <c r="R44"/>
  <c r="O44"/>
  <c r="Q44" s="1"/>
  <c r="R42"/>
  <c r="O42"/>
  <c r="Q42" s="1"/>
  <c r="O40"/>
  <c r="Q40" s="1"/>
  <c r="J56"/>
  <c r="J53"/>
  <c r="K45"/>
  <c r="P45" s="1"/>
  <c r="K44"/>
  <c r="P44" s="1"/>
  <c r="K43"/>
  <c r="P43" s="1"/>
  <c r="K42"/>
  <c r="P42" s="1"/>
  <c r="K41"/>
  <c r="P41" s="1"/>
  <c r="K40"/>
  <c r="P40" s="1"/>
  <c r="K39"/>
  <c r="P39" s="1"/>
  <c r="J57"/>
  <c r="N57" s="1"/>
  <c r="N59"/>
  <c r="O59" s="1"/>
  <c r="Q59" s="1"/>
  <c r="J58"/>
  <c r="J54"/>
  <c r="N54" s="1"/>
  <c r="J69"/>
  <c r="N69" s="1"/>
  <c r="J83"/>
  <c r="J68"/>
  <c r="J71"/>
  <c r="N73"/>
  <c r="O73" s="1"/>
  <c r="J87"/>
  <c r="M3" i="6"/>
  <c r="M4" s="1"/>
  <c r="J3"/>
  <c r="J8" s="1"/>
  <c r="L3"/>
  <c r="L4" s="1"/>
  <c r="I8"/>
  <c r="I9" s="1"/>
  <c r="I11" s="1"/>
  <c r="K3"/>
  <c r="K4" s="1"/>
  <c r="G8"/>
  <c r="F3"/>
  <c r="F4" s="1"/>
  <c r="E3"/>
  <c r="O185" i="1"/>
  <c r="Q185" s="1"/>
  <c r="P185"/>
  <c r="O181"/>
  <c r="Q181" s="1"/>
  <c r="P181"/>
  <c r="P186"/>
  <c r="O186"/>
  <c r="Q186" s="1"/>
  <c r="P182"/>
  <c r="O182"/>
  <c r="Q182" s="1"/>
  <c r="R183"/>
  <c r="O187"/>
  <c r="Q187" s="1"/>
  <c r="O183"/>
  <c r="Q183" s="1"/>
  <c r="P187"/>
  <c r="Q184"/>
  <c r="R180"/>
  <c r="P180"/>
  <c r="R173"/>
  <c r="O173"/>
  <c r="Q173" s="1"/>
  <c r="P171"/>
  <c r="O171"/>
  <c r="Q171" s="1"/>
  <c r="O169"/>
  <c r="Q169" s="1"/>
  <c r="R172"/>
  <c r="O172"/>
  <c r="Q172" s="1"/>
  <c r="P170"/>
  <c r="O170"/>
  <c r="Q170" s="1"/>
  <c r="P168"/>
  <c r="O168"/>
  <c r="Q168" s="1"/>
  <c r="P167"/>
  <c r="O167"/>
  <c r="Q167" s="1"/>
  <c r="K173"/>
  <c r="P173" s="1"/>
  <c r="K172"/>
  <c r="P172" s="1"/>
  <c r="K170"/>
  <c r="K169"/>
  <c r="P169" s="1"/>
  <c r="K168"/>
  <c r="K167"/>
  <c r="K171"/>
  <c r="R166"/>
  <c r="P166"/>
  <c r="R159"/>
  <c r="O159"/>
  <c r="Q159" s="1"/>
  <c r="P157"/>
  <c r="O157"/>
  <c r="Q157" s="1"/>
  <c r="O153"/>
  <c r="Q153" s="1"/>
  <c r="R158"/>
  <c r="O158"/>
  <c r="Q158" s="1"/>
  <c r="O156"/>
  <c r="Q156" s="1"/>
  <c r="O154"/>
  <c r="Q154" s="1"/>
  <c r="P154"/>
  <c r="O155"/>
  <c r="Q155" s="1"/>
  <c r="P155"/>
  <c r="K159"/>
  <c r="P159" s="1"/>
  <c r="K158"/>
  <c r="P158" s="1"/>
  <c r="K157"/>
  <c r="K156"/>
  <c r="P156" s="1"/>
  <c r="K155"/>
  <c r="K154"/>
  <c r="K153"/>
  <c r="P153" s="1"/>
  <c r="P152"/>
  <c r="R152"/>
  <c r="R145"/>
  <c r="O145"/>
  <c r="Q145" s="1"/>
  <c r="O143"/>
  <c r="Q143" s="1"/>
  <c r="P143"/>
  <c r="O139"/>
  <c r="Q139" s="1"/>
  <c r="R144"/>
  <c r="O144"/>
  <c r="Q144" s="1"/>
  <c r="O142"/>
  <c r="Q142" s="1"/>
  <c r="P140"/>
  <c r="O140"/>
  <c r="Q140" s="1"/>
  <c r="P141"/>
  <c r="O141"/>
  <c r="Q141" s="1"/>
  <c r="K142"/>
  <c r="P142" s="1"/>
  <c r="K141"/>
  <c r="K140"/>
  <c r="K139"/>
  <c r="P139" s="1"/>
  <c r="K145"/>
  <c r="P145" s="1"/>
  <c r="K144"/>
  <c r="P144" s="1"/>
  <c r="K143"/>
  <c r="P138"/>
  <c r="R138"/>
  <c r="R131"/>
  <c r="O131"/>
  <c r="Q131" s="1"/>
  <c r="P129"/>
  <c r="O129"/>
  <c r="Q129" s="1"/>
  <c r="O125"/>
  <c r="Q125" s="1"/>
  <c r="R130"/>
  <c r="O130"/>
  <c r="Q130" s="1"/>
  <c r="O128"/>
  <c r="Q128" s="1"/>
  <c r="P126"/>
  <c r="O126"/>
  <c r="Q126" s="1"/>
  <c r="O127"/>
  <c r="Q127" s="1"/>
  <c r="K131"/>
  <c r="P131" s="1"/>
  <c r="K130"/>
  <c r="P130" s="1"/>
  <c r="K129"/>
  <c r="K128"/>
  <c r="P128" s="1"/>
  <c r="K127"/>
  <c r="P127" s="1"/>
  <c r="K126"/>
  <c r="K125"/>
  <c r="P125" s="1"/>
  <c r="N124"/>
  <c r="Q124" s="1"/>
  <c r="R94"/>
  <c r="P94"/>
  <c r="R80"/>
  <c r="O69"/>
  <c r="Q69" s="1"/>
  <c r="K73"/>
  <c r="K71"/>
  <c r="K69"/>
  <c r="P69" s="1"/>
  <c r="R66"/>
  <c r="O57"/>
  <c r="Q57" s="1"/>
  <c r="O54"/>
  <c r="Q54" s="1"/>
  <c r="O55"/>
  <c r="Q55" s="1"/>
  <c r="K59"/>
  <c r="K57"/>
  <c r="P57" s="1"/>
  <c r="K56"/>
  <c r="K55"/>
  <c r="P55" s="1"/>
  <c r="K53"/>
  <c r="K58"/>
  <c r="N52"/>
  <c r="P52" s="1"/>
  <c r="N38"/>
  <c r="O38"/>
  <c r="Q38" s="1"/>
  <c r="E188"/>
  <c r="E187"/>
  <c r="E186"/>
  <c r="E185"/>
  <c r="E184"/>
  <c r="E183"/>
  <c r="E182"/>
  <c r="E181"/>
  <c r="E180"/>
  <c r="E179"/>
  <c r="E178"/>
  <c r="E177"/>
  <c r="E174"/>
  <c r="E173"/>
  <c r="E172"/>
  <c r="E171"/>
  <c r="E170"/>
  <c r="E169"/>
  <c r="E168"/>
  <c r="E167"/>
  <c r="E166"/>
  <c r="E165"/>
  <c r="E164"/>
  <c r="E163"/>
  <c r="E132"/>
  <c r="E131"/>
  <c r="E130"/>
  <c r="E129"/>
  <c r="E128"/>
  <c r="E127"/>
  <c r="E126"/>
  <c r="E125"/>
  <c r="E124"/>
  <c r="E123"/>
  <c r="E122"/>
  <c r="E121"/>
  <c r="E88"/>
  <c r="E87"/>
  <c r="E86"/>
  <c r="E85"/>
  <c r="E84"/>
  <c r="E83"/>
  <c r="E82"/>
  <c r="E81"/>
  <c r="E80"/>
  <c r="E79"/>
  <c r="E78"/>
  <c r="E77"/>
  <c r="E74"/>
  <c r="E73"/>
  <c r="E72"/>
  <c r="E71"/>
  <c r="E70"/>
  <c r="E69"/>
  <c r="E68"/>
  <c r="E67"/>
  <c r="E66"/>
  <c r="E65"/>
  <c r="E64"/>
  <c r="E63"/>
  <c r="E60"/>
  <c r="E59"/>
  <c r="E58"/>
  <c r="E57"/>
  <c r="E56"/>
  <c r="E55"/>
  <c r="E54"/>
  <c r="E53"/>
  <c r="E52"/>
  <c r="E51"/>
  <c r="E50"/>
  <c r="E49"/>
  <c r="E46"/>
  <c r="E45"/>
  <c r="E44"/>
  <c r="E43"/>
  <c r="E42"/>
  <c r="E41"/>
  <c r="E40"/>
  <c r="E39"/>
  <c r="E38"/>
  <c r="E37"/>
  <c r="E36"/>
  <c r="E35"/>
  <c r="E32" i="5"/>
  <c r="E25"/>
  <c r="E31" i="2"/>
  <c r="E37"/>
  <c r="C9" i="6" l="1"/>
  <c r="C11" s="1"/>
  <c r="I10"/>
  <c r="J72" i="1"/>
  <c r="N58"/>
  <c r="O58" s="1"/>
  <c r="Q58" s="1"/>
  <c r="N56"/>
  <c r="J70"/>
  <c r="J67"/>
  <c r="N53"/>
  <c r="O53" s="1"/>
  <c r="Q53" s="1"/>
  <c r="P56"/>
  <c r="K54"/>
  <c r="P54" s="1"/>
  <c r="P59"/>
  <c r="R40"/>
  <c r="R41"/>
  <c r="N68"/>
  <c r="J82"/>
  <c r="K83"/>
  <c r="J97"/>
  <c r="N71"/>
  <c r="J85"/>
  <c r="K68"/>
  <c r="N83"/>
  <c r="Q73"/>
  <c r="R73"/>
  <c r="K87"/>
  <c r="J101"/>
  <c r="P73"/>
  <c r="N87"/>
  <c r="M8" i="6"/>
  <c r="M9" s="1"/>
  <c r="M11" s="1"/>
  <c r="J9"/>
  <c r="J11" s="1"/>
  <c r="J4"/>
  <c r="J10" s="1"/>
  <c r="L8"/>
  <c r="I12"/>
  <c r="K8"/>
  <c r="C10"/>
  <c r="D8"/>
  <c r="D4"/>
  <c r="F8"/>
  <c r="E8"/>
  <c r="E4"/>
  <c r="G10"/>
  <c r="G9"/>
  <c r="G11" s="1"/>
  <c r="R181" i="1"/>
  <c r="R182"/>
  <c r="R186"/>
  <c r="R185"/>
  <c r="R187"/>
  <c r="R170"/>
  <c r="R167"/>
  <c r="R169"/>
  <c r="R168"/>
  <c r="R171"/>
  <c r="R156"/>
  <c r="R155"/>
  <c r="R153"/>
  <c r="R154"/>
  <c r="R157"/>
  <c r="R142"/>
  <c r="R141"/>
  <c r="R139"/>
  <c r="R140"/>
  <c r="R143"/>
  <c r="R128"/>
  <c r="R127"/>
  <c r="R125"/>
  <c r="R126"/>
  <c r="R129"/>
  <c r="R124"/>
  <c r="R69"/>
  <c r="R59"/>
  <c r="R58"/>
  <c r="R55"/>
  <c r="R53"/>
  <c r="R54"/>
  <c r="R57"/>
  <c r="O52"/>
  <c r="Q52" s="1"/>
  <c r="R38"/>
  <c r="E119"/>
  <c r="G109" s="1"/>
  <c r="E33"/>
  <c r="E189"/>
  <c r="G181" s="1"/>
  <c r="E175"/>
  <c r="E161"/>
  <c r="E147"/>
  <c r="E133"/>
  <c r="E103"/>
  <c r="F95" s="1"/>
  <c r="E89"/>
  <c r="G80" s="1"/>
  <c r="E75"/>
  <c r="E61"/>
  <c r="F51" s="1"/>
  <c r="E47"/>
  <c r="M10" i="6" l="1"/>
  <c r="C12"/>
  <c r="P53" i="1"/>
  <c r="K67"/>
  <c r="J81"/>
  <c r="N67"/>
  <c r="N72"/>
  <c r="K72"/>
  <c r="J86"/>
  <c r="O56"/>
  <c r="Q56" s="1"/>
  <c r="R56"/>
  <c r="P58"/>
  <c r="N70"/>
  <c r="J84"/>
  <c r="K70"/>
  <c r="P70" s="1"/>
  <c r="O71"/>
  <c r="Q71" s="1"/>
  <c r="P71"/>
  <c r="K85"/>
  <c r="J99"/>
  <c r="N85"/>
  <c r="K82"/>
  <c r="J96"/>
  <c r="N82"/>
  <c r="R83"/>
  <c r="O83"/>
  <c r="Q83" s="1"/>
  <c r="P83"/>
  <c r="K97"/>
  <c r="N97"/>
  <c r="P68"/>
  <c r="O68"/>
  <c r="Q68" s="1"/>
  <c r="R68"/>
  <c r="N101"/>
  <c r="K101"/>
  <c r="P87"/>
  <c r="O87"/>
  <c r="Q87" s="1"/>
  <c r="G12" i="6"/>
  <c r="L9"/>
  <c r="L10"/>
  <c r="M12"/>
  <c r="J12"/>
  <c r="K10"/>
  <c r="K9"/>
  <c r="K11" s="1"/>
  <c r="F10"/>
  <c r="F9"/>
  <c r="F11" s="1"/>
  <c r="E9"/>
  <c r="E11" s="1"/>
  <c r="E10"/>
  <c r="D9"/>
  <c r="D11" s="1"/>
  <c r="D10"/>
  <c r="R52" i="1"/>
  <c r="G153"/>
  <c r="E16"/>
  <c r="G139"/>
  <c r="D16"/>
  <c r="G25"/>
  <c r="B10"/>
  <c r="F116"/>
  <c r="F108"/>
  <c r="G108"/>
  <c r="F119"/>
  <c r="F109"/>
  <c r="G110"/>
  <c r="F107"/>
  <c r="F113"/>
  <c r="G114"/>
  <c r="F115"/>
  <c r="G115"/>
  <c r="F111"/>
  <c r="G116"/>
  <c r="G111"/>
  <c r="F117"/>
  <c r="F112"/>
  <c r="G107"/>
  <c r="G112"/>
  <c r="F118"/>
  <c r="F114"/>
  <c r="F110"/>
  <c r="G117"/>
  <c r="G113"/>
  <c r="G30"/>
  <c r="F23"/>
  <c r="F31"/>
  <c r="F27"/>
  <c r="G22"/>
  <c r="F30"/>
  <c r="G26"/>
  <c r="F28"/>
  <c r="F24"/>
  <c r="G27"/>
  <c r="G23"/>
  <c r="F33"/>
  <c r="F29"/>
  <c r="G21"/>
  <c r="G28"/>
  <c r="G24"/>
  <c r="F26"/>
  <c r="F22"/>
  <c r="G29"/>
  <c r="F187"/>
  <c r="G182"/>
  <c r="G186"/>
  <c r="F179"/>
  <c r="F183"/>
  <c r="F184"/>
  <c r="G183"/>
  <c r="F181"/>
  <c r="G184"/>
  <c r="G180"/>
  <c r="G178"/>
  <c r="F188"/>
  <c r="F180"/>
  <c r="G179"/>
  <c r="F185"/>
  <c r="F177"/>
  <c r="F186"/>
  <c r="F182"/>
  <c r="F178"/>
  <c r="G185"/>
  <c r="F170"/>
  <c r="F174"/>
  <c r="G170"/>
  <c r="F166"/>
  <c r="F163"/>
  <c r="F171"/>
  <c r="F167"/>
  <c r="F175"/>
  <c r="G171"/>
  <c r="G167"/>
  <c r="F172"/>
  <c r="F168"/>
  <c r="F164"/>
  <c r="G172"/>
  <c r="G168"/>
  <c r="F173"/>
  <c r="F169"/>
  <c r="F165"/>
  <c r="G173"/>
  <c r="G169"/>
  <c r="F159"/>
  <c r="F155"/>
  <c r="F151"/>
  <c r="G158"/>
  <c r="G154"/>
  <c r="G150"/>
  <c r="F160"/>
  <c r="F156"/>
  <c r="F152"/>
  <c r="G159"/>
  <c r="G155"/>
  <c r="G151"/>
  <c r="F161"/>
  <c r="F157"/>
  <c r="F153"/>
  <c r="G149"/>
  <c r="G156"/>
  <c r="G152"/>
  <c r="F149"/>
  <c r="F158"/>
  <c r="F154"/>
  <c r="F150"/>
  <c r="G157"/>
  <c r="G136"/>
  <c r="G144"/>
  <c r="F142"/>
  <c r="F141"/>
  <c r="F145"/>
  <c r="F137"/>
  <c r="G140"/>
  <c r="G145"/>
  <c r="G137"/>
  <c r="F146"/>
  <c r="F138"/>
  <c r="G141"/>
  <c r="F147"/>
  <c r="F143"/>
  <c r="F139"/>
  <c r="G135"/>
  <c r="G142"/>
  <c r="G138"/>
  <c r="F135"/>
  <c r="F144"/>
  <c r="F140"/>
  <c r="F136"/>
  <c r="G143"/>
  <c r="F127"/>
  <c r="F121"/>
  <c r="G130"/>
  <c r="G122"/>
  <c r="G131"/>
  <c r="G123"/>
  <c r="F131"/>
  <c r="F123"/>
  <c r="G126"/>
  <c r="F128"/>
  <c r="F132"/>
  <c r="F124"/>
  <c r="G127"/>
  <c r="F133"/>
  <c r="F129"/>
  <c r="F125"/>
  <c r="G121"/>
  <c r="G128"/>
  <c r="G124"/>
  <c r="F130"/>
  <c r="F126"/>
  <c r="F122"/>
  <c r="G129"/>
  <c r="G125"/>
  <c r="G99"/>
  <c r="G95"/>
  <c r="F91"/>
  <c r="F100"/>
  <c r="F96"/>
  <c r="F92"/>
  <c r="G100"/>
  <c r="G96"/>
  <c r="G92"/>
  <c r="F101"/>
  <c r="F97"/>
  <c r="F93"/>
  <c r="G101"/>
  <c r="G97"/>
  <c r="G93"/>
  <c r="F102"/>
  <c r="F98"/>
  <c r="F94"/>
  <c r="G91"/>
  <c r="G98"/>
  <c r="G94"/>
  <c r="F103"/>
  <c r="F99"/>
  <c r="F79"/>
  <c r="F83"/>
  <c r="F87"/>
  <c r="F88"/>
  <c r="F84"/>
  <c r="F80"/>
  <c r="F77"/>
  <c r="F85"/>
  <c r="F81"/>
  <c r="F89"/>
  <c r="G86"/>
  <c r="F86"/>
  <c r="F82"/>
  <c r="H81" s="1"/>
  <c r="F78"/>
  <c r="G58"/>
  <c r="G37"/>
  <c r="G44"/>
  <c r="G38"/>
  <c r="G45"/>
  <c r="G40"/>
  <c r="F55"/>
  <c r="G50"/>
  <c r="G78"/>
  <c r="G35"/>
  <c r="G41"/>
  <c r="G36"/>
  <c r="F59"/>
  <c r="G54"/>
  <c r="G82"/>
  <c r="G42"/>
  <c r="F73"/>
  <c r="G63"/>
  <c r="G43"/>
  <c r="G39"/>
  <c r="F49"/>
  <c r="F57"/>
  <c r="F53"/>
  <c r="G49"/>
  <c r="G56"/>
  <c r="G52"/>
  <c r="F63"/>
  <c r="F71"/>
  <c r="F67"/>
  <c r="F61"/>
  <c r="G72"/>
  <c r="G68"/>
  <c r="G64"/>
  <c r="G77"/>
  <c r="G84"/>
  <c r="F69"/>
  <c r="F65"/>
  <c r="G70"/>
  <c r="G66"/>
  <c r="F56"/>
  <c r="F52"/>
  <c r="G59"/>
  <c r="G55"/>
  <c r="G51"/>
  <c r="F74"/>
  <c r="F70"/>
  <c r="F66"/>
  <c r="F75"/>
  <c r="G71"/>
  <c r="G67"/>
  <c r="G87"/>
  <c r="G83"/>
  <c r="G79"/>
  <c r="F58"/>
  <c r="F54"/>
  <c r="F50"/>
  <c r="G57"/>
  <c r="G53"/>
  <c r="F72"/>
  <c r="F68"/>
  <c r="F64"/>
  <c r="G73"/>
  <c r="G69"/>
  <c r="G65"/>
  <c r="G85"/>
  <c r="G81"/>
  <c r="F37"/>
  <c r="F41"/>
  <c r="F45"/>
  <c r="F40"/>
  <c r="F44"/>
  <c r="F47"/>
  <c r="F39"/>
  <c r="F43"/>
  <c r="F38"/>
  <c r="F42"/>
  <c r="F36"/>
  <c r="P67" l="1"/>
  <c r="O70"/>
  <c r="Q70" s="1"/>
  <c r="N86"/>
  <c r="K86"/>
  <c r="J100"/>
  <c r="N81"/>
  <c r="J95"/>
  <c r="K81"/>
  <c r="K84"/>
  <c r="J98"/>
  <c r="N84"/>
  <c r="O67"/>
  <c r="Q67" s="1"/>
  <c r="O72"/>
  <c r="Q72" s="1"/>
  <c r="P72"/>
  <c r="O97"/>
  <c r="Q97" s="1"/>
  <c r="P97"/>
  <c r="O85"/>
  <c r="Q85" s="1"/>
  <c r="P85"/>
  <c r="R85"/>
  <c r="K96"/>
  <c r="N96"/>
  <c r="R71"/>
  <c r="P82"/>
  <c r="O82"/>
  <c r="Q82" s="1"/>
  <c r="R82"/>
  <c r="K99"/>
  <c r="N99"/>
  <c r="O101"/>
  <c r="Q101" s="1"/>
  <c r="P101"/>
  <c r="R87"/>
  <c r="K12" i="6"/>
  <c r="L11"/>
  <c r="L12"/>
  <c r="E12"/>
  <c r="F12"/>
  <c r="D12"/>
  <c r="I5" i="5"/>
  <c r="I195" i="1"/>
  <c r="I194" s="1"/>
  <c r="H25"/>
  <c r="H95"/>
  <c r="H53"/>
  <c r="B8" i="5"/>
  <c r="E5"/>
  <c r="H5"/>
  <c r="H139" i="1"/>
  <c r="K5" i="5"/>
  <c r="H111" i="1"/>
  <c r="H67"/>
  <c r="C5" i="5"/>
  <c r="F5"/>
  <c r="H153" i="1"/>
  <c r="L5" i="5"/>
  <c r="H39" i="1"/>
  <c r="D5" i="5"/>
  <c r="H125" i="1"/>
  <c r="J5" i="5"/>
  <c r="H167" i="1"/>
  <c r="H181"/>
  <c r="H3" i="5"/>
  <c r="R67" i="1" l="1"/>
  <c r="P81"/>
  <c r="K100"/>
  <c r="N100"/>
  <c r="N98"/>
  <c r="K98"/>
  <c r="O81"/>
  <c r="Q81" s="1"/>
  <c r="O84"/>
  <c r="Q84" s="1"/>
  <c r="P84"/>
  <c r="O86"/>
  <c r="Q86" s="1"/>
  <c r="P86"/>
  <c r="R86"/>
  <c r="R70"/>
  <c r="R72"/>
  <c r="P99"/>
  <c r="O99"/>
  <c r="Q99" s="1"/>
  <c r="R97"/>
  <c r="P96"/>
  <c r="O96"/>
  <c r="Q96" s="1"/>
  <c r="R101"/>
  <c r="B9" i="5"/>
  <c r="B11" s="1"/>
  <c r="I95" i="1"/>
  <c r="I39"/>
  <c r="I53"/>
  <c r="I125"/>
  <c r="I111"/>
  <c r="I67"/>
  <c r="I139"/>
  <c r="I167"/>
  <c r="I153"/>
  <c r="I81"/>
  <c r="C3" i="5"/>
  <c r="C4" s="1"/>
  <c r="F3"/>
  <c r="F4" s="1"/>
  <c r="D3"/>
  <c r="D4" s="1"/>
  <c r="B4"/>
  <c r="B10" s="1"/>
  <c r="E3"/>
  <c r="E4" s="1"/>
  <c r="I181" i="1"/>
  <c r="L3" i="5"/>
  <c r="H4"/>
  <c r="I3"/>
  <c r="J3"/>
  <c r="J4" s="1"/>
  <c r="K3"/>
  <c r="K4" s="1"/>
  <c r="H8"/>
  <c r="R81" i="1" l="1"/>
  <c r="Q95"/>
  <c r="R100"/>
  <c r="O100"/>
  <c r="Q100" s="1"/>
  <c r="P100"/>
  <c r="P98"/>
  <c r="O98"/>
  <c r="Q98" s="1"/>
  <c r="R84"/>
  <c r="R96"/>
  <c r="R99"/>
  <c r="B12" i="5"/>
  <c r="B6" i="2" s="1"/>
  <c r="E8" i="5"/>
  <c r="E9" s="1"/>
  <c r="E11" s="1"/>
  <c r="F8"/>
  <c r="K8"/>
  <c r="K9" s="1"/>
  <c r="K11" s="1"/>
  <c r="E10"/>
  <c r="L8"/>
  <c r="L4"/>
  <c r="H9"/>
  <c r="H11" s="1"/>
  <c r="H10"/>
  <c r="I4"/>
  <c r="I8"/>
  <c r="J8"/>
  <c r="D8"/>
  <c r="C8"/>
  <c r="B3" i="2" l="1"/>
  <c r="F10" i="5"/>
  <c r="F9"/>
  <c r="F11" s="1"/>
  <c r="R98" i="1"/>
  <c r="R95"/>
  <c r="E12" i="5"/>
  <c r="E3" i="2" s="1"/>
  <c r="K12" i="5"/>
  <c r="K10"/>
  <c r="H12"/>
  <c r="D9"/>
  <c r="D11" s="1"/>
  <c r="D10"/>
  <c r="C9"/>
  <c r="C11" s="1"/>
  <c r="C10"/>
  <c r="B9" i="2"/>
  <c r="I9" i="5"/>
  <c r="I11" s="1"/>
  <c r="I10"/>
  <c r="L9"/>
  <c r="L11" s="1"/>
  <c r="J9"/>
  <c r="J11" s="1"/>
  <c r="J10"/>
  <c r="L10"/>
  <c r="L12" l="1"/>
  <c r="J12"/>
  <c r="C8" i="2" s="1"/>
  <c r="F12" i="5"/>
  <c r="B10" i="2" s="1"/>
  <c r="D12" i="5"/>
  <c r="D3" i="2" s="1"/>
  <c r="I12" i="5"/>
  <c r="I3" i="2" s="1"/>
  <c r="C12" i="5"/>
  <c r="C3" i="2" s="1"/>
  <c r="C9"/>
  <c r="K3"/>
  <c r="H3"/>
  <c r="C6"/>
  <c r="J3" l="1"/>
  <c r="C7"/>
  <c r="F3"/>
  <c r="B7"/>
  <c r="B8"/>
  <c r="L3"/>
  <c r="C10"/>
  <c r="C11" s="1"/>
  <c r="B11" l="1"/>
  <c r="B12"/>
  <c r="C12"/>
  <c r="C15" s="1"/>
  <c r="C14" l="1"/>
  <c r="B15"/>
  <c r="B14"/>
</calcChain>
</file>

<file path=xl/comments1.xml><?xml version="1.0" encoding="utf-8"?>
<comments xmlns="http://schemas.openxmlformats.org/spreadsheetml/2006/main">
  <authors>
    <author>pocholo.aviso</author>
  </authors>
  <commentList>
    <comment ref="M39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81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95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67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81" authorId="0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</commentList>
</comments>
</file>

<file path=xl/sharedStrings.xml><?xml version="1.0" encoding="utf-8"?>
<sst xmlns="http://schemas.openxmlformats.org/spreadsheetml/2006/main" count="550" uniqueCount="133">
  <si>
    <t>Sample Description</t>
  </si>
  <si>
    <t>Size Fraction</t>
  </si>
  <si>
    <t>Weight (g)</t>
  </si>
  <si>
    <t>Cum % Passing</t>
  </si>
  <si>
    <t>P80</t>
  </si>
  <si>
    <t>212-300</t>
  </si>
  <si>
    <t>Head</t>
  </si>
  <si>
    <t>53-75</t>
  </si>
  <si>
    <t>75-106</t>
  </si>
  <si>
    <t>106-150</t>
  </si>
  <si>
    <t>300-425</t>
  </si>
  <si>
    <t>425-600</t>
  </si>
  <si>
    <t>180-212</t>
  </si>
  <si>
    <t>150-180</t>
  </si>
  <si>
    <t>Retain %</t>
  </si>
  <si>
    <t>600-1180</t>
  </si>
  <si>
    <t>+1180</t>
  </si>
  <si>
    <t>38-53</t>
  </si>
  <si>
    <t>Take sample</t>
  </si>
  <si>
    <t>Date</t>
  </si>
  <si>
    <t>Time</t>
  </si>
  <si>
    <t>Percent solid</t>
  </si>
  <si>
    <t xml:space="preserve">Dry sample weight </t>
  </si>
  <si>
    <t>Mass bucket</t>
  </si>
  <si>
    <t>Mass bucket+slurry</t>
  </si>
  <si>
    <t>SC 013 O/S D1</t>
  </si>
  <si>
    <t>SC 013 O/S D2</t>
  </si>
  <si>
    <t>SC 013 O/S D3</t>
  </si>
  <si>
    <t>SC 013 O/S D4</t>
  </si>
  <si>
    <t>SC 013 O/S D5</t>
  </si>
  <si>
    <t>SC 014 O/S D1</t>
  </si>
  <si>
    <t>SC 014 O/S D2</t>
  </si>
  <si>
    <t>SC 014 O/S D3</t>
  </si>
  <si>
    <t>SC 014 O/S D4</t>
  </si>
  <si>
    <t>SC 014 O/S D5</t>
  </si>
  <si>
    <t>SC 013 Feed</t>
  </si>
  <si>
    <t>SC 014 Feed</t>
  </si>
  <si>
    <t>Survey grinding screen 013 &amp; 014</t>
  </si>
  <si>
    <t>SC 013</t>
  </si>
  <si>
    <t>SC 014</t>
  </si>
  <si>
    <t>efficiency</t>
  </si>
  <si>
    <t>D1</t>
  </si>
  <si>
    <t>D2</t>
  </si>
  <si>
    <t>D3</t>
  </si>
  <si>
    <t>D4</t>
  </si>
  <si>
    <t>D5</t>
  </si>
  <si>
    <t>SC013</t>
  </si>
  <si>
    <t>SC014</t>
  </si>
  <si>
    <t>average</t>
  </si>
  <si>
    <t>stdev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</si>
  <si>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</si>
  <si>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</si>
  <si>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</si>
  <si>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</si>
  <si>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</si>
  <si>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</si>
  <si>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</si>
  <si>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</si>
  <si>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</si>
  <si>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</si>
  <si>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</si>
  <si>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</t>
  </si>
  <si>
    <t>cònfidence</t>
  </si>
  <si>
    <t>high</t>
  </si>
  <si>
    <t>low</t>
  </si>
  <si>
    <t>tstat&gt;tcritical 1 tails, ínignificant</t>
  </si>
  <si>
    <t xml:space="preserve">Derrick Calculate eficiency </t>
  </si>
  <si>
    <t>For example</t>
  </si>
  <si>
    <t>A</t>
  </si>
  <si>
    <t>Percent of oversize in the feed</t>
  </si>
  <si>
    <t>B</t>
  </si>
  <si>
    <t>Percent of undersize in the feed</t>
  </si>
  <si>
    <t>C</t>
  </si>
  <si>
    <t>Percent of oversize in the oversize product</t>
  </si>
  <si>
    <t>D</t>
  </si>
  <si>
    <t>Percent of undersize in the undersize product</t>
  </si>
  <si>
    <t>The weight splits and efficiency value are calculated as follows:</t>
  </si>
  <si>
    <t>100*(C-A)</t>
  </si>
  <si>
    <t>U</t>
  </si>
  <si>
    <t>Undersizeweight percent</t>
  </si>
  <si>
    <t>=</t>
  </si>
  <si>
    <t>C+D-100</t>
  </si>
  <si>
    <t>O</t>
  </si>
  <si>
    <t xml:space="preserve">Oversizeweight percent </t>
  </si>
  <si>
    <t>100-U</t>
  </si>
  <si>
    <t>U*D</t>
  </si>
  <si>
    <t>Eu</t>
  </si>
  <si>
    <t xml:space="preserve">Undersize efficiency </t>
  </si>
  <si>
    <t>O*C</t>
  </si>
  <si>
    <t>Eo</t>
  </si>
  <si>
    <t>Oversize efficiency</t>
  </si>
  <si>
    <t>U*D+O*C</t>
  </si>
  <si>
    <t>E</t>
  </si>
  <si>
    <t>Overall efficiency</t>
  </si>
  <si>
    <t>deck</t>
  </si>
  <si>
    <t>t-Test: Paired Two Sample for Means</t>
  </si>
  <si>
    <t>Pearson Correlation</t>
  </si>
  <si>
    <t>%  undersize in the feed</t>
  </si>
  <si>
    <t>SC 013 Feed_Survey 1</t>
  </si>
  <si>
    <t>SC 014 Feed Survey 1</t>
  </si>
  <si>
    <t>tstat&lt;tcritical 1 tail, no difference</t>
  </si>
  <si>
    <t>Feed</t>
  </si>
  <si>
    <t>Screen efficiency per size fraction (Derrick)</t>
  </si>
  <si>
    <t>Screen efficiency (Wills)</t>
  </si>
  <si>
    <t>f (+38 um in feed)</t>
  </si>
  <si>
    <t>c (+38 um in coarse)</t>
  </si>
  <si>
    <t>SC013_test 1</t>
  </si>
  <si>
    <t>SC014_test 1</t>
  </si>
  <si>
    <t>E (fines removal)</t>
  </si>
  <si>
    <t>tstat&lt;tcritical one tail no difference</t>
  </si>
  <si>
    <t>u (+38 in fines  at 70 %)</t>
  </si>
  <si>
    <t>E =c(f-u)(1-u)(c-f)/f/(c-u)^2/(1-f)</t>
  </si>
  <si>
    <t>SC 013 O/S_survey 1</t>
  </si>
  <si>
    <t>SC 014 O/S_survey 1</t>
  </si>
  <si>
    <t>SC013_survey 1</t>
  </si>
  <si>
    <t>SC013_survey 2</t>
  </si>
  <si>
    <t>SC014_survey 1</t>
  </si>
  <si>
    <t>Fraction of -38 um in oversize</t>
  </si>
  <si>
    <t>SC014_survey 2</t>
  </si>
  <si>
    <t>t stat&lt;tcritical one tail, no difference</t>
  </si>
  <si>
    <t>Average</t>
  </si>
  <si>
    <t>Deck</t>
  </si>
  <si>
    <t>SC013_Survey 2</t>
  </si>
  <si>
    <t>SC014_Survey 2</t>
  </si>
  <si>
    <t>Deck 1</t>
  </si>
  <si>
    <t>Deck 2</t>
  </si>
  <si>
    <t>Deck 3</t>
  </si>
  <si>
    <t>Deck 4</t>
  </si>
  <si>
    <t>Deck 5</t>
  </si>
  <si>
    <t>Sampling Point</t>
  </si>
  <si>
    <t>Average of O/S</t>
  </si>
  <si>
    <t>Standard Deviation</t>
  </si>
  <si>
    <t>Overall screen efficiency, based on 212 um aperture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</si>
</sst>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C09]dd\-mmm\-yy;@"/>
    <numFmt numFmtId="166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2" fontId="3" fillId="0" borderId="4" xfId="0" applyNumberFormat="1" applyFont="1" applyBorder="1" applyAlignment="1">
      <alignment horizontal="center" vertical="top" wrapText="1"/>
    </xf>
    <xf numFmtId="164" fontId="1" fillId="0" borderId="4" xfId="1" quotePrefix="1" applyNumberFormat="1" applyFont="1" applyBorder="1" applyAlignment="1">
      <alignment horizontal="center" vertical="center"/>
    </xf>
    <xf numFmtId="0" fontId="0" fillId="0" borderId="4" xfId="0" applyBorder="1"/>
    <xf numFmtId="0" fontId="0" fillId="0" borderId="4" xfId="0" quotePrefix="1" applyNumberFormat="1" applyFont="1" applyBorder="1" applyAlignment="1">
      <alignment horizontal="center" vertical="center"/>
    </xf>
    <xf numFmtId="2" fontId="3" fillId="0" borderId="4" xfId="0" quotePrefix="1" applyNumberFormat="1" applyFont="1" applyBorder="1" applyAlignment="1">
      <alignment horizontal="center" vertical="center"/>
    </xf>
    <xf numFmtId="0" fontId="0" fillId="0" borderId="4" xfId="0" quotePrefix="1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quotePrefix="1" applyNumberFormat="1" applyBorder="1" applyAlignment="1">
      <alignment horizontal="center" vertical="center"/>
    </xf>
    <xf numFmtId="2" fontId="0" fillId="0" borderId="5" xfId="0" quotePrefix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horizontal="center" vertical="center" wrapText="1"/>
    </xf>
    <xf numFmtId="9" fontId="2" fillId="0" borderId="3" xfId="1" applyFont="1" applyBorder="1" applyAlignment="1">
      <alignment horizontal="center" vertical="top" wrapText="1"/>
    </xf>
    <xf numFmtId="9" fontId="3" fillId="0" borderId="4" xfId="1" applyFont="1" applyBorder="1" applyAlignment="1">
      <alignment horizontal="center" vertical="top" wrapText="1"/>
    </xf>
    <xf numFmtId="9" fontId="0" fillId="0" borderId="5" xfId="1" quotePrefix="1" applyFont="1" applyBorder="1" applyAlignment="1">
      <alignment horizontal="center" vertical="center"/>
    </xf>
    <xf numFmtId="9" fontId="0" fillId="0" borderId="0" xfId="1" applyFont="1"/>
    <xf numFmtId="0" fontId="0" fillId="0" borderId="6" xfId="0" applyBorder="1"/>
    <xf numFmtId="0" fontId="0" fillId="0" borderId="6" xfId="0" quotePrefix="1" applyBorder="1" applyAlignment="1">
      <alignment horizontal="center"/>
    </xf>
    <xf numFmtId="0" fontId="0" fillId="0" borderId="6" xfId="0" quotePrefix="1" applyNumberFormat="1" applyBorder="1" applyAlignment="1">
      <alignment horizontal="center" vertical="center"/>
    </xf>
    <xf numFmtId="2" fontId="3" fillId="0" borderId="6" xfId="0" quotePrefix="1" applyNumberFormat="1" applyFont="1" applyBorder="1" applyAlignment="1">
      <alignment horizontal="center" vertical="center"/>
    </xf>
    <xf numFmtId="164" fontId="1" fillId="0" borderId="6" xfId="1" quotePrefix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top" wrapText="1"/>
    </xf>
    <xf numFmtId="10" fontId="3" fillId="0" borderId="6" xfId="1" applyNumberFormat="1" applyFont="1" applyBorder="1" applyAlignment="1">
      <alignment horizontal="center" vertical="top" wrapText="1"/>
    </xf>
    <xf numFmtId="10" fontId="1" fillId="0" borderId="4" xfId="1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0" fillId="0" borderId="10" xfId="0" applyBorder="1"/>
    <xf numFmtId="10" fontId="0" fillId="0" borderId="10" xfId="1" applyNumberFormat="1" applyFont="1" applyBorder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6" fillId="0" borderId="1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5" xfId="0" applyNumberFormat="1" applyFill="1" applyBorder="1" applyAlignment="1"/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0" fontId="0" fillId="0" borderId="0" xfId="0" applyNumberFormat="1"/>
    <xf numFmtId="0" fontId="0" fillId="0" borderId="0" xfId="0" applyAlignment="1"/>
    <xf numFmtId="164" fontId="0" fillId="0" borderId="0" xfId="1" applyNumberFormat="1" applyFont="1"/>
    <xf numFmtId="2" fontId="0" fillId="0" borderId="0" xfId="1" applyNumberFormat="1" applyFont="1" applyFill="1" applyBorder="1" applyAlignment="1"/>
    <xf numFmtId="2" fontId="0" fillId="0" borderId="15" xfId="1" applyNumberFormat="1" applyFont="1" applyFill="1" applyBorder="1" applyAlignment="1"/>
    <xf numFmtId="0" fontId="4" fillId="0" borderId="0" xfId="0" applyFont="1" applyFill="1" applyBorder="1" applyAlignment="1">
      <alignment horizontal="left" vertical="center"/>
    </xf>
    <xf numFmtId="10" fontId="0" fillId="0" borderId="0" xfId="1" applyNumberFormat="1" applyFont="1" applyBorder="1"/>
    <xf numFmtId="0" fontId="0" fillId="0" borderId="17" xfId="0" applyBorder="1"/>
    <xf numFmtId="0" fontId="4" fillId="0" borderId="10" xfId="0" applyFont="1" applyFill="1" applyBorder="1" applyAlignment="1">
      <alignment horizontal="left" vertical="center"/>
    </xf>
    <xf numFmtId="2" fontId="3" fillId="0" borderId="4" xfId="0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2" fontId="0" fillId="0" borderId="10" xfId="0" applyNumberFormat="1" applyBorder="1"/>
    <xf numFmtId="2" fontId="0" fillId="0" borderId="10" xfId="0" applyNumberFormat="1" applyFill="1" applyBorder="1"/>
    <xf numFmtId="2" fontId="0" fillId="0" borderId="18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NumberFormat="1" applyBorder="1" applyAlignment="1">
      <alignment horizontal="center" vertical="center"/>
    </xf>
    <xf numFmtId="2" fontId="0" fillId="0" borderId="0" xfId="0" quotePrefix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top" wrapText="1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quotePrefix="1" applyNumberFormat="1" applyBorder="1" applyAlignment="1">
      <alignment horizontal="center" vertical="center"/>
    </xf>
    <xf numFmtId="2" fontId="0" fillId="0" borderId="19" xfId="0" quotePrefix="1" applyNumberFormat="1" applyFont="1" applyBorder="1" applyAlignment="1">
      <alignment horizontal="center" vertical="center"/>
    </xf>
    <xf numFmtId="10" fontId="3" fillId="0" borderId="19" xfId="1" applyNumberFormat="1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2" fontId="3" fillId="0" borderId="20" xfId="0" applyNumberFormat="1" applyFont="1" applyBorder="1" applyAlignment="1">
      <alignment horizontal="center" vertical="top" wrapText="1"/>
    </xf>
    <xf numFmtId="10" fontId="3" fillId="0" borderId="20" xfId="1" applyNumberFormat="1" applyFont="1" applyBorder="1" applyAlignment="1">
      <alignment horizontal="center" vertical="top" wrapText="1"/>
    </xf>
    <xf numFmtId="10" fontId="1" fillId="0" borderId="20" xfId="1" quotePrefix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top" wrapText="1"/>
    </xf>
    <xf numFmtId="9" fontId="2" fillId="0" borderId="10" xfId="1" applyFont="1" applyBorder="1" applyAlignment="1">
      <alignment horizontal="center" vertical="top" wrapText="1"/>
    </xf>
    <xf numFmtId="0" fontId="0" fillId="0" borderId="0" xfId="0" applyFill="1" applyBorder="1"/>
    <xf numFmtId="9" fontId="0" fillId="0" borderId="0" xfId="0" applyNumberFormat="1"/>
    <xf numFmtId="164" fontId="0" fillId="0" borderId="0" xfId="0" applyNumberFormat="1"/>
    <xf numFmtId="9" fontId="3" fillId="0" borderId="6" xfId="1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/>
    <xf numFmtId="10" fontId="0" fillId="0" borderId="10" xfId="0" applyNumberFormat="1" applyBorder="1"/>
    <xf numFmtId="9" fontId="6" fillId="0" borderId="16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5" xfId="1" applyFont="1" applyFill="1" applyBorder="1" applyAlignment="1"/>
    <xf numFmtId="0" fontId="0" fillId="0" borderId="0" xfId="1" applyNumberFormat="1" applyFont="1" applyFill="1" applyBorder="1" applyAlignment="1"/>
    <xf numFmtId="0" fontId="0" fillId="0" borderId="15" xfId="1" applyNumberFormat="1" applyFont="1" applyFill="1" applyBorder="1" applyAlignment="1"/>
    <xf numFmtId="0" fontId="0" fillId="2" borderId="10" xfId="0" applyFill="1" applyBorder="1"/>
    <xf numFmtId="10" fontId="0" fillId="2" borderId="10" xfId="0" applyNumberFormat="1" applyFill="1" applyBorder="1"/>
    <xf numFmtId="10" fontId="0" fillId="2" borderId="10" xfId="1" applyNumberFormat="1" applyFont="1" applyFill="1" applyBorder="1"/>
    <xf numFmtId="0" fontId="0" fillId="2" borderId="0" xfId="0" applyFill="1"/>
    <xf numFmtId="164" fontId="0" fillId="0" borderId="0" xfId="1" applyNumberFormat="1" applyFont="1" applyFill="1" applyBorder="1" applyAlignment="1"/>
    <xf numFmtId="10" fontId="0" fillId="0" borderId="0" xfId="0" applyNumberFormat="1" applyBorder="1"/>
    <xf numFmtId="0" fontId="0" fillId="0" borderId="21" xfId="0" quotePrefix="1" applyFill="1" applyBorder="1"/>
    <xf numFmtId="10" fontId="0" fillId="2" borderId="0" xfId="0" applyNumberFormat="1" applyFill="1"/>
    <xf numFmtId="9" fontId="0" fillId="4" borderId="0" xfId="0" applyNumberFormat="1" applyFill="1"/>
    <xf numFmtId="0" fontId="0" fillId="0" borderId="10" xfId="0" applyBorder="1" applyAlignment="1">
      <alignment horizontal="center"/>
    </xf>
    <xf numFmtId="164" fontId="0" fillId="0" borderId="10" xfId="1" applyNumberFormat="1" applyFont="1" applyBorder="1"/>
    <xf numFmtId="0" fontId="0" fillId="0" borderId="10" xfId="0" applyBorder="1" applyAlignment="1">
      <alignment horizontal="left"/>
    </xf>
    <xf numFmtId="0" fontId="2" fillId="3" borderId="0" xfId="0" applyFont="1" applyFill="1"/>
    <xf numFmtId="0" fontId="2" fillId="3" borderId="10" xfId="0" applyFont="1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0" fontId="0" fillId="3" borderId="0" xfId="0" applyFill="1" applyBorder="1"/>
    <xf numFmtId="10" fontId="0" fillId="3" borderId="0" xfId="0" applyNumberFormat="1" applyFill="1" applyBorder="1"/>
    <xf numFmtId="0" fontId="2" fillId="3" borderId="10" xfId="0" applyFont="1" applyFill="1" applyBorder="1"/>
    <xf numFmtId="0" fontId="2" fillId="3" borderId="0" xfId="0" applyFont="1" applyFill="1" applyBorder="1"/>
    <xf numFmtId="10" fontId="2" fillId="3" borderId="0" xfId="0" applyNumberFormat="1" applyFont="1" applyFill="1" applyBorder="1"/>
    <xf numFmtId="0" fontId="0" fillId="3" borderId="0" xfId="0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8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'Derrick cal 212'!$C$16</c:f>
              <c:strCache>
                <c:ptCount val="1"/>
                <c:pt idx="0">
                  <c:v>SC013_survey 1</c:v>
                </c:pt>
              </c:strCache>
            </c:strRef>
          </c:tx>
          <c:yVal>
            <c:numRef>
              <c:f>'Derrick cal 212'!$C$17:$C$21</c:f>
              <c:numCache>
                <c:formatCode>0.0%</c:formatCode>
                <c:ptCount val="5"/>
                <c:pt idx="0">
                  <c:v>0.83297563404003716</c:v>
                </c:pt>
                <c:pt idx="1">
                  <c:v>0.84667096188497792</c:v>
                </c:pt>
                <c:pt idx="2">
                  <c:v>0.85507333240007988</c:v>
                </c:pt>
                <c:pt idx="3">
                  <c:v>0.83944892847707231</c:v>
                </c:pt>
                <c:pt idx="4">
                  <c:v>0.87665021582042679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'Derrick cal 212'!$D$16</c:f>
              <c:strCache>
                <c:ptCount val="1"/>
                <c:pt idx="0">
                  <c:v>SC014_survey 1</c:v>
                </c:pt>
              </c:strCache>
            </c:strRef>
          </c:tx>
          <c:yVal>
            <c:numRef>
              <c:f>'Derrick cal 212'!$D$17:$D$21</c:f>
              <c:numCache>
                <c:formatCode>0.0%</c:formatCode>
                <c:ptCount val="5"/>
                <c:pt idx="0">
                  <c:v>0.79749616589092254</c:v>
                </c:pt>
                <c:pt idx="1">
                  <c:v>0.87454941259937558</c:v>
                </c:pt>
                <c:pt idx="2">
                  <c:v>0.89059179735108795</c:v>
                </c:pt>
                <c:pt idx="3">
                  <c:v>0.79586834567712161</c:v>
                </c:pt>
                <c:pt idx="4">
                  <c:v>0.83468605006336616</c:v>
                </c:pt>
              </c:numCache>
            </c:numRef>
          </c:yVal>
          <c:smooth val="1"/>
        </c:ser>
        <c:axId val="95985664"/>
        <c:axId val="95987200"/>
      </c:scatterChart>
      <c:valAx>
        <c:axId val="95985664"/>
        <c:scaling>
          <c:orientation val="minMax"/>
        </c:scaling>
        <c:axPos val="b"/>
        <c:tickLblPos val="nextTo"/>
        <c:crossAx val="95987200"/>
        <c:crosses val="autoZero"/>
        <c:crossBetween val="midCat"/>
      </c:valAx>
      <c:valAx>
        <c:axId val="95987200"/>
        <c:scaling>
          <c:orientation val="minMax"/>
        </c:scaling>
        <c:axPos val="l"/>
        <c:majorGridlines/>
        <c:numFmt formatCode="0.0%" sourceLinked="1"/>
        <c:tickLblPos val="nextTo"/>
        <c:crossAx val="95985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2"/>
          <c:order val="2"/>
          <c:tx>
            <c:strRef>
              <c:f>Data!$B$21</c:f>
              <c:strCache>
                <c:ptCount val="1"/>
                <c:pt idx="0">
                  <c:v>SC 013 Feed_Survey 1</c:v>
                </c:pt>
              </c:strCache>
            </c:strRef>
          </c:tx>
          <c:xVal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Data!$G$21:$G$31</c:f>
              <c:numCache>
                <c:formatCode>0.00%</c:formatCode>
                <c:ptCount val="11"/>
                <c:pt idx="0">
                  <c:v>0.98177080640658454</c:v>
                </c:pt>
                <c:pt idx="1">
                  <c:v>0.90149204346882017</c:v>
                </c:pt>
                <c:pt idx="2">
                  <c:v>0.79882745856296455</c:v>
                </c:pt>
                <c:pt idx="3">
                  <c:v>0.64711052288730575</c:v>
                </c:pt>
                <c:pt idx="4">
                  <c:v>0.50446165458625003</c:v>
                </c:pt>
                <c:pt idx="5">
                  <c:v>0.46581121462471436</c:v>
                </c:pt>
                <c:pt idx="6">
                  <c:v>0.40794929326977758</c:v>
                </c:pt>
                <c:pt idx="7">
                  <c:v>0.32374137913207118</c:v>
                </c:pt>
                <c:pt idx="8">
                  <c:v>0.26662392853080769</c:v>
                </c:pt>
                <c:pt idx="9">
                  <c:v>0.21892610093782633</c:v>
                </c:pt>
                <c:pt idx="10">
                  <c:v>0.17859026190894708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[1]Data!$B$21</c:f>
              <c:strCache>
                <c:ptCount val="1"/>
                <c:pt idx="0">
                  <c:v>SC 013 Feed_Survey 2</c:v>
                </c:pt>
              </c:strCache>
            </c:strRef>
          </c:tx>
          <c:xVal>
            <c:numRef>
              <c:f>[1]Data!$D$35:$D$45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[1]Data!$G$21:$G$31</c:f>
              <c:numCache>
                <c:formatCode>General</c:formatCode>
                <c:ptCount val="11"/>
                <c:pt idx="0">
                  <c:v>0.9327761158429323</c:v>
                </c:pt>
                <c:pt idx="1">
                  <c:v>0.82197199336109483</c:v>
                </c:pt>
                <c:pt idx="2">
                  <c:v>0.70619863047734521</c:v>
                </c:pt>
                <c:pt idx="3">
                  <c:v>0.53902344487621623</c:v>
                </c:pt>
                <c:pt idx="4">
                  <c:v>0.40270724217096165</c:v>
                </c:pt>
                <c:pt idx="5">
                  <c:v>0.36832009858972958</c:v>
                </c:pt>
                <c:pt idx="6">
                  <c:v>0.32146016159969787</c:v>
                </c:pt>
                <c:pt idx="7">
                  <c:v>0.25074787068048776</c:v>
                </c:pt>
                <c:pt idx="8">
                  <c:v>0.20592532225524005</c:v>
                </c:pt>
                <c:pt idx="9">
                  <c:v>0.16205686798715949</c:v>
                </c:pt>
                <c:pt idx="10">
                  <c:v>0.1330265655591886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[1]Data!$B$107</c:f>
              <c:strCache>
                <c:ptCount val="1"/>
                <c:pt idx="0">
                  <c:v>SC 014 Feed_Survey 2</c:v>
                </c:pt>
              </c:strCache>
            </c:strRef>
          </c:tx>
          <c:xVal>
            <c:numRef>
              <c:f>[1]Data!$D$35:$D$45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[1]Data!$G$107:$G$117</c:f>
              <c:numCache>
                <c:formatCode>General</c:formatCode>
                <c:ptCount val="11"/>
                <c:pt idx="0">
                  <c:v>0.92725992467806806</c:v>
                </c:pt>
                <c:pt idx="1">
                  <c:v>0.81953675944991522</c:v>
                </c:pt>
                <c:pt idx="2">
                  <c:v>0.71022393871824685</c:v>
                </c:pt>
                <c:pt idx="3">
                  <c:v>0.54688416852482091</c:v>
                </c:pt>
                <c:pt idx="4">
                  <c:v>0.41229689217014642</c:v>
                </c:pt>
                <c:pt idx="5">
                  <c:v>0.37893546425408875</c:v>
                </c:pt>
                <c:pt idx="6">
                  <c:v>0.3309790784265611</c:v>
                </c:pt>
                <c:pt idx="7">
                  <c:v>0.26387214475467025</c:v>
                </c:pt>
                <c:pt idx="8">
                  <c:v>0.2146248306323415</c:v>
                </c:pt>
                <c:pt idx="9">
                  <c:v>0.16887689238352305</c:v>
                </c:pt>
                <c:pt idx="10">
                  <c:v>0.14385848865370049</c:v>
                </c:pt>
              </c:numCache>
            </c:numRef>
          </c:yVal>
          <c:smooth val="1"/>
        </c:ser>
        <c:axId val="161479296"/>
        <c:axId val="161563392"/>
      </c:scatterChart>
      <c:scatterChart>
        <c:scatterStyle val="smoothMarker"/>
        <c:ser>
          <c:idx val="3"/>
          <c:order val="3"/>
          <c:tx>
            <c:strRef>
              <c:f>Data!$B$107</c:f>
              <c:strCache>
                <c:ptCount val="1"/>
                <c:pt idx="0">
                  <c:v>SC 014 Feed Survey 1</c:v>
                </c:pt>
              </c:strCache>
            </c:strRef>
          </c:tx>
          <c:xVal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Data!$G$107:$G$117</c:f>
              <c:numCache>
                <c:formatCode>0.00%</c:formatCode>
                <c:ptCount val="11"/>
                <c:pt idx="0">
                  <c:v>0.98234304042681564</c:v>
                </c:pt>
                <c:pt idx="1">
                  <c:v>0.89989096721606499</c:v>
                </c:pt>
                <c:pt idx="2">
                  <c:v>0.79658505086432307</c:v>
                </c:pt>
                <c:pt idx="3">
                  <c:v>0.64531529528830167</c:v>
                </c:pt>
                <c:pt idx="4">
                  <c:v>0.50202716292461913</c:v>
                </c:pt>
                <c:pt idx="5">
                  <c:v>0.46524183048048523</c:v>
                </c:pt>
                <c:pt idx="6">
                  <c:v>0.40515735653720347</c:v>
                </c:pt>
                <c:pt idx="7">
                  <c:v>0.32464246774005734</c:v>
                </c:pt>
                <c:pt idx="8">
                  <c:v>0.26257846655445816</c:v>
                </c:pt>
                <c:pt idx="9">
                  <c:v>0.2170599256883356</c:v>
                </c:pt>
                <c:pt idx="10">
                  <c:v>0.17580742481501477</c:v>
                </c:pt>
              </c:numCache>
            </c:numRef>
          </c:yVal>
          <c:smooth val="1"/>
        </c:ser>
        <c:axId val="161591680"/>
        <c:axId val="161564928"/>
      </c:scatterChart>
      <c:valAx>
        <c:axId val="161479296"/>
        <c:scaling>
          <c:logBase val="10"/>
          <c:orientation val="minMax"/>
          <c:min val="10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layout/>
        </c:title>
        <c:numFmt formatCode="General" sourceLinked="1"/>
        <c:tickLblPos val="nextTo"/>
        <c:crossAx val="161563392"/>
        <c:crosses val="autoZero"/>
        <c:crossBetween val="midCat"/>
      </c:valAx>
      <c:valAx>
        <c:axId val="161563392"/>
        <c:scaling>
          <c:orientation val="minMax"/>
          <c:max val="1"/>
        </c:scaling>
        <c:delete val="1"/>
        <c:axPos val="r"/>
        <c:majorGridlines/>
        <c:numFmt formatCode="0%" sourceLinked="0"/>
        <c:tickLblPos val="none"/>
        <c:crossAx val="161479296"/>
        <c:crosses val="max"/>
        <c:crossBetween val="midCat"/>
      </c:valAx>
      <c:valAx>
        <c:axId val="16156492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layout/>
        </c:title>
        <c:numFmt formatCode="0%" sourceLinked="0"/>
        <c:tickLblPos val="nextTo"/>
        <c:crossAx val="161591680"/>
        <c:crosses val="autoZero"/>
        <c:crossBetween val="midCat"/>
      </c:valAx>
      <c:valAx>
        <c:axId val="161591680"/>
        <c:scaling>
          <c:logBase val="10"/>
          <c:orientation val="minMax"/>
        </c:scaling>
        <c:delete val="1"/>
        <c:axPos val="b"/>
        <c:numFmt formatCode="General" sourceLinked="1"/>
        <c:tickLblPos val="none"/>
        <c:crossAx val="1615649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1328361056567918E-2"/>
          <c:y val="0.8476935326904369"/>
          <c:w val="0.91282672796130426"/>
          <c:h val="0.12983455719720435"/>
        </c:manualLayout>
      </c:layout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Data!$B$194</c:f>
              <c:strCache>
                <c:ptCount val="1"/>
                <c:pt idx="0">
                  <c:v>SC 013 O/S_survey 1</c:v>
                </c:pt>
              </c:strCache>
            </c:strRef>
          </c:tx>
          <c:xVal>
            <c:numRef>
              <c:f>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Data!$G$194:$G$204</c:f>
              <c:numCache>
                <c:formatCode>0.00%</c:formatCode>
                <c:ptCount val="11"/>
                <c:pt idx="0">
                  <c:v>0.95792612124437582</c:v>
                </c:pt>
                <c:pt idx="1">
                  <c:v>0.79334843243504782</c:v>
                </c:pt>
                <c:pt idx="2">
                  <c:v>0.58617071459673908</c:v>
                </c:pt>
                <c:pt idx="3">
                  <c:v>0.31633726837292564</c:v>
                </c:pt>
                <c:pt idx="4">
                  <c:v>0.170746347186608</c:v>
                </c:pt>
                <c:pt idx="5">
                  <c:v>0.15077985146838263</c:v>
                </c:pt>
                <c:pt idx="6">
                  <c:v>0.12888565000725724</c:v>
                </c:pt>
                <c:pt idx="7">
                  <c:v>0.10291983163191254</c:v>
                </c:pt>
                <c:pt idx="8">
                  <c:v>8.6695352944022475E-2</c:v>
                </c:pt>
                <c:pt idx="9">
                  <c:v>7.4020876675214106E-2</c:v>
                </c:pt>
                <c:pt idx="10">
                  <c:v>6.3821423387682041E-2</c:v>
                </c:pt>
              </c:numCache>
            </c:numRef>
          </c:yVal>
          <c:smooth val="1"/>
        </c:ser>
        <c:axId val="161609600"/>
        <c:axId val="161611136"/>
      </c:scatterChart>
      <c:scatterChart>
        <c:scatterStyle val="smoothMarker"/>
        <c:ser>
          <c:idx val="0"/>
          <c:order val="1"/>
          <c:tx>
            <c:strRef>
              <c:f>Data!$B$210</c:f>
              <c:strCache>
                <c:ptCount val="1"/>
                <c:pt idx="0">
                  <c:v>SC 014 O/S_survey 1</c:v>
                </c:pt>
              </c:strCache>
            </c:strRef>
          </c:tx>
          <c:xVal>
            <c:numRef>
              <c:f>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Data!$G$210:$G$220</c:f>
              <c:numCache>
                <c:formatCode>0.00%</c:formatCode>
                <c:ptCount val="11"/>
                <c:pt idx="0">
                  <c:v>0.95625684327465144</c:v>
                </c:pt>
                <c:pt idx="1">
                  <c:v>0.79157475655027709</c:v>
                </c:pt>
                <c:pt idx="2">
                  <c:v>0.59107426143526642</c:v>
                </c:pt>
                <c:pt idx="3">
                  <c:v>0.33560654860488076</c:v>
                </c:pt>
                <c:pt idx="4">
                  <c:v>0.20244751126550231</c:v>
                </c:pt>
                <c:pt idx="5">
                  <c:v>0.18165413490102789</c:v>
                </c:pt>
                <c:pt idx="6">
                  <c:v>0.15719647123316352</c:v>
                </c:pt>
                <c:pt idx="7">
                  <c:v>0.12760589717602683</c:v>
                </c:pt>
                <c:pt idx="8">
                  <c:v>0.10739124555232586</c:v>
                </c:pt>
                <c:pt idx="9">
                  <c:v>9.0358125920615817E-2</c:v>
                </c:pt>
                <c:pt idx="10">
                  <c:v>7.7124523242777923E-2</c:v>
                </c:pt>
              </c:numCache>
            </c:numRef>
          </c:yVal>
          <c:smooth val="1"/>
        </c:ser>
        <c:axId val="183184000"/>
        <c:axId val="183182464"/>
      </c:scatterChart>
      <c:valAx>
        <c:axId val="161609600"/>
        <c:scaling>
          <c:logBase val="10"/>
          <c:orientation val="minMax"/>
          <c:min val="10"/>
        </c:scaling>
        <c:axPos val="b"/>
        <c:numFmt formatCode="General" sourceLinked="1"/>
        <c:tickLblPos val="nextTo"/>
        <c:crossAx val="161611136"/>
        <c:crosses val="autoZero"/>
        <c:crossBetween val="midCat"/>
      </c:valAx>
      <c:valAx>
        <c:axId val="161611136"/>
        <c:scaling>
          <c:orientation val="minMax"/>
        </c:scaling>
        <c:delete val="1"/>
        <c:axPos val="r"/>
        <c:majorGridlines/>
        <c:numFmt formatCode="0.00%" sourceLinked="1"/>
        <c:tickLblPos val="none"/>
        <c:crossAx val="161609600"/>
        <c:crosses val="max"/>
        <c:crossBetween val="midCat"/>
      </c:valAx>
      <c:valAx>
        <c:axId val="183182464"/>
        <c:scaling>
          <c:orientation val="minMax"/>
          <c:max val="1"/>
        </c:scaling>
        <c:axPos val="l"/>
        <c:numFmt formatCode="0%" sourceLinked="0"/>
        <c:tickLblPos val="nextTo"/>
        <c:crossAx val="183184000"/>
        <c:crosses val="autoZero"/>
        <c:crossBetween val="midCat"/>
      </c:valAx>
      <c:valAx>
        <c:axId val="183184000"/>
        <c:scaling>
          <c:logBase val="10"/>
          <c:orientation val="minMax"/>
        </c:scaling>
        <c:delete val="1"/>
        <c:axPos val="b"/>
        <c:numFmt formatCode="General" sourceLinked="1"/>
        <c:tickLblPos val="none"/>
        <c:crossAx val="18318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[1]Data!$B$194</c:f>
              <c:strCache>
                <c:ptCount val="1"/>
                <c:pt idx="0">
                  <c:v>SC 013 O/S_survey 2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[1]Data!$G$194:$G$204</c:f>
              <c:numCache>
                <c:formatCode>General</c:formatCode>
                <c:ptCount val="11"/>
                <c:pt idx="0">
                  <c:v>0.8861154914127044</c:v>
                </c:pt>
                <c:pt idx="1">
                  <c:v>0.70227494772205268</c:v>
                </c:pt>
                <c:pt idx="2">
                  <c:v>0.50968641801789449</c:v>
                </c:pt>
                <c:pt idx="3">
                  <c:v>0.26546698776181821</c:v>
                </c:pt>
                <c:pt idx="4">
                  <c:v>0.14297375818449828</c:v>
                </c:pt>
                <c:pt idx="5">
                  <c:v>0.12461005793424976</c:v>
                </c:pt>
                <c:pt idx="6">
                  <c:v>0.10507117513969352</c:v>
                </c:pt>
                <c:pt idx="7">
                  <c:v>8.1975677899283533E-2</c:v>
                </c:pt>
                <c:pt idx="8">
                  <c:v>6.7290716807788559E-2</c:v>
                </c:pt>
                <c:pt idx="9">
                  <c:v>5.5965256590449416E-2</c:v>
                </c:pt>
                <c:pt idx="10">
                  <c:v>4.7302972129854993E-2</c:v>
                </c:pt>
              </c:numCache>
            </c:numRef>
          </c:yVal>
          <c:smooth val="1"/>
        </c:ser>
        <c:axId val="183214080"/>
        <c:axId val="183215616"/>
      </c:scatterChart>
      <c:scatterChart>
        <c:scatterStyle val="smoothMarker"/>
        <c:ser>
          <c:idx val="0"/>
          <c:order val="1"/>
          <c:tx>
            <c:strRef>
              <c:f>[1]Data!$B$210</c:f>
              <c:strCache>
                <c:ptCount val="1"/>
                <c:pt idx="0">
                  <c:v>SC 014 O/S_survey 2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[1]Data!$G$210:$G$220</c:f>
              <c:numCache>
                <c:formatCode>General</c:formatCode>
                <c:ptCount val="11"/>
                <c:pt idx="0">
                  <c:v>0.88958261031686914</c:v>
                </c:pt>
                <c:pt idx="1">
                  <c:v>0.69495612483391667</c:v>
                </c:pt>
                <c:pt idx="2">
                  <c:v>0.48636573457911181</c:v>
                </c:pt>
                <c:pt idx="3">
                  <c:v>0.23746500038748067</c:v>
                </c:pt>
                <c:pt idx="4">
                  <c:v>0.13376394228447372</c:v>
                </c:pt>
                <c:pt idx="5">
                  <c:v>0.1181254471470753</c:v>
                </c:pt>
                <c:pt idx="6">
                  <c:v>0.10238811636100618</c:v>
                </c:pt>
                <c:pt idx="7">
                  <c:v>8.3703686232755703E-2</c:v>
                </c:pt>
                <c:pt idx="8">
                  <c:v>7.1302058589323272E-2</c:v>
                </c:pt>
                <c:pt idx="9">
                  <c:v>6.2191208793677219E-2</c:v>
                </c:pt>
                <c:pt idx="10">
                  <c:v>5.4405655196115753E-2</c:v>
                </c:pt>
              </c:numCache>
            </c:numRef>
          </c:yVal>
          <c:smooth val="1"/>
        </c:ser>
        <c:axId val="183231232"/>
        <c:axId val="183217152"/>
      </c:scatterChart>
      <c:valAx>
        <c:axId val="183214080"/>
        <c:scaling>
          <c:logBase val="10"/>
          <c:orientation val="minMax"/>
          <c:min val="10"/>
        </c:scaling>
        <c:axPos val="b"/>
        <c:numFmt formatCode="General" sourceLinked="1"/>
        <c:tickLblPos val="nextTo"/>
        <c:crossAx val="183215616"/>
        <c:crosses val="autoZero"/>
        <c:crossBetween val="midCat"/>
      </c:valAx>
      <c:valAx>
        <c:axId val="183215616"/>
        <c:scaling>
          <c:orientation val="minMax"/>
        </c:scaling>
        <c:delete val="1"/>
        <c:axPos val="r"/>
        <c:majorGridlines/>
        <c:numFmt formatCode="General" sourceLinked="1"/>
        <c:tickLblPos val="none"/>
        <c:crossAx val="183214080"/>
        <c:crosses val="max"/>
        <c:crossBetween val="midCat"/>
      </c:valAx>
      <c:valAx>
        <c:axId val="183217152"/>
        <c:scaling>
          <c:orientation val="minMax"/>
          <c:max val="1"/>
        </c:scaling>
        <c:axPos val="l"/>
        <c:numFmt formatCode="0%" sourceLinked="0"/>
        <c:tickLblPos val="nextTo"/>
        <c:crossAx val="183231232"/>
        <c:crosses val="autoZero"/>
        <c:crossBetween val="midCat"/>
      </c:valAx>
      <c:valAx>
        <c:axId val="183231232"/>
        <c:scaling>
          <c:logBase val="10"/>
          <c:orientation val="minMax"/>
        </c:scaling>
        <c:delete val="1"/>
        <c:axPos val="b"/>
        <c:numFmt formatCode="General" sourceLinked="1"/>
        <c:tickLblPos val="none"/>
        <c:crossAx val="183217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2"/>
          <c:order val="2"/>
          <c:tx>
            <c:strRef>
              <c:f>Data!$B$194</c:f>
              <c:strCache>
                <c:ptCount val="1"/>
                <c:pt idx="0">
                  <c:v>SC 013 O/S_survey 1</c:v>
                </c:pt>
              </c:strCache>
            </c:strRef>
          </c:tx>
          <c:xVal>
            <c:numRef>
              <c:f>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Data!$G$194:$G$204</c:f>
              <c:numCache>
                <c:formatCode>0.00%</c:formatCode>
                <c:ptCount val="11"/>
                <c:pt idx="0">
                  <c:v>0.95792612124437582</c:v>
                </c:pt>
                <c:pt idx="1">
                  <c:v>0.79334843243504782</c:v>
                </c:pt>
                <c:pt idx="2">
                  <c:v>0.58617071459673908</c:v>
                </c:pt>
                <c:pt idx="3">
                  <c:v>0.31633726837292564</c:v>
                </c:pt>
                <c:pt idx="4">
                  <c:v>0.170746347186608</c:v>
                </c:pt>
                <c:pt idx="5">
                  <c:v>0.15077985146838263</c:v>
                </c:pt>
                <c:pt idx="6">
                  <c:v>0.12888565000725724</c:v>
                </c:pt>
                <c:pt idx="7">
                  <c:v>0.10291983163191254</c:v>
                </c:pt>
                <c:pt idx="8">
                  <c:v>8.6695352944022475E-2</c:v>
                </c:pt>
                <c:pt idx="9">
                  <c:v>7.4020876675214106E-2</c:v>
                </c:pt>
                <c:pt idx="10">
                  <c:v>6.3821423387682041E-2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Data!$B$210</c:f>
              <c:strCache>
                <c:ptCount val="1"/>
                <c:pt idx="0">
                  <c:v>SC 014 O/S_survey 1</c:v>
                </c:pt>
              </c:strCache>
            </c:strRef>
          </c:tx>
          <c:xVal>
            <c:numRef>
              <c:f>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Data!$G$210:$G$220</c:f>
              <c:numCache>
                <c:formatCode>0.00%</c:formatCode>
                <c:ptCount val="11"/>
                <c:pt idx="0">
                  <c:v>0.95625684327465144</c:v>
                </c:pt>
                <c:pt idx="1">
                  <c:v>0.79157475655027709</c:v>
                </c:pt>
                <c:pt idx="2">
                  <c:v>0.59107426143526642</c:v>
                </c:pt>
                <c:pt idx="3">
                  <c:v>0.33560654860488076</c:v>
                </c:pt>
                <c:pt idx="4">
                  <c:v>0.20244751126550231</c:v>
                </c:pt>
                <c:pt idx="5">
                  <c:v>0.18165413490102789</c:v>
                </c:pt>
                <c:pt idx="6">
                  <c:v>0.15719647123316352</c:v>
                </c:pt>
                <c:pt idx="7">
                  <c:v>0.12760589717602683</c:v>
                </c:pt>
                <c:pt idx="8">
                  <c:v>0.10739124555232586</c:v>
                </c:pt>
                <c:pt idx="9">
                  <c:v>9.0358125920615817E-2</c:v>
                </c:pt>
                <c:pt idx="10">
                  <c:v>7.7124523242777923E-2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[1]Data!$B$194</c:f>
              <c:strCache>
                <c:ptCount val="1"/>
                <c:pt idx="0">
                  <c:v>SC 013 O/S_survey 2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[1]Data!$G$194:$G$204</c:f>
              <c:numCache>
                <c:formatCode>General</c:formatCode>
                <c:ptCount val="11"/>
                <c:pt idx="0">
                  <c:v>0.8861154914127044</c:v>
                </c:pt>
                <c:pt idx="1">
                  <c:v>0.70227494772205268</c:v>
                </c:pt>
                <c:pt idx="2">
                  <c:v>0.50968641801789449</c:v>
                </c:pt>
                <c:pt idx="3">
                  <c:v>0.26546698776181821</c:v>
                </c:pt>
                <c:pt idx="4">
                  <c:v>0.14297375818449828</c:v>
                </c:pt>
                <c:pt idx="5">
                  <c:v>0.12461005793424976</c:v>
                </c:pt>
                <c:pt idx="6">
                  <c:v>0.10507117513969352</c:v>
                </c:pt>
                <c:pt idx="7">
                  <c:v>8.1975677899283533E-2</c:v>
                </c:pt>
                <c:pt idx="8">
                  <c:v>6.7290716807788559E-2</c:v>
                </c:pt>
                <c:pt idx="9">
                  <c:v>5.5965256590449416E-2</c:v>
                </c:pt>
                <c:pt idx="10">
                  <c:v>4.7302972129854993E-2</c:v>
                </c:pt>
              </c:numCache>
            </c:numRef>
          </c:yVal>
          <c:smooth val="1"/>
        </c:ser>
        <c:axId val="183262592"/>
        <c:axId val="183281152"/>
      </c:scatterChart>
      <c:scatterChart>
        <c:scatterStyle val="smoothMarker"/>
        <c:ser>
          <c:idx val="0"/>
          <c:order val="1"/>
          <c:tx>
            <c:strRef>
              <c:f>[1]Data!$B$210</c:f>
              <c:strCache>
                <c:ptCount val="1"/>
                <c:pt idx="0">
                  <c:v>SC 014 O/S_survey 2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[1]Data!$G$210:$G$220</c:f>
              <c:numCache>
                <c:formatCode>General</c:formatCode>
                <c:ptCount val="11"/>
                <c:pt idx="0">
                  <c:v>0.88958261031686914</c:v>
                </c:pt>
                <c:pt idx="1">
                  <c:v>0.69495612483391667</c:v>
                </c:pt>
                <c:pt idx="2">
                  <c:v>0.48636573457911181</c:v>
                </c:pt>
                <c:pt idx="3">
                  <c:v>0.23746500038748067</c:v>
                </c:pt>
                <c:pt idx="4">
                  <c:v>0.13376394228447372</c:v>
                </c:pt>
                <c:pt idx="5">
                  <c:v>0.1181254471470753</c:v>
                </c:pt>
                <c:pt idx="6">
                  <c:v>0.10238811636100618</c:v>
                </c:pt>
                <c:pt idx="7">
                  <c:v>8.3703686232755703E-2</c:v>
                </c:pt>
                <c:pt idx="8">
                  <c:v>7.1302058589323272E-2</c:v>
                </c:pt>
                <c:pt idx="9">
                  <c:v>6.2191208793677219E-2</c:v>
                </c:pt>
                <c:pt idx="10">
                  <c:v>5.4405655196115753E-2</c:v>
                </c:pt>
              </c:numCache>
            </c:numRef>
          </c:yVal>
          <c:smooth val="1"/>
        </c:ser>
        <c:axId val="183293056"/>
        <c:axId val="183282688"/>
      </c:scatterChart>
      <c:valAx>
        <c:axId val="183262592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layout/>
        </c:title>
        <c:numFmt formatCode="General" sourceLinked="1"/>
        <c:tickLblPos val="nextTo"/>
        <c:crossAx val="183281152"/>
        <c:crosses val="autoZero"/>
        <c:crossBetween val="midCat"/>
      </c:valAx>
      <c:valAx>
        <c:axId val="183281152"/>
        <c:scaling>
          <c:orientation val="minMax"/>
        </c:scaling>
        <c:delete val="1"/>
        <c:axPos val="r"/>
        <c:majorGridlines/>
        <c:numFmt formatCode="0.00%" sourceLinked="1"/>
        <c:tickLblPos val="none"/>
        <c:crossAx val="183262592"/>
        <c:crosses val="max"/>
        <c:crossBetween val="midCat"/>
      </c:valAx>
      <c:valAx>
        <c:axId val="18328268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layout/>
        </c:title>
        <c:numFmt formatCode="0%" sourceLinked="0"/>
        <c:tickLblPos val="nextTo"/>
        <c:crossAx val="183293056"/>
        <c:crosses val="autoZero"/>
        <c:crossBetween val="midCat"/>
      </c:valAx>
      <c:valAx>
        <c:axId val="183293056"/>
        <c:scaling>
          <c:logBase val="10"/>
          <c:orientation val="minMax"/>
        </c:scaling>
        <c:delete val="1"/>
        <c:axPos val="b"/>
        <c:numFmt formatCode="General" sourceLinked="1"/>
        <c:tickLblPos val="none"/>
        <c:crossAx val="18328268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'Derrick cal'!$B$14</c:f>
              <c:strCache>
                <c:ptCount val="1"/>
                <c:pt idx="0">
                  <c:v>SC013</c:v>
                </c:pt>
              </c:strCache>
            </c:strRef>
          </c:tx>
          <c:yVal>
            <c:numRef>
              <c:f>'Derrick cal'!$B$15:$B$19</c:f>
              <c:numCache>
                <c:formatCode>0.00%</c:formatCode>
                <c:ptCount val="5"/>
                <c:pt idx="0">
                  <c:v>0.87636201349603904</c:v>
                </c:pt>
                <c:pt idx="1">
                  <c:v>0.89395380989407824</c:v>
                </c:pt>
                <c:pt idx="2">
                  <c:v>0.90484090529291616</c:v>
                </c:pt>
                <c:pt idx="3">
                  <c:v>0.88465346703942793</c:v>
                </c:pt>
                <c:pt idx="4">
                  <c:v>0.93313218720155855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'Derrick cal'!$C$14</c:f>
              <c:strCache>
                <c:ptCount val="1"/>
                <c:pt idx="0">
                  <c:v>SC014</c:v>
                </c:pt>
              </c:strCache>
            </c:strRef>
          </c:tx>
          <c:yVal>
            <c:numRef>
              <c:f>'Derrick cal'!$C$15:$C$19</c:f>
              <c:numCache>
                <c:formatCode>0.00%</c:formatCode>
                <c:ptCount val="5"/>
                <c:pt idx="0">
                  <c:v>0.83144136193153684</c:v>
                </c:pt>
                <c:pt idx="1">
                  <c:v>0.92999541027658983</c:v>
                </c:pt>
                <c:pt idx="2">
                  <c:v>0.95127405052731961</c:v>
                </c:pt>
                <c:pt idx="3">
                  <c:v>0.82942211261683818</c:v>
                </c:pt>
                <c:pt idx="4">
                  <c:v>0.87827081325372225</c:v>
                </c:pt>
              </c:numCache>
            </c:numRef>
          </c:yVal>
          <c:smooth val="1"/>
        </c:ser>
        <c:axId val="136129152"/>
        <c:axId val="161071872"/>
      </c:scatterChart>
      <c:valAx>
        <c:axId val="136129152"/>
        <c:scaling>
          <c:orientation val="minMax"/>
        </c:scaling>
        <c:axPos val="b"/>
        <c:tickLblPos val="nextTo"/>
        <c:crossAx val="161071872"/>
        <c:crosses val="autoZero"/>
        <c:crossBetween val="midCat"/>
      </c:valAx>
      <c:valAx>
        <c:axId val="161071872"/>
        <c:scaling>
          <c:orientation val="minMax"/>
        </c:scaling>
        <c:axPos val="l"/>
        <c:majorGridlines/>
        <c:numFmt formatCode="0.00%" sourceLinked="1"/>
        <c:tickLblPos val="nextTo"/>
        <c:crossAx val="136129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Efficiency screening of SC 013 &amp; SC 014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0763267110261"/>
          <c:y val="0.10919224382666501"/>
          <c:w val="0.74846317831731457"/>
          <c:h val="0.80559805024372111"/>
        </c:manualLayout>
      </c:layout>
      <c:lineChart>
        <c:grouping val="standard"/>
        <c:ser>
          <c:idx val="0"/>
          <c:order val="0"/>
          <c:tx>
            <c:v>SC 013</c:v>
          </c:tx>
          <c:cat>
            <c:strRef>
              <c:f>Efficiency!$B$2:$F$2</c:f>
              <c:strCache>
                <c:ptCount val="5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</c:strCache>
            </c:strRef>
          </c:cat>
          <c:val>
            <c:numRef>
              <c:f>Efficiency!$B$3:$F$3</c:f>
              <c:numCache>
                <c:formatCode>0.00</c:formatCode>
                <c:ptCount val="5"/>
                <c:pt idx="0">
                  <c:v>87.636201349603951</c:v>
                </c:pt>
                <c:pt idx="1">
                  <c:v>89.395380989407826</c:v>
                </c:pt>
                <c:pt idx="2">
                  <c:v>90.48409052929162</c:v>
                </c:pt>
                <c:pt idx="3">
                  <c:v>88.465346703942799</c:v>
                </c:pt>
                <c:pt idx="4">
                  <c:v>93.313218720155859</c:v>
                </c:pt>
              </c:numCache>
            </c:numRef>
          </c:val>
        </c:ser>
        <c:ser>
          <c:idx val="1"/>
          <c:order val="1"/>
          <c:tx>
            <c:v>SC 014</c:v>
          </c:tx>
          <c:val>
            <c:numRef>
              <c:f>Efficiency!$H$3:$L$3</c:f>
              <c:numCache>
                <c:formatCode>0.00</c:formatCode>
                <c:ptCount val="5"/>
                <c:pt idx="0">
                  <c:v>83.144136193153685</c:v>
                </c:pt>
                <c:pt idx="1">
                  <c:v>92.999541027658978</c:v>
                </c:pt>
                <c:pt idx="2">
                  <c:v>95.127405052731959</c:v>
                </c:pt>
                <c:pt idx="3">
                  <c:v>82.942211261683823</c:v>
                </c:pt>
                <c:pt idx="4">
                  <c:v>87.82708132537222</c:v>
                </c:pt>
              </c:numCache>
            </c:numRef>
          </c:val>
        </c:ser>
        <c:marker val="1"/>
        <c:axId val="133460736"/>
        <c:axId val="133462272"/>
      </c:lineChart>
      <c:catAx>
        <c:axId val="133460736"/>
        <c:scaling>
          <c:orientation val="minMax"/>
        </c:scaling>
        <c:axPos val="b"/>
        <c:numFmt formatCode="General" sourceLinked="1"/>
        <c:tickLblPos val="nextTo"/>
        <c:crossAx val="133462272"/>
        <c:crosses val="autoZero"/>
        <c:auto val="1"/>
        <c:lblAlgn val="ctr"/>
        <c:lblOffset val="100"/>
      </c:catAx>
      <c:valAx>
        <c:axId val="133462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Efficiency</a:t>
                </a:r>
              </a:p>
            </c:rich>
          </c:tx>
        </c:title>
        <c:numFmt formatCode="0.00" sourceLinked="1"/>
        <c:tickLblPos val="nextTo"/>
        <c:crossAx val="13346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% commulative</a:t>
            </a:r>
            <a:r>
              <a:rPr lang="en-US" baseline="0"/>
              <a:t> passing </a:t>
            </a:r>
            <a:r>
              <a:rPr lang="en-US"/>
              <a:t>SC O/S D1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SC 013</c:v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Data!$G$35:$G$45</c:f>
              <c:numCache>
                <c:formatCode>0.0%</c:formatCode>
                <c:ptCount val="11"/>
                <c:pt idx="0">
                  <c:v>0.96639566801044086</c:v>
                </c:pt>
                <c:pt idx="1">
                  <c:v>0.82339962454096005</c:v>
                </c:pt>
                <c:pt idx="2">
                  <c:v>0.63276815030328415</c:v>
                </c:pt>
                <c:pt idx="3">
                  <c:v>0.35888499136145041</c:v>
                </c:pt>
                <c:pt idx="4">
                  <c:v>0.1996813833646216</c:v>
                </c:pt>
                <c:pt idx="5">
                  <c:v>0.17902365691121366</c:v>
                </c:pt>
                <c:pt idx="6">
                  <c:v>0.15528447379639948</c:v>
                </c:pt>
                <c:pt idx="7">
                  <c:v>0.12771590764605131</c:v>
                </c:pt>
                <c:pt idx="8">
                  <c:v>0.10836705234736692</c:v>
                </c:pt>
                <c:pt idx="9">
                  <c:v>9.2077215918864946E-2</c:v>
                </c:pt>
                <c:pt idx="10">
                  <c:v>7.9235320075091806E-2</c:v>
                </c:pt>
              </c:numCache>
            </c:numRef>
          </c:val>
        </c:ser>
        <c:ser>
          <c:idx val="0"/>
          <c:order val="1"/>
          <c:tx>
            <c:v>SC 014</c:v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Data!$G$121:$G$131</c:f>
              <c:numCache>
                <c:formatCode>0.00%</c:formatCode>
                <c:ptCount val="11"/>
                <c:pt idx="0">
                  <c:v>0.95190582154906322</c:v>
                </c:pt>
                <c:pt idx="1">
                  <c:v>0.79510922881822343</c:v>
                </c:pt>
                <c:pt idx="2">
                  <c:v>0.61611394252626062</c:v>
                </c:pt>
                <c:pt idx="3">
                  <c:v>0.3857045438231283</c:v>
                </c:pt>
                <c:pt idx="4">
                  <c:v>0.25288923982485106</c:v>
                </c:pt>
                <c:pt idx="5">
                  <c:v>0.23040341684014071</c:v>
                </c:pt>
                <c:pt idx="6">
                  <c:v>0.19863374249276194</c:v>
                </c:pt>
                <c:pt idx="7">
                  <c:v>0.16021223649893523</c:v>
                </c:pt>
                <c:pt idx="8">
                  <c:v>0.13377838393989425</c:v>
                </c:pt>
                <c:pt idx="9">
                  <c:v>0.11093963103869069</c:v>
                </c:pt>
                <c:pt idx="10">
                  <c:v>9.250352929916493E-2</c:v>
                </c:pt>
              </c:numCache>
            </c:numRef>
          </c:val>
        </c:ser>
        <c:marker val="1"/>
        <c:axId val="134053248"/>
        <c:axId val="134067328"/>
      </c:lineChart>
      <c:catAx>
        <c:axId val="134053248"/>
        <c:scaling>
          <c:orientation val="maxMin"/>
        </c:scaling>
        <c:axPos val="b"/>
        <c:numFmt formatCode="General" sourceLinked="1"/>
        <c:tickLblPos val="nextTo"/>
        <c:crossAx val="134067328"/>
        <c:crosses val="autoZero"/>
        <c:auto val="1"/>
        <c:lblAlgn val="ctr"/>
        <c:lblOffset val="100"/>
      </c:catAx>
      <c:valAx>
        <c:axId val="13406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commulative passing</a:t>
                </a:r>
              </a:p>
            </c:rich>
          </c:tx>
          <c:layout/>
        </c:title>
        <c:numFmt formatCode="0.0%" sourceLinked="1"/>
        <c:tickLblPos val="nextTo"/>
        <c:crossAx val="1340532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8109215017064848"/>
          <c:y val="0.49027927688814182"/>
          <c:w val="0.20525597269624574"/>
          <c:h val="0.13545253472529473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 O/S D2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Data!$B$49</c:f>
              <c:strCache>
                <c:ptCount val="1"/>
                <c:pt idx="0">
                  <c:v>SC 013 O/S D2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Data!$G$49:$G$59</c:f>
              <c:numCache>
                <c:formatCode>0.00%</c:formatCode>
                <c:ptCount val="11"/>
                <c:pt idx="0">
                  <c:v>0.9608935032247915</c:v>
                </c:pt>
                <c:pt idx="1">
                  <c:v>0.7950668554349537</c:v>
                </c:pt>
                <c:pt idx="2">
                  <c:v>0.57428346704420319</c:v>
                </c:pt>
                <c:pt idx="3">
                  <c:v>0.30897593204341667</c:v>
                </c:pt>
                <c:pt idx="4">
                  <c:v>0.17627811860940693</c:v>
                </c:pt>
                <c:pt idx="5">
                  <c:v>0.15690420009438416</c:v>
                </c:pt>
                <c:pt idx="6">
                  <c:v>0.13501337108699071</c:v>
                </c:pt>
                <c:pt idx="7">
                  <c:v>0.1057983325467988</c:v>
                </c:pt>
                <c:pt idx="8">
                  <c:v>8.8010067641969489E-2</c:v>
                </c:pt>
                <c:pt idx="9">
                  <c:v>7.4538304231555774E-2</c:v>
                </c:pt>
                <c:pt idx="10">
                  <c:v>6.3916941953751763E-2</c:v>
                </c:pt>
              </c:numCache>
            </c:numRef>
          </c:val>
        </c:ser>
        <c:ser>
          <c:idx val="0"/>
          <c:order val="1"/>
          <c:tx>
            <c:strRef>
              <c:f>Data!$B$135</c:f>
              <c:strCache>
                <c:ptCount val="1"/>
                <c:pt idx="0">
                  <c:v>SC 014 O/S D2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Data!$G$135:$G$145</c:f>
              <c:numCache>
                <c:formatCode>0.00%</c:formatCode>
                <c:ptCount val="11"/>
                <c:pt idx="0">
                  <c:v>0.95075911342047592</c:v>
                </c:pt>
                <c:pt idx="1">
                  <c:v>0.76558415198506136</c:v>
                </c:pt>
                <c:pt idx="2">
                  <c:v>0.537663392059755</c:v>
                </c:pt>
                <c:pt idx="3">
                  <c:v>0.25365754648047417</c:v>
                </c:pt>
                <c:pt idx="4">
                  <c:v>0.12325241536088336</c:v>
                </c:pt>
                <c:pt idx="5">
                  <c:v>0.10647885036940816</c:v>
                </c:pt>
                <c:pt idx="6">
                  <c:v>8.8195177397093455E-2</c:v>
                </c:pt>
                <c:pt idx="7">
                  <c:v>7.0487943492733629E-2</c:v>
                </c:pt>
                <c:pt idx="8">
                  <c:v>6.0558577575708379E-2</c:v>
                </c:pt>
                <c:pt idx="9">
                  <c:v>5.2959324510838686E-2</c:v>
                </c:pt>
                <c:pt idx="10">
                  <c:v>4.6131363156612822E-2</c:v>
                </c:pt>
              </c:numCache>
            </c:numRef>
          </c:val>
        </c:ser>
        <c:marker val="1"/>
        <c:axId val="136234880"/>
        <c:axId val="136236416"/>
      </c:lineChart>
      <c:catAx>
        <c:axId val="136234880"/>
        <c:scaling>
          <c:orientation val="maxMin"/>
        </c:scaling>
        <c:axPos val="b"/>
        <c:numFmt formatCode="General" sourceLinked="1"/>
        <c:tickLblPos val="nextTo"/>
        <c:crossAx val="136236416"/>
        <c:crosses val="autoZero"/>
        <c:auto val="1"/>
        <c:lblAlgn val="ctr"/>
        <c:lblOffset val="100"/>
      </c:catAx>
      <c:valAx>
        <c:axId val="13623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commulative passing</a:t>
                </a:r>
              </a:p>
            </c:rich>
          </c:tx>
          <c:layout/>
        </c:title>
        <c:numFmt formatCode="0.00%" sourceLinked="1"/>
        <c:tickLblPos val="nextTo"/>
        <c:crossAx val="136234880"/>
        <c:crosses val="max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 O/S D3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Data!$B$63</c:f>
              <c:strCache>
                <c:ptCount val="1"/>
                <c:pt idx="0">
                  <c:v>SC 013 O/S D3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Data!$G$63:$G$73</c:f>
              <c:numCache>
                <c:formatCode>0.0%</c:formatCode>
                <c:ptCount val="11"/>
                <c:pt idx="0">
                  <c:v>0.95242021870978177</c:v>
                </c:pt>
                <c:pt idx="1">
                  <c:v>0.77772211989734985</c:v>
                </c:pt>
                <c:pt idx="2">
                  <c:v>0.56857607447538172</c:v>
                </c:pt>
                <c:pt idx="3">
                  <c:v>0.29797088493461055</c:v>
                </c:pt>
                <c:pt idx="4">
                  <c:v>0.16109616911090391</c:v>
                </c:pt>
                <c:pt idx="5">
                  <c:v>0.14303218994921432</c:v>
                </c:pt>
                <c:pt idx="6">
                  <c:v>0.12399719484282642</c:v>
                </c:pt>
                <c:pt idx="7">
                  <c:v>0.10221869436887816</c:v>
                </c:pt>
                <c:pt idx="8">
                  <c:v>8.8046485461733506E-2</c:v>
                </c:pt>
                <c:pt idx="9">
                  <c:v>7.7195767603517249E-2</c:v>
                </c:pt>
                <c:pt idx="10">
                  <c:v>6.7084871417452091E-2</c:v>
                </c:pt>
              </c:numCache>
            </c:numRef>
          </c:val>
        </c:ser>
        <c:ser>
          <c:idx val="0"/>
          <c:order val="1"/>
          <c:tx>
            <c:strRef>
              <c:f>Data!$B$149</c:f>
              <c:strCache>
                <c:ptCount val="1"/>
                <c:pt idx="0">
                  <c:v>SC 014 O/S D3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Data!$G$149:$G$159</c:f>
              <c:numCache>
                <c:formatCode>0.00%</c:formatCode>
                <c:ptCount val="11"/>
                <c:pt idx="0">
                  <c:v>0.97265334805742398</c:v>
                </c:pt>
                <c:pt idx="1">
                  <c:v>0.82072081116353779</c:v>
                </c:pt>
                <c:pt idx="2">
                  <c:v>0.57624736472241744</c:v>
                </c:pt>
                <c:pt idx="3">
                  <c:v>0.24459391627346647</c:v>
                </c:pt>
                <c:pt idx="4">
                  <c:v>8.9127597630759947E-2</c:v>
                </c:pt>
                <c:pt idx="5">
                  <c:v>7.4450356389920674E-2</c:v>
                </c:pt>
                <c:pt idx="6">
                  <c:v>6.2202590101395436E-2</c:v>
                </c:pt>
                <c:pt idx="7">
                  <c:v>5.172171468728038E-2</c:v>
                </c:pt>
                <c:pt idx="8">
                  <c:v>4.6461198674831838E-2</c:v>
                </c:pt>
                <c:pt idx="9">
                  <c:v>4.1521935548639685E-2</c:v>
                </c:pt>
                <c:pt idx="10">
                  <c:v>3.7686979218953913E-2</c:v>
                </c:pt>
              </c:numCache>
            </c:numRef>
          </c:val>
        </c:ser>
        <c:marker val="1"/>
        <c:axId val="136458624"/>
        <c:axId val="136460160"/>
      </c:lineChart>
      <c:catAx>
        <c:axId val="136458624"/>
        <c:scaling>
          <c:orientation val="maxMin"/>
        </c:scaling>
        <c:axPos val="b"/>
        <c:numFmt formatCode="General" sourceLinked="1"/>
        <c:tickLblPos val="nextTo"/>
        <c:crossAx val="136460160"/>
        <c:crosses val="autoZero"/>
        <c:auto val="1"/>
        <c:lblAlgn val="ctr"/>
        <c:lblOffset val="100"/>
      </c:catAx>
      <c:valAx>
        <c:axId val="136460160"/>
        <c:scaling>
          <c:orientation val="minMax"/>
        </c:scaling>
        <c:axPos val="l"/>
        <c:majorGridlines/>
        <c:numFmt formatCode="0.0%" sourceLinked="1"/>
        <c:tickLblPos val="nextTo"/>
        <c:crossAx val="136458624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 O/S D4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Data!$B$77</c:f>
              <c:strCache>
                <c:ptCount val="1"/>
                <c:pt idx="0">
                  <c:v>SC 013 O/S D4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Data!$G$77:$G$87</c:f>
              <c:numCache>
                <c:formatCode>0.00%</c:formatCode>
                <c:ptCount val="11"/>
                <c:pt idx="0">
                  <c:v>0.958970208017352</c:v>
                </c:pt>
                <c:pt idx="1">
                  <c:v>0.80520868533348011</c:v>
                </c:pt>
                <c:pt idx="2">
                  <c:v>0.61486534275318483</c:v>
                </c:pt>
                <c:pt idx="3">
                  <c:v>0.3520263420537687</c:v>
                </c:pt>
                <c:pt idx="4">
                  <c:v>0.18881877264261415</c:v>
                </c:pt>
                <c:pt idx="5">
                  <c:v>0.16652390195600758</c:v>
                </c:pt>
                <c:pt idx="6">
                  <c:v>0.14168284230131478</c:v>
                </c:pt>
                <c:pt idx="7">
                  <c:v>0.11266886183781408</c:v>
                </c:pt>
                <c:pt idx="8">
                  <c:v>9.4334729546008245E-2</c:v>
                </c:pt>
                <c:pt idx="9">
                  <c:v>7.9324788406981595E-2</c:v>
                </c:pt>
                <c:pt idx="10">
                  <c:v>6.8354171742017633E-2</c:v>
                </c:pt>
              </c:numCache>
            </c:numRef>
          </c:val>
        </c:ser>
        <c:ser>
          <c:idx val="0"/>
          <c:order val="1"/>
          <c:tx>
            <c:strRef>
              <c:f>Data!$B$163</c:f>
              <c:strCache>
                <c:ptCount val="1"/>
                <c:pt idx="0">
                  <c:v>SC 014 O/S D4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Data!$G$163:$G$173</c:f>
              <c:numCache>
                <c:formatCode>0.00%</c:formatCode>
                <c:ptCount val="11"/>
                <c:pt idx="0">
                  <c:v>0.97364719000602895</c:v>
                </c:pt>
                <c:pt idx="1">
                  <c:v>0.84209707428704772</c:v>
                </c:pt>
                <c:pt idx="2">
                  <c:v>0.65616227885357159</c:v>
                </c:pt>
                <c:pt idx="3">
                  <c:v>0.40170369457968397</c:v>
                </c:pt>
                <c:pt idx="4">
                  <c:v>0.25514576701911784</c:v>
                </c:pt>
                <c:pt idx="5">
                  <c:v>0.22879943988123402</c:v>
                </c:pt>
                <c:pt idx="6">
                  <c:v>0.20065736160722963</c:v>
                </c:pt>
                <c:pt idx="7">
                  <c:v>0.1627002392173896</c:v>
                </c:pt>
                <c:pt idx="8">
                  <c:v>0.13593252643384565</c:v>
                </c:pt>
                <c:pt idx="9">
                  <c:v>0.11084387337685489</c:v>
                </c:pt>
                <c:pt idx="10">
                  <c:v>9.5998132937446898E-2</c:v>
                </c:pt>
              </c:numCache>
            </c:numRef>
          </c:val>
        </c:ser>
        <c:marker val="1"/>
        <c:axId val="136481024"/>
        <c:axId val="136499200"/>
      </c:lineChart>
      <c:catAx>
        <c:axId val="136481024"/>
        <c:scaling>
          <c:orientation val="maxMin"/>
        </c:scaling>
        <c:axPos val="b"/>
        <c:numFmt formatCode="General" sourceLinked="1"/>
        <c:tickLblPos val="nextTo"/>
        <c:crossAx val="136499200"/>
        <c:crosses val="autoZero"/>
        <c:auto val="1"/>
        <c:lblAlgn val="ctr"/>
        <c:lblOffset val="100"/>
      </c:catAx>
      <c:valAx>
        <c:axId val="136499200"/>
        <c:scaling>
          <c:orientation val="minMax"/>
        </c:scaling>
        <c:axPos val="l"/>
        <c:majorGridlines/>
        <c:numFmt formatCode="0.00%" sourceLinked="1"/>
        <c:tickLblPos val="nextTo"/>
        <c:crossAx val="136481024"/>
        <c:crosses val="max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 O/S D5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Data!$B$91</c:f>
              <c:strCache>
                <c:ptCount val="1"/>
                <c:pt idx="0">
                  <c:v>SC 013 O/S D5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Data!$G$91:$G$101</c:f>
              <c:numCache>
                <c:formatCode>0.00%</c:formatCode>
                <c:ptCount val="11"/>
                <c:pt idx="0">
                  <c:v>0.9487787420595869</c:v>
                </c:pt>
                <c:pt idx="1">
                  <c:v>0.75959559810324806</c:v>
                </c:pt>
                <c:pt idx="2">
                  <c:v>0.53508991679341522</c:v>
                </c:pt>
                <c:pt idx="3">
                  <c:v>0.25659837165607952</c:v>
                </c:pt>
                <c:pt idx="4">
                  <c:v>0.11889594703408786</c:v>
                </c:pt>
                <c:pt idx="5">
                  <c:v>9.9355819987474281E-2</c:v>
                </c:pt>
                <c:pt idx="6">
                  <c:v>7.9699382660821341E-2</c:v>
                </c:pt>
                <c:pt idx="7">
                  <c:v>5.8879842533774727E-2</c:v>
                </c:pt>
                <c:pt idx="8">
                  <c:v>4.8635590945692052E-2</c:v>
                </c:pt>
                <c:pt idx="9">
                  <c:v>4.1961170260356097E-2</c:v>
                </c:pt>
                <c:pt idx="10">
                  <c:v>3.6297754316900785E-2</c:v>
                </c:pt>
              </c:numCache>
            </c:numRef>
          </c:val>
        </c:ser>
        <c:ser>
          <c:idx val="0"/>
          <c:order val="1"/>
          <c:tx>
            <c:strRef>
              <c:f>Data!$B$177</c:f>
              <c:strCache>
                <c:ptCount val="1"/>
                <c:pt idx="0">
                  <c:v>SC 014 O/S D5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Data!$G$177:$G$187</c:f>
              <c:numCache>
                <c:formatCode>0.00%</c:formatCode>
                <c:ptCount val="11"/>
                <c:pt idx="0">
                  <c:v>0.94542181575530593</c:v>
                </c:pt>
                <c:pt idx="1">
                  <c:v>0.75725614140358677</c:v>
                </c:pt>
                <c:pt idx="2">
                  <c:v>0.5553359990482053</c:v>
                </c:pt>
                <c:pt idx="3">
                  <c:v>0.31520440308505626</c:v>
                </c:pt>
                <c:pt idx="4">
                  <c:v>0.19643180442687991</c:v>
                </c:pt>
                <c:pt idx="5">
                  <c:v>0.17739591038645966</c:v>
                </c:pt>
                <c:pt idx="6">
                  <c:v>0.15512184524025055</c:v>
                </c:pt>
                <c:pt idx="7">
                  <c:v>0.12734909657095264</c:v>
                </c:pt>
                <c:pt idx="8">
                  <c:v>0.10733554384204344</c:v>
                </c:pt>
                <c:pt idx="9">
                  <c:v>9.2624108339066508E-2</c:v>
                </c:pt>
                <c:pt idx="10">
                  <c:v>7.8673074038247651E-2</c:v>
                </c:pt>
              </c:numCache>
            </c:numRef>
          </c:val>
        </c:ser>
        <c:marker val="1"/>
        <c:axId val="143393152"/>
        <c:axId val="143394688"/>
      </c:lineChart>
      <c:catAx>
        <c:axId val="143393152"/>
        <c:scaling>
          <c:orientation val="maxMin"/>
        </c:scaling>
        <c:axPos val="b"/>
        <c:numFmt formatCode="General" sourceLinked="1"/>
        <c:tickLblPos val="nextTo"/>
        <c:crossAx val="143394688"/>
        <c:crosses val="autoZero"/>
        <c:auto val="1"/>
        <c:lblAlgn val="ctr"/>
        <c:lblOffset val="100"/>
      </c:catAx>
      <c:valAx>
        <c:axId val="143394688"/>
        <c:scaling>
          <c:orientation val="minMax"/>
        </c:scaling>
        <c:axPos val="l"/>
        <c:majorGridlines/>
        <c:numFmt formatCode="0.00%" sourceLinked="1"/>
        <c:tickLblPos val="nextTo"/>
        <c:crossAx val="143393152"/>
        <c:crosses val="max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1"/>
          <c:order val="0"/>
          <c:tx>
            <c:strRef>
              <c:f>Data!$B$21</c:f>
              <c:strCache>
                <c:ptCount val="1"/>
                <c:pt idx="0">
                  <c:v>SC 013 Feed_Survey 1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Data!$G$21:$G$31</c:f>
              <c:numCache>
                <c:formatCode>0.00%</c:formatCode>
                <c:ptCount val="11"/>
                <c:pt idx="0">
                  <c:v>0.98177080640658454</c:v>
                </c:pt>
                <c:pt idx="1">
                  <c:v>0.90149204346882017</c:v>
                </c:pt>
                <c:pt idx="2">
                  <c:v>0.79882745856296455</c:v>
                </c:pt>
                <c:pt idx="3">
                  <c:v>0.64711052288730575</c:v>
                </c:pt>
                <c:pt idx="4">
                  <c:v>0.50446165458625003</c:v>
                </c:pt>
                <c:pt idx="5">
                  <c:v>0.46581121462471436</c:v>
                </c:pt>
                <c:pt idx="6">
                  <c:v>0.40794929326977758</c:v>
                </c:pt>
                <c:pt idx="7">
                  <c:v>0.32374137913207118</c:v>
                </c:pt>
                <c:pt idx="8">
                  <c:v>0.26662392853080769</c:v>
                </c:pt>
                <c:pt idx="9">
                  <c:v>0.21892610093782633</c:v>
                </c:pt>
                <c:pt idx="10">
                  <c:v>0.17859026190894708</c:v>
                </c:pt>
              </c:numCache>
            </c:numRef>
          </c:val>
        </c:ser>
        <c:ser>
          <c:idx val="0"/>
          <c:order val="1"/>
          <c:tx>
            <c:strRef>
              <c:f>Data!$B$107</c:f>
              <c:strCache>
                <c:ptCount val="1"/>
                <c:pt idx="0">
                  <c:v>SC 014 Feed Survey 1</c:v>
                </c:pt>
              </c:strCache>
            </c:strRef>
          </c:tx>
          <c:cat>
            <c:numRef>
              <c:f>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cat>
          <c:val>
            <c:numRef>
              <c:f>Data!$G$107:$G$117</c:f>
              <c:numCache>
                <c:formatCode>0.00%</c:formatCode>
                <c:ptCount val="11"/>
                <c:pt idx="0">
                  <c:v>0.98234304042681564</c:v>
                </c:pt>
                <c:pt idx="1">
                  <c:v>0.89989096721606499</c:v>
                </c:pt>
                <c:pt idx="2">
                  <c:v>0.79658505086432307</c:v>
                </c:pt>
                <c:pt idx="3">
                  <c:v>0.64531529528830167</c:v>
                </c:pt>
                <c:pt idx="4">
                  <c:v>0.50202716292461913</c:v>
                </c:pt>
                <c:pt idx="5">
                  <c:v>0.46524183048048523</c:v>
                </c:pt>
                <c:pt idx="6">
                  <c:v>0.40515735653720347</c:v>
                </c:pt>
                <c:pt idx="7">
                  <c:v>0.32464246774005734</c:v>
                </c:pt>
                <c:pt idx="8">
                  <c:v>0.26257846655445816</c:v>
                </c:pt>
                <c:pt idx="9">
                  <c:v>0.2170599256883356</c:v>
                </c:pt>
                <c:pt idx="10">
                  <c:v>0.17580742481501477</c:v>
                </c:pt>
              </c:numCache>
            </c:numRef>
          </c:val>
        </c:ser>
        <c:marker val="1"/>
        <c:axId val="161433856"/>
        <c:axId val="161443840"/>
      </c:lineChart>
      <c:catAx>
        <c:axId val="161433856"/>
        <c:scaling>
          <c:orientation val="maxMin"/>
        </c:scaling>
        <c:axPos val="b"/>
        <c:numFmt formatCode="General" sourceLinked="1"/>
        <c:tickLblPos val="nextTo"/>
        <c:crossAx val="161443840"/>
        <c:crosses val="autoZero"/>
        <c:auto val="1"/>
        <c:lblAlgn val="ctr"/>
        <c:lblOffset val="100"/>
      </c:catAx>
      <c:valAx>
        <c:axId val="161443840"/>
        <c:scaling>
          <c:orientation val="minMax"/>
        </c:scaling>
        <c:axPos val="l"/>
        <c:majorGridlines/>
        <c:numFmt formatCode="0.00%" sourceLinked="1"/>
        <c:tickLblPos val="nextTo"/>
        <c:crossAx val="161433856"/>
        <c:crosses val="max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6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266699</xdr:colOff>
      <xdr:row>17</xdr:row>
      <xdr:rowOff>95250</xdr:rowOff>
    </xdr:from>
    <xdr:to>
      <xdr:col>23</xdr:col>
      <xdr:colOff>9524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15</xdr:row>
      <xdr:rowOff>95250</xdr:rowOff>
    </xdr:from>
    <xdr:to>
      <xdr:col>22</xdr:col>
      <xdr:colOff>9524</xdr:colOff>
      <xdr:row>29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6</xdr:row>
      <xdr:rowOff>47625</xdr:rowOff>
    </xdr:from>
    <xdr:to>
      <xdr:col>12</xdr:col>
      <xdr:colOff>485775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</xdr:colOff>
      <xdr:row>1</xdr:row>
      <xdr:rowOff>74083</xdr:rowOff>
    </xdr:from>
    <xdr:to>
      <xdr:col>9</xdr:col>
      <xdr:colOff>137583</xdr:colOff>
      <xdr:row>19</xdr:row>
      <xdr:rowOff>35983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423334</xdr:colOff>
      <xdr:row>1</xdr:row>
      <xdr:rowOff>168275</xdr:rowOff>
    </xdr:from>
    <xdr:to>
      <xdr:col>18</xdr:col>
      <xdr:colOff>518584</xdr:colOff>
      <xdr:row>19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603249</xdr:colOff>
      <xdr:row>3</xdr:row>
      <xdr:rowOff>38100</xdr:rowOff>
    </xdr:from>
    <xdr:to>
      <xdr:col>28</xdr:col>
      <xdr:colOff>84666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20</xdr:row>
      <xdr:rowOff>68791</xdr:rowOff>
    </xdr:from>
    <xdr:to>
      <xdr:col>9</xdr:col>
      <xdr:colOff>114300</xdr:colOff>
      <xdr:row>38</xdr:row>
      <xdr:rowOff>30691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284692</xdr:colOff>
      <xdr:row>20</xdr:row>
      <xdr:rowOff>160867</xdr:rowOff>
    </xdr:from>
    <xdr:to>
      <xdr:col>18</xdr:col>
      <xdr:colOff>379942</xdr:colOff>
      <xdr:row>38</xdr:row>
      <xdr:rowOff>122767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568325</xdr:colOff>
      <xdr:row>21</xdr:row>
      <xdr:rowOff>85725</xdr:rowOff>
    </xdr:from>
    <xdr:to>
      <xdr:col>28</xdr:col>
      <xdr:colOff>53975</xdr:colOff>
      <xdr:row>39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571499</xdr:colOff>
      <xdr:row>41</xdr:row>
      <xdr:rowOff>0</xdr:rowOff>
    </xdr:from>
    <xdr:to>
      <xdr:col>29</xdr:col>
      <xdr:colOff>84666</xdr:colOff>
      <xdr:row>59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18</xdr:col>
      <xdr:colOff>99483</xdr:colOff>
      <xdr:row>57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18</xdr:col>
      <xdr:colOff>99483</xdr:colOff>
      <xdr:row>79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571499</xdr:colOff>
      <xdr:row>61</xdr:row>
      <xdr:rowOff>52915</xdr:rowOff>
    </xdr:from>
    <xdr:to>
      <xdr:col>29</xdr:col>
      <xdr:colOff>52916</xdr:colOff>
      <xdr:row>80</xdr:row>
      <xdr:rowOff>74082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133350</xdr:rowOff>
    </xdr:from>
    <xdr:to>
      <xdr:col>6</xdr:col>
      <xdr:colOff>590550</xdr:colOff>
      <xdr:row>8</xdr:row>
      <xdr:rowOff>133350</xdr:rowOff>
    </xdr:to>
    <xdr:cxnSp macro="">
      <xdr:nvCxnSpPr>
        <xdr:cNvPr id="3" name="Straight Connector 2"/>
        <xdr:cNvCxnSpPr/>
      </xdr:nvCxnSpPr>
      <xdr:spPr>
        <a:xfrm>
          <a:off x="2762250" y="1752600"/>
          <a:ext cx="1485900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14</xdr:row>
      <xdr:rowOff>133350</xdr:rowOff>
    </xdr:from>
    <xdr:to>
      <xdr:col>6</xdr:col>
      <xdr:colOff>257175</xdr:colOff>
      <xdr:row>14</xdr:row>
      <xdr:rowOff>133350</xdr:rowOff>
    </xdr:to>
    <xdr:cxnSp macro="">
      <xdr:nvCxnSpPr>
        <xdr:cNvPr id="5" name="Straight Connector 4"/>
        <xdr:cNvCxnSpPr/>
      </xdr:nvCxnSpPr>
      <xdr:spPr>
        <a:xfrm>
          <a:off x="2724150" y="3181350"/>
          <a:ext cx="1190625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18</xdr:row>
      <xdr:rowOff>152400</xdr:rowOff>
    </xdr:from>
    <xdr:to>
      <xdr:col>5</xdr:col>
      <xdr:colOff>600075</xdr:colOff>
      <xdr:row>18</xdr:row>
      <xdr:rowOff>152400</xdr:rowOff>
    </xdr:to>
    <xdr:cxnSp macro="">
      <xdr:nvCxnSpPr>
        <xdr:cNvPr id="8" name="Straight Connector 7"/>
        <xdr:cNvCxnSpPr/>
      </xdr:nvCxnSpPr>
      <xdr:spPr>
        <a:xfrm>
          <a:off x="2724150" y="4152900"/>
          <a:ext cx="923925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22</xdr:row>
      <xdr:rowOff>142875</xdr:rowOff>
    </xdr:from>
    <xdr:to>
      <xdr:col>6</xdr:col>
      <xdr:colOff>476250</xdr:colOff>
      <xdr:row>22</xdr:row>
      <xdr:rowOff>142875</xdr:rowOff>
    </xdr:to>
    <xdr:cxnSp macro="">
      <xdr:nvCxnSpPr>
        <xdr:cNvPr id="10" name="Straight Connector 9"/>
        <xdr:cNvCxnSpPr/>
      </xdr:nvCxnSpPr>
      <xdr:spPr>
        <a:xfrm>
          <a:off x="2686050" y="5095875"/>
          <a:ext cx="1447800" cy="0"/>
        </a:xfrm>
        <a:prstGeom prst="line">
          <a:avLst/>
        </a:prstGeom>
        <a:ln w="254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cholo/AppData/Roaming/Microsoft/Excel/Screen%20survey%2014.10.2014%20rev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rrick cal"/>
      <sheetName val="Efficiency"/>
      <sheetName val="Fines Recovery"/>
      <sheetName val="% commulative passing"/>
      <sheetName val="Derrick Fomula"/>
    </sheetNames>
    <sheetDataSet>
      <sheetData sheetId="0">
        <row r="21">
          <cell r="B21" t="str">
            <v>SC 013 Feed_Survey 2</v>
          </cell>
          <cell r="G21">
            <v>0.9327761158429323</v>
          </cell>
        </row>
        <row r="22">
          <cell r="G22">
            <v>0.82197199336109483</v>
          </cell>
        </row>
        <row r="23">
          <cell r="G23">
            <v>0.70619863047734521</v>
          </cell>
        </row>
        <row r="24">
          <cell r="G24">
            <v>0.53902344487621623</v>
          </cell>
        </row>
        <row r="25">
          <cell r="G25">
            <v>0.40270724217096165</v>
          </cell>
        </row>
        <row r="26">
          <cell r="G26">
            <v>0.36832009858972958</v>
          </cell>
        </row>
        <row r="27">
          <cell r="G27">
            <v>0.32146016159969787</v>
          </cell>
        </row>
        <row r="28">
          <cell r="G28">
            <v>0.25074787068048776</v>
          </cell>
        </row>
        <row r="29">
          <cell r="G29">
            <v>0.20592532225524005</v>
          </cell>
        </row>
        <row r="30">
          <cell r="G30">
            <v>0.16205686798715949</v>
          </cell>
        </row>
        <row r="31">
          <cell r="G31">
            <v>0.1330265655591886</v>
          </cell>
        </row>
        <row r="35">
          <cell r="D35">
            <v>1180</v>
          </cell>
        </row>
        <row r="36">
          <cell r="D36">
            <v>600</v>
          </cell>
        </row>
        <row r="37">
          <cell r="D37">
            <v>425</v>
          </cell>
        </row>
        <row r="38">
          <cell r="D38">
            <v>300</v>
          </cell>
        </row>
        <row r="39">
          <cell r="D39">
            <v>212</v>
          </cell>
          <cell r="F39">
            <v>0.11833802863309115</v>
          </cell>
        </row>
        <row r="40">
          <cell r="D40">
            <v>180</v>
          </cell>
        </row>
        <row r="41">
          <cell r="D41">
            <v>150</v>
          </cell>
        </row>
        <row r="42">
          <cell r="D42">
            <v>106</v>
          </cell>
        </row>
        <row r="43">
          <cell r="D43">
            <v>75</v>
          </cell>
        </row>
        <row r="44">
          <cell r="D44">
            <v>53</v>
          </cell>
        </row>
        <row r="45">
          <cell r="D45">
            <v>38</v>
          </cell>
        </row>
        <row r="107">
          <cell r="B107" t="str">
            <v>SC 014 Feed_Survey 2</v>
          </cell>
          <cell r="G107">
            <v>0.92725992467806806</v>
          </cell>
        </row>
        <row r="108">
          <cell r="G108">
            <v>0.81953675944991522</v>
          </cell>
        </row>
        <row r="109">
          <cell r="G109">
            <v>0.71022393871824685</v>
          </cell>
        </row>
        <row r="110">
          <cell r="G110">
            <v>0.54688416852482091</v>
          </cell>
        </row>
        <row r="111">
          <cell r="G111">
            <v>0.41229689217014642</v>
          </cell>
        </row>
        <row r="112">
          <cell r="G112">
            <v>0.37893546425408875</v>
          </cell>
        </row>
        <row r="113">
          <cell r="G113">
            <v>0.3309790784265611</v>
          </cell>
        </row>
        <row r="114">
          <cell r="G114">
            <v>0.26387214475467025</v>
          </cell>
        </row>
        <row r="115">
          <cell r="G115">
            <v>0.2146248306323415</v>
          </cell>
        </row>
        <row r="116">
          <cell r="G116">
            <v>0.16887689238352305</v>
          </cell>
        </row>
        <row r="117">
          <cell r="G117">
            <v>0.14385848865370049</v>
          </cell>
        </row>
        <row r="125">
          <cell r="F125">
            <v>0.10525617136760752</v>
          </cell>
        </row>
        <row r="194">
          <cell r="B194" t="str">
            <v>SC 013 O/S_survey 2</v>
          </cell>
          <cell r="G194">
            <v>0.8861154914127044</v>
          </cell>
        </row>
        <row r="195">
          <cell r="G195">
            <v>0.70227494772205268</v>
          </cell>
        </row>
        <row r="196">
          <cell r="G196">
            <v>0.50968641801789449</v>
          </cell>
        </row>
        <row r="197">
          <cell r="G197">
            <v>0.26546698776181821</v>
          </cell>
        </row>
        <row r="198">
          <cell r="G198">
            <v>0.14297375818449828</v>
          </cell>
        </row>
        <row r="199">
          <cell r="G199">
            <v>0.12461005793424976</v>
          </cell>
        </row>
        <row r="200">
          <cell r="G200">
            <v>0.10507117513969352</v>
          </cell>
        </row>
        <row r="201">
          <cell r="G201">
            <v>8.1975677899283533E-2</v>
          </cell>
        </row>
        <row r="202">
          <cell r="G202">
            <v>6.7290716807788559E-2</v>
          </cell>
        </row>
        <row r="203">
          <cell r="G203">
            <v>5.5965256590449416E-2</v>
          </cell>
        </row>
        <row r="204">
          <cell r="G204">
            <v>4.7302972129854993E-2</v>
          </cell>
        </row>
        <row r="210">
          <cell r="B210" t="str">
            <v>SC 014 O/S_survey 2</v>
          </cell>
          <cell r="D210">
            <v>1180</v>
          </cell>
          <cell r="G210">
            <v>0.88958261031686914</v>
          </cell>
        </row>
        <row r="211">
          <cell r="D211">
            <v>600</v>
          </cell>
          <cell r="G211">
            <v>0.69495612483391667</v>
          </cell>
        </row>
        <row r="212">
          <cell r="D212">
            <v>425</v>
          </cell>
          <cell r="G212">
            <v>0.48636573457911181</v>
          </cell>
        </row>
        <row r="213">
          <cell r="D213">
            <v>300</v>
          </cell>
          <cell r="G213">
            <v>0.23746500038748067</v>
          </cell>
        </row>
        <row r="214">
          <cell r="D214">
            <v>212</v>
          </cell>
          <cell r="G214">
            <v>0.13376394228447372</v>
          </cell>
        </row>
        <row r="215">
          <cell r="D215">
            <v>180</v>
          </cell>
          <cell r="G215">
            <v>0.1181254471470753</v>
          </cell>
        </row>
        <row r="216">
          <cell r="D216">
            <v>150</v>
          </cell>
          <cell r="G216">
            <v>0.10238811636100618</v>
          </cell>
        </row>
        <row r="217">
          <cell r="D217">
            <v>106</v>
          </cell>
          <cell r="G217">
            <v>8.3703686232755703E-2</v>
          </cell>
        </row>
        <row r="218">
          <cell r="D218">
            <v>75</v>
          </cell>
          <cell r="G218">
            <v>7.1302058589323272E-2</v>
          </cell>
        </row>
        <row r="219">
          <cell r="D219">
            <v>53</v>
          </cell>
          <cell r="G219">
            <v>6.2191208793677219E-2</v>
          </cell>
        </row>
        <row r="220">
          <cell r="D220">
            <v>38</v>
          </cell>
          <cell r="G220">
            <v>5.4405655196115753E-2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25"/>
  <sheetViews>
    <sheetView topLeftCell="A16" workbookViewId="0">
      <pane xSplit="9" ySplit="5" topLeftCell="J144" activePane="bottomRight" state="frozen"/>
      <selection activeCell="A16" sqref="A16"/>
      <selection pane="topRight" activeCell="J16" sqref="J16"/>
      <selection pane="bottomLeft" activeCell="A21" sqref="A21"/>
      <selection pane="bottomRight" activeCell="B179" sqref="B179"/>
    </sheetView>
  </sheetViews>
  <sheetFormatPr defaultRowHeight="15"/>
  <cols>
    <col min="1" max="1" width="23.140625" customWidth="1"/>
    <col min="2" max="5" width="17" customWidth="1"/>
    <col min="6" max="6" width="17" style="22" customWidth="1"/>
    <col min="7" max="7" width="17" customWidth="1"/>
    <col min="8" max="8" width="28.7109375" hidden="1" customWidth="1"/>
    <col min="9" max="9" width="25.5703125" hidden="1" customWidth="1"/>
    <col min="10" max="10" width="8" customWidth="1"/>
    <col min="11" max="11" width="8.28515625" customWidth="1"/>
    <col min="12" max="12" width="7.140625" customWidth="1"/>
    <col min="13" max="13" width="7.85546875" customWidth="1"/>
    <col min="14" max="14" width="5.85546875" customWidth="1"/>
    <col min="15" max="15" width="8" customWidth="1"/>
    <col min="16" max="16" width="6.85546875" customWidth="1"/>
    <col min="17" max="17" width="8.5703125" customWidth="1"/>
    <col min="18" max="18" width="10.140625" customWidth="1"/>
    <col min="19" max="19" width="10.140625" style="55" customWidth="1"/>
    <col min="20" max="20" width="16.140625" customWidth="1"/>
    <col min="21" max="21" width="18.5703125" bestFit="1" customWidth="1"/>
    <col min="22" max="22" width="21.42578125" bestFit="1" customWidth="1"/>
  </cols>
  <sheetData>
    <row r="1" spans="1:13" ht="22.5" customHeight="1">
      <c r="A1" s="36"/>
      <c r="B1" s="133" t="s">
        <v>37</v>
      </c>
      <c r="C1" s="133"/>
      <c r="D1" s="133"/>
      <c r="E1" s="133"/>
      <c r="F1" s="133"/>
      <c r="G1" s="133"/>
    </row>
    <row r="2" spans="1:13" ht="22.5" customHeight="1">
      <c r="A2" s="36"/>
      <c r="B2" s="133"/>
      <c r="C2" s="133"/>
      <c r="D2" s="133"/>
      <c r="E2" s="133"/>
      <c r="F2" s="133"/>
      <c r="G2" s="133"/>
    </row>
    <row r="3" spans="1:13" ht="22.5" customHeight="1">
      <c r="A3" s="36"/>
      <c r="B3" s="133"/>
      <c r="C3" s="133"/>
      <c r="D3" s="133"/>
      <c r="E3" s="133"/>
      <c r="F3" s="133"/>
      <c r="G3" s="133"/>
    </row>
    <row r="4" spans="1:13" ht="22.5" customHeight="1">
      <c r="A4" s="36"/>
      <c r="B4" s="37" t="s">
        <v>19</v>
      </c>
      <c r="C4" s="38">
        <v>41925</v>
      </c>
      <c r="D4" s="39"/>
      <c r="E4" s="39"/>
      <c r="F4" s="39"/>
      <c r="G4" s="39"/>
    </row>
    <row r="5" spans="1:13" ht="22.5" customHeight="1">
      <c r="A5" s="36"/>
      <c r="B5" s="37" t="s">
        <v>20</v>
      </c>
      <c r="C5" s="40">
        <v>0.3611111111111111</v>
      </c>
      <c r="D5" s="39"/>
      <c r="E5" s="39"/>
      <c r="F5" s="39"/>
      <c r="G5" s="39"/>
    </row>
    <row r="6" spans="1:13" ht="22.5" customHeight="1" thickBot="1">
      <c r="A6" s="36"/>
      <c r="B6" s="41"/>
      <c r="C6" s="41"/>
      <c r="D6" s="41"/>
      <c r="E6" s="41"/>
      <c r="F6" s="42"/>
      <c r="G6" s="42"/>
    </row>
    <row r="7" spans="1:13" ht="23.25" customHeight="1" thickTop="1">
      <c r="A7" s="33" t="s">
        <v>18</v>
      </c>
      <c r="B7" s="34" t="s">
        <v>35</v>
      </c>
      <c r="C7" s="34" t="s">
        <v>25</v>
      </c>
      <c r="D7" s="34" t="s">
        <v>26</v>
      </c>
      <c r="E7" s="34" t="s">
        <v>27</v>
      </c>
      <c r="F7" s="34" t="s">
        <v>28</v>
      </c>
      <c r="G7" s="34" t="s">
        <v>29</v>
      </c>
      <c r="K7" s="55"/>
    </row>
    <row r="8" spans="1:13" ht="23.25" customHeight="1">
      <c r="A8" s="35" t="s">
        <v>23</v>
      </c>
      <c r="B8" s="43">
        <v>530</v>
      </c>
      <c r="C8" s="43">
        <v>542</v>
      </c>
      <c r="D8" s="43">
        <v>534</v>
      </c>
      <c r="E8" s="43">
        <v>536</v>
      </c>
      <c r="F8" s="43">
        <v>536</v>
      </c>
      <c r="G8" s="43">
        <v>536</v>
      </c>
    </row>
    <row r="9" spans="1:13" ht="23.25" customHeight="1">
      <c r="A9" s="35" t="s">
        <v>24</v>
      </c>
      <c r="B9" s="43">
        <v>2930.5</v>
      </c>
      <c r="C9" s="43">
        <v>2894.1</v>
      </c>
      <c r="D9" s="43">
        <v>3092.2</v>
      </c>
      <c r="E9" s="43">
        <v>2669.3</v>
      </c>
      <c r="F9" s="43">
        <v>2628.6</v>
      </c>
      <c r="G9" s="43">
        <v>2059.6999999999998</v>
      </c>
    </row>
    <row r="10" spans="1:13" ht="23.25" customHeight="1">
      <c r="A10" s="35" t="s">
        <v>22</v>
      </c>
      <c r="B10" s="71">
        <f>$E33</f>
        <v>967.13</v>
      </c>
      <c r="C10" s="71">
        <f>$E47</f>
        <v>1337.03</v>
      </c>
      <c r="D10" s="71">
        <f>$E61</f>
        <v>1589.25</v>
      </c>
      <c r="E10" s="71">
        <f>$E75</f>
        <v>1297.6099999999999</v>
      </c>
      <c r="F10" s="71">
        <f>$E89</f>
        <v>1272.4899999999998</v>
      </c>
      <c r="G10" s="71">
        <f>$E103</f>
        <v>1117.6999999999998</v>
      </c>
      <c r="J10" s="55"/>
    </row>
    <row r="11" spans="1:13" ht="23.25" customHeight="1">
      <c r="A11" s="66" t="s">
        <v>21</v>
      </c>
      <c r="B11" s="44">
        <f t="shared" ref="B11:G11" si="0">B10/(B9-B8)</f>
        <v>0.40288689856279941</v>
      </c>
      <c r="C11" s="44">
        <f t="shared" si="0"/>
        <v>0.56844096764593344</v>
      </c>
      <c r="D11" s="44">
        <f t="shared" si="0"/>
        <v>0.62123758892971626</v>
      </c>
      <c r="E11" s="44">
        <f t="shared" si="0"/>
        <v>0.60826419162799406</v>
      </c>
      <c r="F11" s="44">
        <f t="shared" si="0"/>
        <v>0.608090413839243</v>
      </c>
      <c r="G11" s="44">
        <f t="shared" si="0"/>
        <v>0.73354334842816826</v>
      </c>
      <c r="J11" s="55"/>
    </row>
    <row r="12" spans="1:13" s="55" customFormat="1" ht="23.25" customHeight="1" thickBot="1">
      <c r="A12" s="63"/>
      <c r="B12" s="64"/>
      <c r="C12" s="64"/>
      <c r="D12" s="64"/>
      <c r="E12" s="64"/>
      <c r="F12" s="64"/>
      <c r="G12" s="64"/>
      <c r="H12" s="64"/>
      <c r="I12" s="64"/>
      <c r="K12" s="64"/>
      <c r="L12" s="64"/>
      <c r="M12" s="64"/>
    </row>
    <row r="13" spans="1:13" s="55" customFormat="1" ht="23.25" customHeight="1" thickTop="1">
      <c r="A13" s="33" t="s">
        <v>18</v>
      </c>
      <c r="B13" s="34" t="s">
        <v>36</v>
      </c>
      <c r="C13" s="34" t="s">
        <v>30</v>
      </c>
      <c r="D13" s="34" t="s">
        <v>31</v>
      </c>
      <c r="E13" s="34" t="s">
        <v>32</v>
      </c>
      <c r="F13" s="34" t="s">
        <v>33</v>
      </c>
      <c r="G13" s="34" t="s">
        <v>34</v>
      </c>
      <c r="H13" s="64"/>
      <c r="I13" s="64"/>
      <c r="K13" s="64"/>
      <c r="L13" s="64"/>
      <c r="M13" s="64"/>
    </row>
    <row r="14" spans="1:13" s="55" customFormat="1" ht="23.25" customHeight="1">
      <c r="A14" s="35" t="s">
        <v>23</v>
      </c>
      <c r="B14" s="43">
        <v>536</v>
      </c>
      <c r="C14" s="43">
        <v>538</v>
      </c>
      <c r="D14" s="43">
        <v>532</v>
      </c>
      <c r="E14" s="43">
        <v>532</v>
      </c>
      <c r="F14" s="43">
        <v>532</v>
      </c>
      <c r="G14" s="43">
        <v>532</v>
      </c>
      <c r="H14" s="64"/>
      <c r="I14" s="64"/>
      <c r="K14" s="64"/>
      <c r="L14" s="64"/>
      <c r="M14" s="64"/>
    </row>
    <row r="15" spans="1:13" s="55" customFormat="1" ht="23.25" customHeight="1">
      <c r="A15" s="35" t="s">
        <v>24</v>
      </c>
      <c r="B15" s="65">
        <v>2868.4</v>
      </c>
      <c r="C15" s="43">
        <v>3628.6</v>
      </c>
      <c r="D15" s="43">
        <v>2335.1999999999998</v>
      </c>
      <c r="E15" s="43">
        <v>1212.4000000000001</v>
      </c>
      <c r="F15" s="43">
        <v>3489.4</v>
      </c>
      <c r="G15" s="43">
        <v>3861</v>
      </c>
      <c r="H15" s="64"/>
      <c r="I15" s="64"/>
      <c r="K15" s="64"/>
      <c r="L15" s="64"/>
      <c r="M15" s="64"/>
    </row>
    <row r="16" spans="1:13" s="55" customFormat="1" ht="23.25" customHeight="1">
      <c r="A16" s="35" t="s">
        <v>22</v>
      </c>
      <c r="B16" s="70">
        <f>$E119</f>
        <v>944.67000000000007</v>
      </c>
      <c r="C16" s="70">
        <f>$E133</f>
        <v>1671.7199999999998</v>
      </c>
      <c r="D16" s="70">
        <f>$E147</f>
        <v>1231.6999999999998</v>
      </c>
      <c r="E16" s="70">
        <f>$E161</f>
        <v>498.05000000000007</v>
      </c>
      <c r="F16" s="70">
        <f>$E175</f>
        <v>1542.5300000000002</v>
      </c>
      <c r="G16" s="70">
        <f>$E189</f>
        <v>1933.1900000000003</v>
      </c>
      <c r="H16" s="64"/>
      <c r="I16" s="64"/>
      <c r="K16" s="64"/>
      <c r="L16" s="64"/>
      <c r="M16" s="64"/>
    </row>
    <row r="17" spans="1:23" s="55" customFormat="1" ht="23.25" customHeight="1">
      <c r="A17" s="66" t="s">
        <v>21</v>
      </c>
      <c r="B17" s="44">
        <f t="shared" ref="B17:G17" si="1">B16/(B15-B14)</f>
        <v>0.40502057966043564</v>
      </c>
      <c r="C17" s="44">
        <f t="shared" si="1"/>
        <v>0.54090467870316439</v>
      </c>
      <c r="D17" s="44">
        <f t="shared" si="1"/>
        <v>0.68306344276841169</v>
      </c>
      <c r="E17" s="44">
        <f t="shared" si="1"/>
        <v>0.73199588477366251</v>
      </c>
      <c r="F17" s="44">
        <f t="shared" si="1"/>
        <v>0.52158314735916689</v>
      </c>
      <c r="G17" s="44">
        <f t="shared" si="1"/>
        <v>0.5807119255031542</v>
      </c>
      <c r="H17" s="64"/>
      <c r="I17" s="64"/>
      <c r="K17" s="64"/>
      <c r="L17" s="64"/>
      <c r="M17" s="64"/>
    </row>
    <row r="18" spans="1:23" s="55" customFormat="1" ht="39" customHeight="1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23" s="55" customFormat="1" ht="15.75" thickBot="1">
      <c r="F19" s="22"/>
      <c r="J19" s="55" t="s">
        <v>102</v>
      </c>
      <c r="T19" s="55" t="s">
        <v>103</v>
      </c>
    </row>
    <row r="20" spans="1:23" s="55" customFormat="1" ht="30.75" thickBot="1">
      <c r="B20" s="1" t="s">
        <v>0</v>
      </c>
      <c r="C20" s="131" t="s">
        <v>1</v>
      </c>
      <c r="D20" s="132"/>
      <c r="E20" s="2" t="s">
        <v>2</v>
      </c>
      <c r="F20" s="19" t="s">
        <v>14</v>
      </c>
      <c r="G20" s="2" t="s">
        <v>3</v>
      </c>
      <c r="H20" s="55" t="s">
        <v>97</v>
      </c>
      <c r="J20" s="55" t="s">
        <v>68</v>
      </c>
      <c r="K20" s="91" t="s">
        <v>70</v>
      </c>
      <c r="L20" s="91" t="s">
        <v>72</v>
      </c>
      <c r="M20" s="91" t="s">
        <v>74</v>
      </c>
      <c r="N20" s="91" t="s">
        <v>78</v>
      </c>
      <c r="O20" s="91" t="s">
        <v>82</v>
      </c>
      <c r="P20" s="91" t="s">
        <v>86</v>
      </c>
      <c r="Q20" s="91" t="s">
        <v>89</v>
      </c>
      <c r="R20" s="91" t="s">
        <v>92</v>
      </c>
      <c r="S20" s="91"/>
      <c r="T20" s="91" t="s">
        <v>104</v>
      </c>
      <c r="U20" s="91" t="s">
        <v>105</v>
      </c>
      <c r="V20" s="91" t="s">
        <v>110</v>
      </c>
      <c r="W20" s="91" t="s">
        <v>111</v>
      </c>
    </row>
    <row r="21" spans="1:23" s="55" customFormat="1" ht="57" thickTop="1">
      <c r="B21" s="34" t="s">
        <v>98</v>
      </c>
      <c r="C21" s="3" t="s">
        <v>16</v>
      </c>
      <c r="D21" s="4">
        <v>1180</v>
      </c>
      <c r="E21" s="5">
        <v>17.63</v>
      </c>
      <c r="F21" s="28">
        <f>E21/$E$33</f>
        <v>1.8229193593415568E-2</v>
      </c>
      <c r="G21" s="30">
        <f>SUM(E22:E$32)/$E$33</f>
        <v>0.98177080640658454</v>
      </c>
    </row>
    <row r="22" spans="1:23" s="55" customFormat="1">
      <c r="B22" s="16" t="s">
        <v>4</v>
      </c>
      <c r="C22" s="17" t="s">
        <v>15</v>
      </c>
      <c r="D22" s="4">
        <v>600</v>
      </c>
      <c r="E22" s="5">
        <v>77.64</v>
      </c>
      <c r="F22" s="28">
        <f t="shared" ref="F22:F33" si="2">E22/$E$33</f>
        <v>8.0278762937764314E-2</v>
      </c>
      <c r="G22" s="30">
        <f>SUM(E23:E$32)/$E$33</f>
        <v>0.90149204346882017</v>
      </c>
      <c r="J22" s="32"/>
    </row>
    <row r="23" spans="1:23" s="55" customFormat="1">
      <c r="B23" s="18">
        <f>FORECAST(0.8,D22:D23,G22:G23)</f>
        <v>426.99869070399859</v>
      </c>
      <c r="C23" s="17" t="s">
        <v>11</v>
      </c>
      <c r="D23" s="4">
        <v>425</v>
      </c>
      <c r="E23" s="5">
        <v>99.29</v>
      </c>
      <c r="F23" s="28">
        <f t="shared" si="2"/>
        <v>0.10266458490585548</v>
      </c>
      <c r="G23" s="30">
        <f>SUM(E24:E$32)/$E$33</f>
        <v>0.79882745856296455</v>
      </c>
    </row>
    <row r="24" spans="1:23" s="55" customFormat="1">
      <c r="B24" s="7"/>
      <c r="C24" s="17" t="s">
        <v>10</v>
      </c>
      <c r="D24" s="4">
        <v>300</v>
      </c>
      <c r="E24" s="5">
        <v>146.72999999999999</v>
      </c>
      <c r="F24" s="28">
        <f t="shared" si="2"/>
        <v>0.15171693567565889</v>
      </c>
      <c r="G24" s="30">
        <f>SUM(E25:E$32)/$E$33</f>
        <v>0.64711052288730575</v>
      </c>
    </row>
    <row r="25" spans="1:23" s="55" customFormat="1">
      <c r="B25" s="7"/>
      <c r="C25" s="15" t="s">
        <v>5</v>
      </c>
      <c r="D25" s="8">
        <v>212</v>
      </c>
      <c r="E25" s="9">
        <v>137.96</v>
      </c>
      <c r="F25" s="28">
        <f>E25/$E$33</f>
        <v>0.14264886830105572</v>
      </c>
      <c r="G25" s="30">
        <f>SUM(E26:E$32)/$E$33</f>
        <v>0.50446165458625003</v>
      </c>
      <c r="H25" s="68">
        <f>SUM(F26:F32)*100</f>
        <v>50.446165458625003</v>
      </c>
    </row>
    <row r="26" spans="1:23" s="55" customFormat="1">
      <c r="B26" s="7"/>
      <c r="C26" s="15" t="s">
        <v>12</v>
      </c>
      <c r="D26" s="8">
        <v>180</v>
      </c>
      <c r="E26" s="9">
        <v>37.380000000000003</v>
      </c>
      <c r="F26" s="28">
        <f t="shared" si="2"/>
        <v>3.8650439961535679E-2</v>
      </c>
      <c r="G26" s="30">
        <f>SUM(E27:E$32)/$E$33</f>
        <v>0.46581121462471436</v>
      </c>
    </row>
    <row r="27" spans="1:23" s="55" customFormat="1">
      <c r="B27" s="7"/>
      <c r="C27" s="15" t="s">
        <v>13</v>
      </c>
      <c r="D27" s="8">
        <v>150</v>
      </c>
      <c r="E27" s="9">
        <v>55.96</v>
      </c>
      <c r="F27" s="28">
        <f t="shared" si="2"/>
        <v>5.7861921354936771E-2</v>
      </c>
      <c r="G27" s="30">
        <f>SUM(E28:E$32)/$E$33</f>
        <v>0.40794929326977758</v>
      </c>
    </row>
    <row r="28" spans="1:23" s="55" customFormat="1">
      <c r="B28" s="7"/>
      <c r="C28" s="15" t="s">
        <v>9</v>
      </c>
      <c r="D28" s="8">
        <v>106</v>
      </c>
      <c r="E28" s="9">
        <v>81.44</v>
      </c>
      <c r="F28" s="28">
        <f t="shared" si="2"/>
        <v>8.4207914137706411E-2</v>
      </c>
      <c r="G28" s="30">
        <f>SUM(E29:E$32)/$E$33</f>
        <v>0.32374137913207118</v>
      </c>
    </row>
    <row r="29" spans="1:23" s="55" customFormat="1">
      <c r="B29" s="7"/>
      <c r="C29" s="15" t="s">
        <v>8</v>
      </c>
      <c r="D29" s="8">
        <v>75</v>
      </c>
      <c r="E29" s="9">
        <v>55.24</v>
      </c>
      <c r="F29" s="28">
        <f t="shared" si="2"/>
        <v>5.7117450601263532E-2</v>
      </c>
      <c r="G29" s="30">
        <f>SUM(E30:E$32)/$E$33</f>
        <v>0.26662392853080769</v>
      </c>
    </row>
    <row r="30" spans="1:23" s="55" customFormat="1">
      <c r="B30" s="7"/>
      <c r="C30" s="15" t="s">
        <v>7</v>
      </c>
      <c r="D30" s="10">
        <v>53</v>
      </c>
      <c r="E30" s="9">
        <v>46.13</v>
      </c>
      <c r="F30" s="28">
        <f t="shared" si="2"/>
        <v>4.7697827592981301E-2</v>
      </c>
      <c r="G30" s="30">
        <f>SUM(E31:E$32)/$E$33</f>
        <v>0.21892610093782633</v>
      </c>
    </row>
    <row r="31" spans="1:23" s="55" customFormat="1">
      <c r="B31" s="7"/>
      <c r="C31" s="15" t="s">
        <v>17</v>
      </c>
      <c r="D31" s="10">
        <v>38</v>
      </c>
      <c r="E31" s="9">
        <v>39.01</v>
      </c>
      <c r="F31" s="28">
        <f t="shared" si="2"/>
        <v>4.0335839028879258E-2</v>
      </c>
      <c r="G31" s="30">
        <f>SUM(E32:E$32)/$E$33</f>
        <v>0.17859026190894708</v>
      </c>
    </row>
    <row r="32" spans="1:23" s="55" customFormat="1">
      <c r="B32" s="23"/>
      <c r="C32" s="24">
        <v>-38</v>
      </c>
      <c r="D32" s="25"/>
      <c r="E32" s="26">
        <v>172.72</v>
      </c>
      <c r="F32" s="28">
        <f>E32/$E$33</f>
        <v>0.17859026190894708</v>
      </c>
      <c r="G32" s="27"/>
    </row>
    <row r="33" spans="2:23" s="55" customFormat="1" ht="15.75" thickBot="1">
      <c r="B33" s="11"/>
      <c r="C33" s="12" t="s">
        <v>6</v>
      </c>
      <c r="D33" s="13"/>
      <c r="E33" s="14">
        <f>SUM(E21:E32)</f>
        <v>967.13</v>
      </c>
      <c r="F33" s="28">
        <f t="shared" si="2"/>
        <v>1</v>
      </c>
      <c r="G33" s="14"/>
    </row>
    <row r="34" spans="2:23" ht="33" customHeight="1" thickBot="1">
      <c r="B34" s="1" t="s">
        <v>0</v>
      </c>
      <c r="C34" s="131" t="s">
        <v>1</v>
      </c>
      <c r="D34" s="132"/>
      <c r="E34" s="2" t="s">
        <v>2</v>
      </c>
      <c r="F34" s="19" t="s">
        <v>14</v>
      </c>
      <c r="G34" s="2" t="s">
        <v>3</v>
      </c>
      <c r="J34" s="31"/>
      <c r="K34" s="31"/>
      <c r="L34" s="31"/>
      <c r="M34" s="31"/>
      <c r="N34" s="31"/>
      <c r="O34" s="31"/>
    </row>
    <row r="35" spans="2:23" ht="38.25" thickTop="1">
      <c r="B35" s="34" t="s">
        <v>25</v>
      </c>
      <c r="C35" s="3" t="s">
        <v>16</v>
      </c>
      <c r="D35" s="4">
        <v>1180</v>
      </c>
      <c r="E35" s="5">
        <f>24.01+20.92</f>
        <v>44.930000000000007</v>
      </c>
      <c r="F35" s="28">
        <f>E35/$E$47</f>
        <v>3.3604331989558957E-2</v>
      </c>
      <c r="G35" s="6">
        <f>SUM(E36:E$46)/$E$47</f>
        <v>0.96639566801044086</v>
      </c>
      <c r="J35" s="32"/>
      <c r="K35" s="32"/>
      <c r="L35" s="32"/>
      <c r="M35" s="32"/>
      <c r="N35" s="32"/>
      <c r="O35" s="32"/>
    </row>
    <row r="36" spans="2:23">
      <c r="B36" s="16" t="s">
        <v>4</v>
      </c>
      <c r="C36" s="17" t="s">
        <v>15</v>
      </c>
      <c r="D36" s="4">
        <v>600</v>
      </c>
      <c r="E36" s="5">
        <f>103.66+87.53</f>
        <v>191.19</v>
      </c>
      <c r="F36" s="28">
        <f>E36/$E$47</f>
        <v>0.14299604346948086</v>
      </c>
      <c r="G36" s="6">
        <f>SUM(E37:E$46)/$E$47</f>
        <v>0.82339962454096005</v>
      </c>
    </row>
    <row r="37" spans="2:23">
      <c r="B37" s="18">
        <f>FORECAST(0.8,D36:D37,G36:G37)</f>
        <v>578.51910703075987</v>
      </c>
      <c r="C37" s="17" t="s">
        <v>11</v>
      </c>
      <c r="D37" s="4">
        <v>425</v>
      </c>
      <c r="E37" s="5">
        <f>139.88+115</f>
        <v>254.88</v>
      </c>
      <c r="F37" s="28">
        <f t="shared" ref="F37:F47" si="3">E37/$E$47</f>
        <v>0.19063147423767604</v>
      </c>
      <c r="G37" s="6">
        <f>SUM(E38:E$46)/$E$47</f>
        <v>0.63276815030328415</v>
      </c>
      <c r="J37" s="32"/>
    </row>
    <row r="38" spans="2:23">
      <c r="B38" s="7"/>
      <c r="C38" s="17" t="s">
        <v>10</v>
      </c>
      <c r="D38" s="4">
        <v>300</v>
      </c>
      <c r="E38" s="5">
        <f>192.81+173.38</f>
        <v>366.19</v>
      </c>
      <c r="F38" s="28">
        <f t="shared" si="3"/>
        <v>0.27388315894183379</v>
      </c>
      <c r="G38" s="6">
        <f>SUM(E39:E$46)/$E$47</f>
        <v>0.35888499136145041</v>
      </c>
      <c r="H38" s="32"/>
      <c r="J38" s="58">
        <f>SUM($F$21:F24)</f>
        <v>0.35288947711269425</v>
      </c>
      <c r="K38" s="58">
        <f>1-J38</f>
        <v>0.64711052288730575</v>
      </c>
      <c r="L38" s="58">
        <f>SUM($F$35:F38)</f>
        <v>0.64111500863854964</v>
      </c>
      <c r="M38" s="58">
        <v>1</v>
      </c>
      <c r="N38" s="22">
        <f>+(L38-J38)/(L38+M38-1)</f>
        <v>0.44956915318192525</v>
      </c>
      <c r="O38" s="92">
        <f>1-N38</f>
        <v>0.55043084681807475</v>
      </c>
      <c r="P38" s="22">
        <f>+N38*M38/K38</f>
        <v>0.69473318278926777</v>
      </c>
      <c r="Q38" s="22">
        <f>+O38*L38/J38</f>
        <v>0.99999999999999989</v>
      </c>
      <c r="R38" s="93">
        <f t="shared" ref="R38:R45" si="4">+N38*M38+O38*L38</f>
        <v>0.8024586302946195</v>
      </c>
      <c r="S38" s="93"/>
    </row>
    <row r="39" spans="2:23">
      <c r="B39" s="7"/>
      <c r="C39" s="15" t="s">
        <v>5</v>
      </c>
      <c r="D39" s="8">
        <v>212</v>
      </c>
      <c r="E39" s="67">
        <f>114.07+98.79</f>
        <v>212.86</v>
      </c>
      <c r="F39" s="28">
        <f t="shared" si="3"/>
        <v>0.15920360799682881</v>
      </c>
      <c r="G39" s="6">
        <f>SUM(E40:E$46)/$E$47</f>
        <v>0.1996813833646216</v>
      </c>
      <c r="H39" s="68">
        <f>SUM(F40:F46)*100</f>
        <v>19.968138336462157</v>
      </c>
      <c r="I39" s="48">
        <f>($I$194-H39)/($I$194*(100-H39))*10000</f>
        <v>75.491103163159934</v>
      </c>
      <c r="J39" s="58">
        <f>SUM($F$21:F25)</f>
        <v>0.49553834541374997</v>
      </c>
      <c r="K39" s="58">
        <f t="shared" ref="K39:K44" si="5">1-J39</f>
        <v>0.50446165458625003</v>
      </c>
      <c r="L39" s="58">
        <f>SUM($F$35:F39)</f>
        <v>0.8003186166353784</v>
      </c>
      <c r="M39" s="110">
        <v>0.87239999999999995</v>
      </c>
      <c r="N39" s="22">
        <f t="shared" ref="N39:N45" si="6">+(L39-J39)/(L39+M39-1)</f>
        <v>0.45305758408470354</v>
      </c>
      <c r="O39" s="92">
        <f t="shared" ref="O39:O45" si="7">1-N39</f>
        <v>0.54694241591529646</v>
      </c>
      <c r="P39" s="22">
        <f t="shared" ref="P39:P44" si="8">+N39*M39/K39</f>
        <v>0.78350342937298156</v>
      </c>
      <c r="Q39" s="22">
        <f t="shared" ref="Q39:Q44" si="9">+O39*L39/J39</f>
        <v>0.88333869969045586</v>
      </c>
      <c r="R39" s="93">
        <f>+N39*M39+O39*L39</f>
        <v>0.83297563404003716</v>
      </c>
      <c r="S39" s="93"/>
    </row>
    <row r="40" spans="2:23">
      <c r="B40" s="7"/>
      <c r="C40" s="15" t="s">
        <v>12</v>
      </c>
      <c r="D40" s="8">
        <v>180</v>
      </c>
      <c r="E40" s="67">
        <f>14.49+13.13</f>
        <v>27.62</v>
      </c>
      <c r="F40" s="28">
        <f t="shared" si="3"/>
        <v>2.0657726453407927E-2</v>
      </c>
      <c r="G40" s="6">
        <f>SUM(E41:E$46)/$E$47</f>
        <v>0.17902365691121366</v>
      </c>
      <c r="J40" s="58">
        <f>SUM($F$21:F26)</f>
        <v>0.53418878537528569</v>
      </c>
      <c r="K40" s="58">
        <f t="shared" si="5"/>
        <v>0.46581121462471431</v>
      </c>
      <c r="L40" s="58">
        <f>SUM($F$35:F40)</f>
        <v>0.82097634308878631</v>
      </c>
      <c r="M40" s="58">
        <v>1</v>
      </c>
      <c r="N40" s="22">
        <f t="shared" si="6"/>
        <v>0.34932499593655814</v>
      </c>
      <c r="O40" s="92">
        <f t="shared" si="7"/>
        <v>0.65067500406344192</v>
      </c>
      <c r="P40" s="22">
        <f t="shared" si="8"/>
        <v>0.74992826486153941</v>
      </c>
      <c r="Q40" s="22">
        <f t="shared" si="9"/>
        <v>1</v>
      </c>
      <c r="R40" s="93">
        <f t="shared" si="4"/>
        <v>0.88351378131184388</v>
      </c>
      <c r="S40" s="93"/>
    </row>
    <row r="41" spans="2:23">
      <c r="B41" s="7"/>
      <c r="C41" s="15" t="s">
        <v>13</v>
      </c>
      <c r="D41" s="8">
        <v>150</v>
      </c>
      <c r="E41" s="9">
        <f>15.71+16.03</f>
        <v>31.740000000000002</v>
      </c>
      <c r="F41" s="28">
        <f t="shared" si="3"/>
        <v>2.373918311481418E-2</v>
      </c>
      <c r="G41" s="6">
        <f>SUM(E42:E$46)/$E$47</f>
        <v>0.15528447379639948</v>
      </c>
      <c r="J41" s="58">
        <f>SUM($F$21:F27)</f>
        <v>0.59205070673022242</v>
      </c>
      <c r="K41" s="58">
        <f t="shared" si="5"/>
        <v>0.40794929326977758</v>
      </c>
      <c r="L41" s="58">
        <f>SUM($F$35:F41)</f>
        <v>0.84471552620360046</v>
      </c>
      <c r="M41" s="58">
        <v>1</v>
      </c>
      <c r="N41" s="22">
        <f t="shared" si="6"/>
        <v>0.29911231844989034</v>
      </c>
      <c r="O41" s="92">
        <f t="shared" si="7"/>
        <v>0.70088768155010972</v>
      </c>
      <c r="P41" s="22">
        <f t="shared" si="8"/>
        <v>0.7332095517373205</v>
      </c>
      <c r="Q41" s="22">
        <f t="shared" si="9"/>
        <v>1.0000000000000002</v>
      </c>
      <c r="R41" s="93">
        <f t="shared" si="4"/>
        <v>0.89116302518011281</v>
      </c>
      <c r="S41" s="93"/>
    </row>
    <row r="42" spans="2:23">
      <c r="B42" s="7"/>
      <c r="C42" s="15" t="s">
        <v>9</v>
      </c>
      <c r="D42" s="8">
        <v>106</v>
      </c>
      <c r="E42" s="9">
        <f>18.53+18.33</f>
        <v>36.86</v>
      </c>
      <c r="F42" s="28">
        <f t="shared" si="3"/>
        <v>2.756856615034816E-2</v>
      </c>
      <c r="G42" s="6">
        <f>SUM(E43:E$46)/$E$47</f>
        <v>0.12771590764605131</v>
      </c>
      <c r="J42" s="58">
        <f>SUM($F$21:F28)</f>
        <v>0.67625862086792887</v>
      </c>
      <c r="K42" s="58">
        <f t="shared" si="5"/>
        <v>0.32374137913207113</v>
      </c>
      <c r="L42" s="58">
        <f>SUM($F$35:F42)</f>
        <v>0.87228409235394866</v>
      </c>
      <c r="M42" s="58">
        <v>1</v>
      </c>
      <c r="N42" s="22">
        <f t="shared" si="6"/>
        <v>0.22472663803489165</v>
      </c>
      <c r="O42" s="92">
        <f t="shared" si="7"/>
        <v>0.77527336196510832</v>
      </c>
      <c r="P42" s="22">
        <f t="shared" si="8"/>
        <v>0.69415481776647969</v>
      </c>
      <c r="Q42" s="22">
        <f t="shared" si="9"/>
        <v>0.99999999999999989</v>
      </c>
      <c r="R42" s="93">
        <f t="shared" si="4"/>
        <v>0.90098525890282044</v>
      </c>
      <c r="S42" s="93"/>
    </row>
    <row r="43" spans="2:23">
      <c r="B43" s="7"/>
      <c r="C43" s="15" t="s">
        <v>8</v>
      </c>
      <c r="D43" s="8">
        <v>75</v>
      </c>
      <c r="E43" s="9">
        <f>12.33+13.54</f>
        <v>25.869999999999997</v>
      </c>
      <c r="F43" s="28">
        <f t="shared" si="3"/>
        <v>1.9348855298684395E-2</v>
      </c>
      <c r="G43" s="6">
        <f>SUM(E44:E$46)/$E$47</f>
        <v>0.10836705234736692</v>
      </c>
      <c r="J43" s="58">
        <f>SUM($F$21:F29)</f>
        <v>0.73337607146919237</v>
      </c>
      <c r="K43" s="58">
        <f t="shared" si="5"/>
        <v>0.26662392853080763</v>
      </c>
      <c r="L43" s="58">
        <f>SUM($F$35:F43)</f>
        <v>0.89163294765263301</v>
      </c>
      <c r="M43" s="58">
        <v>1</v>
      </c>
      <c r="N43" s="22">
        <f t="shared" si="6"/>
        <v>0.17749105907321763</v>
      </c>
      <c r="O43" s="92">
        <f t="shared" si="7"/>
        <v>0.82250894092678239</v>
      </c>
      <c r="P43" s="22">
        <f t="shared" si="8"/>
        <v>0.66569816164384155</v>
      </c>
      <c r="Q43" s="22">
        <f t="shared" si="9"/>
        <v>1</v>
      </c>
      <c r="R43" s="93">
        <f t="shared" si="4"/>
        <v>0.91086713054240998</v>
      </c>
      <c r="S43" s="93"/>
    </row>
    <row r="44" spans="2:23">
      <c r="B44" s="7"/>
      <c r="C44" s="15" t="s">
        <v>7</v>
      </c>
      <c r="D44" s="10">
        <v>53</v>
      </c>
      <c r="E44" s="9">
        <f>9.92+11.86</f>
        <v>21.78</v>
      </c>
      <c r="F44" s="28">
        <f t="shared" si="3"/>
        <v>1.6289836428501979E-2</v>
      </c>
      <c r="G44" s="6">
        <f>SUM(E45:E$46)/$E$47</f>
        <v>9.2077215918864946E-2</v>
      </c>
      <c r="J44" s="58">
        <f>SUM($F$21:F30)</f>
        <v>0.78107389906217373</v>
      </c>
      <c r="K44" s="58">
        <f t="shared" si="5"/>
        <v>0.21892610093782627</v>
      </c>
      <c r="L44" s="58">
        <f>SUM($F$35:F44)</f>
        <v>0.90792278408113503</v>
      </c>
      <c r="M44" s="58">
        <v>1</v>
      </c>
      <c r="N44" s="22">
        <f t="shared" si="6"/>
        <v>0.13971329637612184</v>
      </c>
      <c r="O44" s="92">
        <f t="shared" si="7"/>
        <v>0.86028670362387816</v>
      </c>
      <c r="P44" s="22">
        <f t="shared" si="8"/>
        <v>0.63817560253265371</v>
      </c>
      <c r="Q44" s="22">
        <f t="shared" si="9"/>
        <v>1</v>
      </c>
      <c r="R44" s="93">
        <f t="shared" si="4"/>
        <v>0.92078719543829557</v>
      </c>
      <c r="S44" s="93"/>
    </row>
    <row r="45" spans="2:23">
      <c r="B45" s="7"/>
      <c r="C45" s="15" t="s">
        <v>17</v>
      </c>
      <c r="D45" s="10">
        <v>38</v>
      </c>
      <c r="E45" s="9">
        <f>6.73+10.44</f>
        <v>17.170000000000002</v>
      </c>
      <c r="F45" s="28">
        <f t="shared" si="3"/>
        <v>1.2841895843773141E-2</v>
      </c>
      <c r="G45" s="6">
        <f>SUM(E46:E$46)/$E$47</f>
        <v>7.9235320075091806E-2</v>
      </c>
      <c r="J45" s="58">
        <f>SUM($F$21:F31)</f>
        <v>0.821409738091053</v>
      </c>
      <c r="K45" s="58">
        <f>1-J45</f>
        <v>0.178590261908947</v>
      </c>
      <c r="L45" s="58">
        <f>SUM($F$35:F45)</f>
        <v>0.92076467992490818</v>
      </c>
      <c r="M45" s="110">
        <v>0.3</v>
      </c>
      <c r="N45" s="22">
        <f t="shared" si="6"/>
        <v>0.45004908333910215</v>
      </c>
      <c r="O45" s="92">
        <f t="shared" si="7"/>
        <v>0.54995091666089779</v>
      </c>
      <c r="P45" s="22">
        <f>+N45*M45/K45</f>
        <v>0.75600272690437598</v>
      </c>
      <c r="Q45" s="22">
        <f>+O45*L45/J45</f>
        <v>0.61647111821499967</v>
      </c>
      <c r="R45" s="93">
        <f t="shared" si="4"/>
        <v>0.64139010475541203</v>
      </c>
      <c r="S45" s="93"/>
      <c r="T45" s="58">
        <f>SUM($F$21:$F$31)</f>
        <v>0.821409738091053</v>
      </c>
      <c r="U45" s="58">
        <f>SUM(F35:F45)</f>
        <v>0.92076467992490818</v>
      </c>
      <c r="V45" s="22">
        <v>0.7</v>
      </c>
      <c r="W45" s="22">
        <f>U45*(T45-V45)*(1-V45)*(U45-T45)/T45/(U45-V45)^2/(1-T45)</f>
        <v>0.46605384642832975</v>
      </c>
    </row>
    <row r="46" spans="2:23">
      <c r="B46" s="23"/>
      <c r="C46" s="24">
        <v>-38</v>
      </c>
      <c r="D46" s="25"/>
      <c r="E46" s="26">
        <f>102.74+3.2</f>
        <v>105.94</v>
      </c>
      <c r="F46" s="29">
        <f>E46/$E$47</f>
        <v>7.9235320075091806E-2</v>
      </c>
      <c r="G46" s="27"/>
    </row>
    <row r="47" spans="2:23" ht="15.75" thickBot="1">
      <c r="B47" s="11"/>
      <c r="C47" s="12" t="s">
        <v>6</v>
      </c>
      <c r="D47" s="13"/>
      <c r="E47" s="14">
        <f>SUM(E35:E46)</f>
        <v>1337.03</v>
      </c>
      <c r="F47" s="21">
        <f t="shared" si="3"/>
        <v>1</v>
      </c>
      <c r="G47" s="14"/>
    </row>
    <row r="48" spans="2:23" ht="30.75" thickBot="1">
      <c r="B48" s="1" t="s">
        <v>0</v>
      </c>
      <c r="C48" s="131" t="s">
        <v>1</v>
      </c>
      <c r="D48" s="132"/>
      <c r="E48" s="2" t="s">
        <v>2</v>
      </c>
      <c r="F48" s="19" t="s">
        <v>14</v>
      </c>
      <c r="G48" s="2" t="s">
        <v>3</v>
      </c>
    </row>
    <row r="49" spans="2:23" ht="38.25" thickTop="1">
      <c r="B49" s="34" t="s">
        <v>26</v>
      </c>
      <c r="C49" s="3" t="s">
        <v>16</v>
      </c>
      <c r="D49" s="4">
        <v>1180</v>
      </c>
      <c r="E49" s="5">
        <f>34.91+27.24</f>
        <v>62.149999999999991</v>
      </c>
      <c r="F49" s="28">
        <f>E49/$E$61</f>
        <v>3.910649677520843E-2</v>
      </c>
      <c r="G49" s="30">
        <f>SUM(E50:E$60)/$E$61</f>
        <v>0.9608935032247915</v>
      </c>
    </row>
    <row r="50" spans="2:23">
      <c r="B50" s="16" t="s">
        <v>4</v>
      </c>
      <c r="C50" s="17" t="s">
        <v>15</v>
      </c>
      <c r="D50" s="4">
        <v>600</v>
      </c>
      <c r="E50" s="5">
        <f>150.72+112.82</f>
        <v>263.53999999999996</v>
      </c>
      <c r="F50" s="28">
        <f t="shared" ref="F50:F61" si="10">E50/$E$61</f>
        <v>0.16582664778983794</v>
      </c>
      <c r="G50" s="30">
        <f>SUM(E51:E$60)/$E$61</f>
        <v>0.7950668554349537</v>
      </c>
    </row>
    <row r="51" spans="2:23">
      <c r="B51" s="18">
        <f>FORECAST(0.8,D49:D50,G49:G50)</f>
        <v>617.25430674660356</v>
      </c>
      <c r="C51" s="17" t="s">
        <v>11</v>
      </c>
      <c r="D51" s="4">
        <v>425</v>
      </c>
      <c r="E51" s="5">
        <f>197.9+152.98</f>
        <v>350.88</v>
      </c>
      <c r="F51" s="28">
        <f t="shared" si="10"/>
        <v>0.22078338839075035</v>
      </c>
      <c r="G51" s="30">
        <f>SUM(E52:E$60)/$E$61</f>
        <v>0.57428346704420319</v>
      </c>
    </row>
    <row r="52" spans="2:23">
      <c r="B52" s="7"/>
      <c r="C52" s="17" t="s">
        <v>10</v>
      </c>
      <c r="D52" s="4">
        <v>300</v>
      </c>
      <c r="E52" s="5">
        <f>243.78+177.86</f>
        <v>421.64</v>
      </c>
      <c r="F52" s="28">
        <f t="shared" si="10"/>
        <v>0.26530753500078652</v>
      </c>
      <c r="G52" s="30">
        <f>SUM(E53:E$60)/$E$61</f>
        <v>0.30897593204341667</v>
      </c>
      <c r="H52" s="32"/>
      <c r="J52" s="58">
        <f>J38</f>
        <v>0.35288947711269425</v>
      </c>
      <c r="K52" s="58">
        <f>1-J52</f>
        <v>0.64711052288730575</v>
      </c>
      <c r="L52" s="58">
        <f>SUM($F$49:F52)</f>
        <v>0.69102406795658322</v>
      </c>
      <c r="M52" s="58">
        <v>1</v>
      </c>
      <c r="N52" s="22">
        <f>+(L52-J52)/(L52+M52-1)</f>
        <v>0.48932389843349694</v>
      </c>
      <c r="O52" s="92">
        <f>1-N52</f>
        <v>0.51067610156650312</v>
      </c>
      <c r="P52" s="22">
        <f>+N52*M52/K52</f>
        <v>0.75616742600662767</v>
      </c>
      <c r="Q52" s="22">
        <f>+O52*L52/J52</f>
        <v>1</v>
      </c>
      <c r="R52" s="93">
        <f>+N52*M52+O52*L52</f>
        <v>0.84221337554619113</v>
      </c>
      <c r="S52" s="93"/>
    </row>
    <row r="53" spans="2:23">
      <c r="B53" s="7"/>
      <c r="C53" s="15" t="s">
        <v>5</v>
      </c>
      <c r="D53" s="8">
        <v>212</v>
      </c>
      <c r="E53" s="9">
        <f>117.3+93.59</f>
        <v>210.89</v>
      </c>
      <c r="F53" s="28">
        <f t="shared" si="10"/>
        <v>0.13269781343400974</v>
      </c>
      <c r="G53" s="30">
        <f>SUM(E54:E$60)/$E$61</f>
        <v>0.17627811860940693</v>
      </c>
      <c r="H53" s="68">
        <f>SUM(F54:F60)*100</f>
        <v>17.627811860940696</v>
      </c>
      <c r="I53" s="32">
        <f>($I$194-H53)/($I$194*(100-H53))*10000</f>
        <v>78.978344708301208</v>
      </c>
      <c r="J53" s="58">
        <f>J39</f>
        <v>0.49553834541374997</v>
      </c>
      <c r="K53" s="58">
        <f t="shared" ref="K53:K59" si="11">1-J53</f>
        <v>0.50446165458625003</v>
      </c>
      <c r="L53" s="58">
        <f>SUM($F$49:F53)</f>
        <v>0.82372188139059299</v>
      </c>
      <c r="M53" s="110">
        <v>0.87239999999999995</v>
      </c>
      <c r="N53" s="22">
        <f t="shared" ref="N53:N59" si="12">+(L53-J53)/(L53+M53-1)</f>
        <v>0.47144551083677216</v>
      </c>
      <c r="O53" s="92">
        <f t="shared" ref="O53:O59" si="13">1-N53</f>
        <v>0.52855448916322789</v>
      </c>
      <c r="P53" s="22">
        <f t="shared" ref="P53:P59" si="14">+N53*M53/K53</f>
        <v>0.81530292721917896</v>
      </c>
      <c r="Q53" s="22">
        <f t="shared" ref="Q53:Q59" si="15">+O53*L53/J53</f>
        <v>0.87860385025795651</v>
      </c>
      <c r="R53" s="93">
        <f t="shared" ref="R53:R59" si="16">+N53*M53+O53*L53</f>
        <v>0.84667096188497792</v>
      </c>
      <c r="S53" s="93"/>
    </row>
    <row r="54" spans="2:23">
      <c r="B54" s="7"/>
      <c r="C54" s="15" t="s">
        <v>12</v>
      </c>
      <c r="D54" s="8">
        <v>180</v>
      </c>
      <c r="E54" s="9">
        <f>16.84+13.95</f>
        <v>30.79</v>
      </c>
      <c r="F54" s="28">
        <f t="shared" si="10"/>
        <v>1.937391851502281E-2</v>
      </c>
      <c r="G54" s="30">
        <f>SUM(E55:E$60)/$E$61</f>
        <v>0.15690420009438416</v>
      </c>
      <c r="J54" s="58">
        <f t="shared" ref="J54:J59" si="17">J40</f>
        <v>0.53418878537528569</v>
      </c>
      <c r="K54" s="58">
        <f t="shared" si="11"/>
        <v>0.46581121462471431</v>
      </c>
      <c r="L54" s="58">
        <f>SUM($F$49:F54)</f>
        <v>0.84309579990561578</v>
      </c>
      <c r="M54" s="58">
        <v>1</v>
      </c>
      <c r="N54" s="22">
        <f t="shared" si="12"/>
        <v>0.36639610180113819</v>
      </c>
      <c r="O54" s="92">
        <f t="shared" si="13"/>
        <v>0.63360389819886187</v>
      </c>
      <c r="P54" s="22">
        <f t="shared" si="14"/>
        <v>0.786576386093085</v>
      </c>
      <c r="Q54" s="22">
        <f t="shared" si="15"/>
        <v>1.0000000000000002</v>
      </c>
      <c r="R54" s="93">
        <f t="shared" si="16"/>
        <v>0.90058488717642393</v>
      </c>
      <c r="S54" s="93"/>
    </row>
    <row r="55" spans="2:23">
      <c r="B55" s="7"/>
      <c r="C55" s="15" t="s">
        <v>13</v>
      </c>
      <c r="D55" s="8">
        <v>150</v>
      </c>
      <c r="E55" s="9">
        <f>19.66+15.13</f>
        <v>34.79</v>
      </c>
      <c r="F55" s="28">
        <f t="shared" si="10"/>
        <v>2.1890829007393423E-2</v>
      </c>
      <c r="G55" s="30">
        <f>SUM(E56:E$60)/$E$61</f>
        <v>0.13501337108699071</v>
      </c>
      <c r="J55" s="58">
        <f t="shared" si="17"/>
        <v>0.59205070673022242</v>
      </c>
      <c r="K55" s="58">
        <f t="shared" si="11"/>
        <v>0.40794929326977758</v>
      </c>
      <c r="L55" s="58">
        <f>SUM($F$49:F55)</f>
        <v>0.86498662891300926</v>
      </c>
      <c r="M55" s="58">
        <v>1</v>
      </c>
      <c r="N55" s="22">
        <f t="shared" si="12"/>
        <v>0.31553773556681847</v>
      </c>
      <c r="O55" s="92">
        <f t="shared" si="13"/>
        <v>0.68446226443318148</v>
      </c>
      <c r="P55" s="22">
        <f t="shared" si="14"/>
        <v>0.77347293100506198</v>
      </c>
      <c r="Q55" s="22">
        <f t="shared" si="15"/>
        <v>0.99999999999999978</v>
      </c>
      <c r="R55" s="93">
        <f t="shared" si="16"/>
        <v>0.90758844229704083</v>
      </c>
      <c r="S55" s="93"/>
    </row>
    <row r="56" spans="2:23">
      <c r="B56" s="7"/>
      <c r="C56" s="15" t="s">
        <v>9</v>
      </c>
      <c r="D56" s="8">
        <v>106</v>
      </c>
      <c r="E56" s="9">
        <f>23.24+23.19</f>
        <v>46.43</v>
      </c>
      <c r="F56" s="28">
        <f t="shared" si="10"/>
        <v>2.9215038540191914E-2</v>
      </c>
      <c r="G56" s="30">
        <f>SUM(E57:E$60)/$E$61</f>
        <v>0.1057983325467988</v>
      </c>
      <c r="J56" s="58">
        <f t="shared" si="17"/>
        <v>0.67625862086792887</v>
      </c>
      <c r="K56" s="58">
        <f t="shared" si="11"/>
        <v>0.32374137913207113</v>
      </c>
      <c r="L56" s="58">
        <f>SUM($F$49:F56)</f>
        <v>0.89420166745320118</v>
      </c>
      <c r="M56" s="58">
        <v>1</v>
      </c>
      <c r="N56" s="22">
        <f t="shared" si="12"/>
        <v>0.24372918830044404</v>
      </c>
      <c r="O56" s="92">
        <f t="shared" si="13"/>
        <v>0.75627081169955601</v>
      </c>
      <c r="P56" s="22">
        <f t="shared" si="14"/>
        <v>0.75285151670714945</v>
      </c>
      <c r="Q56" s="22">
        <f t="shared" si="15"/>
        <v>1</v>
      </c>
      <c r="R56" s="93">
        <f t="shared" si="16"/>
        <v>0.91998780916837286</v>
      </c>
      <c r="S56" s="93"/>
    </row>
    <row r="57" spans="2:23">
      <c r="B57" s="7"/>
      <c r="C57" s="15" t="s">
        <v>8</v>
      </c>
      <c r="D57" s="8">
        <v>75</v>
      </c>
      <c r="E57" s="9">
        <f>12.81+15.46</f>
        <v>28.270000000000003</v>
      </c>
      <c r="F57" s="28">
        <f t="shared" si="10"/>
        <v>1.7788264904829324E-2</v>
      </c>
      <c r="G57" s="30">
        <f>SUM(E58:E$60)/$E$61</f>
        <v>8.8010067641969489E-2</v>
      </c>
      <c r="J57" s="58">
        <f t="shared" si="17"/>
        <v>0.73337607146919237</v>
      </c>
      <c r="K57" s="58">
        <f t="shared" si="11"/>
        <v>0.26662392853080763</v>
      </c>
      <c r="L57" s="58">
        <f>SUM($F$49:F57)</f>
        <v>0.9119899323580305</v>
      </c>
      <c r="M57" s="58">
        <v>1</v>
      </c>
      <c r="N57" s="22">
        <f t="shared" si="12"/>
        <v>0.19585069368805005</v>
      </c>
      <c r="O57" s="92">
        <f t="shared" si="13"/>
        <v>0.80414930631194992</v>
      </c>
      <c r="P57" s="22">
        <f t="shared" si="14"/>
        <v>0.73455782745103493</v>
      </c>
      <c r="Q57" s="22">
        <f t="shared" si="15"/>
        <v>1</v>
      </c>
      <c r="R57" s="93">
        <f t="shared" si="16"/>
        <v>0.92922676515724245</v>
      </c>
      <c r="S57" s="93"/>
    </row>
    <row r="58" spans="2:23">
      <c r="B58" s="7"/>
      <c r="C58" s="15" t="s">
        <v>7</v>
      </c>
      <c r="D58" s="10">
        <v>53</v>
      </c>
      <c r="E58" s="9">
        <f>8.41+13</f>
        <v>21.41</v>
      </c>
      <c r="F58" s="28">
        <f t="shared" si="10"/>
        <v>1.3471763410413718E-2</v>
      </c>
      <c r="G58" s="30">
        <f>SUM(E59:E$60)/$E$61</f>
        <v>7.4538304231555774E-2</v>
      </c>
      <c r="J58" s="58">
        <f t="shared" si="17"/>
        <v>0.78107389906217373</v>
      </c>
      <c r="K58" s="58">
        <f t="shared" si="11"/>
        <v>0.21892610093782627</v>
      </c>
      <c r="L58" s="58">
        <f>SUM($F$49:F58)</f>
        <v>0.92546169576844417</v>
      </c>
      <c r="M58" s="58">
        <v>1</v>
      </c>
      <c r="N58" s="22">
        <f t="shared" si="12"/>
        <v>0.15601704248427059</v>
      </c>
      <c r="O58" s="92">
        <f t="shared" si="13"/>
        <v>0.84398295751572938</v>
      </c>
      <c r="P58" s="22">
        <f t="shared" si="14"/>
        <v>0.71264706134139078</v>
      </c>
      <c r="Q58" s="22">
        <f t="shared" si="15"/>
        <v>1</v>
      </c>
      <c r="R58" s="93">
        <f t="shared" si="16"/>
        <v>0.93709094154644434</v>
      </c>
      <c r="S58" s="93"/>
    </row>
    <row r="59" spans="2:23">
      <c r="B59" s="7"/>
      <c r="C59" s="15" t="s">
        <v>17</v>
      </c>
      <c r="D59" s="10">
        <v>38</v>
      </c>
      <c r="E59" s="9">
        <f>6.32+10.56</f>
        <v>16.880000000000003</v>
      </c>
      <c r="F59" s="28">
        <f t="shared" si="10"/>
        <v>1.0621362277803997E-2</v>
      </c>
      <c r="G59" s="30">
        <f>SUM(E60:E$60)/$E$61</f>
        <v>6.3916941953751763E-2</v>
      </c>
      <c r="J59" s="58">
        <f t="shared" si="17"/>
        <v>0.821409738091053</v>
      </c>
      <c r="K59" s="58">
        <f t="shared" si="11"/>
        <v>0.178590261908947</v>
      </c>
      <c r="L59" s="58">
        <f>SUM($F$49:F59)</f>
        <v>0.93608305804624814</v>
      </c>
      <c r="M59" s="110">
        <v>0.3</v>
      </c>
      <c r="N59" s="22">
        <f t="shared" si="12"/>
        <v>0.48573294883672224</v>
      </c>
      <c r="O59" s="92">
        <f t="shared" si="13"/>
        <v>0.51426705116327776</v>
      </c>
      <c r="P59" s="22">
        <f t="shared" si="14"/>
        <v>0.81594529899570301</v>
      </c>
      <c r="Q59" s="22">
        <f t="shared" si="15"/>
        <v>0.586061561705012</v>
      </c>
      <c r="R59" s="93">
        <f t="shared" si="16"/>
        <v>0.62711655855636406</v>
      </c>
      <c r="S59" s="93"/>
      <c r="T59" s="58">
        <f>SUM($F$21:$F$31)</f>
        <v>0.821409738091053</v>
      </c>
      <c r="U59" s="58">
        <f>SUM(F49:F59)</f>
        <v>0.93608305804624814</v>
      </c>
      <c r="V59" s="22">
        <v>0.7</v>
      </c>
      <c r="W59" s="22">
        <f>U59*(T59-V59)*(1-V59)*(U59-T59)/T59/(U59-V59)^2/(1-T59)</f>
        <v>0.4781941761952847</v>
      </c>
    </row>
    <row r="60" spans="2:23">
      <c r="B60" s="23"/>
      <c r="C60" s="24">
        <v>-38</v>
      </c>
      <c r="D60" s="25"/>
      <c r="E60" s="26">
        <f>97.55+4.03</f>
        <v>101.58</v>
      </c>
      <c r="F60" s="28">
        <f>E60/$E$61</f>
        <v>6.3916941953751763E-2</v>
      </c>
      <c r="G60" s="27"/>
      <c r="M60" s="58"/>
    </row>
    <row r="61" spans="2:23" ht="15.75" thickBot="1">
      <c r="B61" s="11"/>
      <c r="C61" s="12" t="s">
        <v>6</v>
      </c>
      <c r="D61" s="13"/>
      <c r="E61" s="14">
        <f>SUM(E49:E60)</f>
        <v>1589.25</v>
      </c>
      <c r="F61" s="28">
        <f t="shared" si="10"/>
        <v>1</v>
      </c>
      <c r="G61" s="14"/>
    </row>
    <row r="62" spans="2:23" ht="30.75" thickBot="1">
      <c r="B62" s="1" t="s">
        <v>0</v>
      </c>
      <c r="C62" s="131" t="s">
        <v>1</v>
      </c>
      <c r="D62" s="132"/>
      <c r="E62" s="2" t="s">
        <v>2</v>
      </c>
      <c r="F62" s="19" t="s">
        <v>14</v>
      </c>
      <c r="G62" s="2" t="s">
        <v>3</v>
      </c>
    </row>
    <row r="63" spans="2:23" ht="38.25" thickTop="1">
      <c r="B63" s="34" t="s">
        <v>27</v>
      </c>
      <c r="C63" s="3" t="s">
        <v>16</v>
      </c>
      <c r="D63" s="4">
        <v>1180</v>
      </c>
      <c r="E63" s="5">
        <f>28.64+33.1</f>
        <v>61.74</v>
      </c>
      <c r="F63" s="28">
        <f>E63/$E$75</f>
        <v>4.7579781290218177E-2</v>
      </c>
      <c r="G63" s="6">
        <f>SUM(E64:E$74)/$E$75</f>
        <v>0.95242021870978177</v>
      </c>
    </row>
    <row r="64" spans="2:23">
      <c r="B64" s="16" t="s">
        <v>4</v>
      </c>
      <c r="C64" s="17" t="s">
        <v>15</v>
      </c>
      <c r="D64" s="4">
        <v>600</v>
      </c>
      <c r="E64" s="5">
        <f>104.39+122.3</f>
        <v>226.69</v>
      </c>
      <c r="F64" s="28">
        <f t="shared" ref="F64:F75" si="18">E64/$E$75</f>
        <v>0.17469809881243209</v>
      </c>
      <c r="G64" s="6">
        <f>SUM(E65:E$74)/$E$75</f>
        <v>0.77772211989734985</v>
      </c>
    </row>
    <row r="65" spans="2:23">
      <c r="B65" s="18">
        <f>FORECAST(0.8,D63:D64,G63:G64)</f>
        <v>673.96285676474463</v>
      </c>
      <c r="C65" s="17" t="s">
        <v>11</v>
      </c>
      <c r="D65" s="4">
        <v>425</v>
      </c>
      <c r="E65" s="5">
        <f>128.59+142.8</f>
        <v>271.39</v>
      </c>
      <c r="F65" s="28">
        <f t="shared" si="18"/>
        <v>0.20914604542196807</v>
      </c>
      <c r="G65" s="6">
        <f>SUM(E66:E$74)/$E$75</f>
        <v>0.56857607447538172</v>
      </c>
    </row>
    <row r="66" spans="2:23">
      <c r="B66" s="7"/>
      <c r="C66" s="17" t="s">
        <v>10</v>
      </c>
      <c r="D66" s="4">
        <v>300</v>
      </c>
      <c r="E66" s="5">
        <f>166.87+184.27</f>
        <v>351.14</v>
      </c>
      <c r="F66" s="28">
        <f t="shared" si="18"/>
        <v>0.27060518954077112</v>
      </c>
      <c r="G66" s="6">
        <f>SUM(E67:E$74)/$E$75</f>
        <v>0.29797088493461055</v>
      </c>
      <c r="H66" s="32"/>
      <c r="J66" s="58">
        <f>J52</f>
        <v>0.35288947711269425</v>
      </c>
      <c r="K66" s="58">
        <f>1-J66</f>
        <v>0.64711052288730575</v>
      </c>
      <c r="L66" s="58">
        <f>SUM($F$63:F66)</f>
        <v>0.70202911506538945</v>
      </c>
      <c r="M66" s="58">
        <v>1</v>
      </c>
      <c r="N66" s="22">
        <f>+(L66-J66)/(L66+M66-1)</f>
        <v>0.49732928515390007</v>
      </c>
      <c r="O66" s="92">
        <f>1-N66</f>
        <v>0.50267071484609993</v>
      </c>
      <c r="P66" s="22">
        <f>+N66*M66/K66</f>
        <v>0.76853839887334041</v>
      </c>
      <c r="Q66" s="22">
        <f>+O66*L66/J66</f>
        <v>1</v>
      </c>
      <c r="R66" s="93">
        <f>+N66*M66+O66*L66</f>
        <v>0.85021876226659432</v>
      </c>
      <c r="S66" s="93"/>
    </row>
    <row r="67" spans="2:23">
      <c r="B67" s="7"/>
      <c r="C67" s="15" t="s">
        <v>5</v>
      </c>
      <c r="D67" s="8">
        <v>212</v>
      </c>
      <c r="E67" s="9">
        <f>84.57+93.04</f>
        <v>177.61</v>
      </c>
      <c r="F67" s="28">
        <f t="shared" si="18"/>
        <v>0.13687471582370669</v>
      </c>
      <c r="G67" s="6">
        <f>SUM(E68:E$74)/$E$75</f>
        <v>0.16109616911090391</v>
      </c>
      <c r="H67" s="68">
        <f>SUM(F68:F74)*100</f>
        <v>16.109616911090392</v>
      </c>
      <c r="I67" s="32">
        <f>($I$194-H67)/($I$194*(100-H67))*10000</f>
        <v>81.13650584896655</v>
      </c>
      <c r="J67" s="58">
        <f t="shared" ref="J67:J73" si="19">J53</f>
        <v>0.49553834541374997</v>
      </c>
      <c r="K67" s="58">
        <f t="shared" ref="K67:K73" si="20">1-J67</f>
        <v>0.50446165458625003</v>
      </c>
      <c r="L67" s="58">
        <f>SUM($F$63:F67)</f>
        <v>0.83890383088909615</v>
      </c>
      <c r="M67" s="110">
        <v>0.87239999999999995</v>
      </c>
      <c r="N67" s="22">
        <f t="shared" ref="N67:N73" si="21">+(L67-J67)/(L67+M67-1)</f>
        <v>0.48272688907939038</v>
      </c>
      <c r="O67" s="92">
        <f t="shared" ref="O67:O73" si="22">1-N67</f>
        <v>0.51727311092060968</v>
      </c>
      <c r="P67" s="22">
        <f t="shared" ref="P67:P73" si="23">+N67*M67/K67</f>
        <v>0.83481258526629498</v>
      </c>
      <c r="Q67" s="22">
        <f t="shared" ref="Q67:Q73" si="24">+O67*L67/J67</f>
        <v>0.8756989209480841</v>
      </c>
      <c r="R67" s="93">
        <f>+N67*M67+O67*L67</f>
        <v>0.85507333240007988</v>
      </c>
      <c r="S67" s="93"/>
    </row>
    <row r="68" spans="2:23">
      <c r="B68" s="7"/>
      <c r="C68" s="15" t="s">
        <v>12</v>
      </c>
      <c r="D68" s="8">
        <v>180</v>
      </c>
      <c r="E68" s="9">
        <f>10.46+12.98</f>
        <v>23.44</v>
      </c>
      <c r="F68" s="28">
        <f t="shared" si="18"/>
        <v>1.8063979161689569E-2</v>
      </c>
      <c r="G68" s="6">
        <f>SUM(E69:E$74)/$E$75</f>
        <v>0.14303218994921432</v>
      </c>
      <c r="J68" s="58">
        <f t="shared" si="19"/>
        <v>0.53418878537528569</v>
      </c>
      <c r="K68" s="58">
        <f t="shared" si="20"/>
        <v>0.46581121462471431</v>
      </c>
      <c r="L68" s="58">
        <f>SUM($F$63:F68)</f>
        <v>0.85696781005078571</v>
      </c>
      <c r="M68" s="58">
        <v>1</v>
      </c>
      <c r="N68" s="22">
        <f t="shared" si="21"/>
        <v>0.37665244935672848</v>
      </c>
      <c r="O68" s="92">
        <f t="shared" si="22"/>
        <v>0.62334755064327152</v>
      </c>
      <c r="P68" s="22">
        <f t="shared" si="23"/>
        <v>0.80859463561902967</v>
      </c>
      <c r="Q68" s="22">
        <f t="shared" si="24"/>
        <v>0.99999999999999978</v>
      </c>
      <c r="R68" s="93">
        <f t="shared" ref="R68:R73" si="25">+N68*M68+O68*L68</f>
        <v>0.91084123473201406</v>
      </c>
      <c r="S68" s="93"/>
    </row>
    <row r="69" spans="2:23">
      <c r="B69" s="7"/>
      <c r="C69" s="15" t="s">
        <v>13</v>
      </c>
      <c r="D69" s="8">
        <v>150</v>
      </c>
      <c r="E69" s="9">
        <f>10.65+14.05</f>
        <v>24.700000000000003</v>
      </c>
      <c r="F69" s="28">
        <f t="shared" si="18"/>
        <v>1.9034995106387901E-2</v>
      </c>
      <c r="G69" s="6">
        <f>SUM(E70:E$74)/$E$75</f>
        <v>0.12399719484282642</v>
      </c>
      <c r="J69" s="58">
        <f t="shared" si="19"/>
        <v>0.59205070673022242</v>
      </c>
      <c r="K69" s="58">
        <f t="shared" si="20"/>
        <v>0.40794929326977758</v>
      </c>
      <c r="L69" s="58">
        <f>SUM($F$63:F69)</f>
        <v>0.87600280515717366</v>
      </c>
      <c r="M69" s="58">
        <v>1</v>
      </c>
      <c r="N69" s="22">
        <f t="shared" si="21"/>
        <v>0.32414519309216616</v>
      </c>
      <c r="O69" s="92">
        <f t="shared" si="22"/>
        <v>0.67585480690783384</v>
      </c>
      <c r="P69" s="22">
        <f t="shared" si="23"/>
        <v>0.79457226287632854</v>
      </c>
      <c r="Q69" s="22">
        <f t="shared" si="24"/>
        <v>1</v>
      </c>
      <c r="R69" s="93">
        <f t="shared" si="25"/>
        <v>0.91619589982238858</v>
      </c>
      <c r="S69" s="93"/>
    </row>
    <row r="70" spans="2:23">
      <c r="B70" s="7"/>
      <c r="C70" s="15" t="s">
        <v>9</v>
      </c>
      <c r="D70" s="8">
        <v>106</v>
      </c>
      <c r="E70" s="9">
        <f>11.1+17.16</f>
        <v>28.259999999999998</v>
      </c>
      <c r="F70" s="28">
        <f t="shared" si="18"/>
        <v>2.1778500473948258E-2</v>
      </c>
      <c r="G70" s="6">
        <f>SUM(E71:E$74)/$E$75</f>
        <v>0.10221869436887816</v>
      </c>
      <c r="J70" s="58">
        <f t="shared" si="19"/>
        <v>0.67625862086792887</v>
      </c>
      <c r="K70" s="58">
        <f t="shared" si="20"/>
        <v>0.32374137913207113</v>
      </c>
      <c r="L70" s="58">
        <f>SUM($F$63:F70)</f>
        <v>0.89778130563112191</v>
      </c>
      <c r="M70" s="58">
        <v>1</v>
      </c>
      <c r="N70" s="22">
        <f t="shared" si="21"/>
        <v>0.24674459511881583</v>
      </c>
      <c r="O70" s="92">
        <f t="shared" si="22"/>
        <v>0.75325540488118414</v>
      </c>
      <c r="P70" s="22">
        <f t="shared" si="23"/>
        <v>0.76216576262299707</v>
      </c>
      <c r="Q70" s="22">
        <f t="shared" si="24"/>
        <v>1</v>
      </c>
      <c r="R70" s="93">
        <f t="shared" si="25"/>
        <v>0.92300321598674473</v>
      </c>
      <c r="S70" s="93"/>
    </row>
    <row r="71" spans="2:23">
      <c r="B71" s="7"/>
      <c r="C71" s="15" t="s">
        <v>8</v>
      </c>
      <c r="D71" s="8">
        <v>75</v>
      </c>
      <c r="E71" s="9">
        <f>6.18+12.21</f>
        <v>18.39</v>
      </c>
      <c r="F71" s="28">
        <f t="shared" si="18"/>
        <v>1.4172208907144676E-2</v>
      </c>
      <c r="G71" s="6">
        <f>SUM(E72:E$74)/$E$75</f>
        <v>8.8046485461733506E-2</v>
      </c>
      <c r="J71" s="58">
        <f t="shared" si="19"/>
        <v>0.73337607146919237</v>
      </c>
      <c r="K71" s="58">
        <f t="shared" si="20"/>
        <v>0.26662392853080763</v>
      </c>
      <c r="L71" s="58">
        <f>SUM($F$63:F71)</f>
        <v>0.91195351453826656</v>
      </c>
      <c r="M71" s="58">
        <v>1</v>
      </c>
      <c r="N71" s="22">
        <f t="shared" si="21"/>
        <v>0.19581858090594689</v>
      </c>
      <c r="O71" s="92">
        <f t="shared" si="22"/>
        <v>0.80418141909405305</v>
      </c>
      <c r="P71" s="22">
        <f t="shared" si="23"/>
        <v>0.73443738521511059</v>
      </c>
      <c r="Q71" s="22">
        <f t="shared" si="24"/>
        <v>1</v>
      </c>
      <c r="R71" s="93">
        <f t="shared" si="25"/>
        <v>0.92919465237513932</v>
      </c>
      <c r="S71" s="93"/>
    </row>
    <row r="72" spans="2:23">
      <c r="B72" s="7"/>
      <c r="C72" s="15" t="s">
        <v>7</v>
      </c>
      <c r="D72" s="10">
        <v>53</v>
      </c>
      <c r="E72" s="9">
        <f>4.43+9.65</f>
        <v>14.08</v>
      </c>
      <c r="F72" s="28">
        <f t="shared" si="18"/>
        <v>1.085071785821626E-2</v>
      </c>
      <c r="G72" s="6">
        <f>SUM(E73:E$74)/$E$75</f>
        <v>7.7195767603517249E-2</v>
      </c>
      <c r="J72" s="58">
        <f t="shared" si="19"/>
        <v>0.78107389906217373</v>
      </c>
      <c r="K72" s="58">
        <f t="shared" si="20"/>
        <v>0.21892610093782627</v>
      </c>
      <c r="L72" s="58">
        <f>SUM($F$63:F72)</f>
        <v>0.92280423239648279</v>
      </c>
      <c r="M72" s="58">
        <v>1</v>
      </c>
      <c r="N72" s="22">
        <f t="shared" si="21"/>
        <v>0.15358656620618386</v>
      </c>
      <c r="O72" s="92">
        <f t="shared" si="22"/>
        <v>0.84641343379381617</v>
      </c>
      <c r="P72" s="22">
        <f t="shared" si="23"/>
        <v>0.70154524996451451</v>
      </c>
      <c r="Q72" s="22">
        <f t="shared" si="24"/>
        <v>1</v>
      </c>
      <c r="R72" s="93">
        <f t="shared" si="25"/>
        <v>0.93466046526835755</v>
      </c>
      <c r="S72" s="93"/>
    </row>
    <row r="73" spans="2:23">
      <c r="B73" s="7"/>
      <c r="C73" s="15" t="s">
        <v>17</v>
      </c>
      <c r="D73" s="10">
        <v>38</v>
      </c>
      <c r="E73" s="9">
        <f>3.32+9.8</f>
        <v>13.120000000000001</v>
      </c>
      <c r="F73" s="28">
        <f t="shared" si="18"/>
        <v>1.0110896186065152E-2</v>
      </c>
      <c r="G73" s="6">
        <f>SUM(E74:E$74)/$E$75</f>
        <v>6.7084871417452091E-2</v>
      </c>
      <c r="J73" s="58">
        <f t="shared" si="19"/>
        <v>0.821409738091053</v>
      </c>
      <c r="K73" s="58">
        <f t="shared" si="20"/>
        <v>0.178590261908947</v>
      </c>
      <c r="L73" s="58">
        <f>SUM($F$63:F73)</f>
        <v>0.93291512858254799</v>
      </c>
      <c r="M73" s="58">
        <v>1</v>
      </c>
      <c r="N73" s="22">
        <f t="shared" si="21"/>
        <v>0.11952361696708035</v>
      </c>
      <c r="O73" s="92">
        <f t="shared" si="22"/>
        <v>0.88047638303291964</v>
      </c>
      <c r="P73" s="22">
        <f t="shared" si="23"/>
        <v>0.66926167020248073</v>
      </c>
      <c r="Q73" s="22">
        <f t="shared" si="24"/>
        <v>1</v>
      </c>
      <c r="R73" s="93">
        <f t="shared" si="25"/>
        <v>0.94093335505813336</v>
      </c>
      <c r="S73" s="93"/>
      <c r="T73" s="58">
        <f>SUM($F$21:$F$31)</f>
        <v>0.821409738091053</v>
      </c>
      <c r="U73" s="58">
        <f>SUM(F63:F73)</f>
        <v>0.93291512858254799</v>
      </c>
      <c r="V73" s="22">
        <v>0.7</v>
      </c>
      <c r="W73" s="22">
        <f>U73*(T73-V73)*(1-V73)*(U73-T73)/T73/(U73-V73)^2/(1-T73)</f>
        <v>0.47610172804285444</v>
      </c>
    </row>
    <row r="74" spans="2:23">
      <c r="B74" s="23"/>
      <c r="C74" s="24">
        <v>-38</v>
      </c>
      <c r="D74" s="25"/>
      <c r="E74" s="26">
        <f>84.45+2.6</f>
        <v>87.05</v>
      </c>
      <c r="F74" s="28">
        <f t="shared" si="18"/>
        <v>6.7084871417452091E-2</v>
      </c>
      <c r="G74" s="27"/>
    </row>
    <row r="75" spans="2:23" ht="15.75" thickBot="1">
      <c r="B75" s="11"/>
      <c r="C75" s="12" t="s">
        <v>6</v>
      </c>
      <c r="D75" s="13"/>
      <c r="E75" s="14">
        <f>SUM(E63:E74)</f>
        <v>1297.6099999999999</v>
      </c>
      <c r="F75" s="20">
        <f t="shared" si="18"/>
        <v>1</v>
      </c>
      <c r="G75" s="14"/>
    </row>
    <row r="76" spans="2:23" ht="30.75" thickBot="1">
      <c r="B76" s="1" t="s">
        <v>0</v>
      </c>
      <c r="C76" s="131" t="s">
        <v>1</v>
      </c>
      <c r="D76" s="132"/>
      <c r="E76" s="2" t="s">
        <v>2</v>
      </c>
      <c r="F76" s="19" t="s">
        <v>14</v>
      </c>
      <c r="G76" s="2" t="s">
        <v>3</v>
      </c>
    </row>
    <row r="77" spans="2:23" ht="38.25" thickTop="1">
      <c r="B77" s="34" t="s">
        <v>28</v>
      </c>
      <c r="C77" s="3" t="s">
        <v>16</v>
      </c>
      <c r="D77" s="4">
        <v>1180</v>
      </c>
      <c r="E77" s="5">
        <f>25.64+26.57</f>
        <v>52.21</v>
      </c>
      <c r="F77" s="28">
        <f>E77/$E$89</f>
        <v>4.1029791982648202E-2</v>
      </c>
      <c r="G77" s="30">
        <f>SUM(E78:E$88)/$E$89</f>
        <v>0.958970208017352</v>
      </c>
    </row>
    <row r="78" spans="2:23">
      <c r="B78" s="16" t="s">
        <v>4</v>
      </c>
      <c r="C78" s="17" t="s">
        <v>15</v>
      </c>
      <c r="D78" s="4">
        <v>600</v>
      </c>
      <c r="E78" s="5">
        <f>94.31+101.35</f>
        <v>195.66</v>
      </c>
      <c r="F78" s="28">
        <f t="shared" ref="F78:F88" si="26">E78/$E$89</f>
        <v>0.1537615226838718</v>
      </c>
      <c r="G78" s="30">
        <f>SUM(E79:E$88)/$E$89</f>
        <v>0.80520868533348011</v>
      </c>
    </row>
    <row r="79" spans="2:23">
      <c r="B79" s="18">
        <f>FORECAST(0.8,D78:D79,G78:G79)</f>
        <v>595.21118038066129</v>
      </c>
      <c r="C79" s="17" t="s">
        <v>11</v>
      </c>
      <c r="D79" s="4">
        <v>425</v>
      </c>
      <c r="E79" s="5">
        <f>118.5+123.71</f>
        <v>242.20999999999998</v>
      </c>
      <c r="F79" s="28">
        <f t="shared" si="26"/>
        <v>0.19034334258029534</v>
      </c>
      <c r="G79" s="30">
        <f>SUM(E80:E$88)/$E$89</f>
        <v>0.61486534275318483</v>
      </c>
    </row>
    <row r="80" spans="2:23">
      <c r="B80" s="7"/>
      <c r="C80" s="17" t="s">
        <v>10</v>
      </c>
      <c r="D80" s="4">
        <v>300</v>
      </c>
      <c r="E80" s="5">
        <f>164.92+169.54</f>
        <v>334.46</v>
      </c>
      <c r="F80" s="28">
        <f t="shared" si="26"/>
        <v>0.26283900069941613</v>
      </c>
      <c r="G80" s="30">
        <f>SUM(E81:E$88)/$E$89</f>
        <v>0.3520263420537687</v>
      </c>
      <c r="H80" s="32"/>
      <c r="J80" s="58">
        <f>J66</f>
        <v>0.35288947711269425</v>
      </c>
      <c r="K80" s="58">
        <f>1-J80</f>
        <v>0.64711052288730575</v>
      </c>
      <c r="L80" s="58">
        <f>SUM($F$77:F80)</f>
        <v>0.64797365794623141</v>
      </c>
      <c r="M80" s="58">
        <v>1</v>
      </c>
      <c r="N80" s="22">
        <f>+(L80-J80)/(L80+M80-1)</f>
        <v>0.45539533469433585</v>
      </c>
      <c r="O80" s="92">
        <f>1-N80</f>
        <v>0.5446046653056642</v>
      </c>
      <c r="P80" s="22">
        <f>+N80*M80/K80</f>
        <v>0.70373656212919122</v>
      </c>
      <c r="Q80" s="22">
        <f>+O80*L80/J80</f>
        <v>1.0000000000000002</v>
      </c>
      <c r="R80" s="93">
        <f>+N80*M80+O80*L80</f>
        <v>0.80828481180703016</v>
      </c>
      <c r="S80" s="93"/>
    </row>
    <row r="81" spans="2:23">
      <c r="B81" s="7"/>
      <c r="C81" s="15" t="s">
        <v>5</v>
      </c>
      <c r="D81" s="8">
        <v>212</v>
      </c>
      <c r="E81" s="9">
        <f>102.63+105.05</f>
        <v>207.68</v>
      </c>
      <c r="F81" s="28">
        <f t="shared" si="26"/>
        <v>0.16320756941115455</v>
      </c>
      <c r="G81" s="30">
        <f>SUM(E82:E$88)/$E$89</f>
        <v>0.18881877264261415</v>
      </c>
      <c r="H81" s="68">
        <f>SUM(F82:F88)*100</f>
        <v>18.881877264261412</v>
      </c>
      <c r="I81" s="32">
        <f>($I$194-H81)/($I$194*(100-H81))*10000</f>
        <v>77.134727305452557</v>
      </c>
      <c r="J81" s="58">
        <f t="shared" ref="J81:J87" si="27">J67</f>
        <v>0.49553834541374997</v>
      </c>
      <c r="K81" s="58">
        <f t="shared" ref="K81:K87" si="28">1-J81</f>
        <v>0.50446165458625003</v>
      </c>
      <c r="L81" s="58">
        <f>SUM($F$77:F81)</f>
        <v>0.81118122735738596</v>
      </c>
      <c r="M81" s="110">
        <v>0.87239999999999995</v>
      </c>
      <c r="N81" s="22">
        <f t="shared" ref="N81:N87" si="29">+(L81-J81)/(L81+M81-1)</f>
        <v>0.46174890314624362</v>
      </c>
      <c r="O81" s="92">
        <f t="shared" ref="O81:O87" si="30">1-N81</f>
        <v>0.53825109685375638</v>
      </c>
      <c r="P81" s="22">
        <f t="shared" ref="P81:P87" si="31">+N81*M81/K81</f>
        <v>0.79853392114644728</v>
      </c>
      <c r="Q81" s="22">
        <f t="shared" ref="Q81:Q87" si="32">+O81*L81/J81</f>
        <v>0.88110070474512714</v>
      </c>
      <c r="R81" s="93">
        <f t="shared" ref="R81:R87" si="33">+N81*M81+O81*L81</f>
        <v>0.83944892847707231</v>
      </c>
      <c r="S81" s="93"/>
    </row>
    <row r="82" spans="2:23">
      <c r="B82" s="7"/>
      <c r="C82" s="15" t="s">
        <v>12</v>
      </c>
      <c r="D82" s="8">
        <v>180</v>
      </c>
      <c r="E82" s="9">
        <f>13.86+14.51</f>
        <v>28.369999999999997</v>
      </c>
      <c r="F82" s="28">
        <f t="shared" si="26"/>
        <v>2.2294870686606575E-2</v>
      </c>
      <c r="G82" s="30">
        <f>SUM(E83:E$88)/$E$89</f>
        <v>0.16652390195600758</v>
      </c>
      <c r="J82" s="58">
        <f t="shared" si="27"/>
        <v>0.53418878537528569</v>
      </c>
      <c r="K82" s="58">
        <f t="shared" si="28"/>
        <v>0.46581121462471431</v>
      </c>
      <c r="L82" s="58">
        <f>SUM($F$77:F82)</f>
        <v>0.83347609804399259</v>
      </c>
      <c r="M82" s="58">
        <v>1</v>
      </c>
      <c r="N82" s="22">
        <f t="shared" si="29"/>
        <v>0.35908325790154799</v>
      </c>
      <c r="O82" s="92">
        <f t="shared" si="30"/>
        <v>0.64091674209845206</v>
      </c>
      <c r="P82" s="22">
        <f t="shared" si="31"/>
        <v>0.77087722800071956</v>
      </c>
      <c r="Q82" s="22">
        <f t="shared" si="32"/>
        <v>1</v>
      </c>
      <c r="R82" s="93">
        <f t="shared" si="33"/>
        <v>0.89327204327683374</v>
      </c>
      <c r="S82" s="93"/>
    </row>
    <row r="83" spans="2:23">
      <c r="B83" s="7"/>
      <c r="C83" s="15" t="s">
        <v>13</v>
      </c>
      <c r="D83" s="8">
        <v>150</v>
      </c>
      <c r="E83" s="9">
        <f>14.9+16.71</f>
        <v>31.61</v>
      </c>
      <c r="F83" s="28">
        <f t="shared" si="26"/>
        <v>2.4841059654692771E-2</v>
      </c>
      <c r="G83" s="30">
        <f>SUM(E84:E$88)/$E$89</f>
        <v>0.14168284230131478</v>
      </c>
      <c r="J83" s="58">
        <f t="shared" si="27"/>
        <v>0.59205070673022242</v>
      </c>
      <c r="K83" s="58">
        <f t="shared" si="28"/>
        <v>0.40794929326977758</v>
      </c>
      <c r="L83" s="58">
        <f>SUM($F$77:F83)</f>
        <v>0.85831715769868533</v>
      </c>
      <c r="M83" s="58">
        <v>1</v>
      </c>
      <c r="N83" s="22">
        <f t="shared" si="29"/>
        <v>0.31021918713867369</v>
      </c>
      <c r="O83" s="92">
        <f t="shared" si="30"/>
        <v>0.68978081286132631</v>
      </c>
      <c r="P83" s="22">
        <f t="shared" si="31"/>
        <v>0.760435652804343</v>
      </c>
      <c r="Q83" s="22">
        <f t="shared" si="32"/>
        <v>1</v>
      </c>
      <c r="R83" s="93">
        <f t="shared" si="33"/>
        <v>0.90226989386889611</v>
      </c>
      <c r="S83" s="93"/>
    </row>
    <row r="84" spans="2:23">
      <c r="B84" s="7"/>
      <c r="C84" s="15" t="s">
        <v>9</v>
      </c>
      <c r="D84" s="8">
        <v>106</v>
      </c>
      <c r="E84" s="9">
        <f>17.49+19.43</f>
        <v>36.92</v>
      </c>
      <c r="F84" s="28">
        <f t="shared" si="26"/>
        <v>2.9013980463500701E-2</v>
      </c>
      <c r="G84" s="30">
        <f>SUM(E85:E$88)/$E$89</f>
        <v>0.11266886183781408</v>
      </c>
      <c r="J84" s="58">
        <f t="shared" si="27"/>
        <v>0.67625862086792887</v>
      </c>
      <c r="K84" s="58">
        <f t="shared" si="28"/>
        <v>0.32374137913207113</v>
      </c>
      <c r="L84" s="58">
        <f>SUM($F$77:F84)</f>
        <v>0.88733113816218601</v>
      </c>
      <c r="M84" s="58">
        <v>1</v>
      </c>
      <c r="N84" s="22">
        <f t="shared" si="29"/>
        <v>0.23787344793447043</v>
      </c>
      <c r="O84" s="92">
        <f t="shared" si="30"/>
        <v>0.76212655206552959</v>
      </c>
      <c r="P84" s="22">
        <f t="shared" si="31"/>
        <v>0.73476380613498704</v>
      </c>
      <c r="Q84" s="22">
        <f t="shared" si="32"/>
        <v>1</v>
      </c>
      <c r="R84" s="93">
        <f t="shared" si="33"/>
        <v>0.91413206880239928</v>
      </c>
      <c r="S84" s="93"/>
    </row>
    <row r="85" spans="2:23">
      <c r="B85" s="7"/>
      <c r="C85" s="15" t="s">
        <v>8</v>
      </c>
      <c r="D85" s="8">
        <v>75</v>
      </c>
      <c r="E85" s="9">
        <f>10.23+13.1</f>
        <v>23.33</v>
      </c>
      <c r="F85" s="28">
        <f t="shared" si="26"/>
        <v>1.8334132291805832E-2</v>
      </c>
      <c r="G85" s="30">
        <f>SUM(E86:E$88)/$E$89</f>
        <v>9.4334729546008245E-2</v>
      </c>
      <c r="J85" s="58">
        <f t="shared" si="27"/>
        <v>0.73337607146919237</v>
      </c>
      <c r="K85" s="58">
        <f t="shared" si="28"/>
        <v>0.26662392853080763</v>
      </c>
      <c r="L85" s="58">
        <f>SUM($F$77:F85)</f>
        <v>0.90566527045399181</v>
      </c>
      <c r="M85" s="58">
        <v>1</v>
      </c>
      <c r="N85" s="22">
        <f t="shared" si="29"/>
        <v>0.19023496274560062</v>
      </c>
      <c r="O85" s="92">
        <f t="shared" si="30"/>
        <v>0.80976503725439941</v>
      </c>
      <c r="P85" s="22">
        <f t="shared" si="31"/>
        <v>0.71349546079327053</v>
      </c>
      <c r="Q85" s="22">
        <f t="shared" si="32"/>
        <v>1</v>
      </c>
      <c r="R85" s="93">
        <f t="shared" si="33"/>
        <v>0.92361103421479296</v>
      </c>
      <c r="S85" s="93"/>
    </row>
    <row r="86" spans="2:23">
      <c r="B86" s="7"/>
      <c r="C86" s="15" t="s">
        <v>7</v>
      </c>
      <c r="D86" s="10">
        <v>53</v>
      </c>
      <c r="E86" s="67">
        <f>7.86+11.24</f>
        <v>19.100000000000001</v>
      </c>
      <c r="F86" s="28">
        <f t="shared" si="26"/>
        <v>1.5009941139026636E-2</v>
      </c>
      <c r="G86" s="30">
        <f>SUM(E87:E$88)/$E$89</f>
        <v>7.9324788406981595E-2</v>
      </c>
      <c r="J86" s="58">
        <f t="shared" si="27"/>
        <v>0.78107389906217373</v>
      </c>
      <c r="K86" s="58">
        <f t="shared" si="28"/>
        <v>0.21892610093782627</v>
      </c>
      <c r="L86" s="58">
        <f>SUM($F$77:F86)</f>
        <v>0.92067521159301846</v>
      </c>
      <c r="M86" s="58">
        <v>1</v>
      </c>
      <c r="N86" s="22">
        <f t="shared" si="29"/>
        <v>0.15162927248719613</v>
      </c>
      <c r="O86" s="92">
        <f t="shared" si="30"/>
        <v>0.84837072751280385</v>
      </c>
      <c r="P86" s="22">
        <f t="shared" si="31"/>
        <v>0.69260481887565317</v>
      </c>
      <c r="Q86" s="22">
        <f t="shared" si="32"/>
        <v>1</v>
      </c>
      <c r="R86" s="93">
        <f t="shared" si="33"/>
        <v>0.93270317154936988</v>
      </c>
      <c r="S86" s="93"/>
    </row>
    <row r="87" spans="2:23">
      <c r="B87" s="7"/>
      <c r="C87" s="15" t="s">
        <v>17</v>
      </c>
      <c r="D87" s="10">
        <v>38</v>
      </c>
      <c r="E87" s="9">
        <f>5.32+8.64</f>
        <v>13.96</v>
      </c>
      <c r="F87" s="28">
        <f t="shared" si="26"/>
        <v>1.097061666496397E-2</v>
      </c>
      <c r="G87" s="30">
        <f>SUM(E88:E$88)/$E$89</f>
        <v>6.8354171742017633E-2</v>
      </c>
      <c r="J87" s="58">
        <f t="shared" si="27"/>
        <v>0.821409738091053</v>
      </c>
      <c r="K87" s="58">
        <f t="shared" si="28"/>
        <v>0.178590261908947</v>
      </c>
      <c r="L87" s="58">
        <f>SUM($F$77:F87)</f>
        <v>0.93164582825798248</v>
      </c>
      <c r="M87" s="58">
        <v>1</v>
      </c>
      <c r="N87" s="22">
        <f t="shared" si="29"/>
        <v>0.11832403132535034</v>
      </c>
      <c r="O87" s="92">
        <f t="shared" si="30"/>
        <v>0.8816759686746497</v>
      </c>
      <c r="P87" s="22">
        <f t="shared" si="31"/>
        <v>0.66254469902551028</v>
      </c>
      <c r="Q87" s="22">
        <f t="shared" si="32"/>
        <v>1</v>
      </c>
      <c r="R87" s="93">
        <f t="shared" si="33"/>
        <v>0.9397337694164033</v>
      </c>
      <c r="S87" s="93"/>
      <c r="T87" s="58">
        <f>SUM($F$21:$F$31)</f>
        <v>0.821409738091053</v>
      </c>
      <c r="U87" s="58">
        <f>SUM(F77:F87)</f>
        <v>0.93164582825798248</v>
      </c>
      <c r="V87" s="22">
        <v>0.7</v>
      </c>
      <c r="W87" s="22">
        <f>U87*(T87-V87)*(1-V87)*(U87-T87)/T87/(U87-V87)^2/(1-T87)</f>
        <v>0.47520700487429157</v>
      </c>
    </row>
    <row r="88" spans="2:23">
      <c r="B88" s="23"/>
      <c r="C88" s="24">
        <v>-38</v>
      </c>
      <c r="D88" s="25"/>
      <c r="E88" s="26">
        <f>81.89+5.09</f>
        <v>86.98</v>
      </c>
      <c r="F88" s="28">
        <f t="shared" si="26"/>
        <v>6.8354171742017633E-2</v>
      </c>
      <c r="G88" s="27"/>
    </row>
    <row r="89" spans="2:23" ht="15.75" thickBot="1">
      <c r="B89" s="11"/>
      <c r="C89" s="12" t="s">
        <v>6</v>
      </c>
      <c r="D89" s="13"/>
      <c r="E89" s="14">
        <f>SUM(E77:E88)</f>
        <v>1272.4899999999998</v>
      </c>
      <c r="F89" s="28">
        <f>E89/$E$89</f>
        <v>1</v>
      </c>
      <c r="G89" s="14"/>
    </row>
    <row r="90" spans="2:23" ht="30.75" thickBot="1">
      <c r="B90" s="1" t="s">
        <v>0</v>
      </c>
      <c r="C90" s="131" t="s">
        <v>1</v>
      </c>
      <c r="D90" s="132"/>
      <c r="E90" s="2" t="s">
        <v>2</v>
      </c>
      <c r="F90" s="19" t="s">
        <v>14</v>
      </c>
      <c r="G90" s="2" t="s">
        <v>3</v>
      </c>
    </row>
    <row r="91" spans="2:23" ht="38.25" thickTop="1">
      <c r="B91" s="34" t="s">
        <v>29</v>
      </c>
      <c r="C91" s="3" t="s">
        <v>16</v>
      </c>
      <c r="D91" s="4">
        <v>1180</v>
      </c>
      <c r="E91" s="5">
        <v>57.25</v>
      </c>
      <c r="F91" s="28">
        <f>E91/$E$103</f>
        <v>5.1221257940413358E-2</v>
      </c>
      <c r="G91" s="30">
        <f>SUM(E92:E$102)/$E$103</f>
        <v>0.9487787420595869</v>
      </c>
    </row>
    <row r="92" spans="2:23">
      <c r="B92" s="16" t="s">
        <v>4</v>
      </c>
      <c r="C92" s="17" t="s">
        <v>15</v>
      </c>
      <c r="D92" s="4">
        <v>600</v>
      </c>
      <c r="E92" s="5">
        <v>211.45</v>
      </c>
      <c r="F92" s="28">
        <f t="shared" ref="F92:F103" si="34">E92/$E$103</f>
        <v>0.18918314395633892</v>
      </c>
      <c r="G92" s="30">
        <f>SUM(E93:E$102)/$E$103</f>
        <v>0.75959559810324806</v>
      </c>
    </row>
    <row r="93" spans="2:23">
      <c r="B93" s="18">
        <f>FORECAST(0.8,D91:D92,G91:G92)</f>
        <v>723.87231023882623</v>
      </c>
      <c r="C93" s="17" t="s">
        <v>11</v>
      </c>
      <c r="D93" s="4">
        <v>425</v>
      </c>
      <c r="E93" s="5">
        <v>250.93</v>
      </c>
      <c r="F93" s="28">
        <f t="shared" si="34"/>
        <v>0.22450568130983273</v>
      </c>
      <c r="G93" s="30">
        <f>SUM(E94:E$102)/$E$103</f>
        <v>0.53508991679341522</v>
      </c>
    </row>
    <row r="94" spans="2:23">
      <c r="B94" s="7"/>
      <c r="C94" s="17" t="s">
        <v>10</v>
      </c>
      <c r="D94" s="4">
        <v>300</v>
      </c>
      <c r="E94" s="5">
        <v>311.27</v>
      </c>
      <c r="F94" s="28">
        <f t="shared" si="34"/>
        <v>0.27849154513733565</v>
      </c>
      <c r="G94" s="30">
        <f>SUM(E95:E$102)/$E$103</f>
        <v>0.25659837165607952</v>
      </c>
      <c r="H94" s="32"/>
      <c r="J94" s="58">
        <f>J80</f>
        <v>0.35288947711269425</v>
      </c>
      <c r="K94" s="58">
        <f>1-J94</f>
        <v>0.64711052288730575</v>
      </c>
      <c r="L94" s="58">
        <f>SUM($F$92:F94)</f>
        <v>0.69218037040350733</v>
      </c>
      <c r="M94" s="58">
        <v>1</v>
      </c>
      <c r="N94" s="22">
        <f>+(L94-J94)/(L94+M94-1)</f>
        <v>0.49017699402978304</v>
      </c>
      <c r="O94" s="92">
        <f>1-N94</f>
        <v>0.5098230059702169</v>
      </c>
      <c r="P94" s="22">
        <f>+N94*M94/K94</f>
        <v>0.75748574114154432</v>
      </c>
      <c r="Q94" s="22">
        <f>+O94*L94/J94</f>
        <v>1</v>
      </c>
      <c r="R94" s="93">
        <f>+N94*M94+O94*L94</f>
        <v>0.84306647114247735</v>
      </c>
      <c r="S94" s="93"/>
    </row>
    <row r="95" spans="2:23">
      <c r="B95" s="7"/>
      <c r="C95" s="15" t="s">
        <v>5</v>
      </c>
      <c r="D95" s="8">
        <v>212</v>
      </c>
      <c r="E95" s="9">
        <v>153.91</v>
      </c>
      <c r="F95" s="28">
        <f t="shared" si="34"/>
        <v>0.13770242462199161</v>
      </c>
      <c r="G95" s="30">
        <f>SUM(E96:E$102)/$E$103</f>
        <v>0.11889594703408786</v>
      </c>
      <c r="H95" s="68">
        <f>SUM(F96:F102)*100</f>
        <v>11.889594703408788</v>
      </c>
      <c r="I95" s="32">
        <f>($I$194-H95)/($I$194*(100-H95))*10000</f>
        <v>86.744718416053772</v>
      </c>
      <c r="J95" s="58">
        <f t="shared" ref="J95:J101" si="35">J81</f>
        <v>0.49553834541374997</v>
      </c>
      <c r="K95" s="58">
        <f>1-J95</f>
        <v>0.50446165458625003</v>
      </c>
      <c r="L95" s="58">
        <f>SUM($F$91:F95)</f>
        <v>0.88110405296591221</v>
      </c>
      <c r="M95" s="110">
        <v>0.87239999999999995</v>
      </c>
      <c r="N95" s="22">
        <f>+(L95-J95)/(L95+M95-1)</f>
        <v>0.51169692589510851</v>
      </c>
      <c r="O95" s="92">
        <f>1-N95</f>
        <v>0.48830307410489149</v>
      </c>
      <c r="P95" s="22">
        <f>+N95*M95/K95</f>
        <v>0.88491244892939414</v>
      </c>
      <c r="Q95" s="22">
        <f t="shared" ref="Q95:Q101" si="36">+O95*L95/J95</f>
        <v>0.86823920217576733</v>
      </c>
      <c r="R95" s="93">
        <f t="shared" ref="R95:R101" si="37">+N95*M95+O95*L95</f>
        <v>0.87665021582042679</v>
      </c>
      <c r="S95" s="93"/>
    </row>
    <row r="96" spans="2:23">
      <c r="B96" s="7"/>
      <c r="C96" s="15" t="s">
        <v>12</v>
      </c>
      <c r="D96" s="8">
        <v>180</v>
      </c>
      <c r="E96" s="9">
        <v>21.84</v>
      </c>
      <c r="F96" s="28">
        <f t="shared" si="34"/>
        <v>1.9540127046613585E-2</v>
      </c>
      <c r="G96" s="30">
        <f>SUM(E97:E$102)/$E$103</f>
        <v>9.9355819987474281E-2</v>
      </c>
      <c r="J96" s="58">
        <f t="shared" si="35"/>
        <v>0.53418878537528569</v>
      </c>
      <c r="K96" s="58">
        <f t="shared" ref="K95:K101" si="38">1-J96</f>
        <v>0.46581121462471431</v>
      </c>
      <c r="L96" s="58">
        <f>SUM($F$92:F96)</f>
        <v>0.84942292207211256</v>
      </c>
      <c r="M96" s="58">
        <v>1</v>
      </c>
      <c r="N96" s="22">
        <f t="shared" ref="N95:N101" si="39">+(L96-J96)/(L96+M96-1)</f>
        <v>0.37111564628822763</v>
      </c>
      <c r="O96" s="92">
        <f t="shared" ref="O95:O101" si="40">1-N96</f>
        <v>0.62888435371177231</v>
      </c>
      <c r="P96" s="22">
        <f t="shared" ref="P95:P101" si="41">+N96*M96/K96</f>
        <v>0.79670826857876498</v>
      </c>
      <c r="Q96" s="22">
        <f t="shared" si="36"/>
        <v>1</v>
      </c>
      <c r="R96" s="93">
        <f t="shared" si="37"/>
        <v>0.90530443166351326</v>
      </c>
      <c r="S96" s="93"/>
    </row>
    <row r="97" spans="2:23">
      <c r="B97" s="7"/>
      <c r="C97" s="15" t="s">
        <v>13</v>
      </c>
      <c r="D97" s="8">
        <v>150</v>
      </c>
      <c r="E97" s="9">
        <v>21.97</v>
      </c>
      <c r="F97" s="28">
        <f t="shared" si="34"/>
        <v>1.965643732665295E-2</v>
      </c>
      <c r="G97" s="30">
        <f>SUM(E98:E$102)/$E$103</f>
        <v>7.9699382660821341E-2</v>
      </c>
      <c r="J97" s="58">
        <f t="shared" si="35"/>
        <v>0.59205070673022242</v>
      </c>
      <c r="K97" s="58">
        <f t="shared" si="38"/>
        <v>0.40794929326977758</v>
      </c>
      <c r="L97" s="58">
        <f>SUM($F$92:F97)</f>
        <v>0.86907935939876546</v>
      </c>
      <c r="M97" s="58">
        <v>1</v>
      </c>
      <c r="N97" s="22">
        <f t="shared" si="39"/>
        <v>0.31876105406552652</v>
      </c>
      <c r="O97" s="92">
        <f t="shared" si="40"/>
        <v>0.68123894593447343</v>
      </c>
      <c r="P97" s="22">
        <f t="shared" si="41"/>
        <v>0.78137420342270159</v>
      </c>
      <c r="Q97" s="22">
        <f t="shared" si="36"/>
        <v>1</v>
      </c>
      <c r="R97" s="93">
        <f t="shared" si="37"/>
        <v>0.91081176079574888</v>
      </c>
      <c r="S97" s="93"/>
    </row>
    <row r="98" spans="2:23">
      <c r="B98" s="7"/>
      <c r="C98" s="15" t="s">
        <v>9</v>
      </c>
      <c r="D98" s="8">
        <v>106</v>
      </c>
      <c r="E98" s="9">
        <v>23.27</v>
      </c>
      <c r="F98" s="28">
        <f t="shared" si="34"/>
        <v>2.0819540127046617E-2</v>
      </c>
      <c r="G98" s="30">
        <f>SUM(E99:E$102)/$E$103</f>
        <v>5.8879842533774727E-2</v>
      </c>
      <c r="J98" s="58">
        <f t="shared" si="35"/>
        <v>0.67625862086792887</v>
      </c>
      <c r="K98" s="58">
        <f t="shared" si="38"/>
        <v>0.32374137913207113</v>
      </c>
      <c r="L98" s="58">
        <f>SUM($F$92:F98)</f>
        <v>0.88989889952581203</v>
      </c>
      <c r="M98" s="58">
        <v>1</v>
      </c>
      <c r="N98" s="22">
        <f t="shared" si="39"/>
        <v>0.24007252820710603</v>
      </c>
      <c r="O98" s="92">
        <f t="shared" si="40"/>
        <v>0.75992747179289399</v>
      </c>
      <c r="P98" s="22">
        <f t="shared" si="41"/>
        <v>0.74155651295093739</v>
      </c>
      <c r="Q98" s="22">
        <f t="shared" si="36"/>
        <v>1</v>
      </c>
      <c r="R98" s="93">
        <f t="shared" si="37"/>
        <v>0.91633114907503488</v>
      </c>
      <c r="S98" s="93"/>
    </row>
    <row r="99" spans="2:23">
      <c r="B99" s="7"/>
      <c r="C99" s="15" t="s">
        <v>8</v>
      </c>
      <c r="D99" s="8">
        <v>75</v>
      </c>
      <c r="E99" s="9">
        <v>11.45</v>
      </c>
      <c r="F99" s="28">
        <f t="shared" si="34"/>
        <v>1.024425158808267E-2</v>
      </c>
      <c r="G99" s="30">
        <f>SUM(E100:E$102)/$E$103</f>
        <v>4.8635590945692052E-2</v>
      </c>
      <c r="J99" s="58">
        <f t="shared" si="35"/>
        <v>0.73337607146919237</v>
      </c>
      <c r="K99" s="58">
        <f t="shared" si="38"/>
        <v>0.26662392853080763</v>
      </c>
      <c r="L99" s="58">
        <f>SUM($F$92:F99)</f>
        <v>0.90014315111389465</v>
      </c>
      <c r="M99" s="58">
        <v>1</v>
      </c>
      <c r="N99" s="22">
        <f t="shared" si="39"/>
        <v>0.18526728714019991</v>
      </c>
      <c r="O99" s="92">
        <f t="shared" si="40"/>
        <v>0.81473271285980009</v>
      </c>
      <c r="P99" s="22">
        <f t="shared" si="41"/>
        <v>0.69486369119639169</v>
      </c>
      <c r="Q99" s="22">
        <f t="shared" si="36"/>
        <v>1</v>
      </c>
      <c r="R99" s="93">
        <f t="shared" si="37"/>
        <v>0.91864335860939228</v>
      </c>
      <c r="S99" s="93"/>
    </row>
    <row r="100" spans="2:23">
      <c r="B100" s="7"/>
      <c r="C100" s="15" t="s">
        <v>7</v>
      </c>
      <c r="D100" s="10">
        <v>53</v>
      </c>
      <c r="E100" s="9">
        <v>7.46</v>
      </c>
      <c r="F100" s="28">
        <f t="shared" si="34"/>
        <v>6.6744206853359585E-3</v>
      </c>
      <c r="G100" s="30">
        <f>SUM(E101:E$102)/$E$103</f>
        <v>4.1961170260356097E-2</v>
      </c>
      <c r="J100" s="58">
        <f t="shared" si="35"/>
        <v>0.78107389906217373</v>
      </c>
      <c r="K100" s="58">
        <f t="shared" si="38"/>
        <v>0.21892610093782627</v>
      </c>
      <c r="L100" s="58">
        <f>SUM($F$92:F100)</f>
        <v>0.90681757179923062</v>
      </c>
      <c r="M100" s="58">
        <v>1</v>
      </c>
      <c r="N100" s="22">
        <f t="shared" si="39"/>
        <v>0.13866479504534407</v>
      </c>
      <c r="O100" s="92">
        <f t="shared" si="40"/>
        <v>0.86133520495465588</v>
      </c>
      <c r="P100" s="22">
        <f t="shared" si="41"/>
        <v>0.63338630913051364</v>
      </c>
      <c r="Q100" s="22">
        <f t="shared" si="36"/>
        <v>1</v>
      </c>
      <c r="R100" s="93">
        <f t="shared" si="37"/>
        <v>0.91973869410751785</v>
      </c>
      <c r="S100" s="93"/>
    </row>
    <row r="101" spans="2:23">
      <c r="B101" s="7"/>
      <c r="C101" s="15" t="s">
        <v>17</v>
      </c>
      <c r="D101" s="10">
        <v>38</v>
      </c>
      <c r="E101" s="9">
        <v>6.33</v>
      </c>
      <c r="F101" s="28">
        <f t="shared" si="34"/>
        <v>5.663415943455311E-3</v>
      </c>
      <c r="G101" s="30">
        <f>SUM(E102:E$102)/$E$103</f>
        <v>3.6297754316900785E-2</v>
      </c>
      <c r="J101" s="58">
        <f t="shared" si="35"/>
        <v>0.821409738091053</v>
      </c>
      <c r="K101" s="58">
        <f t="shared" si="38"/>
        <v>0.178590261908947</v>
      </c>
      <c r="L101" s="58">
        <f>SUM($F$92:F101)</f>
        <v>0.91248098774268593</v>
      </c>
      <c r="M101" s="58">
        <v>1</v>
      </c>
      <c r="N101" s="22">
        <f t="shared" si="39"/>
        <v>9.9806188704190821E-2</v>
      </c>
      <c r="O101" s="92">
        <f t="shared" si="40"/>
        <v>0.90019381129580922</v>
      </c>
      <c r="P101" s="22">
        <f t="shared" si="41"/>
        <v>0.55885571608084827</v>
      </c>
      <c r="Q101" s="22">
        <f t="shared" si="36"/>
        <v>1</v>
      </c>
      <c r="R101" s="93">
        <f t="shared" si="37"/>
        <v>0.92121592679524378</v>
      </c>
      <c r="S101" s="93"/>
      <c r="T101" s="58">
        <f>SUM($F$21:$F$31)</f>
        <v>0.821409738091053</v>
      </c>
      <c r="U101" s="58">
        <f>SUM(F91:F101)</f>
        <v>0.96370224568309915</v>
      </c>
      <c r="V101" s="22">
        <v>0.7</v>
      </c>
      <c r="W101" s="22">
        <f>U101*(T101-V101)*(1-V101)*(U101-T101)/T101/(U101-V101)^2/(1-T101)</f>
        <v>0.4896146487330495</v>
      </c>
    </row>
    <row r="102" spans="2:23">
      <c r="B102" s="23"/>
      <c r="C102" s="24">
        <v>-38</v>
      </c>
      <c r="D102" s="25"/>
      <c r="E102" s="26">
        <v>40.57</v>
      </c>
      <c r="F102" s="28">
        <f t="shared" si="34"/>
        <v>3.6297754316900785E-2</v>
      </c>
      <c r="G102" s="27"/>
    </row>
    <row r="103" spans="2:23" ht="15.75" thickBot="1">
      <c r="B103" s="77"/>
      <c r="C103" s="78" t="s">
        <v>6</v>
      </c>
      <c r="D103" s="79"/>
      <c r="E103" s="80">
        <f>SUM(E91:E102)</f>
        <v>1117.6999999999998</v>
      </c>
      <c r="F103" s="81">
        <f t="shared" si="34"/>
        <v>1</v>
      </c>
      <c r="G103" s="80"/>
    </row>
    <row r="104" spans="2:23" s="55" customFormat="1">
      <c r="B104" s="72"/>
      <c r="C104" s="73"/>
      <c r="D104" s="74"/>
      <c r="E104" s="75"/>
      <c r="F104" s="76"/>
      <c r="G104" s="75"/>
      <c r="H104" s="72"/>
      <c r="I104" s="72"/>
      <c r="J104" s="72"/>
    </row>
    <row r="105" spans="2:23" s="55" customFormat="1">
      <c r="B105" s="72"/>
      <c r="C105" s="73"/>
      <c r="D105" s="74"/>
      <c r="E105" s="75"/>
      <c r="F105" s="76"/>
      <c r="G105" s="75"/>
      <c r="H105" s="72"/>
      <c r="I105" s="72"/>
      <c r="J105" s="72"/>
    </row>
    <row r="106" spans="2:23" s="55" customFormat="1" ht="30">
      <c r="B106" s="88" t="s">
        <v>0</v>
      </c>
      <c r="C106" s="134" t="s">
        <v>1</v>
      </c>
      <c r="D106" s="134"/>
      <c r="E106" s="89" t="s">
        <v>2</v>
      </c>
      <c r="F106" s="90" t="s">
        <v>14</v>
      </c>
      <c r="G106" s="89" t="s">
        <v>3</v>
      </c>
    </row>
    <row r="107" spans="2:23" s="55" customFormat="1" ht="37.5">
      <c r="B107" s="82" t="s">
        <v>99</v>
      </c>
      <c r="C107" s="83" t="s">
        <v>16</v>
      </c>
      <c r="D107" s="84">
        <v>1180</v>
      </c>
      <c r="E107" s="85">
        <v>16.68</v>
      </c>
      <c r="F107" s="86">
        <f t="shared" ref="F107:F119" si="42">E107/$E$119</f>
        <v>1.7656959573184285E-2</v>
      </c>
      <c r="G107" s="87">
        <f>SUM(E108:E$118)/$E$119</f>
        <v>0.98234304042681564</v>
      </c>
    </row>
    <row r="108" spans="2:23" s="55" customFormat="1">
      <c r="B108" s="16" t="s">
        <v>4</v>
      </c>
      <c r="C108" s="17" t="s">
        <v>15</v>
      </c>
      <c r="D108" s="4">
        <v>600</v>
      </c>
      <c r="E108" s="5">
        <v>77.89</v>
      </c>
      <c r="F108" s="28">
        <f t="shared" si="42"/>
        <v>8.2452073210750834E-2</v>
      </c>
      <c r="G108" s="30">
        <f>SUM(E109:E$118)/$E$119</f>
        <v>0.89989096721606499</v>
      </c>
    </row>
    <row r="109" spans="2:23" s="55" customFormat="1">
      <c r="B109" s="18">
        <f>FORECAST(0.8,D108:D109,G108:G109)</f>
        <v>430.78491648734507</v>
      </c>
      <c r="C109" s="17" t="s">
        <v>11</v>
      </c>
      <c r="D109" s="4">
        <v>425</v>
      </c>
      <c r="E109" s="5">
        <v>97.59</v>
      </c>
      <c r="F109" s="28">
        <f t="shared" si="42"/>
        <v>0.10330591635174187</v>
      </c>
      <c r="G109" s="30">
        <f>SUM(E110:E$118)/$E$119</f>
        <v>0.79658505086432307</v>
      </c>
    </row>
    <row r="110" spans="2:23" s="55" customFormat="1">
      <c r="B110" s="7"/>
      <c r="C110" s="17" t="s">
        <v>10</v>
      </c>
      <c r="D110" s="4">
        <v>300</v>
      </c>
      <c r="E110" s="5">
        <v>142.9</v>
      </c>
      <c r="F110" s="28">
        <f t="shared" si="42"/>
        <v>0.15126975557602126</v>
      </c>
      <c r="G110" s="30">
        <f>SUM(E111:E$118)/$E$119</f>
        <v>0.64531529528830167</v>
      </c>
    </row>
    <row r="111" spans="2:23" s="55" customFormat="1">
      <c r="B111" s="7"/>
      <c r="C111" s="15" t="s">
        <v>5</v>
      </c>
      <c r="D111" s="8">
        <v>212</v>
      </c>
      <c r="E111" s="9">
        <v>135.36000000000001</v>
      </c>
      <c r="F111" s="28">
        <f t="shared" si="42"/>
        <v>0.14328813236368257</v>
      </c>
      <c r="G111" s="30">
        <f>SUM(E112:E$118)/$E$119</f>
        <v>0.50202716292461913</v>
      </c>
      <c r="H111" s="68">
        <f>SUM(F112:F118)*100</f>
        <v>50.202716292461915</v>
      </c>
      <c r="I111" s="32">
        <f>($I$194-H111)/($I$194*(100-H111))*10000</f>
        <v>0.96911312956390028</v>
      </c>
    </row>
    <row r="112" spans="2:23" s="55" customFormat="1">
      <c r="B112" s="7"/>
      <c r="C112" s="15" t="s">
        <v>12</v>
      </c>
      <c r="D112" s="8">
        <v>180</v>
      </c>
      <c r="E112" s="9">
        <v>34.75</v>
      </c>
      <c r="F112" s="28">
        <f t="shared" si="42"/>
        <v>3.6785332444133928E-2</v>
      </c>
      <c r="G112" s="30">
        <f>SUM(E113:E$118)/$E$119</f>
        <v>0.46524183048048523</v>
      </c>
    </row>
    <row r="113" spans="2:19" s="55" customFormat="1">
      <c r="B113" s="7"/>
      <c r="C113" s="15" t="s">
        <v>13</v>
      </c>
      <c r="D113" s="8">
        <v>150</v>
      </c>
      <c r="E113" s="9">
        <v>56.76</v>
      </c>
      <c r="F113" s="28">
        <f t="shared" si="42"/>
        <v>6.0084473943281771E-2</v>
      </c>
      <c r="G113" s="30">
        <f>SUM(E114:E$118)/$E$119</f>
        <v>0.40515735653720347</v>
      </c>
    </row>
    <row r="114" spans="2:19" s="55" customFormat="1">
      <c r="B114" s="7"/>
      <c r="C114" s="15" t="s">
        <v>9</v>
      </c>
      <c r="D114" s="8">
        <v>106</v>
      </c>
      <c r="E114" s="9">
        <v>76.06</v>
      </c>
      <c r="F114" s="28">
        <f t="shared" si="42"/>
        <v>8.0514888797146092E-2</v>
      </c>
      <c r="G114" s="30">
        <f>SUM(E115:E$118)/$E$119</f>
        <v>0.32464246774005734</v>
      </c>
    </row>
    <row r="115" spans="2:19" s="55" customFormat="1">
      <c r="B115" s="7"/>
      <c r="C115" s="15" t="s">
        <v>8</v>
      </c>
      <c r="D115" s="8">
        <v>75</v>
      </c>
      <c r="E115" s="9">
        <v>58.63</v>
      </c>
      <c r="F115" s="28">
        <f t="shared" si="42"/>
        <v>6.2064001185599203E-2</v>
      </c>
      <c r="G115" s="30">
        <f>SUM(E116:E$118)/$E$119</f>
        <v>0.26257846655445816</v>
      </c>
    </row>
    <row r="116" spans="2:19" s="55" customFormat="1">
      <c r="B116" s="7"/>
      <c r="C116" s="15" t="s">
        <v>7</v>
      </c>
      <c r="D116" s="10">
        <v>53</v>
      </c>
      <c r="E116" s="9">
        <v>43</v>
      </c>
      <c r="F116" s="28">
        <f t="shared" si="42"/>
        <v>4.5518540866122559E-2</v>
      </c>
      <c r="G116" s="30">
        <f>SUM(E117:E$118)/$E$119</f>
        <v>0.2170599256883356</v>
      </c>
    </row>
    <row r="117" spans="2:19" s="55" customFormat="1">
      <c r="B117" s="7"/>
      <c r="C117" s="15" t="s">
        <v>17</v>
      </c>
      <c r="D117" s="10">
        <v>38</v>
      </c>
      <c r="E117" s="9">
        <v>38.97</v>
      </c>
      <c r="F117" s="28">
        <f t="shared" si="42"/>
        <v>4.1252500873320837E-2</v>
      </c>
      <c r="G117" s="30">
        <f>SUM(E118:E$118)/$E$119</f>
        <v>0.17580742481501477</v>
      </c>
    </row>
    <row r="118" spans="2:19" s="55" customFormat="1">
      <c r="B118" s="23"/>
      <c r="C118" s="24">
        <v>-38</v>
      </c>
      <c r="D118" s="25"/>
      <c r="E118" s="26">
        <v>166.08</v>
      </c>
      <c r="F118" s="28">
        <f t="shared" si="42"/>
        <v>0.17580742481501477</v>
      </c>
      <c r="G118" s="27"/>
    </row>
    <row r="119" spans="2:19" s="55" customFormat="1" ht="15.75" thickBot="1">
      <c r="B119" s="11"/>
      <c r="C119" s="12" t="s">
        <v>6</v>
      </c>
      <c r="D119" s="13"/>
      <c r="E119" s="14">
        <f>SUM(E107:E118)</f>
        <v>944.67000000000007</v>
      </c>
      <c r="F119" s="28">
        <f t="shared" si="42"/>
        <v>1</v>
      </c>
      <c r="G119" s="14"/>
    </row>
    <row r="120" spans="2:19" ht="30.75" thickBot="1">
      <c r="B120" s="1" t="s">
        <v>0</v>
      </c>
      <c r="C120" s="131" t="s">
        <v>1</v>
      </c>
      <c r="D120" s="132"/>
      <c r="E120" s="2" t="s">
        <v>2</v>
      </c>
      <c r="F120" s="19" t="s">
        <v>14</v>
      </c>
      <c r="G120" s="2" t="s">
        <v>3</v>
      </c>
    </row>
    <row r="121" spans="2:19" ht="38.25" thickTop="1">
      <c r="B121" s="34" t="s">
        <v>30</v>
      </c>
      <c r="C121" s="3" t="s">
        <v>16</v>
      </c>
      <c r="D121" s="4">
        <v>1180</v>
      </c>
      <c r="E121" s="5">
        <f>36.43+43.97</f>
        <v>80.400000000000006</v>
      </c>
      <c r="F121" s="28">
        <f>E121/$E$133</f>
        <v>4.8094178450936768E-2</v>
      </c>
      <c r="G121" s="30">
        <f>SUM(E122:E$132)/$E$133</f>
        <v>0.95190582154906322</v>
      </c>
    </row>
    <row r="122" spans="2:19">
      <c r="B122" s="16" t="s">
        <v>4</v>
      </c>
      <c r="C122" s="17" t="s">
        <v>15</v>
      </c>
      <c r="D122" s="4">
        <v>600</v>
      </c>
      <c r="E122" s="5">
        <f>120.13+141.99</f>
        <v>262.12</v>
      </c>
      <c r="F122" s="28">
        <f t="shared" ref="F122:F133" si="43">E122/$E$133</f>
        <v>0.15679659273084012</v>
      </c>
      <c r="G122" s="30">
        <f>SUM(E123:E$132)/$E$133</f>
        <v>0.79510922881822343</v>
      </c>
    </row>
    <row r="123" spans="2:19">
      <c r="B123" s="18">
        <f>FORECAST(0.8,D121:D122,G121:G122)</f>
        <v>618.09125591332167</v>
      </c>
      <c r="C123" s="17" t="s">
        <v>11</v>
      </c>
      <c r="D123" s="4">
        <v>425</v>
      </c>
      <c r="E123" s="5">
        <f>138.82+160.41</f>
        <v>299.23</v>
      </c>
      <c r="F123" s="28">
        <f t="shared" si="43"/>
        <v>0.17899528629196279</v>
      </c>
      <c r="G123" s="30">
        <f>SUM(E124:E$132)/$E$133</f>
        <v>0.61611394252626062</v>
      </c>
    </row>
    <row r="124" spans="2:19">
      <c r="B124" s="7"/>
      <c r="C124" s="17" t="s">
        <v>10</v>
      </c>
      <c r="D124" s="4">
        <v>300</v>
      </c>
      <c r="E124" s="5">
        <f>178.82+206.36</f>
        <v>385.18</v>
      </c>
      <c r="F124" s="28">
        <f t="shared" si="43"/>
        <v>0.23040939870313212</v>
      </c>
      <c r="G124" s="30">
        <f>SUM(E125:E$132)/$E$133</f>
        <v>0.3857045438231283</v>
      </c>
      <c r="H124" s="32"/>
      <c r="J124" s="58">
        <f>SUM($F$107:F110)</f>
        <v>0.35468470471169822</v>
      </c>
      <c r="K124" s="58">
        <f>1-J124</f>
        <v>0.64531529528830178</v>
      </c>
      <c r="L124" s="58">
        <f>SUM($F$121:F124)</f>
        <v>0.61429545617687187</v>
      </c>
      <c r="M124" s="58">
        <v>1</v>
      </c>
      <c r="N124" s="22">
        <f>+(L124-J124)/(L124+M124-1)</f>
        <v>0.42261545133491085</v>
      </c>
      <c r="O124" s="92">
        <f>1-N124</f>
        <v>0.57738454866508915</v>
      </c>
      <c r="P124" s="22">
        <f>+N124*M124/K124</f>
        <v>0.65489762046644606</v>
      </c>
      <c r="Q124" s="22">
        <f>+O124*L124/J124</f>
        <v>1</v>
      </c>
      <c r="R124" s="93">
        <f>+N124*M124+O124*L124</f>
        <v>0.77730015604660907</v>
      </c>
      <c r="S124" s="93"/>
    </row>
    <row r="125" spans="2:19">
      <c r="B125" s="7"/>
      <c r="C125" s="15" t="s">
        <v>5</v>
      </c>
      <c r="D125" s="8">
        <v>212</v>
      </c>
      <c r="E125" s="9">
        <f>103.85+118.18</f>
        <v>222.03</v>
      </c>
      <c r="F125" s="28">
        <f t="shared" si="43"/>
        <v>0.13281530399827723</v>
      </c>
      <c r="G125" s="30">
        <f>SUM(E126:E$132)/$E$133</f>
        <v>0.25288923982485106</v>
      </c>
      <c r="H125" s="68">
        <f>SUM(F126:F132)*100</f>
        <v>25.288923982485105</v>
      </c>
      <c r="I125" s="32">
        <f>($I$194-H125)/($I$194*(100-H125))*10000</f>
        <v>66.749784373521621</v>
      </c>
      <c r="J125" s="58">
        <f>SUM($F$107:F111)</f>
        <v>0.49797283707538076</v>
      </c>
      <c r="K125" s="58">
        <f t="shared" ref="K125:K131" si="44">1-J125</f>
        <v>0.50202716292461924</v>
      </c>
      <c r="L125" s="58">
        <f>SUM($F$121:F125)</f>
        <v>0.7471107601751491</v>
      </c>
      <c r="M125" s="110">
        <v>0.87239999999999995</v>
      </c>
      <c r="N125" s="22">
        <f t="shared" ref="N125:N131" si="45">+(L125-J125)/(L125+M125-1)</f>
        <v>0.40215269712075974</v>
      </c>
      <c r="O125" s="92">
        <f t="shared" ref="O125:O131" si="46">1-N125</f>
        <v>0.59784730287924026</v>
      </c>
      <c r="P125" s="22">
        <f t="shared" ref="P125:P131" si="47">+N125*M125/K125</f>
        <v>0.69884268995387022</v>
      </c>
      <c r="Q125" s="22">
        <f t="shared" ref="Q125:Q131" si="48">+O125*L125/J125</f>
        <v>0.89695284495037386</v>
      </c>
      <c r="R125" s="93">
        <f t="shared" ref="R125:R131" si="49">+N125*M125+O125*L125</f>
        <v>0.79749616589092254</v>
      </c>
      <c r="S125" s="93"/>
    </row>
    <row r="126" spans="2:19">
      <c r="B126" s="7"/>
      <c r="C126" s="15" t="s">
        <v>12</v>
      </c>
      <c r="D126" s="8">
        <v>180</v>
      </c>
      <c r="E126" s="9">
        <f>17.01+20.58</f>
        <v>37.590000000000003</v>
      </c>
      <c r="F126" s="28">
        <f t="shared" si="43"/>
        <v>2.2485822984710364E-2</v>
      </c>
      <c r="G126" s="30">
        <f>SUM(E127:E$132)/$E$133</f>
        <v>0.23040341684014071</v>
      </c>
      <c r="J126" s="58">
        <f>SUM($F$107:F112)</f>
        <v>0.53475816951951471</v>
      </c>
      <c r="K126" s="58">
        <f t="shared" si="44"/>
        <v>0.46524183048048529</v>
      </c>
      <c r="L126" s="58">
        <f>SUM($F$121:F126)</f>
        <v>0.76959658315985946</v>
      </c>
      <c r="M126" s="58">
        <v>1</v>
      </c>
      <c r="N126" s="22">
        <f t="shared" si="45"/>
        <v>0.30514482363750889</v>
      </c>
      <c r="O126" s="92">
        <f t="shared" si="46"/>
        <v>0.69485517636249106</v>
      </c>
      <c r="P126" s="22">
        <f t="shared" si="47"/>
        <v>0.65588432433593968</v>
      </c>
      <c r="Q126" s="22">
        <f t="shared" si="48"/>
        <v>1</v>
      </c>
      <c r="R126" s="93">
        <f t="shared" si="49"/>
        <v>0.83990299315702366</v>
      </c>
      <c r="S126" s="93"/>
    </row>
    <row r="127" spans="2:19">
      <c r="B127" s="7"/>
      <c r="C127" s="15" t="s">
        <v>13</v>
      </c>
      <c r="D127" s="8">
        <v>150</v>
      </c>
      <c r="E127" s="9">
        <f>23.86+29.25</f>
        <v>53.11</v>
      </c>
      <c r="F127" s="28">
        <f t="shared" si="43"/>
        <v>3.1769674347378749E-2</v>
      </c>
      <c r="G127" s="30">
        <f>SUM(E128:E$132)/$E$133</f>
        <v>0.19863374249276194</v>
      </c>
      <c r="J127" s="58">
        <f>SUM($F$107:F113)</f>
        <v>0.59484264346279647</v>
      </c>
      <c r="K127" s="58">
        <f t="shared" si="44"/>
        <v>0.40515735653720353</v>
      </c>
      <c r="L127" s="58">
        <f>SUM($F$121:F127)</f>
        <v>0.80136625750723822</v>
      </c>
      <c r="M127" s="58">
        <v>1</v>
      </c>
      <c r="N127" s="22">
        <f t="shared" si="45"/>
        <v>0.2577143872851127</v>
      </c>
      <c r="O127" s="92">
        <f t="shared" si="46"/>
        <v>0.74228561271488736</v>
      </c>
      <c r="P127" s="22">
        <f t="shared" si="47"/>
        <v>0.63608467951253433</v>
      </c>
      <c r="Q127" s="22">
        <f t="shared" si="48"/>
        <v>1</v>
      </c>
      <c r="R127" s="93">
        <f t="shared" si="49"/>
        <v>0.85255703074790912</v>
      </c>
      <c r="S127" s="93"/>
    </row>
    <row r="128" spans="2:19">
      <c r="B128" s="7"/>
      <c r="C128" s="15" t="s">
        <v>9</v>
      </c>
      <c r="D128" s="8">
        <v>106</v>
      </c>
      <c r="E128" s="9">
        <f>27.97+36.26</f>
        <v>64.22999999999999</v>
      </c>
      <c r="F128" s="28">
        <f t="shared" si="43"/>
        <v>3.8421505993826717E-2</v>
      </c>
      <c r="G128" s="30">
        <f>SUM(E129:E$132)/$E$133</f>
        <v>0.16021223649893523</v>
      </c>
      <c r="J128" s="58">
        <f>SUM($F$107:F114)</f>
        <v>0.67535753225994255</v>
      </c>
      <c r="K128" s="58">
        <f t="shared" si="44"/>
        <v>0.32464246774005745</v>
      </c>
      <c r="L128" s="58">
        <f>SUM($F$121:F128)</f>
        <v>0.83978776350106499</v>
      </c>
      <c r="M128" s="58">
        <v>1</v>
      </c>
      <c r="N128" s="22">
        <f t="shared" si="45"/>
        <v>0.19579974654026253</v>
      </c>
      <c r="O128" s="92">
        <f t="shared" si="46"/>
        <v>0.80420025345973745</v>
      </c>
      <c r="P128" s="22">
        <f t="shared" si="47"/>
        <v>0.60312425513300427</v>
      </c>
      <c r="Q128" s="22">
        <f t="shared" si="48"/>
        <v>1</v>
      </c>
      <c r="R128" s="93">
        <f t="shared" si="49"/>
        <v>0.8711572788002051</v>
      </c>
      <c r="S128" s="93"/>
    </row>
    <row r="129" spans="2:23">
      <c r="B129" s="7"/>
      <c r="C129" s="15" t="s">
        <v>8</v>
      </c>
      <c r="D129" s="8">
        <v>75</v>
      </c>
      <c r="E129" s="9">
        <f>17.87+26.32</f>
        <v>44.19</v>
      </c>
      <c r="F129" s="28">
        <f t="shared" si="43"/>
        <v>2.6433852559040988E-2</v>
      </c>
      <c r="G129" s="30">
        <f>SUM(E130:E$132)/$E$133</f>
        <v>0.13377838393989425</v>
      </c>
      <c r="J129" s="58">
        <f>SUM($F$107:F115)</f>
        <v>0.73742153344554173</v>
      </c>
      <c r="K129" s="58">
        <f t="shared" si="44"/>
        <v>0.26257846655445827</v>
      </c>
      <c r="L129" s="58">
        <f>SUM($F$121:F129)</f>
        <v>0.86622161606010595</v>
      </c>
      <c r="M129" s="58">
        <v>1</v>
      </c>
      <c r="N129" s="22">
        <f t="shared" si="45"/>
        <v>0.1486918361612751</v>
      </c>
      <c r="O129" s="92">
        <f t="shared" si="46"/>
        <v>0.85130816383872487</v>
      </c>
      <c r="P129" s="22">
        <f t="shared" si="47"/>
        <v>0.56627581885293976</v>
      </c>
      <c r="Q129" s="22">
        <f t="shared" si="48"/>
        <v>1</v>
      </c>
      <c r="R129" s="93">
        <f t="shared" si="49"/>
        <v>0.88611336960681686</v>
      </c>
      <c r="S129" s="93"/>
    </row>
    <row r="130" spans="2:23">
      <c r="B130" s="7"/>
      <c r="C130" s="15" t="s">
        <v>7</v>
      </c>
      <c r="D130" s="10">
        <v>53</v>
      </c>
      <c r="E130" s="9">
        <f>13.96+24.22</f>
        <v>38.18</v>
      </c>
      <c r="F130" s="28">
        <f t="shared" si="43"/>
        <v>2.2838752901203553E-2</v>
      </c>
      <c r="G130" s="30">
        <f>SUM(E131:E$132)/$E$133</f>
        <v>0.11093963103869069</v>
      </c>
      <c r="J130" s="58">
        <f>SUM($F$107:F116)</f>
        <v>0.78294007431166435</v>
      </c>
      <c r="K130" s="58">
        <f t="shared" si="44"/>
        <v>0.21705992568833565</v>
      </c>
      <c r="L130" s="58">
        <f>SUM($F$121:F130)</f>
        <v>0.88906036896130947</v>
      </c>
      <c r="M130" s="58">
        <v>1</v>
      </c>
      <c r="N130" s="22">
        <f t="shared" si="45"/>
        <v>0.11936230469211626</v>
      </c>
      <c r="O130" s="92">
        <f t="shared" si="46"/>
        <v>0.88063769530788372</v>
      </c>
      <c r="P130" s="22">
        <f t="shared" si="47"/>
        <v>0.54990484454280142</v>
      </c>
      <c r="Q130" s="22">
        <f t="shared" si="48"/>
        <v>1</v>
      </c>
      <c r="R130" s="93">
        <f t="shared" si="49"/>
        <v>0.90230237900378063</v>
      </c>
      <c r="S130" s="93"/>
    </row>
    <row r="131" spans="2:23">
      <c r="B131" s="7"/>
      <c r="C131" s="15" t="s">
        <v>17</v>
      </c>
      <c r="D131" s="10">
        <v>38</v>
      </c>
      <c r="E131" s="9">
        <f>10.49+20.33</f>
        <v>30.82</v>
      </c>
      <c r="F131" s="28">
        <f t="shared" si="43"/>
        <v>1.843610173952576E-2</v>
      </c>
      <c r="G131" s="30">
        <f>SUM(E132:E$132)/$E$133</f>
        <v>9.250352929916493E-2</v>
      </c>
      <c r="J131" s="58">
        <f>SUM($F$107:F117)</f>
        <v>0.82419257518498523</v>
      </c>
      <c r="K131" s="58">
        <f t="shared" si="44"/>
        <v>0.17580742481501477</v>
      </c>
      <c r="L131" s="58">
        <f>SUM($F$121:F131)</f>
        <v>0.90749647070083528</v>
      </c>
      <c r="M131" s="58">
        <v>1</v>
      </c>
      <c r="N131" s="22">
        <f t="shared" si="45"/>
        <v>9.1795283183323764E-2</v>
      </c>
      <c r="O131" s="92">
        <f t="shared" si="46"/>
        <v>0.90820471681667625</v>
      </c>
      <c r="P131" s="22">
        <f t="shared" si="47"/>
        <v>0.52213541765890215</v>
      </c>
      <c r="Q131" s="22">
        <f t="shared" si="48"/>
        <v>1</v>
      </c>
      <c r="R131" s="93">
        <f t="shared" si="49"/>
        <v>0.91598785836830898</v>
      </c>
      <c r="S131" s="93"/>
      <c r="T131" s="58">
        <f>SUM($F$107:$F$117)</f>
        <v>0.82419257518498523</v>
      </c>
      <c r="U131" s="58">
        <f>SUM(F121:F131)</f>
        <v>0.90749647070083528</v>
      </c>
      <c r="V131" s="22">
        <v>0.7</v>
      </c>
      <c r="W131" s="22">
        <f>U131*(T131-V131)*(1-V131)*(U131-T131)/T131/(U131-V131)^2/(1-T131)</f>
        <v>0.45148133834697041</v>
      </c>
    </row>
    <row r="132" spans="2:23">
      <c r="B132" s="23"/>
      <c r="C132" s="24">
        <v>-38</v>
      </c>
      <c r="D132" s="25"/>
      <c r="E132" s="26">
        <f>7.82+146.82</f>
        <v>154.63999999999999</v>
      </c>
      <c r="F132" s="28">
        <f t="shared" si="43"/>
        <v>9.250352929916493E-2</v>
      </c>
      <c r="G132" s="27"/>
    </row>
    <row r="133" spans="2:23" ht="15.75" thickBot="1">
      <c r="B133" s="11"/>
      <c r="C133" s="12" t="s">
        <v>6</v>
      </c>
      <c r="D133" s="13"/>
      <c r="E133" s="14">
        <f>SUM(E121:E132)</f>
        <v>1671.7199999999998</v>
      </c>
      <c r="F133" s="28">
        <f t="shared" si="43"/>
        <v>1</v>
      </c>
      <c r="G133" s="14"/>
    </row>
    <row r="134" spans="2:23" ht="30.75" thickBot="1">
      <c r="B134" s="1" t="s">
        <v>0</v>
      </c>
      <c r="C134" s="131" t="s">
        <v>1</v>
      </c>
      <c r="D134" s="132"/>
      <c r="E134" s="2" t="s">
        <v>2</v>
      </c>
      <c r="F134" s="19" t="s">
        <v>14</v>
      </c>
      <c r="G134" s="2" t="s">
        <v>3</v>
      </c>
    </row>
    <row r="135" spans="2:23" ht="38.25" thickTop="1">
      <c r="B135" s="34" t="s">
        <v>31</v>
      </c>
      <c r="C135" s="3" t="s">
        <v>16</v>
      </c>
      <c r="D135" s="4">
        <v>1180</v>
      </c>
      <c r="E135" s="5">
        <f>34.15+26.5</f>
        <v>60.65</v>
      </c>
      <c r="F135" s="28">
        <f>E135/$E$147</f>
        <v>4.9240886579524239E-2</v>
      </c>
      <c r="G135" s="30">
        <f>SUM(E136:E$146)/$E$147</f>
        <v>0.95075911342047592</v>
      </c>
    </row>
    <row r="136" spans="2:23">
      <c r="B136" s="16" t="s">
        <v>4</v>
      </c>
      <c r="C136" s="17" t="s">
        <v>15</v>
      </c>
      <c r="D136" s="4">
        <v>600</v>
      </c>
      <c r="E136" s="5">
        <f>121.25+106.83</f>
        <v>228.07999999999998</v>
      </c>
      <c r="F136" s="28">
        <f t="shared" ref="F136:F147" si="50">E136/$E$147</f>
        <v>0.18517496143541448</v>
      </c>
      <c r="G136" s="30">
        <f>SUM(E137:E$146)/$E$147</f>
        <v>0.76558415198506136</v>
      </c>
    </row>
    <row r="137" spans="2:23">
      <c r="B137" s="18">
        <f>FORECAST(0.8,D135:D136,G135:G136)</f>
        <v>707.79638723254993</v>
      </c>
      <c r="C137" s="17" t="s">
        <v>11</v>
      </c>
      <c r="D137" s="4">
        <v>425</v>
      </c>
      <c r="E137" s="5">
        <f>153.22+127.51</f>
        <v>280.73</v>
      </c>
      <c r="F137" s="28">
        <f t="shared" si="50"/>
        <v>0.22792075992530653</v>
      </c>
      <c r="G137" s="30">
        <f>SUM(E138:E$146)/$E$147</f>
        <v>0.537663392059755</v>
      </c>
    </row>
    <row r="138" spans="2:23">
      <c r="B138" s="7"/>
      <c r="C138" s="17" t="s">
        <v>10</v>
      </c>
      <c r="D138" s="4">
        <v>300</v>
      </c>
      <c r="E138" s="5">
        <f>188.51+161.3</f>
        <v>349.81</v>
      </c>
      <c r="F138" s="28">
        <f t="shared" si="50"/>
        <v>0.28400584557928071</v>
      </c>
      <c r="G138" s="30">
        <f>SUM(E139:E$146)/$E$147</f>
        <v>0.25365754648047417</v>
      </c>
      <c r="H138" s="32"/>
      <c r="J138" s="58">
        <f>J124</f>
        <v>0.35468470471169822</v>
      </c>
      <c r="K138" s="58">
        <f>1-J138</f>
        <v>0.64531529528830178</v>
      </c>
      <c r="L138" s="58">
        <f>SUM($F$135:F138)</f>
        <v>0.74634245351952599</v>
      </c>
      <c r="M138" s="58">
        <v>1</v>
      </c>
      <c r="N138" s="22">
        <f>+(L138-J138)/(L138+M138-1)</f>
        <v>0.52476949014609564</v>
      </c>
      <c r="O138" s="92">
        <f>1-N138</f>
        <v>0.47523050985390436</v>
      </c>
      <c r="P138" s="22">
        <f>+N138*M138/K138</f>
        <v>0.81319859296322594</v>
      </c>
      <c r="Q138" s="22">
        <f>+O138*L138/J138</f>
        <v>1.0000000000000002</v>
      </c>
      <c r="R138" s="93">
        <f>+N138*M138+O138*L138</f>
        <v>0.87945419485779386</v>
      </c>
      <c r="S138" s="93"/>
    </row>
    <row r="139" spans="2:23">
      <c r="B139" s="7"/>
      <c r="C139" s="15" t="s">
        <v>5</v>
      </c>
      <c r="D139" s="8">
        <v>212</v>
      </c>
      <c r="E139" s="9">
        <f>83.35+77.27</f>
        <v>160.62</v>
      </c>
      <c r="F139" s="28">
        <f t="shared" si="50"/>
        <v>0.13040513111959084</v>
      </c>
      <c r="G139" s="30">
        <f>SUM(E140:E$146)/$E$147</f>
        <v>0.12325241536088336</v>
      </c>
      <c r="H139" s="68">
        <f>SUM(F140:F146)*100</f>
        <v>12.325241536088335</v>
      </c>
      <c r="I139" s="32">
        <f>($I$194-H139)/($I$194*(100-H139))*10000</f>
        <v>86.190753972507068</v>
      </c>
      <c r="J139" s="58">
        <f t="shared" ref="J139:J145" si="51">J125</f>
        <v>0.49797283707538076</v>
      </c>
      <c r="K139" s="58">
        <f t="shared" ref="K139:K145" si="52">1-J139</f>
        <v>0.50202716292461924</v>
      </c>
      <c r="L139" s="58">
        <f>SUM($F$135:F139)</f>
        <v>0.87674758463911684</v>
      </c>
      <c r="M139" s="110">
        <v>0.87239999999999995</v>
      </c>
      <c r="N139" s="22">
        <f t="shared" ref="N139:N145" si="53">+(L139-J139)/(L139+M139-1)</f>
        <v>0.50560764705155037</v>
      </c>
      <c r="O139" s="92">
        <f t="shared" ref="O139:O145" si="54">1-N139</f>
        <v>0.49439235294844963</v>
      </c>
      <c r="P139" s="22">
        <f t="shared" ref="P139:P145" si="55">+N139*M139/K139</f>
        <v>0.87862200267837642</v>
      </c>
      <c r="Q139" s="22">
        <f t="shared" ref="Q139:Q145" si="56">+O139*L139/J139</f>
        <v>0.87044366487401059</v>
      </c>
      <c r="R139" s="93">
        <f t="shared" ref="R139:R145" si="57">+N139*M139+O139*L139</f>
        <v>0.87454941259937558</v>
      </c>
      <c r="S139" s="93"/>
    </row>
    <row r="140" spans="2:23">
      <c r="B140" s="7"/>
      <c r="C140" s="15" t="s">
        <v>12</v>
      </c>
      <c r="D140" s="8">
        <v>180</v>
      </c>
      <c r="E140" s="9">
        <f>10.67+9.99</f>
        <v>20.66</v>
      </c>
      <c r="F140" s="28">
        <f t="shared" si="50"/>
        <v>1.6773564991475198E-2</v>
      </c>
      <c r="G140" s="30">
        <f>SUM(E141:E$146)/$E$147</f>
        <v>0.10647885036940816</v>
      </c>
      <c r="J140" s="58">
        <f t="shared" si="51"/>
        <v>0.53475816951951471</v>
      </c>
      <c r="K140" s="58">
        <f t="shared" si="52"/>
        <v>0.46524183048048529</v>
      </c>
      <c r="L140" s="58">
        <f>SUM($F$135:F140)</f>
        <v>0.89352114963059204</v>
      </c>
      <c r="M140" s="58">
        <v>1</v>
      </c>
      <c r="N140" s="22">
        <f t="shared" si="53"/>
        <v>0.40151593530763147</v>
      </c>
      <c r="O140" s="92">
        <f t="shared" si="54"/>
        <v>0.59848406469236859</v>
      </c>
      <c r="P140" s="22">
        <f t="shared" si="55"/>
        <v>0.86302629944723597</v>
      </c>
      <c r="Q140" s="22">
        <f t="shared" si="56"/>
        <v>1.0000000000000002</v>
      </c>
      <c r="R140" s="93">
        <f t="shared" si="57"/>
        <v>0.93627410482714635</v>
      </c>
      <c r="S140" s="93"/>
    </row>
    <row r="141" spans="2:23">
      <c r="B141" s="7"/>
      <c r="C141" s="15" t="s">
        <v>13</v>
      </c>
      <c r="D141" s="8">
        <v>150</v>
      </c>
      <c r="E141" s="9">
        <f>11.28+11.24</f>
        <v>22.52</v>
      </c>
      <c r="F141" s="28">
        <f t="shared" si="50"/>
        <v>1.8283672972314688E-2</v>
      </c>
      <c r="G141" s="30">
        <f>SUM(E142:E$146)/$E$147</f>
        <v>8.8195177397093455E-2</v>
      </c>
      <c r="J141" s="58">
        <f t="shared" si="51"/>
        <v>0.59484264346279647</v>
      </c>
      <c r="K141" s="58">
        <f t="shared" si="52"/>
        <v>0.40515735653720353</v>
      </c>
      <c r="L141" s="58">
        <f>SUM($F$135:F141)</f>
        <v>0.91180482260290674</v>
      </c>
      <c r="M141" s="58">
        <v>1</v>
      </c>
      <c r="N141" s="22">
        <f t="shared" si="53"/>
        <v>0.34762064345666233</v>
      </c>
      <c r="O141" s="92">
        <f t="shared" si="54"/>
        <v>0.65237935654333767</v>
      </c>
      <c r="P141" s="22">
        <f t="shared" si="55"/>
        <v>0.85798921788735216</v>
      </c>
      <c r="Q141" s="22">
        <f t="shared" si="56"/>
        <v>1</v>
      </c>
      <c r="R141" s="93">
        <f t="shared" si="57"/>
        <v>0.9424632869194588</v>
      </c>
      <c r="S141" s="93"/>
    </row>
    <row r="142" spans="2:23">
      <c r="B142" s="7"/>
      <c r="C142" s="15" t="s">
        <v>9</v>
      </c>
      <c r="D142" s="8">
        <v>106</v>
      </c>
      <c r="E142" s="67">
        <f>10.18+11.63</f>
        <v>21.810000000000002</v>
      </c>
      <c r="F142" s="28">
        <f t="shared" si="50"/>
        <v>1.7707233904359833E-2</v>
      </c>
      <c r="G142" s="30">
        <f>SUM(E143:E$146)/$E$147</f>
        <v>7.0487943492733629E-2</v>
      </c>
      <c r="J142" s="58">
        <f t="shared" si="51"/>
        <v>0.67535753225994255</v>
      </c>
      <c r="K142" s="58">
        <f t="shared" si="52"/>
        <v>0.32464246774005745</v>
      </c>
      <c r="L142" s="58">
        <f>SUM($F$135:F142)</f>
        <v>0.92951205650726654</v>
      </c>
      <c r="M142" s="58">
        <v>1</v>
      </c>
      <c r="N142" s="22">
        <f t="shared" si="53"/>
        <v>0.27342789420326052</v>
      </c>
      <c r="O142" s="92">
        <f t="shared" si="54"/>
        <v>0.72657210579673948</v>
      </c>
      <c r="P142" s="22">
        <f t="shared" si="55"/>
        <v>0.84224314861417127</v>
      </c>
      <c r="Q142" s="22">
        <f t="shared" si="56"/>
        <v>1</v>
      </c>
      <c r="R142" s="93">
        <f t="shared" si="57"/>
        <v>0.94878542646320307</v>
      </c>
      <c r="S142" s="93"/>
    </row>
    <row r="143" spans="2:23">
      <c r="B143" s="7"/>
      <c r="C143" s="15" t="s">
        <v>8</v>
      </c>
      <c r="D143" s="8">
        <v>75</v>
      </c>
      <c r="E143" s="9">
        <f>4.97+7.26</f>
        <v>12.23</v>
      </c>
      <c r="F143" s="28">
        <f t="shared" si="50"/>
        <v>9.9293659170252516E-3</v>
      </c>
      <c r="G143" s="30">
        <f>SUM(E144:E$146)/$E$147</f>
        <v>6.0558577575708379E-2</v>
      </c>
      <c r="J143" s="58">
        <f t="shared" si="51"/>
        <v>0.73742153344554173</v>
      </c>
      <c r="K143" s="58">
        <f t="shared" si="52"/>
        <v>0.26257846655445827</v>
      </c>
      <c r="L143" s="58">
        <f>SUM($F$135:F143)</f>
        <v>0.93944142242429174</v>
      </c>
      <c r="M143" s="58">
        <v>1</v>
      </c>
      <c r="N143" s="22">
        <f t="shared" si="53"/>
        <v>0.2150425605647919</v>
      </c>
      <c r="O143" s="92">
        <f t="shared" si="54"/>
        <v>0.78495743943520813</v>
      </c>
      <c r="P143" s="22">
        <f t="shared" si="55"/>
        <v>0.81896494935997532</v>
      </c>
      <c r="Q143" s="22">
        <f t="shared" si="56"/>
        <v>1</v>
      </c>
      <c r="R143" s="93">
        <f t="shared" si="57"/>
        <v>0.95246409401033361</v>
      </c>
      <c r="S143" s="93"/>
    </row>
    <row r="144" spans="2:23">
      <c r="B144" s="7"/>
      <c r="C144" s="15" t="s">
        <v>7</v>
      </c>
      <c r="D144" s="10">
        <v>53</v>
      </c>
      <c r="E144" s="9">
        <f>3.2+6.16</f>
        <v>9.36</v>
      </c>
      <c r="F144" s="28">
        <f t="shared" si="50"/>
        <v>7.5992530648696932E-3</v>
      </c>
      <c r="G144" s="30">
        <f>SUM(E145:E$146)/$E$147</f>
        <v>5.2959324510838686E-2</v>
      </c>
      <c r="J144" s="58">
        <f t="shared" si="51"/>
        <v>0.78294007431166435</v>
      </c>
      <c r="K144" s="58">
        <f t="shared" si="52"/>
        <v>0.21705992568833565</v>
      </c>
      <c r="L144" s="58">
        <f>SUM($F$135:F144)</f>
        <v>0.94704067548916138</v>
      </c>
      <c r="M144" s="58">
        <v>1</v>
      </c>
      <c r="N144" s="22">
        <f t="shared" si="53"/>
        <v>0.17327724713908038</v>
      </c>
      <c r="O144" s="92">
        <f t="shared" si="54"/>
        <v>0.82672275286091956</v>
      </c>
      <c r="P144" s="22">
        <f t="shared" si="55"/>
        <v>0.79829220704645221</v>
      </c>
      <c r="Q144" s="22">
        <f t="shared" si="56"/>
        <v>0.99999999999999989</v>
      </c>
      <c r="R144" s="93">
        <f t="shared" si="57"/>
        <v>0.95621732145074456</v>
      </c>
      <c r="S144" s="93"/>
    </row>
    <row r="145" spans="2:23">
      <c r="B145" s="7"/>
      <c r="C145" s="15" t="s">
        <v>17</v>
      </c>
      <c r="D145" s="10">
        <v>38</v>
      </c>
      <c r="E145" s="9">
        <f>3+5.41</f>
        <v>8.41</v>
      </c>
      <c r="F145" s="28">
        <f t="shared" si="50"/>
        <v>6.8279613542258678E-3</v>
      </c>
      <c r="G145" s="30">
        <f>SUM(E146:E$146)/$E$147</f>
        <v>4.6131363156612822E-2</v>
      </c>
      <c r="J145" s="58">
        <f t="shared" si="51"/>
        <v>0.82419257518498523</v>
      </c>
      <c r="K145" s="58">
        <f t="shared" si="52"/>
        <v>0.17580742481501477</v>
      </c>
      <c r="L145" s="58">
        <f>SUM($F$135:F145)</f>
        <v>0.9538686368433873</v>
      </c>
      <c r="M145" s="58">
        <v>1</v>
      </c>
      <c r="N145" s="22">
        <f t="shared" si="53"/>
        <v>0.13594750540025688</v>
      </c>
      <c r="O145" s="92">
        <f t="shared" si="54"/>
        <v>0.86405249459974309</v>
      </c>
      <c r="P145" s="22">
        <f t="shared" si="55"/>
        <v>0.77327510793870824</v>
      </c>
      <c r="Q145" s="22">
        <f t="shared" si="56"/>
        <v>1</v>
      </c>
      <c r="R145" s="93">
        <f t="shared" si="57"/>
        <v>0.96014008058524214</v>
      </c>
      <c r="S145" s="93"/>
      <c r="T145" s="58">
        <f>SUM($F$107:$F$117)</f>
        <v>0.82419257518498523</v>
      </c>
      <c r="U145" s="58">
        <f>SUM(F135:F145)</f>
        <v>0.9538686368433873</v>
      </c>
      <c r="V145" s="22">
        <v>0.7</v>
      </c>
      <c r="W145" s="22">
        <f>U145*(T145-V145)*(1-V145)*(U145-T145)/T145/(U145-V145)^2/(1-T145)</f>
        <v>0.493493295012987</v>
      </c>
    </row>
    <row r="146" spans="2:23">
      <c r="B146" s="23"/>
      <c r="C146" s="24">
        <v>-38</v>
      </c>
      <c r="D146" s="25"/>
      <c r="E146" s="26">
        <f>1.47+55.35</f>
        <v>56.82</v>
      </c>
      <c r="F146" s="28">
        <f t="shared" si="50"/>
        <v>4.6131363156612822E-2</v>
      </c>
      <c r="G146" s="27"/>
      <c r="J146" s="9"/>
    </row>
    <row r="147" spans="2:23" ht="15.75" thickBot="1">
      <c r="B147" s="11"/>
      <c r="C147" s="12" t="s">
        <v>6</v>
      </c>
      <c r="D147" s="13"/>
      <c r="E147" s="14">
        <f>SUM(E135:E146)</f>
        <v>1231.6999999999998</v>
      </c>
      <c r="F147" s="28">
        <f t="shared" si="50"/>
        <v>1</v>
      </c>
      <c r="G147" s="14"/>
      <c r="J147" s="9"/>
    </row>
    <row r="148" spans="2:23" ht="30.75" thickBot="1">
      <c r="B148" s="1" t="s">
        <v>0</v>
      </c>
      <c r="C148" s="131" t="s">
        <v>1</v>
      </c>
      <c r="D148" s="132"/>
      <c r="E148" s="2" t="s">
        <v>2</v>
      </c>
      <c r="F148" s="19" t="s">
        <v>14</v>
      </c>
      <c r="G148" s="2" t="s">
        <v>3</v>
      </c>
      <c r="J148" s="9"/>
    </row>
    <row r="149" spans="2:23" ht="38.25" thickTop="1">
      <c r="B149" s="34" t="s">
        <v>32</v>
      </c>
      <c r="C149" s="3" t="s">
        <v>16</v>
      </c>
      <c r="D149" s="4">
        <v>1180</v>
      </c>
      <c r="E149" s="5">
        <v>13.62</v>
      </c>
      <c r="F149" s="28">
        <f>E149/$E$161</f>
        <v>2.7346651942576041E-2</v>
      </c>
      <c r="G149" s="30">
        <f>SUM(E150:E$160)/$E$161</f>
        <v>0.97265334805742398</v>
      </c>
      <c r="J149" s="9"/>
    </row>
    <row r="150" spans="2:23">
      <c r="B150" s="16" t="s">
        <v>4</v>
      </c>
      <c r="C150" s="17" t="s">
        <v>15</v>
      </c>
      <c r="D150" s="4">
        <v>600</v>
      </c>
      <c r="E150" s="5">
        <v>75.67</v>
      </c>
      <c r="F150" s="28">
        <f t="shared" ref="F150:F161" si="58">E150/$E$161</f>
        <v>0.15193253689388614</v>
      </c>
      <c r="G150" s="30">
        <f>SUM(E151:E$160)/$E$161</f>
        <v>0.82072081116353779</v>
      </c>
      <c r="J150" s="9"/>
    </row>
    <row r="151" spans="2:23">
      <c r="B151" s="18">
        <f>FORECAST(0.8,D150:D151,G150:G151)</f>
        <v>585.16754270696447</v>
      </c>
      <c r="C151" s="17" t="s">
        <v>11</v>
      </c>
      <c r="D151" s="4">
        <v>425</v>
      </c>
      <c r="E151" s="5">
        <v>121.76</v>
      </c>
      <c r="F151" s="28">
        <f t="shared" si="58"/>
        <v>0.24447344644112035</v>
      </c>
      <c r="G151" s="30">
        <f>SUM(E152:E$160)/$E$161</f>
        <v>0.57624736472241744</v>
      </c>
      <c r="J151" s="9"/>
    </row>
    <row r="152" spans="2:23">
      <c r="B152" s="7"/>
      <c r="C152" s="17" t="s">
        <v>10</v>
      </c>
      <c r="D152" s="4">
        <v>300</v>
      </c>
      <c r="E152" s="5">
        <v>165.18</v>
      </c>
      <c r="F152" s="28">
        <f t="shared" si="58"/>
        <v>0.33165344844895089</v>
      </c>
      <c r="G152" s="30">
        <f>SUM(E153:E$160)/$E$161</f>
        <v>0.24459391627346647</v>
      </c>
      <c r="H152" s="32"/>
      <c r="J152" s="94">
        <f>J138</f>
        <v>0.35468470471169822</v>
      </c>
      <c r="K152" s="58">
        <f>1-J152</f>
        <v>0.64531529528830178</v>
      </c>
      <c r="L152" s="58">
        <f>SUM($F$149:F152)</f>
        <v>0.75540608372653351</v>
      </c>
      <c r="M152" s="58">
        <v>1</v>
      </c>
      <c r="N152" s="22">
        <f>+(L152-J152)/(L152+M152-1)</f>
        <v>0.53047147441282916</v>
      </c>
      <c r="O152" s="92">
        <f>1-N152</f>
        <v>0.46952852558717084</v>
      </c>
      <c r="P152" s="22">
        <f>+N152*M152/K152</f>
        <v>0.8220345593634738</v>
      </c>
      <c r="Q152" s="22">
        <f>+O152*L152/J152</f>
        <v>1</v>
      </c>
      <c r="R152" s="93">
        <f>+N152*M152+O152*L152</f>
        <v>0.88515617912452738</v>
      </c>
      <c r="S152" s="93"/>
    </row>
    <row r="153" spans="2:23">
      <c r="B153" s="7"/>
      <c r="C153" s="15" t="s">
        <v>5</v>
      </c>
      <c r="D153" s="8">
        <v>212</v>
      </c>
      <c r="E153" s="9">
        <v>77.430000000000007</v>
      </c>
      <c r="F153" s="28">
        <f t="shared" si="58"/>
        <v>0.15546631864270655</v>
      </c>
      <c r="G153" s="30">
        <f>SUM(E154:E$160)/$E$161</f>
        <v>8.9127597630759947E-2</v>
      </c>
      <c r="H153" s="68">
        <f>SUM(F154:F160)*100</f>
        <v>8.9127597630759947</v>
      </c>
      <c r="I153" s="32">
        <f>($I$194-H153)/($I$194*(100-H153))*10000</f>
        <v>90.388221303060973</v>
      </c>
      <c r="J153" s="94">
        <f t="shared" ref="J153:J159" si="59">J139</f>
        <v>0.49797283707538076</v>
      </c>
      <c r="K153" s="58">
        <f t="shared" ref="K153:K159" si="60">1-J153</f>
        <v>0.50202716292461924</v>
      </c>
      <c r="L153" s="58">
        <f>SUM($F$149:F153)</f>
        <v>0.91087240236924005</v>
      </c>
      <c r="M153" s="110">
        <v>0.87239999999999995</v>
      </c>
      <c r="N153" s="22">
        <f t="shared" ref="N153:N159" si="61">+(L153-J153)/(L153+M153-1)</f>
        <v>0.52714683173430088</v>
      </c>
      <c r="O153" s="92">
        <f t="shared" ref="O153:O159" si="62">1-N153</f>
        <v>0.47285316826569912</v>
      </c>
      <c r="P153" s="22">
        <f t="shared" ref="P153:P159" si="63">+N153*M153/K153</f>
        <v>0.91605181943921377</v>
      </c>
      <c r="Q153" s="22">
        <f t="shared" ref="Q153:Q159" si="64">+O153*L153/J153</f>
        <v>0.86492448840313996</v>
      </c>
      <c r="R153" s="93">
        <f t="shared" ref="R153:R159" si="65">+N153*M153+O153*L153</f>
        <v>0.89059179735108795</v>
      </c>
      <c r="S153" s="93"/>
    </row>
    <row r="154" spans="2:23">
      <c r="B154" s="7"/>
      <c r="C154" s="15" t="s">
        <v>12</v>
      </c>
      <c r="D154" s="8">
        <v>180</v>
      </c>
      <c r="E154" s="9">
        <v>7.31</v>
      </c>
      <c r="F154" s="28">
        <f t="shared" si="58"/>
        <v>1.4677241240839271E-2</v>
      </c>
      <c r="G154" s="30">
        <f>SUM(E155:E$160)/$E$161</f>
        <v>7.4450356389920674E-2</v>
      </c>
      <c r="J154" s="94">
        <f t="shared" si="59"/>
        <v>0.53475816951951471</v>
      </c>
      <c r="K154" s="58">
        <f t="shared" si="60"/>
        <v>0.46524183048048529</v>
      </c>
      <c r="L154" s="58">
        <f>SUM($F$149:F154)</f>
        <v>0.9255496436100793</v>
      </c>
      <c r="M154" s="58">
        <v>1</v>
      </c>
      <c r="N154" s="22">
        <f t="shared" si="61"/>
        <v>0.42222637844286115</v>
      </c>
      <c r="O154" s="92">
        <f t="shared" si="62"/>
        <v>0.57777362155713885</v>
      </c>
      <c r="P154" s="22">
        <f t="shared" si="63"/>
        <v>0.90754173588991494</v>
      </c>
      <c r="Q154" s="22">
        <f t="shared" si="64"/>
        <v>1</v>
      </c>
      <c r="R154" s="93">
        <f t="shared" si="65"/>
        <v>0.95698454796237586</v>
      </c>
      <c r="S154" s="93"/>
    </row>
    <row r="155" spans="2:23">
      <c r="B155" s="7"/>
      <c r="C155" s="15" t="s">
        <v>13</v>
      </c>
      <c r="D155" s="8">
        <v>150</v>
      </c>
      <c r="E155" s="9">
        <v>6.1</v>
      </c>
      <c r="F155" s="28">
        <f t="shared" si="58"/>
        <v>1.2247766288525246E-2</v>
      </c>
      <c r="G155" s="30">
        <f>SUM(E156:E$160)/$E$161</f>
        <v>6.2202590101395436E-2</v>
      </c>
      <c r="J155" s="94">
        <f t="shared" si="59"/>
        <v>0.59484264346279647</v>
      </c>
      <c r="K155" s="58">
        <f t="shared" si="60"/>
        <v>0.40515735653720353</v>
      </c>
      <c r="L155" s="58">
        <f>SUM($F$149:F155)</f>
        <v>0.93779740989860449</v>
      </c>
      <c r="M155" s="58">
        <v>1</v>
      </c>
      <c r="N155" s="22">
        <f t="shared" si="61"/>
        <v>0.36570240311592306</v>
      </c>
      <c r="O155" s="92">
        <f t="shared" si="62"/>
        <v>0.63429759688407694</v>
      </c>
      <c r="P155" s="22">
        <f t="shared" si="63"/>
        <v>0.90261819812802158</v>
      </c>
      <c r="Q155" s="22">
        <f t="shared" si="64"/>
        <v>1</v>
      </c>
      <c r="R155" s="93">
        <f t="shared" si="65"/>
        <v>0.96054504657871953</v>
      </c>
      <c r="S155" s="93"/>
    </row>
    <row r="156" spans="2:23">
      <c r="B156" s="7"/>
      <c r="C156" s="15" t="s">
        <v>9</v>
      </c>
      <c r="D156" s="8">
        <v>106</v>
      </c>
      <c r="E156" s="9">
        <v>5.22</v>
      </c>
      <c r="F156" s="28">
        <f t="shared" si="58"/>
        <v>1.0480875414115047E-2</v>
      </c>
      <c r="G156" s="30">
        <f>SUM(E157:E$160)/$E$161</f>
        <v>5.172171468728038E-2</v>
      </c>
      <c r="J156" s="94">
        <f t="shared" si="59"/>
        <v>0.67535753225994255</v>
      </c>
      <c r="K156" s="58">
        <f t="shared" si="60"/>
        <v>0.32464246774005745</v>
      </c>
      <c r="L156" s="58">
        <f>SUM($F$149:F156)</f>
        <v>0.94827828531271952</v>
      </c>
      <c r="M156" s="58">
        <v>1</v>
      </c>
      <c r="N156" s="22">
        <f t="shared" si="61"/>
        <v>0.28780660411597875</v>
      </c>
      <c r="O156" s="92">
        <f t="shared" si="62"/>
        <v>0.7121933958840212</v>
      </c>
      <c r="P156" s="22">
        <f t="shared" si="63"/>
        <v>0.88653405735698965</v>
      </c>
      <c r="Q156" s="22">
        <f t="shared" si="64"/>
        <v>0.99999999999999989</v>
      </c>
      <c r="R156" s="93">
        <f t="shared" si="65"/>
        <v>0.96316413637592113</v>
      </c>
      <c r="S156" s="93"/>
    </row>
    <row r="157" spans="2:23">
      <c r="B157" s="7"/>
      <c r="C157" s="15" t="s">
        <v>8</v>
      </c>
      <c r="D157" s="8">
        <v>75</v>
      </c>
      <c r="E157" s="9">
        <v>2.62</v>
      </c>
      <c r="F157" s="28">
        <f t="shared" si="58"/>
        <v>5.2605160124485489E-3</v>
      </c>
      <c r="G157" s="30">
        <f>SUM(E158:E$160)/$E$161</f>
        <v>4.6461198674831838E-2</v>
      </c>
      <c r="J157" s="94">
        <f t="shared" si="59"/>
        <v>0.73742153344554173</v>
      </c>
      <c r="K157" s="58">
        <f t="shared" si="60"/>
        <v>0.26257846655445827</v>
      </c>
      <c r="L157" s="58">
        <f>SUM($F$149:F157)</f>
        <v>0.95353880132516811</v>
      </c>
      <c r="M157" s="58">
        <v>1</v>
      </c>
      <c r="N157" s="22">
        <f t="shared" si="61"/>
        <v>0.22664758642152816</v>
      </c>
      <c r="O157" s="92">
        <f t="shared" si="62"/>
        <v>0.77335241357847184</v>
      </c>
      <c r="P157" s="22">
        <f t="shared" si="63"/>
        <v>0.86316136047097325</v>
      </c>
      <c r="Q157" s="22">
        <f t="shared" si="64"/>
        <v>1</v>
      </c>
      <c r="R157" s="93">
        <f t="shared" si="65"/>
        <v>0.96406911986706989</v>
      </c>
      <c r="S157" s="93"/>
    </row>
    <row r="158" spans="2:23">
      <c r="B158" s="7"/>
      <c r="C158" s="15" t="s">
        <v>7</v>
      </c>
      <c r="D158" s="10">
        <v>53</v>
      </c>
      <c r="E158" s="9">
        <v>2.46</v>
      </c>
      <c r="F158" s="28">
        <f t="shared" si="58"/>
        <v>4.9392631261921489E-3</v>
      </c>
      <c r="G158" s="30">
        <f>SUM(E159:E$160)/$E$161</f>
        <v>4.1521935548639685E-2</v>
      </c>
      <c r="J158" s="94">
        <f t="shared" si="59"/>
        <v>0.78294007431166435</v>
      </c>
      <c r="K158" s="58">
        <f t="shared" si="60"/>
        <v>0.21705992568833565</v>
      </c>
      <c r="L158" s="58">
        <f>SUM($F$149:F158)</f>
        <v>0.9584780644513603</v>
      </c>
      <c r="M158" s="58">
        <v>1</v>
      </c>
      <c r="N158" s="22">
        <f t="shared" si="61"/>
        <v>0.18314241780814794</v>
      </c>
      <c r="O158" s="92">
        <f t="shared" si="62"/>
        <v>0.81685758219185201</v>
      </c>
      <c r="P158" s="22">
        <f t="shared" si="63"/>
        <v>0.84374127203522598</v>
      </c>
      <c r="Q158" s="22">
        <f t="shared" si="64"/>
        <v>0.99999999999999989</v>
      </c>
      <c r="R158" s="93">
        <f t="shared" si="65"/>
        <v>0.96608249211981212</v>
      </c>
      <c r="S158" s="93"/>
    </row>
    <row r="159" spans="2:23">
      <c r="B159" s="7"/>
      <c r="C159" s="15" t="s">
        <v>17</v>
      </c>
      <c r="D159" s="10">
        <v>38</v>
      </c>
      <c r="E159" s="9">
        <v>1.91</v>
      </c>
      <c r="F159" s="28">
        <f t="shared" si="58"/>
        <v>3.8349563296857739E-3</v>
      </c>
      <c r="G159" s="30">
        <f>SUM(E160:E$160)/$E$161</f>
        <v>3.7686979218953913E-2</v>
      </c>
      <c r="J159" s="94">
        <f t="shared" si="59"/>
        <v>0.82419257518498523</v>
      </c>
      <c r="K159" s="58">
        <f t="shared" si="60"/>
        <v>0.17580742481501477</v>
      </c>
      <c r="L159" s="58">
        <f>SUM($F$149:F159)</f>
        <v>0.96231302078104608</v>
      </c>
      <c r="M159" s="58">
        <v>1</v>
      </c>
      <c r="N159" s="22">
        <f t="shared" si="61"/>
        <v>0.14352964431880758</v>
      </c>
      <c r="O159" s="92">
        <f t="shared" si="62"/>
        <v>0.85647035568119245</v>
      </c>
      <c r="P159" s="22">
        <f t="shared" si="63"/>
        <v>0.81640263185602091</v>
      </c>
      <c r="Q159" s="22">
        <f t="shared" si="64"/>
        <v>1</v>
      </c>
      <c r="R159" s="93">
        <f t="shared" si="65"/>
        <v>0.96772221950379278</v>
      </c>
      <c r="S159" s="93"/>
      <c r="T159" s="58">
        <f>SUM($F$107:$F$117)</f>
        <v>0.82419257518498523</v>
      </c>
      <c r="U159" s="58">
        <f>SUM(F149:F159)</f>
        <v>0.96231302078104608</v>
      </c>
      <c r="V159" s="22">
        <v>0.7</v>
      </c>
      <c r="W159" s="22">
        <f>U159*(T159-V159)*(1-V159)*(U159-T159)/T159/(U159-V159)^2/(1-T159)</f>
        <v>0.4966902240084744</v>
      </c>
    </row>
    <row r="160" spans="2:23">
      <c r="B160" s="23"/>
      <c r="C160" s="24">
        <v>-38</v>
      </c>
      <c r="D160" s="25"/>
      <c r="E160" s="26">
        <v>18.77</v>
      </c>
      <c r="F160" s="28">
        <f t="shared" si="58"/>
        <v>3.7686979218953913E-2</v>
      </c>
      <c r="G160" s="27"/>
    </row>
    <row r="161" spans="2:23" ht="15.75" thickBot="1">
      <c r="B161" s="11"/>
      <c r="C161" s="12" t="s">
        <v>6</v>
      </c>
      <c r="D161" s="13"/>
      <c r="E161" s="14">
        <f>SUM(E149:E160)</f>
        <v>498.05000000000007</v>
      </c>
      <c r="F161" s="28">
        <f t="shared" si="58"/>
        <v>1</v>
      </c>
      <c r="G161" s="14"/>
    </row>
    <row r="162" spans="2:23" ht="30.75" thickBot="1">
      <c r="B162" s="1" t="s">
        <v>0</v>
      </c>
      <c r="C162" s="131" t="s">
        <v>1</v>
      </c>
      <c r="D162" s="132"/>
      <c r="E162" s="2" t="s">
        <v>2</v>
      </c>
      <c r="F162" s="19" t="s">
        <v>14</v>
      </c>
      <c r="G162" s="2" t="s">
        <v>3</v>
      </c>
    </row>
    <row r="163" spans="2:23" ht="38.25" thickTop="1">
      <c r="B163" s="34" t="s">
        <v>33</v>
      </c>
      <c r="C163" s="3" t="s">
        <v>16</v>
      </c>
      <c r="D163" s="4">
        <v>1180</v>
      </c>
      <c r="E163" s="5">
        <f>24.33+16.32</f>
        <v>40.65</v>
      </c>
      <c r="F163" s="28">
        <f>E163/$E$175</f>
        <v>2.6352809993970938E-2</v>
      </c>
      <c r="G163" s="30">
        <f>SUM(E164:E$174)/$E$175</f>
        <v>0.97364719000602895</v>
      </c>
    </row>
    <row r="164" spans="2:23">
      <c r="B164" s="16" t="s">
        <v>4</v>
      </c>
      <c r="C164" s="17" t="s">
        <v>15</v>
      </c>
      <c r="D164" s="4">
        <v>600</v>
      </c>
      <c r="E164" s="5">
        <f>119.26+83.66</f>
        <v>202.92000000000002</v>
      </c>
      <c r="F164" s="28">
        <f t="shared" ref="F164:F175" si="66">E164/$E$175</f>
        <v>0.13155011571898115</v>
      </c>
      <c r="G164" s="30">
        <f>SUM(E165:E$174)/$E$175</f>
        <v>0.84209707428704772</v>
      </c>
    </row>
    <row r="165" spans="2:23">
      <c r="B165" s="18">
        <f>FORECAST(0.8,D164:D165,G164:G165)</f>
        <v>560.37864788535978</v>
      </c>
      <c r="C165" s="17" t="s">
        <v>11</v>
      </c>
      <c r="D165" s="4">
        <v>425</v>
      </c>
      <c r="E165" s="5">
        <f>165.6+121.21</f>
        <v>286.81</v>
      </c>
      <c r="F165" s="28">
        <f t="shared" si="66"/>
        <v>0.18593479543347616</v>
      </c>
      <c r="G165" s="30">
        <f>SUM(E166:E$174)/$E$175</f>
        <v>0.65616227885357159</v>
      </c>
    </row>
    <row r="166" spans="2:23">
      <c r="B166" s="7"/>
      <c r="C166" s="17" t="s">
        <v>10</v>
      </c>
      <c r="D166" s="4">
        <v>300</v>
      </c>
      <c r="E166" s="5">
        <f>222.19+170.32</f>
        <v>392.51</v>
      </c>
      <c r="F166" s="28">
        <f t="shared" si="66"/>
        <v>0.25445858427388768</v>
      </c>
      <c r="G166" s="30">
        <f>SUM(E167:E$174)/$E$175</f>
        <v>0.40170369457968397</v>
      </c>
      <c r="H166" s="32"/>
      <c r="J166" s="92">
        <f>J152</f>
        <v>0.35468470471169822</v>
      </c>
      <c r="K166" s="58">
        <f>1-J166</f>
        <v>0.64531529528830178</v>
      </c>
      <c r="L166" s="58">
        <f>SUM($F$163:F166)</f>
        <v>0.59829630542031587</v>
      </c>
      <c r="M166" s="58">
        <v>1</v>
      </c>
      <c r="N166" s="22">
        <f>+(L166-J166)/(L166+M166-1)</f>
        <v>0.40717550568438715</v>
      </c>
      <c r="O166" s="92">
        <f>1-N166</f>
        <v>0.5928244943156129</v>
      </c>
      <c r="P166" s="22">
        <f>+N166*M166/K166</f>
        <v>0.63097141607727891</v>
      </c>
      <c r="Q166" s="22">
        <f>+O166*L166/J166</f>
        <v>1</v>
      </c>
      <c r="R166" s="93">
        <f>+N166*M166+O166*L166</f>
        <v>0.76186021039608542</v>
      </c>
      <c r="S166" s="93"/>
    </row>
    <row r="167" spans="2:23">
      <c r="B167" s="7"/>
      <c r="C167" s="15" t="s">
        <v>5</v>
      </c>
      <c r="D167" s="8">
        <v>212</v>
      </c>
      <c r="E167" s="9">
        <f>124.22+101.85</f>
        <v>226.07</v>
      </c>
      <c r="F167" s="28">
        <f t="shared" si="66"/>
        <v>0.14655792756056607</v>
      </c>
      <c r="G167" s="30">
        <f>SUM(E168:E$174)/$E$175</f>
        <v>0.25514576701911784</v>
      </c>
      <c r="H167" s="68">
        <f>SUM(F168:F174)*100</f>
        <v>25.514576701911789</v>
      </c>
      <c r="I167" s="32">
        <f>($I$194-H167)/($I$194*(100-H167))*10000</f>
        <v>66.351463196471812</v>
      </c>
      <c r="J167" s="92">
        <f t="shared" ref="J167:J173" si="67">J153</f>
        <v>0.49797283707538076</v>
      </c>
      <c r="K167" s="58">
        <f t="shared" ref="K167:K173" si="68">1-J167</f>
        <v>0.50202716292461924</v>
      </c>
      <c r="L167" s="58">
        <f>SUM($F$163:F167)</f>
        <v>0.74485423298088194</v>
      </c>
      <c r="M167" s="110">
        <v>0.87239999999999995</v>
      </c>
      <c r="N167" s="22">
        <f t="shared" ref="N167:N173" si="69">+(L167-J167)/(L167+M167-1)</f>
        <v>0.39996711681221925</v>
      </c>
      <c r="O167" s="92">
        <f t="shared" ref="O167:O173" si="70">1-N167</f>
        <v>0.60003288318778081</v>
      </c>
      <c r="P167" s="22">
        <f t="shared" ref="P167:P173" si="71">+N167*M167/K167</f>
        <v>0.69504468776995854</v>
      </c>
      <c r="Q167" s="22">
        <f t="shared" ref="Q167:Q173" si="72">+O167*L167/J167</f>
        <v>0.89751287559181947</v>
      </c>
      <c r="R167" s="93">
        <f t="shared" ref="R167:R173" si="73">+N167*M167+O167*L167</f>
        <v>0.79586834567712161</v>
      </c>
      <c r="S167" s="93"/>
    </row>
    <row r="168" spans="2:23">
      <c r="B168" s="7"/>
      <c r="C168" s="15" t="s">
        <v>12</v>
      </c>
      <c r="D168" s="8">
        <v>180</v>
      </c>
      <c r="E168" s="9">
        <f>23.6+17.04</f>
        <v>40.64</v>
      </c>
      <c r="F168" s="28">
        <f t="shared" si="66"/>
        <v>2.6346327137883863E-2</v>
      </c>
      <c r="G168" s="30">
        <f>SUM(E169:E$174)/$E$175</f>
        <v>0.22879943988123402</v>
      </c>
      <c r="J168" s="92">
        <f t="shared" si="67"/>
        <v>0.53475816951951471</v>
      </c>
      <c r="K168" s="58">
        <f t="shared" si="68"/>
        <v>0.46524183048048529</v>
      </c>
      <c r="L168" s="58">
        <f>SUM($F$163:F168)</f>
        <v>0.77120056011876581</v>
      </c>
      <c r="M168" s="58">
        <v>1</v>
      </c>
      <c r="N168" s="22">
        <f t="shared" si="69"/>
        <v>0.30659001409806891</v>
      </c>
      <c r="O168" s="92">
        <f t="shared" si="70"/>
        <v>0.69340998590193115</v>
      </c>
      <c r="P168" s="22">
        <f t="shared" si="71"/>
        <v>0.65899064531973317</v>
      </c>
      <c r="Q168" s="22">
        <f t="shared" si="72"/>
        <v>1.0000000000000002</v>
      </c>
      <c r="R168" s="93">
        <f t="shared" si="73"/>
        <v>0.84134818361758379</v>
      </c>
      <c r="S168" s="93"/>
    </row>
    <row r="169" spans="2:23">
      <c r="B169" s="7"/>
      <c r="C169" s="15" t="s">
        <v>13</v>
      </c>
      <c r="D169" s="8">
        <v>150</v>
      </c>
      <c r="E169" s="9">
        <f>20.62+22.79</f>
        <v>43.41</v>
      </c>
      <c r="F169" s="28">
        <f t="shared" si="66"/>
        <v>2.814207827400439E-2</v>
      </c>
      <c r="G169" s="30">
        <f>SUM(E170:E$174)/$E$175</f>
        <v>0.20065736160722963</v>
      </c>
      <c r="J169" s="92">
        <f t="shared" si="67"/>
        <v>0.59484264346279647</v>
      </c>
      <c r="K169" s="58">
        <f t="shared" si="68"/>
        <v>0.40515735653720353</v>
      </c>
      <c r="L169" s="58">
        <f>SUM($F$163:F169)</f>
        <v>0.7993426383927702</v>
      </c>
      <c r="M169" s="58">
        <v>1</v>
      </c>
      <c r="N169" s="22">
        <f t="shared" si="69"/>
        <v>0.25583521397177023</v>
      </c>
      <c r="O169" s="92">
        <f t="shared" si="70"/>
        <v>0.74416478602822977</v>
      </c>
      <c r="P169" s="22">
        <f t="shared" si="71"/>
        <v>0.63144654748056683</v>
      </c>
      <c r="Q169" s="22">
        <f t="shared" si="72"/>
        <v>1</v>
      </c>
      <c r="R169" s="93">
        <f t="shared" si="73"/>
        <v>0.8506778574345667</v>
      </c>
      <c r="S169" s="93"/>
    </row>
    <row r="170" spans="2:23">
      <c r="B170" s="7"/>
      <c r="C170" s="15" t="s">
        <v>9</v>
      </c>
      <c r="D170" s="8">
        <v>106</v>
      </c>
      <c r="E170" s="9">
        <f>28.3+30.25</f>
        <v>58.55</v>
      </c>
      <c r="F170" s="28">
        <f t="shared" si="66"/>
        <v>3.7957122389840059E-2</v>
      </c>
      <c r="G170" s="30">
        <f>SUM(E171:E$174)/$E$175</f>
        <v>0.1627002392173896</v>
      </c>
      <c r="J170" s="92">
        <f t="shared" si="67"/>
        <v>0.67535753225994255</v>
      </c>
      <c r="K170" s="58">
        <f t="shared" si="68"/>
        <v>0.32464246774005745</v>
      </c>
      <c r="L170" s="58">
        <f>SUM($F$163:F170)</f>
        <v>0.83729976078261026</v>
      </c>
      <c r="M170" s="58">
        <v>1</v>
      </c>
      <c r="N170" s="22">
        <f t="shared" si="69"/>
        <v>0.19341009768270204</v>
      </c>
      <c r="O170" s="92">
        <f t="shared" si="70"/>
        <v>0.80658990231729799</v>
      </c>
      <c r="P170" s="22">
        <f t="shared" si="71"/>
        <v>0.59576339173704873</v>
      </c>
      <c r="Q170" s="22">
        <f t="shared" si="72"/>
        <v>1</v>
      </c>
      <c r="R170" s="93">
        <f t="shared" si="73"/>
        <v>0.86876762994264456</v>
      </c>
      <c r="S170" s="93"/>
    </row>
    <row r="171" spans="2:23">
      <c r="B171" s="7"/>
      <c r="C171" s="15" t="s">
        <v>8</v>
      </c>
      <c r="D171" s="8">
        <v>75</v>
      </c>
      <c r="E171" s="9">
        <f>18.19+23.1</f>
        <v>41.290000000000006</v>
      </c>
      <c r="F171" s="28">
        <f t="shared" si="66"/>
        <v>2.676771278354392E-2</v>
      </c>
      <c r="G171" s="30">
        <f>SUM(E172:E$174)/$E$175</f>
        <v>0.13593252643384565</v>
      </c>
      <c r="J171" s="92">
        <f t="shared" si="67"/>
        <v>0.73742153344554173</v>
      </c>
      <c r="K171" s="58">
        <f t="shared" si="68"/>
        <v>0.26257846655445827</v>
      </c>
      <c r="L171" s="58">
        <f>SUM($F$163:F171)</f>
        <v>0.86406747356615421</v>
      </c>
      <c r="M171" s="58">
        <v>1</v>
      </c>
      <c r="N171" s="22">
        <f t="shared" si="69"/>
        <v>0.14656950295550766</v>
      </c>
      <c r="O171" s="92">
        <f t="shared" si="70"/>
        <v>0.85343049704449236</v>
      </c>
      <c r="P171" s="22">
        <f t="shared" si="71"/>
        <v>0.55819315604506903</v>
      </c>
      <c r="Q171" s="22">
        <f t="shared" si="72"/>
        <v>1</v>
      </c>
      <c r="R171" s="93">
        <f t="shared" si="73"/>
        <v>0.88399103640104937</v>
      </c>
      <c r="S171" s="93"/>
    </row>
    <row r="172" spans="2:23">
      <c r="B172" s="7"/>
      <c r="C172" s="15" t="s">
        <v>7</v>
      </c>
      <c r="D172" s="10">
        <v>53</v>
      </c>
      <c r="E172" s="9">
        <f>16.05+22.65</f>
        <v>38.700000000000003</v>
      </c>
      <c r="F172" s="28">
        <f t="shared" si="66"/>
        <v>2.5088653056990786E-2</v>
      </c>
      <c r="G172" s="30">
        <f>SUM(E173:E$174)/$E$175</f>
        <v>0.11084387337685489</v>
      </c>
      <c r="J172" s="92">
        <f t="shared" si="67"/>
        <v>0.78294007431166435</v>
      </c>
      <c r="K172" s="58">
        <f t="shared" si="68"/>
        <v>0.21705992568833565</v>
      </c>
      <c r="L172" s="58">
        <f>SUM($F$163:F172)</f>
        <v>0.88915612662314503</v>
      </c>
      <c r="M172" s="58">
        <v>1</v>
      </c>
      <c r="N172" s="22">
        <f t="shared" si="69"/>
        <v>0.11945714496156049</v>
      </c>
      <c r="O172" s="92">
        <f t="shared" si="70"/>
        <v>0.88054285503843954</v>
      </c>
      <c r="P172" s="22">
        <f t="shared" si="71"/>
        <v>0.55034177581486132</v>
      </c>
      <c r="Q172" s="22">
        <f t="shared" si="72"/>
        <v>1</v>
      </c>
      <c r="R172" s="93">
        <f t="shared" si="73"/>
        <v>0.9023972192732248</v>
      </c>
      <c r="S172" s="93"/>
    </row>
    <row r="173" spans="2:23">
      <c r="B173" s="7"/>
      <c r="C173" s="15" t="s">
        <v>17</v>
      </c>
      <c r="D173" s="10">
        <v>38</v>
      </c>
      <c r="E173" s="9">
        <f>10.54+12.36</f>
        <v>22.9</v>
      </c>
      <c r="F173" s="28">
        <f t="shared" si="66"/>
        <v>1.4845740439407984E-2</v>
      </c>
      <c r="G173" s="30">
        <f>SUM(E174:E$174)/$E$175</f>
        <v>9.5998132937446898E-2</v>
      </c>
      <c r="J173" s="92">
        <f t="shared" si="67"/>
        <v>0.82419257518498523</v>
      </c>
      <c r="K173" s="58">
        <f t="shared" si="68"/>
        <v>0.17580742481501477</v>
      </c>
      <c r="L173" s="58">
        <f>SUM($F$163:F173)</f>
        <v>0.90400186706255303</v>
      </c>
      <c r="M173" s="58">
        <v>1</v>
      </c>
      <c r="N173" s="22">
        <f t="shared" si="69"/>
        <v>8.8284432571913429E-2</v>
      </c>
      <c r="O173" s="92">
        <f t="shared" si="70"/>
        <v>0.91171556742808657</v>
      </c>
      <c r="P173" s="22">
        <f t="shared" si="71"/>
        <v>0.50216555225017734</v>
      </c>
      <c r="Q173" s="22">
        <f t="shared" si="72"/>
        <v>1</v>
      </c>
      <c r="R173" s="93">
        <f t="shared" si="73"/>
        <v>0.91247700775689866</v>
      </c>
      <c r="S173" s="93"/>
      <c r="T173" s="58">
        <f>SUM($F$107:$F$117)</f>
        <v>0.82419257518498523</v>
      </c>
      <c r="U173" s="58">
        <f>SUM(F163:F173)</f>
        <v>0.90400186706255303</v>
      </c>
      <c r="V173" s="22">
        <v>0.7</v>
      </c>
      <c r="W173" s="22">
        <f>U173*(T173-V173)*(1-V173)*(U173-T173)/T173/(U173-V173)^2/(1-T173)</f>
        <v>0.44576449832784115</v>
      </c>
    </row>
    <row r="174" spans="2:23">
      <c r="B174" s="23"/>
      <c r="C174" s="24">
        <v>-38</v>
      </c>
      <c r="D174" s="25"/>
      <c r="E174" s="26">
        <f>4.32+5.78+137.98</f>
        <v>148.07999999999998</v>
      </c>
      <c r="F174" s="28">
        <f t="shared" si="66"/>
        <v>9.5998132937446898E-2</v>
      </c>
      <c r="G174" s="27"/>
    </row>
    <row r="175" spans="2:23" ht="15.75" thickBot="1">
      <c r="B175" s="11"/>
      <c r="C175" s="12" t="s">
        <v>6</v>
      </c>
      <c r="D175" s="13"/>
      <c r="E175" s="14">
        <f>SUM(E163:E174)</f>
        <v>1542.5300000000002</v>
      </c>
      <c r="F175" s="28">
        <f t="shared" si="66"/>
        <v>1</v>
      </c>
      <c r="G175" s="14"/>
    </row>
    <row r="176" spans="2:23" ht="30.75" thickBot="1">
      <c r="B176" s="1" t="s">
        <v>0</v>
      </c>
      <c r="C176" s="131" t="s">
        <v>1</v>
      </c>
      <c r="D176" s="132"/>
      <c r="E176" s="2" t="s">
        <v>2</v>
      </c>
      <c r="F176" s="19" t="s">
        <v>14</v>
      </c>
      <c r="G176" s="2" t="s">
        <v>3</v>
      </c>
    </row>
    <row r="177" spans="2:23" ht="38.25" thickTop="1">
      <c r="B177" s="34" t="s">
        <v>34</v>
      </c>
      <c r="C177" s="3" t="s">
        <v>16</v>
      </c>
      <c r="D177" s="4">
        <v>1180</v>
      </c>
      <c r="E177" s="5">
        <f>52.19+53.32</f>
        <v>105.50999999999999</v>
      </c>
      <c r="F177" s="28">
        <f>E177/$E$189</f>
        <v>5.4578184244693989E-2</v>
      </c>
      <c r="G177" s="30">
        <f>SUM(E178:E$188)/$E$189</f>
        <v>0.94542181575530593</v>
      </c>
    </row>
    <row r="178" spans="2:23">
      <c r="B178" s="16" t="s">
        <v>4</v>
      </c>
      <c r="C178" s="17" t="s">
        <v>15</v>
      </c>
      <c r="D178" s="4">
        <v>600</v>
      </c>
      <c r="E178" s="5">
        <f>187.33+176.43</f>
        <v>363.76</v>
      </c>
      <c r="F178" s="28">
        <f t="shared" ref="F178:F188" si="74">E178/$E$189</f>
        <v>0.18816567435171916</v>
      </c>
      <c r="G178" s="30">
        <f>SUM(E179:E$188)/$E$189</f>
        <v>0.75725614140358677</v>
      </c>
    </row>
    <row r="179" spans="2:23">
      <c r="B179" s="18">
        <f>FORECAST(0.8,D177:D178,G177:G178)</f>
        <v>731.75324389707566</v>
      </c>
      <c r="C179" s="17" t="s">
        <v>11</v>
      </c>
      <c r="D179" s="4">
        <v>425</v>
      </c>
      <c r="E179" s="5">
        <f>199.45+190.9</f>
        <v>390.35</v>
      </c>
      <c r="F179" s="28">
        <f t="shared" si="74"/>
        <v>0.2019201423553815</v>
      </c>
      <c r="G179" s="30">
        <f>SUM(E180:E$188)/$E$189</f>
        <v>0.5553359990482053</v>
      </c>
    </row>
    <row r="180" spans="2:23">
      <c r="B180" s="7"/>
      <c r="C180" s="17" t="s">
        <v>10</v>
      </c>
      <c r="D180" s="4">
        <v>300</v>
      </c>
      <c r="E180" s="5">
        <f>235.9+228.32</f>
        <v>464.22</v>
      </c>
      <c r="F180" s="28">
        <f t="shared" si="74"/>
        <v>0.24013159596314898</v>
      </c>
      <c r="G180" s="30">
        <f>SUM(E181:E$188)/$E$189</f>
        <v>0.31520440308505626</v>
      </c>
      <c r="H180" s="32"/>
      <c r="J180" s="92">
        <f>+J166</f>
        <v>0.35468470471169822</v>
      </c>
      <c r="K180" s="58">
        <f>1-J180</f>
        <v>0.64531529528830178</v>
      </c>
      <c r="L180" s="58">
        <f>SUM($F$177:F180)</f>
        <v>0.68479559691494363</v>
      </c>
      <c r="M180" s="58">
        <v>1</v>
      </c>
      <c r="N180" s="22">
        <f>+(L180-J180)/(L180+M180-1)</f>
        <v>0.48205755657661964</v>
      </c>
      <c r="O180" s="92">
        <f>1-N180</f>
        <v>0.51794244342338036</v>
      </c>
      <c r="P180" s="22">
        <f>+N180*M180/K180</f>
        <v>0.74701089544337407</v>
      </c>
      <c r="Q180" s="22">
        <f>+O180*L180/J180</f>
        <v>0.99999999999999989</v>
      </c>
      <c r="R180" s="93">
        <f>+N180*M180+O180*L180</f>
        <v>0.83674226128831775</v>
      </c>
      <c r="S180" s="93"/>
    </row>
    <row r="181" spans="2:23">
      <c r="B181" s="7"/>
      <c r="C181" s="15" t="s">
        <v>5</v>
      </c>
      <c r="D181" s="8">
        <v>212</v>
      </c>
      <c r="E181" s="9">
        <f>114.04+115.57</f>
        <v>229.61</v>
      </c>
      <c r="F181" s="28">
        <f t="shared" si="74"/>
        <v>0.11877259865817637</v>
      </c>
      <c r="G181" s="30">
        <f>SUM(E182:E$188)/$E$189</f>
        <v>0.19643180442687991</v>
      </c>
      <c r="H181" s="68">
        <f>SUM(F182:F188)*100</f>
        <v>19.643180442687992</v>
      </c>
      <c r="I181" s="32">
        <f>($H$181-H181)/($I$194*(100-H181))*10000</f>
        <v>0</v>
      </c>
      <c r="J181" s="92">
        <f t="shared" ref="J181:J187" si="75">+J167</f>
        <v>0.49797283707538076</v>
      </c>
      <c r="K181" s="58">
        <f t="shared" ref="K181:K187" si="76">1-J181</f>
        <v>0.50202716292461924</v>
      </c>
      <c r="L181" s="58">
        <f>SUM($F$177:F181)</f>
        <v>0.80356819557311998</v>
      </c>
      <c r="M181" s="110">
        <v>0.87239999999999995</v>
      </c>
      <c r="N181" s="22">
        <f t="shared" ref="N181:N187" si="77">+(L181-J181)/(L181+M181-1)</f>
        <v>0.45208540948977638</v>
      </c>
      <c r="O181" s="92">
        <f t="shared" ref="O181:O187" si="78">1-N181</f>
        <v>0.54791459051022362</v>
      </c>
      <c r="P181" s="22">
        <f t="shared" ref="P181:P187" si="79">+N181*M181/K181</f>
        <v>0.78561348940017617</v>
      </c>
      <c r="Q181" s="22">
        <f t="shared" ref="Q181:Q187" si="80">+O181*L181/J181</f>
        <v>0.88415814286239236</v>
      </c>
      <c r="R181" s="93">
        <f t="shared" ref="R181:R187" si="81">+N181*M181+O181*L181</f>
        <v>0.83468605006336616</v>
      </c>
      <c r="S181" s="93"/>
    </row>
    <row r="182" spans="2:23">
      <c r="B182" s="7"/>
      <c r="C182" s="15" t="s">
        <v>12</v>
      </c>
      <c r="D182" s="8">
        <v>180</v>
      </c>
      <c r="E182" s="9">
        <f>17.92+18.88</f>
        <v>36.799999999999997</v>
      </c>
      <c r="F182" s="28">
        <f t="shared" si="74"/>
        <v>1.9035894040420234E-2</v>
      </c>
      <c r="G182" s="30">
        <f>SUM(E183:E$188)/$E$189</f>
        <v>0.17739591038645966</v>
      </c>
      <c r="J182" s="92">
        <f t="shared" si="75"/>
        <v>0.53475816951951471</v>
      </c>
      <c r="K182" s="58">
        <f t="shared" si="76"/>
        <v>0.46524183048048529</v>
      </c>
      <c r="L182" s="58">
        <f>SUM($F$177:F182)</f>
        <v>0.82260408961354026</v>
      </c>
      <c r="M182" s="58">
        <v>1</v>
      </c>
      <c r="N182" s="22">
        <f t="shared" si="77"/>
        <v>0.34992036111716351</v>
      </c>
      <c r="O182" s="92">
        <f t="shared" si="78"/>
        <v>0.65007963888283649</v>
      </c>
      <c r="P182" s="22">
        <f t="shared" si="79"/>
        <v>0.75212575093640688</v>
      </c>
      <c r="Q182" s="22">
        <f t="shared" si="80"/>
        <v>1</v>
      </c>
      <c r="R182" s="93">
        <f t="shared" si="81"/>
        <v>0.88467853063667823</v>
      </c>
      <c r="S182" s="93"/>
    </row>
    <row r="183" spans="2:23">
      <c r="B183" s="7"/>
      <c r="C183" s="15" t="s">
        <v>13</v>
      </c>
      <c r="D183" s="8">
        <v>150</v>
      </c>
      <c r="E183" s="9">
        <f>21.99+21.07</f>
        <v>43.06</v>
      </c>
      <c r="F183" s="28">
        <f t="shared" si="74"/>
        <v>2.2274065146209113E-2</v>
      </c>
      <c r="G183" s="30">
        <f>SUM(E184:E$188)/$E$189</f>
        <v>0.15512184524025055</v>
      </c>
      <c r="J183" s="92">
        <f t="shared" si="75"/>
        <v>0.59484264346279647</v>
      </c>
      <c r="K183" s="58">
        <f t="shared" si="76"/>
        <v>0.40515735653720353</v>
      </c>
      <c r="L183" s="58">
        <f>SUM($F$177:F183)</f>
        <v>0.84487815475974937</v>
      </c>
      <c r="M183" s="58">
        <v>1</v>
      </c>
      <c r="N183" s="22">
        <f t="shared" si="77"/>
        <v>0.29594268698786902</v>
      </c>
      <c r="O183" s="92">
        <f t="shared" si="78"/>
        <v>0.70405731301213104</v>
      </c>
      <c r="P183" s="22">
        <f t="shared" si="79"/>
        <v>0.73043888309774307</v>
      </c>
      <c r="Q183" s="22">
        <f t="shared" si="80"/>
        <v>1.0000000000000002</v>
      </c>
      <c r="R183" s="93">
        <f t="shared" si="81"/>
        <v>0.89078533045066566</v>
      </c>
      <c r="S183" s="93"/>
    </row>
    <row r="184" spans="2:23">
      <c r="B184" s="7"/>
      <c r="C184" s="15" t="s">
        <v>9</v>
      </c>
      <c r="D184" s="8">
        <v>106</v>
      </c>
      <c r="E184" s="9">
        <f>24.34+29.35</f>
        <v>53.69</v>
      </c>
      <c r="F184" s="28">
        <f t="shared" si="74"/>
        <v>2.7772748669297891E-2</v>
      </c>
      <c r="G184" s="30">
        <f>SUM(E185:E$188)/$E$189</f>
        <v>0.12734909657095264</v>
      </c>
      <c r="J184" s="92">
        <f t="shared" si="75"/>
        <v>0.67535753225994255</v>
      </c>
      <c r="K184" s="58">
        <f t="shared" si="76"/>
        <v>0.32464246774005745</v>
      </c>
      <c r="L184" s="58">
        <f>SUM($F$177:F184)</f>
        <v>0.87265090342904728</v>
      </c>
      <c r="M184" s="58">
        <v>1</v>
      </c>
      <c r="N184" s="22">
        <f t="shared" si="77"/>
        <v>0.22608510504469567</v>
      </c>
      <c r="O184" s="92">
        <f t="shared" si="78"/>
        <v>0.7739148949553043</v>
      </c>
      <c r="P184" s="22">
        <f t="shared" si="79"/>
        <v>0.69641260004751737</v>
      </c>
      <c r="Q184" s="22">
        <f t="shared" si="80"/>
        <v>1</v>
      </c>
      <c r="R184" s="93">
        <f t="shared" si="81"/>
        <v>0.90144263730463825</v>
      </c>
      <c r="S184" s="93"/>
    </row>
    <row r="185" spans="2:23">
      <c r="B185" s="7"/>
      <c r="C185" s="15" t="s">
        <v>8</v>
      </c>
      <c r="D185" s="8">
        <v>75</v>
      </c>
      <c r="E185" s="9">
        <f>16.89+21.8</f>
        <v>38.69</v>
      </c>
      <c r="F185" s="28">
        <f t="shared" si="74"/>
        <v>2.0013552728909208E-2</v>
      </c>
      <c r="G185" s="30">
        <f>SUM(E186:E$188)/$E$189</f>
        <v>0.10733554384204344</v>
      </c>
      <c r="J185" s="92">
        <f t="shared" si="75"/>
        <v>0.73742153344554173</v>
      </c>
      <c r="K185" s="58">
        <f t="shared" si="76"/>
        <v>0.26257846655445827</v>
      </c>
      <c r="L185" s="58">
        <f>SUM($F$177:F185)</f>
        <v>0.89266445615795653</v>
      </c>
      <c r="M185" s="58">
        <v>1</v>
      </c>
      <c r="N185" s="22">
        <f t="shared" si="77"/>
        <v>0.17390960471371633</v>
      </c>
      <c r="O185" s="92">
        <f t="shared" si="78"/>
        <v>0.8260903952862837</v>
      </c>
      <c r="P185" s="22">
        <f t="shared" si="79"/>
        <v>0.66231480058418202</v>
      </c>
      <c r="Q185" s="22">
        <f t="shared" si="80"/>
        <v>1</v>
      </c>
      <c r="R185" s="93">
        <f t="shared" si="81"/>
        <v>0.91133113815925804</v>
      </c>
      <c r="S185" s="93"/>
    </row>
    <row r="186" spans="2:23">
      <c r="B186" s="7"/>
      <c r="C186" s="15" t="s">
        <v>7</v>
      </c>
      <c r="D186" s="10">
        <v>53</v>
      </c>
      <c r="E186" s="9">
        <f>13.09+15.35</f>
        <v>28.439999999999998</v>
      </c>
      <c r="F186" s="28">
        <f t="shared" si="74"/>
        <v>1.4711435502976941E-2</v>
      </c>
      <c r="G186" s="30">
        <f>SUM(E187:E$188)/$E$189</f>
        <v>9.2624108339066508E-2</v>
      </c>
      <c r="J186" s="92">
        <f t="shared" si="75"/>
        <v>0.78294007431166435</v>
      </c>
      <c r="K186" s="58">
        <f t="shared" si="76"/>
        <v>0.21705992568833565</v>
      </c>
      <c r="L186" s="58">
        <f>SUM($F$177:F186)</f>
        <v>0.90737589166093346</v>
      </c>
      <c r="M186" s="58">
        <v>1</v>
      </c>
      <c r="N186" s="22">
        <f t="shared" si="77"/>
        <v>0.13713811276326929</v>
      </c>
      <c r="O186" s="92">
        <f t="shared" si="78"/>
        <v>0.86286188723673074</v>
      </c>
      <c r="P186" s="22">
        <f t="shared" si="79"/>
        <v>0.63179839543563798</v>
      </c>
      <c r="Q186" s="22">
        <f t="shared" si="80"/>
        <v>1</v>
      </c>
      <c r="R186" s="93">
        <f t="shared" si="81"/>
        <v>0.92007818707493361</v>
      </c>
      <c r="S186" s="93"/>
    </row>
    <row r="187" spans="2:23">
      <c r="B187" s="7"/>
      <c r="C187" s="15" t="s">
        <v>17</v>
      </c>
      <c r="D187" s="10">
        <v>38</v>
      </c>
      <c r="E187" s="9">
        <f>10.23+16.74</f>
        <v>26.97</v>
      </c>
      <c r="F187" s="28">
        <f t="shared" si="74"/>
        <v>1.3951034300818852E-2</v>
      </c>
      <c r="G187" s="30">
        <f>SUM(E188:E$188)/$E$189</f>
        <v>7.8673074038247651E-2</v>
      </c>
      <c r="J187" s="92">
        <f t="shared" si="75"/>
        <v>0.82419257518498523</v>
      </c>
      <c r="K187" s="58">
        <f t="shared" si="76"/>
        <v>0.17580742481501477</v>
      </c>
      <c r="L187" s="58">
        <f>SUM($F$177:F187)</f>
        <v>0.92132692596175236</v>
      </c>
      <c r="M187" s="58">
        <v>1</v>
      </c>
      <c r="N187" s="22">
        <f t="shared" si="77"/>
        <v>0.10542875502674666</v>
      </c>
      <c r="O187" s="92">
        <f t="shared" si="78"/>
        <v>0.89457124497325335</v>
      </c>
      <c r="P187" s="22">
        <f t="shared" si="79"/>
        <v>0.5996831768492098</v>
      </c>
      <c r="Q187" s="22">
        <f t="shared" si="80"/>
        <v>1</v>
      </c>
      <c r="R187" s="93">
        <f t="shared" si="81"/>
        <v>0.92962133021173188</v>
      </c>
      <c r="S187" s="93"/>
      <c r="T187" s="58">
        <f>SUM($F$107:$F$117)</f>
        <v>0.82419257518498523</v>
      </c>
      <c r="U187" s="58">
        <f>SUM(F177:F187)</f>
        <v>0.92132692596175236</v>
      </c>
      <c r="V187" s="22">
        <v>0.7</v>
      </c>
      <c r="W187" s="22">
        <f>U187*(T187-V187)*(1-V187)*(U187-T187)/T187/(U187-V187)^2/(1-T187)</f>
        <v>0.46975247625979183</v>
      </c>
    </row>
    <row r="188" spans="2:23">
      <c r="B188" s="23"/>
      <c r="C188" s="24">
        <v>-38</v>
      </c>
      <c r="D188" s="25"/>
      <c r="E188" s="26">
        <f>147.29+4.8</f>
        <v>152.09</v>
      </c>
      <c r="F188" s="28">
        <f t="shared" si="74"/>
        <v>7.8673074038247651E-2</v>
      </c>
      <c r="G188" s="27"/>
    </row>
    <row r="189" spans="2:23">
      <c r="B189" s="11"/>
      <c r="C189" s="12" t="s">
        <v>6</v>
      </c>
      <c r="D189" s="13"/>
      <c r="E189" s="14">
        <f>SUM(E177:E188)</f>
        <v>1933.1900000000003</v>
      </c>
      <c r="F189" s="28">
        <f>E189/$E$189</f>
        <v>1</v>
      </c>
      <c r="G189" s="14"/>
    </row>
    <row r="192" spans="2:23" ht="15.75" thickBot="1"/>
    <row r="193" spans="2:9" ht="30.75" thickBot="1">
      <c r="B193" s="1" t="s">
        <v>0</v>
      </c>
      <c r="C193" s="131" t="s">
        <v>1</v>
      </c>
      <c r="D193" s="132"/>
      <c r="E193" s="2" t="s">
        <v>2</v>
      </c>
      <c r="F193" s="19" t="s">
        <v>14</v>
      </c>
      <c r="G193" s="2" t="s">
        <v>3</v>
      </c>
    </row>
    <row r="194" spans="2:9" ht="38.25" thickTop="1">
      <c r="B194" s="34" t="s">
        <v>112</v>
      </c>
      <c r="C194" s="3" t="s">
        <v>16</v>
      </c>
      <c r="D194" s="4">
        <v>1180</v>
      </c>
      <c r="E194" s="5">
        <f>SUM(E35,E49,E63,E77,E91)</f>
        <v>278.27999999999997</v>
      </c>
      <c r="F194" s="28">
        <f>E194/$E$206</f>
        <v>4.2073878755624364E-2</v>
      </c>
      <c r="G194" s="30">
        <f>SUM(E195:$E$205)/$E$206</f>
        <v>0.95792612124437582</v>
      </c>
      <c r="I194">
        <f>I195*100</f>
        <v>50.446165458625003</v>
      </c>
    </row>
    <row r="195" spans="2:9">
      <c r="B195" s="16" t="s">
        <v>4</v>
      </c>
      <c r="C195" s="17" t="s">
        <v>15</v>
      </c>
      <c r="D195" s="4">
        <v>600</v>
      </c>
      <c r="E195" s="5">
        <f t="shared" ref="E195:E204" si="82">SUM(E36,E50,E64,E78,E92)</f>
        <v>1088.53</v>
      </c>
      <c r="F195" s="28">
        <f t="shared" ref="F195:F205" si="83">E195/$E$206</f>
        <v>0.16457768880932799</v>
      </c>
      <c r="G195" s="30">
        <f>SUM(E196:$E$205)/$E$206</f>
        <v>0.79334843243504782</v>
      </c>
      <c r="I195" s="47">
        <f>SUM(F26:F32)</f>
        <v>0.50446165458625003</v>
      </c>
    </row>
    <row r="196" spans="2:9">
      <c r="B196" s="18">
        <f>FORECAST(0.8,D194:D195,G194:G195)</f>
        <v>623.44126482503907</v>
      </c>
      <c r="C196" s="17" t="s">
        <v>11</v>
      </c>
      <c r="D196" s="4">
        <v>425</v>
      </c>
      <c r="E196" s="5">
        <f t="shared" si="82"/>
        <v>1370.29</v>
      </c>
      <c r="F196" s="28">
        <f t="shared" si="83"/>
        <v>0.2071777178383086</v>
      </c>
      <c r="G196" s="30">
        <f>SUM(E197:$E$205)/$E$206</f>
        <v>0.58617071459673908</v>
      </c>
    </row>
    <row r="197" spans="2:9">
      <c r="B197" s="7"/>
      <c r="C197" s="17" t="s">
        <v>10</v>
      </c>
      <c r="D197" s="4">
        <v>300</v>
      </c>
      <c r="E197" s="5">
        <f t="shared" si="82"/>
        <v>1784.6999999999998</v>
      </c>
      <c r="F197" s="28">
        <f t="shared" si="83"/>
        <v>0.26983344622381344</v>
      </c>
      <c r="G197" s="30">
        <f>SUM(E198:$E$205)/$E$206</f>
        <v>0.31633726837292564</v>
      </c>
    </row>
    <row r="198" spans="2:9">
      <c r="B198" s="7"/>
      <c r="C198" s="15" t="s">
        <v>5</v>
      </c>
      <c r="D198" s="8">
        <v>212</v>
      </c>
      <c r="E198" s="5">
        <f t="shared" si="82"/>
        <v>962.94999999999993</v>
      </c>
      <c r="F198" s="28">
        <f t="shared" si="83"/>
        <v>0.1455909211863177</v>
      </c>
      <c r="G198" s="30">
        <f>SUM(E199:$E$205)/$E$206</f>
        <v>0.170746347186608</v>
      </c>
    </row>
    <row r="199" spans="2:9">
      <c r="B199" s="7"/>
      <c r="C199" s="15" t="s">
        <v>12</v>
      </c>
      <c r="D199" s="8">
        <v>180</v>
      </c>
      <c r="E199" s="5">
        <f t="shared" si="82"/>
        <v>132.06</v>
      </c>
      <c r="F199" s="28">
        <f t="shared" si="83"/>
        <v>1.9966495718225365E-2</v>
      </c>
      <c r="G199" s="30">
        <f>SUM(E200:$E$205)/$E$206</f>
        <v>0.15077985146838263</v>
      </c>
    </row>
    <row r="200" spans="2:9">
      <c r="B200" s="7"/>
      <c r="C200" s="15" t="s">
        <v>13</v>
      </c>
      <c r="D200" s="8">
        <v>150</v>
      </c>
      <c r="E200" s="5">
        <f t="shared" si="82"/>
        <v>144.81</v>
      </c>
      <c r="F200" s="28">
        <f t="shared" si="83"/>
        <v>2.1894201461125362E-2</v>
      </c>
      <c r="G200" s="30">
        <f>SUM(E201:$E$205)/$E$206</f>
        <v>0.12888565000725724</v>
      </c>
    </row>
    <row r="201" spans="2:9">
      <c r="B201" s="7"/>
      <c r="C201" s="15" t="s">
        <v>9</v>
      </c>
      <c r="D201" s="8">
        <v>106</v>
      </c>
      <c r="E201" s="5">
        <f t="shared" si="82"/>
        <v>171.73999999999998</v>
      </c>
      <c r="F201" s="28">
        <f t="shared" si="83"/>
        <v>2.5965818375344719E-2</v>
      </c>
      <c r="G201" s="30">
        <f>SUM(E202:$E$205)/$E$206</f>
        <v>0.10291983163191254</v>
      </c>
    </row>
    <row r="202" spans="2:9">
      <c r="B202" s="7"/>
      <c r="C202" s="15" t="s">
        <v>8</v>
      </c>
      <c r="D202" s="8">
        <v>75</v>
      </c>
      <c r="E202" s="5">
        <f t="shared" si="82"/>
        <v>107.31</v>
      </c>
      <c r="F202" s="28">
        <f t="shared" si="83"/>
        <v>1.6224478687890079E-2</v>
      </c>
      <c r="G202" s="30">
        <f>SUM(E203:$E$205)/$E$206</f>
        <v>8.6695352944022475E-2</v>
      </c>
    </row>
    <row r="203" spans="2:9">
      <c r="B203" s="7"/>
      <c r="C203" s="15" t="s">
        <v>7</v>
      </c>
      <c r="D203" s="10">
        <v>53</v>
      </c>
      <c r="E203" s="5">
        <f t="shared" si="82"/>
        <v>83.83</v>
      </c>
      <c r="F203" s="28">
        <f t="shared" si="83"/>
        <v>1.2674476268808361E-2</v>
      </c>
      <c r="G203" s="30">
        <f>SUM(E204:$E$205)/$E$206</f>
        <v>7.4020876675214106E-2</v>
      </c>
    </row>
    <row r="204" spans="2:9">
      <c r="B204" s="7"/>
      <c r="C204" s="15" t="s">
        <v>17</v>
      </c>
      <c r="D204" s="10">
        <v>38</v>
      </c>
      <c r="E204" s="5">
        <f t="shared" si="82"/>
        <v>67.460000000000008</v>
      </c>
      <c r="F204" s="28">
        <f t="shared" si="83"/>
        <v>1.0199453287532056E-2</v>
      </c>
      <c r="G204" s="30">
        <f>SUM(E205:$E$205)/$E$206</f>
        <v>6.3821423387682041E-2</v>
      </c>
    </row>
    <row r="205" spans="2:9">
      <c r="B205" s="23"/>
      <c r="C205" s="24">
        <v>-38</v>
      </c>
      <c r="D205" s="25"/>
      <c r="E205" s="5">
        <f>SUM(E46,E60,E74,E88,E102)</f>
        <v>422.12</v>
      </c>
      <c r="F205" s="28">
        <f t="shared" si="83"/>
        <v>6.3821423387682041E-2</v>
      </c>
      <c r="G205" s="27"/>
    </row>
    <row r="206" spans="2:9">
      <c r="B206" s="11"/>
      <c r="C206" s="12" t="s">
        <v>6</v>
      </c>
      <c r="D206" s="13"/>
      <c r="E206" s="5">
        <f>SUM(E47,E61,E75,E89,E103)</f>
        <v>6614.079999999999</v>
      </c>
      <c r="F206" s="28">
        <f>E206/$E$206</f>
        <v>1</v>
      </c>
      <c r="G206" s="14"/>
    </row>
    <row r="208" spans="2:9" ht="15.75" thickBot="1">
      <c r="H208" s="32"/>
    </row>
    <row r="209" spans="2:8" ht="30.75" thickBot="1">
      <c r="B209" s="1" t="s">
        <v>0</v>
      </c>
      <c r="C209" s="131" t="s">
        <v>1</v>
      </c>
      <c r="D209" s="132"/>
      <c r="E209" s="2" t="s">
        <v>2</v>
      </c>
      <c r="F209" s="19" t="s">
        <v>14</v>
      </c>
      <c r="G209" s="2" t="s">
        <v>3</v>
      </c>
      <c r="H209" s="46"/>
    </row>
    <row r="210" spans="2:8" ht="38.25" thickTop="1">
      <c r="B210" s="34" t="s">
        <v>113</v>
      </c>
      <c r="C210" s="3" t="s">
        <v>16</v>
      </c>
      <c r="D210" s="4">
        <v>1180</v>
      </c>
      <c r="E210" s="5">
        <f>SUM(E121,E135,E149,E163,E177)</f>
        <v>300.83000000000004</v>
      </c>
      <c r="F210" s="28">
        <f>E210/$E$222</f>
        <v>4.3743156725348585E-2</v>
      </c>
      <c r="G210" s="30">
        <f>SUM(E211:$E$221)/$E$222</f>
        <v>0.95625684327465144</v>
      </c>
    </row>
    <row r="211" spans="2:8">
      <c r="B211" s="16" t="s">
        <v>4</v>
      </c>
      <c r="C211" s="17" t="s">
        <v>15</v>
      </c>
      <c r="D211" s="4">
        <v>600</v>
      </c>
      <c r="E211" s="5">
        <f t="shared" ref="E211:E220" si="84">SUM(E122,E136,E150,E164,E178)</f>
        <v>1132.55</v>
      </c>
      <c r="F211" s="28">
        <f t="shared" ref="F211:F221" si="85">E211/$E$222</f>
        <v>0.16468208672437432</v>
      </c>
      <c r="G211" s="30">
        <f>SUM(E212:$E$221)/$E$222</f>
        <v>0.79157475655027709</v>
      </c>
    </row>
    <row r="212" spans="2:8">
      <c r="B212" s="18">
        <f>FORECAST(0.8,D210:D211,G210:G211)</f>
        <v>629.67317999205352</v>
      </c>
      <c r="C212" s="17" t="s">
        <v>11</v>
      </c>
      <c r="D212" s="4">
        <v>425</v>
      </c>
      <c r="E212" s="5">
        <f t="shared" si="84"/>
        <v>1378.88</v>
      </c>
      <c r="F212" s="28">
        <f t="shared" si="85"/>
        <v>0.20050049511501064</v>
      </c>
      <c r="G212" s="30">
        <f>SUM(E213:$E$221)/$E$222</f>
        <v>0.59107426143526642</v>
      </c>
    </row>
    <row r="213" spans="2:8">
      <c r="B213" s="7"/>
      <c r="C213" s="17" t="s">
        <v>10</v>
      </c>
      <c r="D213" s="4">
        <v>300</v>
      </c>
      <c r="E213" s="5">
        <f t="shared" si="84"/>
        <v>1756.9</v>
      </c>
      <c r="F213" s="28">
        <f t="shared" si="85"/>
        <v>0.25546771283038566</v>
      </c>
      <c r="G213" s="30">
        <f>SUM(E214:$E$221)/$E$222</f>
        <v>0.33560654860488076</v>
      </c>
    </row>
    <row r="214" spans="2:8">
      <c r="B214" s="7"/>
      <c r="C214" s="15" t="s">
        <v>5</v>
      </c>
      <c r="D214" s="8">
        <v>212</v>
      </c>
      <c r="E214" s="5">
        <f t="shared" si="84"/>
        <v>915.76</v>
      </c>
      <c r="F214" s="28">
        <f t="shared" si="85"/>
        <v>0.13315903733937842</v>
      </c>
      <c r="G214" s="30">
        <f>SUM(E215:$E$221)/$E$222</f>
        <v>0.20244751126550231</v>
      </c>
    </row>
    <row r="215" spans="2:8">
      <c r="B215" s="7"/>
      <c r="C215" s="15" t="s">
        <v>12</v>
      </c>
      <c r="D215" s="8">
        <v>180</v>
      </c>
      <c r="E215" s="5">
        <f t="shared" si="84"/>
        <v>143</v>
      </c>
      <c r="F215" s="28">
        <f t="shared" si="85"/>
        <v>2.0793376364474443E-2</v>
      </c>
      <c r="G215" s="30">
        <f>SUM(E216:$E$221)/$E$222</f>
        <v>0.18165413490102789</v>
      </c>
    </row>
    <row r="216" spans="2:8">
      <c r="B216" s="7"/>
      <c r="C216" s="15" t="s">
        <v>13</v>
      </c>
      <c r="D216" s="8">
        <v>150</v>
      </c>
      <c r="E216" s="5">
        <f t="shared" si="84"/>
        <v>168.2</v>
      </c>
      <c r="F216" s="28">
        <f t="shared" si="85"/>
        <v>2.4457663667864341E-2</v>
      </c>
      <c r="G216" s="30">
        <f>SUM(E217:$E$221)/$E$222</f>
        <v>0.15719647123316352</v>
      </c>
    </row>
    <row r="217" spans="2:8">
      <c r="B217" s="7"/>
      <c r="C217" s="15" t="s">
        <v>9</v>
      </c>
      <c r="D217" s="8">
        <v>106</v>
      </c>
      <c r="E217" s="5">
        <f t="shared" si="84"/>
        <v>203.5</v>
      </c>
      <c r="F217" s="28">
        <f t="shared" si="85"/>
        <v>2.9590574057136707E-2</v>
      </c>
      <c r="G217" s="30">
        <f>SUM(E218:$E$221)/$E$222</f>
        <v>0.12760589717602683</v>
      </c>
    </row>
    <row r="218" spans="2:8">
      <c r="B218" s="7"/>
      <c r="C218" s="15" t="s">
        <v>8</v>
      </c>
      <c r="D218" s="8">
        <v>75</v>
      </c>
      <c r="E218" s="5">
        <f t="shared" si="84"/>
        <v>139.02000000000001</v>
      </c>
      <c r="F218" s="28">
        <f t="shared" si="85"/>
        <v>2.0214651623700959E-2</v>
      </c>
      <c r="G218" s="30">
        <f>SUM(E219:$E$221)/$E$222</f>
        <v>0.10739124555232586</v>
      </c>
    </row>
    <row r="219" spans="2:8">
      <c r="B219" s="7"/>
      <c r="C219" s="15" t="s">
        <v>7</v>
      </c>
      <c r="D219" s="10">
        <v>53</v>
      </c>
      <c r="E219" s="5">
        <f t="shared" si="84"/>
        <v>117.14</v>
      </c>
      <c r="F219" s="28">
        <f t="shared" si="85"/>
        <v>1.7033119631710045E-2</v>
      </c>
      <c r="G219" s="30">
        <f>SUM(E220:$E$221)/$E$222</f>
        <v>9.0358125920615817E-2</v>
      </c>
    </row>
    <row r="220" spans="2:8">
      <c r="B220" s="7"/>
      <c r="C220" s="15" t="s">
        <v>17</v>
      </c>
      <c r="D220" s="10">
        <v>38</v>
      </c>
      <c r="E220" s="5">
        <f t="shared" si="84"/>
        <v>91.009999999999991</v>
      </c>
      <c r="F220" s="28">
        <f t="shared" si="85"/>
        <v>1.3233602677837894E-2</v>
      </c>
      <c r="G220" s="30">
        <f>SUM(E221:$E$221)/$E$222</f>
        <v>7.7124523242777923E-2</v>
      </c>
    </row>
    <row r="221" spans="2:8">
      <c r="B221" s="23"/>
      <c r="C221" s="24">
        <v>-38</v>
      </c>
      <c r="D221" s="25"/>
      <c r="E221" s="5">
        <f>SUM(E132,E146,E160,E174,E188)</f>
        <v>530.4</v>
      </c>
      <c r="F221" s="28">
        <f t="shared" si="85"/>
        <v>7.7124523242777923E-2</v>
      </c>
      <c r="G221" s="27"/>
    </row>
    <row r="222" spans="2:8">
      <c r="B222" s="11"/>
      <c r="C222" s="12" t="s">
        <v>6</v>
      </c>
      <c r="D222" s="13"/>
      <c r="E222" s="5">
        <f>SUM(E133,E147,E161,E175,E189)</f>
        <v>6877.1900000000005</v>
      </c>
      <c r="F222" s="28">
        <f>E222/$E$189</f>
        <v>3.5574309819521099</v>
      </c>
      <c r="G222" s="14"/>
    </row>
    <row r="225" spans="6:6">
      <c r="F225" s="45"/>
    </row>
  </sheetData>
  <mergeCells count="15">
    <mergeCell ref="C193:D193"/>
    <mergeCell ref="C209:D209"/>
    <mergeCell ref="B1:G3"/>
    <mergeCell ref="C34:D34"/>
    <mergeCell ref="C48:D48"/>
    <mergeCell ref="C62:D62"/>
    <mergeCell ref="C76:D76"/>
    <mergeCell ref="C176:D176"/>
    <mergeCell ref="C20:D20"/>
    <mergeCell ref="C106:D106"/>
    <mergeCell ref="C90:D90"/>
    <mergeCell ref="C120:D120"/>
    <mergeCell ref="C134:D134"/>
    <mergeCell ref="C148:D148"/>
    <mergeCell ref="C162:D162"/>
  </mergeCells>
  <conditionalFormatting sqref="C11:G12 C17:G17">
    <cfRule type="cellIs" dxfId="0" priority="1" operator="greaterThan">
      <formula>0.7</formula>
    </cfRule>
  </conditionalFormatting>
  <pageMargins left="0.7" right="0.7" top="1.3" bottom="0.75" header="0.3" footer="0.3"/>
  <pageSetup scale="7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A28" workbookViewId="0">
      <selection activeCell="H41" sqref="H41"/>
    </sheetView>
  </sheetViews>
  <sheetFormatPr defaultRowHeight="15"/>
  <cols>
    <col min="1" max="1" width="9.140625" style="55"/>
    <col min="2" max="2" width="18.28515625" style="55" customWidth="1"/>
    <col min="3" max="4" width="17.85546875" style="55" customWidth="1"/>
    <col min="5" max="5" width="14.5703125" style="55" customWidth="1"/>
    <col min="6" max="6" width="31" style="55" bestFit="1" customWidth="1"/>
    <col min="7" max="7" width="14.7109375" style="55" bestFit="1" customWidth="1"/>
    <col min="8" max="16384" width="9.140625" style="55"/>
  </cols>
  <sheetData>
    <row r="1" spans="1:15" ht="36" customHeight="1">
      <c r="B1" s="43"/>
      <c r="C1" s="95" t="s">
        <v>25</v>
      </c>
      <c r="D1" s="95" t="s">
        <v>26</v>
      </c>
      <c r="E1" s="95" t="s">
        <v>27</v>
      </c>
      <c r="F1" s="95" t="s">
        <v>28</v>
      </c>
      <c r="G1" s="95" t="s">
        <v>29</v>
      </c>
      <c r="H1" s="43"/>
      <c r="I1" s="95" t="s">
        <v>30</v>
      </c>
      <c r="J1" s="95" t="s">
        <v>31</v>
      </c>
      <c r="K1" s="95" t="s">
        <v>32</v>
      </c>
      <c r="L1" s="95" t="s">
        <v>33</v>
      </c>
      <c r="M1" s="95" t="s">
        <v>34</v>
      </c>
      <c r="O1" s="59"/>
    </row>
    <row r="2" spans="1:15" ht="15.75" customHeight="1">
      <c r="B2" s="43"/>
      <c r="C2" s="95"/>
      <c r="D2" s="95"/>
      <c r="E2" s="95"/>
      <c r="F2" s="95"/>
      <c r="G2" s="95"/>
      <c r="H2" s="43"/>
      <c r="I2" s="96"/>
      <c r="J2" s="43"/>
      <c r="K2" s="43"/>
      <c r="L2" s="96"/>
      <c r="M2" s="43"/>
      <c r="O2" s="59"/>
    </row>
    <row r="3" spans="1:15">
      <c r="B3" s="43" t="s">
        <v>68</v>
      </c>
      <c r="C3" s="44">
        <f>SUM(Data!F21:F25)</f>
        <v>0.49553834541374997</v>
      </c>
      <c r="D3" s="44">
        <f>$C$3</f>
        <v>0.49553834541374997</v>
      </c>
      <c r="E3" s="44">
        <f>$C$3</f>
        <v>0.49553834541374997</v>
      </c>
      <c r="F3" s="44">
        <f>$C$3</f>
        <v>0.49553834541374997</v>
      </c>
      <c r="G3" s="44">
        <f>$C$3</f>
        <v>0.49553834541374997</v>
      </c>
      <c r="H3" s="43"/>
      <c r="I3" s="44">
        <f>SUM(Data!F107:F111)</f>
        <v>0.49797283707538076</v>
      </c>
      <c r="J3" s="44">
        <f>+$I$3</f>
        <v>0.49797283707538076</v>
      </c>
      <c r="K3" s="44">
        <f>+$I$3</f>
        <v>0.49797283707538076</v>
      </c>
      <c r="L3" s="44">
        <f>+$I$3</f>
        <v>0.49797283707538076</v>
      </c>
      <c r="M3" s="44">
        <f>+$I$3</f>
        <v>0.49797283707538076</v>
      </c>
    </row>
    <row r="4" spans="1:15">
      <c r="B4" s="43" t="s">
        <v>70</v>
      </c>
      <c r="C4" s="97">
        <f>1-C3</f>
        <v>0.50446165458625003</v>
      </c>
      <c r="D4" s="97">
        <f>1-D3</f>
        <v>0.50446165458625003</v>
      </c>
      <c r="E4" s="97">
        <f>1-E3</f>
        <v>0.50446165458625003</v>
      </c>
      <c r="F4" s="97">
        <f>1-F3</f>
        <v>0.50446165458625003</v>
      </c>
      <c r="G4" s="97">
        <f>1-G3</f>
        <v>0.50446165458625003</v>
      </c>
      <c r="H4" s="43"/>
      <c r="I4" s="44">
        <f>1-I3</f>
        <v>0.50202716292461924</v>
      </c>
      <c r="J4" s="44">
        <f>1-J3</f>
        <v>0.50202716292461924</v>
      </c>
      <c r="K4" s="44">
        <f>1-K3</f>
        <v>0.50202716292461924</v>
      </c>
      <c r="L4" s="44">
        <f>1-L3</f>
        <v>0.50202716292461924</v>
      </c>
      <c r="M4" s="44">
        <f>1-M3</f>
        <v>0.50202716292461924</v>
      </c>
    </row>
    <row r="5" spans="1:15" s="106" customFormat="1">
      <c r="B5" s="103" t="s">
        <v>72</v>
      </c>
      <c r="C5" s="104">
        <f>SUM(Data!$F35:$F39)</f>
        <v>0.8003186166353784</v>
      </c>
      <c r="D5" s="104">
        <f>SUM(Data!$F49:$F53)</f>
        <v>0.82372188139059299</v>
      </c>
      <c r="E5" s="104">
        <f>SUM(Data!$F63:$F67)</f>
        <v>0.83890383088909615</v>
      </c>
      <c r="F5" s="104">
        <f>SUM(Data!$F77:$F81)</f>
        <v>0.81118122735738596</v>
      </c>
      <c r="G5" s="104">
        <f>SUM(Data!$F91:$F95)</f>
        <v>0.88110405296591221</v>
      </c>
      <c r="H5" s="103"/>
      <c r="I5" s="105">
        <f>SUM(Data!$F121:$F125)</f>
        <v>0.7471107601751491</v>
      </c>
      <c r="J5" s="105">
        <f>SUM(Data!$F135:$F139)</f>
        <v>0.87674758463911684</v>
      </c>
      <c r="K5" s="105">
        <f>SUM(Data!$F149:$F153)</f>
        <v>0.91087240236924005</v>
      </c>
      <c r="L5" s="105">
        <f>SUM(Data!$F163:$F167)</f>
        <v>0.74485423298088194</v>
      </c>
      <c r="M5" s="105">
        <f>SUM(Data!$F177:$F181)</f>
        <v>0.80356819557311998</v>
      </c>
    </row>
    <row r="6" spans="1:15">
      <c r="B6" s="43" t="s">
        <v>74</v>
      </c>
      <c r="C6" s="97">
        <v>0.87239999999999995</v>
      </c>
      <c r="D6" s="97">
        <v>0.87239999999999995</v>
      </c>
      <c r="E6" s="97">
        <v>0.87239999999999995</v>
      </c>
      <c r="F6" s="97">
        <v>0.87239999999999995</v>
      </c>
      <c r="G6" s="97">
        <v>0.87239999999999995</v>
      </c>
      <c r="H6" s="97"/>
      <c r="I6" s="97">
        <v>0.87239999999999995</v>
      </c>
      <c r="J6" s="97">
        <v>0.87239999999999995</v>
      </c>
      <c r="K6" s="97">
        <v>0.87239999999999995</v>
      </c>
      <c r="L6" s="97">
        <v>0.87239999999999995</v>
      </c>
      <c r="M6" s="97">
        <v>0.87239999999999995</v>
      </c>
    </row>
    <row r="7" spans="1:15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</row>
    <row r="8" spans="1:15">
      <c r="B8" s="43" t="s">
        <v>78</v>
      </c>
      <c r="C8" s="44">
        <f>+(C5-C3)/(C5+C6-1)</f>
        <v>0.45305758408470354</v>
      </c>
      <c r="D8" s="44">
        <f>+(D5-D3)/(D5+D6-1)</f>
        <v>0.47144551083677216</v>
      </c>
      <c r="E8" s="44">
        <f>+(E5-E3)/(E5+E6-1)</f>
        <v>0.48272688907939038</v>
      </c>
      <c r="F8" s="44">
        <f>+(F5-F3)/(F5+F6-1)</f>
        <v>0.46174890314624362</v>
      </c>
      <c r="G8" s="44">
        <f>+(G5-G3)/(G5+G6-1)</f>
        <v>0.51169692589510851</v>
      </c>
      <c r="H8" s="43"/>
      <c r="I8" s="44">
        <f>+(I5-I3)/(I5+I6-1)</f>
        <v>0.40215269712075974</v>
      </c>
      <c r="J8" s="44">
        <f>+(J5-J3)/(J5+J6-1)</f>
        <v>0.50560764705155037</v>
      </c>
      <c r="K8" s="44">
        <f>+(K5-K3)/(K5+K6-1)</f>
        <v>0.52714683173430088</v>
      </c>
      <c r="L8" s="44">
        <f>+(L5-L3)/(L5+L6-1)</f>
        <v>0.39996711681221925</v>
      </c>
      <c r="M8" s="44">
        <f>+(M5-M3)/(M5+M6-1)</f>
        <v>0.45208540948977638</v>
      </c>
    </row>
    <row r="9" spans="1:15">
      <c r="B9" s="43" t="s">
        <v>82</v>
      </c>
      <c r="C9" s="97">
        <f>1-C8</f>
        <v>0.54694241591529646</v>
      </c>
      <c r="D9" s="97">
        <f>1-D8</f>
        <v>0.52855448916322789</v>
      </c>
      <c r="E9" s="97">
        <f>1-E8</f>
        <v>0.51727311092060968</v>
      </c>
      <c r="F9" s="97">
        <f>1-F8</f>
        <v>0.53825109685375638</v>
      </c>
      <c r="G9" s="97">
        <f>1-G8</f>
        <v>0.48830307410489149</v>
      </c>
      <c r="H9" s="43"/>
      <c r="I9" s="97">
        <f>1-I8</f>
        <v>0.59784730287924026</v>
      </c>
      <c r="J9" s="97">
        <f>1-J8</f>
        <v>0.49439235294844963</v>
      </c>
      <c r="K9" s="97">
        <f>1-K8</f>
        <v>0.47285316826569912</v>
      </c>
      <c r="L9" s="97">
        <f>1-L8</f>
        <v>0.60003288318778081</v>
      </c>
      <c r="M9" s="97">
        <f>1-M8</f>
        <v>0.54791459051022362</v>
      </c>
    </row>
    <row r="10" spans="1:15">
      <c r="B10" s="43" t="s">
        <v>86</v>
      </c>
      <c r="C10" s="97">
        <f>+C8*C6/C4</f>
        <v>0.78350342937298156</v>
      </c>
      <c r="D10" s="97">
        <f>+D8*D6/D4</f>
        <v>0.81530292721917896</v>
      </c>
      <c r="E10" s="97">
        <f>+E8*E6/E4</f>
        <v>0.83481258526629498</v>
      </c>
      <c r="F10" s="97">
        <f>+F8*F6/F4</f>
        <v>0.79853392114644728</v>
      </c>
      <c r="G10" s="97">
        <f>+G8*G6/G4</f>
        <v>0.88491244892939414</v>
      </c>
      <c r="H10" s="43"/>
      <c r="I10" s="97">
        <f>+I8*I6/I4</f>
        <v>0.69884268995387022</v>
      </c>
      <c r="J10" s="97">
        <f>+J8*J6/J4</f>
        <v>0.87862200267837642</v>
      </c>
      <c r="K10" s="97">
        <f>+K8*K6/K4</f>
        <v>0.91605181943921377</v>
      </c>
      <c r="L10" s="97">
        <f>+L8*L6/L4</f>
        <v>0.69504468776995854</v>
      </c>
      <c r="M10" s="97">
        <f>+M8*M6/M4</f>
        <v>0.78561348940017617</v>
      </c>
    </row>
    <row r="11" spans="1:15">
      <c r="B11" s="43" t="s">
        <v>89</v>
      </c>
      <c r="C11" s="97">
        <f>+C9*C5/C3</f>
        <v>0.88333869969045586</v>
      </c>
      <c r="D11" s="97">
        <f>+D9*D5/D3</f>
        <v>0.87860385025795651</v>
      </c>
      <c r="E11" s="97">
        <f>+E9*E5/E3</f>
        <v>0.8756989209480841</v>
      </c>
      <c r="F11" s="97">
        <f>+F9*F5/F3</f>
        <v>0.88110070474512714</v>
      </c>
      <c r="G11" s="97">
        <f>+G9*G5/G3</f>
        <v>0.86823920217576733</v>
      </c>
      <c r="H11" s="43"/>
      <c r="I11" s="97">
        <f>+I9*I5/I3</f>
        <v>0.89695284495037386</v>
      </c>
      <c r="J11" s="97">
        <f>+J9*J5/J3</f>
        <v>0.87044366487401059</v>
      </c>
      <c r="K11" s="97">
        <f>+K9*K5/K3</f>
        <v>0.86492448840313996</v>
      </c>
      <c r="L11" s="97">
        <f>+L9*L5/L3</f>
        <v>0.89751287559181947</v>
      </c>
      <c r="M11" s="97">
        <f>+M9*M5/M3</f>
        <v>0.88415814286239236</v>
      </c>
    </row>
    <row r="12" spans="1:15">
      <c r="B12" s="43" t="s">
        <v>92</v>
      </c>
      <c r="C12" s="97">
        <f>C$8*C$6+C$9*C$5</f>
        <v>0.83297563404003716</v>
      </c>
      <c r="D12" s="97">
        <f>D$8*D$6+D$9*D$5</f>
        <v>0.84667096188497792</v>
      </c>
      <c r="E12" s="97">
        <f>E$8*E$6+E$9*E$5</f>
        <v>0.85507333240007988</v>
      </c>
      <c r="F12" s="97">
        <f>F$8*F$6+F$9*F$5</f>
        <v>0.83944892847707231</v>
      </c>
      <c r="G12" s="97">
        <f>G$8*G$6+G$9*G$5</f>
        <v>0.87665021582042679</v>
      </c>
      <c r="H12" s="43"/>
      <c r="I12" s="97">
        <f>I$8*I$6+I$9*I$5</f>
        <v>0.79749616589092254</v>
      </c>
      <c r="J12" s="97">
        <f>J$8*J$6+J$9*J$5</f>
        <v>0.87454941259937558</v>
      </c>
      <c r="K12" s="97">
        <f>K$8*K$6+K$9*K$5</f>
        <v>0.89059179735108795</v>
      </c>
      <c r="L12" s="97">
        <f>L$8*L$6+L$9*L$5</f>
        <v>0.79586834567712161</v>
      </c>
      <c r="M12" s="97">
        <f>M$8*M$6+M$9*M$5</f>
        <v>0.83468605006336616</v>
      </c>
    </row>
    <row r="13" spans="1:15">
      <c r="B13" s="109"/>
      <c r="C13" s="108"/>
      <c r="D13" s="108"/>
      <c r="E13" s="108"/>
      <c r="F13" s="108"/>
      <c r="G13" s="108"/>
      <c r="H13" s="72"/>
      <c r="I13" s="108"/>
      <c r="J13" s="108"/>
      <c r="K13" s="108"/>
      <c r="L13" s="108"/>
      <c r="M13" s="108"/>
    </row>
    <row r="14" spans="1:15">
      <c r="A14" s="121"/>
      <c r="B14" s="121"/>
      <c r="C14" s="122"/>
      <c r="D14" s="122"/>
      <c r="E14" s="122"/>
      <c r="F14" s="108"/>
      <c r="G14" s="108"/>
      <c r="H14" s="72"/>
      <c r="I14" s="108"/>
      <c r="J14" s="108"/>
      <c r="K14" s="108"/>
      <c r="L14" s="108"/>
      <c r="M14" s="108"/>
    </row>
    <row r="15" spans="1:15">
      <c r="A15" s="121"/>
      <c r="B15" s="124" t="s">
        <v>132</v>
      </c>
      <c r="C15" s="125"/>
      <c r="D15" s="125"/>
      <c r="E15" s="121" t="s">
        <v>132</v>
      </c>
      <c r="F15" s="122"/>
      <c r="G15" s="122"/>
      <c r="I15" s="58"/>
      <c r="J15" s="58"/>
      <c r="K15" s="58"/>
      <c r="L15" s="58"/>
      <c r="M15" s="58"/>
    </row>
    <row r="16" spans="1:15">
      <c r="A16" s="121"/>
      <c r="B16" s="119" t="s">
        <v>94</v>
      </c>
      <c r="C16" s="119" t="s">
        <v>114</v>
      </c>
      <c r="D16" s="119" t="s">
        <v>116</v>
      </c>
      <c r="E16" s="119" t="s">
        <v>121</v>
      </c>
      <c r="F16" s="119" t="s">
        <v>122</v>
      </c>
      <c r="G16" s="119" t="s">
        <v>123</v>
      </c>
    </row>
    <row r="17" spans="1:9">
      <c r="A17" s="121"/>
      <c r="B17" s="117">
        <v>1</v>
      </c>
      <c r="C17" s="118">
        <v>0.83297563404003716</v>
      </c>
      <c r="D17" s="118">
        <v>0.79749616589092254</v>
      </c>
      <c r="E17" s="117">
        <v>1</v>
      </c>
      <c r="F17" s="118">
        <v>0.85498295555083004</v>
      </c>
      <c r="G17" s="118">
        <v>0.85049263846240719</v>
      </c>
      <c r="H17" s="49"/>
      <c r="I17" s="49"/>
    </row>
    <row r="18" spans="1:9">
      <c r="A18" s="121"/>
      <c r="B18" s="117">
        <v>2</v>
      </c>
      <c r="C18" s="118">
        <v>0.84667096188497792</v>
      </c>
      <c r="D18" s="118">
        <v>0.87454941259937558</v>
      </c>
      <c r="E18" s="117">
        <v>2</v>
      </c>
      <c r="F18" s="118">
        <v>0.85542442755262904</v>
      </c>
      <c r="G18" s="118">
        <v>0.88771689445044411</v>
      </c>
    </row>
    <row r="19" spans="1:9">
      <c r="A19" s="121"/>
      <c r="B19" s="117">
        <v>3</v>
      </c>
      <c r="C19" s="118">
        <v>0.85507333240007988</v>
      </c>
      <c r="D19" s="118">
        <v>0.89059179735108795</v>
      </c>
      <c r="E19" s="117">
        <v>3</v>
      </c>
      <c r="F19" s="118">
        <v>0.85980617166197248</v>
      </c>
      <c r="G19" s="118">
        <v>0.90876140024774532</v>
      </c>
    </row>
    <row r="20" spans="1:9">
      <c r="A20" s="121"/>
      <c r="B20" s="117">
        <v>4</v>
      </c>
      <c r="C20" s="118">
        <v>0.83944892847707231</v>
      </c>
      <c r="D20" s="118">
        <v>0.79586834567712161</v>
      </c>
      <c r="E20" s="117">
        <v>4</v>
      </c>
      <c r="F20" s="118">
        <v>0.8527388149723979</v>
      </c>
      <c r="G20" s="118">
        <v>0.84991762069064225</v>
      </c>
    </row>
    <row r="21" spans="1:9">
      <c r="A21" s="121"/>
      <c r="B21" s="117">
        <v>5</v>
      </c>
      <c r="C21" s="118">
        <v>0.87665021582042679</v>
      </c>
      <c r="D21" s="118">
        <v>0.83468605006336616</v>
      </c>
      <c r="E21" s="117">
        <v>5</v>
      </c>
      <c r="F21" s="118">
        <v>0.900594276037886</v>
      </c>
      <c r="G21" s="118">
        <v>0.87501997230872619</v>
      </c>
    </row>
    <row r="22" spans="1:9">
      <c r="A22" s="121"/>
      <c r="B22" s="123" t="s">
        <v>120</v>
      </c>
      <c r="C22" s="120">
        <f>AVERAGE(C17:C21)</f>
        <v>0.85016381452451883</v>
      </c>
      <c r="D22" s="120">
        <f>AVERAGE(D17:D21)</f>
        <v>0.83863835431637468</v>
      </c>
      <c r="E22" s="123" t="s">
        <v>120</v>
      </c>
      <c r="F22" s="120">
        <f>AVERAGE(F17:F21)</f>
        <v>0.8647093291551432</v>
      </c>
      <c r="G22" s="120">
        <f>AVERAGE(G17:G21)</f>
        <v>0.87438170523199299</v>
      </c>
    </row>
    <row r="23" spans="1:9">
      <c r="A23" s="121"/>
      <c r="B23" s="121"/>
      <c r="C23" s="121"/>
      <c r="D23" s="121"/>
      <c r="E23" s="121"/>
    </row>
    <row r="24" spans="1:9">
      <c r="C24" s="55" t="s">
        <v>95</v>
      </c>
      <c r="D24"/>
      <c r="E24"/>
    </row>
    <row r="25" spans="1:9" ht="15.75" thickBot="1">
      <c r="C25"/>
      <c r="D25"/>
      <c r="E25"/>
    </row>
    <row r="26" spans="1:9">
      <c r="C26" s="52"/>
      <c r="D26" s="52" t="s">
        <v>114</v>
      </c>
      <c r="E26" s="52" t="s">
        <v>116</v>
      </c>
    </row>
    <row r="27" spans="1:9">
      <c r="C27" s="50" t="s">
        <v>51</v>
      </c>
      <c r="D27" s="107">
        <v>0.85016381452451883</v>
      </c>
      <c r="E27" s="107">
        <v>0.83863835431637468</v>
      </c>
      <c r="F27" s="60">
        <f>E27-D27</f>
        <v>-1.1525460208144156E-2</v>
      </c>
    </row>
    <row r="28" spans="1:9">
      <c r="C28" s="50" t="s">
        <v>52</v>
      </c>
      <c r="D28" s="107">
        <v>2.8701879257918923E-4</v>
      </c>
      <c r="E28" s="107">
        <v>1.8815845916280161E-3</v>
      </c>
    </row>
    <row r="29" spans="1:9">
      <c r="C29" s="50" t="s">
        <v>53</v>
      </c>
      <c r="D29" s="50">
        <v>5</v>
      </c>
      <c r="E29" s="50">
        <v>5</v>
      </c>
    </row>
    <row r="30" spans="1:9">
      <c r="C30" s="50" t="s">
        <v>96</v>
      </c>
      <c r="D30" s="139">
        <v>0.4049591281285902</v>
      </c>
      <c r="E30" s="50"/>
    </row>
    <row r="31" spans="1:9">
      <c r="C31" s="50" t="s">
        <v>54</v>
      </c>
      <c r="D31" s="50">
        <v>0</v>
      </c>
      <c r="E31" s="50"/>
    </row>
    <row r="32" spans="1:9">
      <c r="C32" s="50" t="s">
        <v>55</v>
      </c>
      <c r="D32" s="50">
        <v>4</v>
      </c>
      <c r="E32" s="50"/>
    </row>
    <row r="33" spans="1:6">
      <c r="C33" s="50" t="s">
        <v>56</v>
      </c>
      <c r="D33" s="53">
        <v>0.64971418712145912</v>
      </c>
      <c r="E33" s="50"/>
      <c r="F33" s="55" t="s">
        <v>100</v>
      </c>
    </row>
    <row r="34" spans="1:6">
      <c r="C34" s="50" t="s">
        <v>57</v>
      </c>
      <c r="D34" s="53">
        <v>0.27565091325047653</v>
      </c>
      <c r="E34" s="50"/>
      <c r="F34" s="22">
        <f>1-D34</f>
        <v>0.72434908674952347</v>
      </c>
    </row>
    <row r="35" spans="1:6">
      <c r="C35" s="50" t="s">
        <v>58</v>
      </c>
      <c r="D35" s="53">
        <v>2.1318467819039775</v>
      </c>
      <c r="E35" s="50"/>
    </row>
    <row r="36" spans="1:6">
      <c r="C36" s="50" t="s">
        <v>59</v>
      </c>
      <c r="D36" s="53">
        <v>0.55130182650095305</v>
      </c>
      <c r="E36" s="50"/>
    </row>
    <row r="37" spans="1:6" ht="15.75" thickBot="1">
      <c r="C37" s="51" t="s">
        <v>60</v>
      </c>
      <c r="D37" s="54">
        <v>2.7764451050438028</v>
      </c>
      <c r="E37" s="51"/>
    </row>
    <row r="39" spans="1:6">
      <c r="A39" s="121"/>
      <c r="B39" s="121"/>
      <c r="C39" s="121"/>
      <c r="D39" s="121"/>
      <c r="E39" s="121"/>
    </row>
    <row r="40" spans="1:6">
      <c r="A40" s="121"/>
      <c r="B40" s="119" t="s">
        <v>121</v>
      </c>
      <c r="C40" s="119" t="s">
        <v>114</v>
      </c>
      <c r="D40" s="119" t="s">
        <v>116</v>
      </c>
      <c r="E40" s="121"/>
    </row>
    <row r="41" spans="1:6">
      <c r="A41" s="121"/>
      <c r="B41" s="117">
        <v>1</v>
      </c>
      <c r="C41" s="118">
        <v>0.83297563404003716</v>
      </c>
      <c r="D41" s="118">
        <v>0.79749616589092254</v>
      </c>
      <c r="E41" s="121"/>
    </row>
    <row r="42" spans="1:6">
      <c r="A42" s="121"/>
      <c r="B42" s="117">
        <v>2</v>
      </c>
      <c r="C42" s="118">
        <v>0.84667096188497792</v>
      </c>
      <c r="D42" s="118">
        <v>0.87454941259937558</v>
      </c>
      <c r="E42" s="121"/>
    </row>
    <row r="43" spans="1:6">
      <c r="A43" s="121"/>
      <c r="B43" s="117">
        <v>3</v>
      </c>
      <c r="C43" s="118">
        <v>0.85507333240007988</v>
      </c>
      <c r="D43" s="118">
        <v>0.89059179735108795</v>
      </c>
      <c r="E43" s="121"/>
    </row>
    <row r="44" spans="1:6">
      <c r="A44" s="121"/>
      <c r="B44" s="117">
        <v>4</v>
      </c>
      <c r="C44" s="118">
        <v>0.83944892847707231</v>
      </c>
      <c r="D44" s="118">
        <v>0.79586834567712161</v>
      </c>
      <c r="E44" s="121"/>
    </row>
    <row r="45" spans="1:6">
      <c r="A45" s="121"/>
      <c r="B45" s="117">
        <v>5</v>
      </c>
      <c r="C45" s="118">
        <v>0.87665021582042679</v>
      </c>
      <c r="D45" s="118">
        <v>0.83468605006336616</v>
      </c>
      <c r="E45" s="121"/>
    </row>
    <row r="46" spans="1:6">
      <c r="A46" s="121"/>
      <c r="B46" s="119" t="s">
        <v>120</v>
      </c>
      <c r="C46" s="120">
        <f>AVERAGE(C41:C45)</f>
        <v>0.85016381452451883</v>
      </c>
      <c r="D46" s="120">
        <f>AVERAGE(D41:D45)</f>
        <v>0.83863835431637468</v>
      </c>
      <c r="E46" s="121"/>
    </row>
    <row r="47" spans="1:6">
      <c r="A47" s="121"/>
      <c r="B47" s="119" t="s">
        <v>131</v>
      </c>
      <c r="C47" s="120">
        <f>STDEV(C41:C45)</f>
        <v>1.6941628982455884E-2</v>
      </c>
      <c r="D47" s="120">
        <f>STDEV(D41:D45)</f>
        <v>4.3377235868921109E-2</v>
      </c>
      <c r="E47" s="121"/>
    </row>
    <row r="48" spans="1:6">
      <c r="A48" s="121"/>
      <c r="B48" s="126"/>
      <c r="C48" s="121"/>
      <c r="D48" s="121"/>
      <c r="E48" s="121"/>
    </row>
    <row r="49" spans="1:5">
      <c r="A49" s="121"/>
      <c r="B49" s="119" t="s">
        <v>121</v>
      </c>
      <c r="C49" s="119" t="s">
        <v>122</v>
      </c>
      <c r="D49" s="119" t="s">
        <v>123</v>
      </c>
      <c r="E49" s="121"/>
    </row>
    <row r="50" spans="1:5">
      <c r="A50" s="121"/>
      <c r="B50" s="117">
        <v>1</v>
      </c>
      <c r="C50" s="118">
        <v>0.85498295555083004</v>
      </c>
      <c r="D50" s="118">
        <v>0.85049263846240719</v>
      </c>
      <c r="E50" s="121"/>
    </row>
    <row r="51" spans="1:5">
      <c r="A51" s="121"/>
      <c r="B51" s="117">
        <v>2</v>
      </c>
      <c r="C51" s="118">
        <v>0.85542442755262904</v>
      </c>
      <c r="D51" s="118">
        <v>0.88771689445044411</v>
      </c>
      <c r="E51" s="121"/>
    </row>
    <row r="52" spans="1:5">
      <c r="A52" s="121"/>
      <c r="B52" s="117">
        <v>3</v>
      </c>
      <c r="C52" s="118">
        <v>0.85980617166197248</v>
      </c>
      <c r="D52" s="118">
        <v>0.90876140024774532</v>
      </c>
      <c r="E52" s="121"/>
    </row>
    <row r="53" spans="1:5">
      <c r="A53" s="121"/>
      <c r="B53" s="117">
        <v>4</v>
      </c>
      <c r="C53" s="118">
        <v>0.8527388149723979</v>
      </c>
      <c r="D53" s="118">
        <v>0.84991762069064225</v>
      </c>
      <c r="E53" s="121"/>
    </row>
    <row r="54" spans="1:5">
      <c r="A54" s="121"/>
      <c r="B54" s="117">
        <v>5</v>
      </c>
      <c r="C54" s="118">
        <v>0.900594276037886</v>
      </c>
      <c r="D54" s="118">
        <v>0.87501997230872619</v>
      </c>
      <c r="E54" s="121"/>
    </row>
    <row r="55" spans="1:5">
      <c r="A55" s="121"/>
      <c r="B55" s="119" t="s">
        <v>120</v>
      </c>
      <c r="C55" s="120">
        <f>AVERAGE(C50:C54)</f>
        <v>0.8647093291551432</v>
      </c>
      <c r="D55" s="120">
        <f>AVERAGE(D50:D54)</f>
        <v>0.87438170523199299</v>
      </c>
      <c r="E55" s="121"/>
    </row>
    <row r="56" spans="1:5">
      <c r="A56" s="121"/>
      <c r="B56" s="119" t="s">
        <v>131</v>
      </c>
      <c r="C56" s="120">
        <f>STDEV(C50:C54)</f>
        <v>2.0222977755751406E-2</v>
      </c>
      <c r="D56" s="120">
        <f>STDEV(D50:D54)</f>
        <v>2.5146456158360399E-2</v>
      </c>
      <c r="E56" s="121"/>
    </row>
    <row r="57" spans="1:5">
      <c r="A57" s="36"/>
      <c r="B57" s="36"/>
      <c r="C57" s="36"/>
      <c r="D57" s="36"/>
      <c r="E57" s="3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B5" sqref="B5"/>
    </sheetView>
  </sheetViews>
  <sheetFormatPr defaultRowHeight="15"/>
  <cols>
    <col min="2" max="2" width="9.42578125" customWidth="1"/>
  </cols>
  <sheetData>
    <row r="1" spans="1:16" ht="36" customHeight="1">
      <c r="A1" s="43"/>
      <c r="B1" s="95" t="s">
        <v>25</v>
      </c>
      <c r="C1" s="95" t="s">
        <v>26</v>
      </c>
      <c r="D1" s="95" t="s">
        <v>27</v>
      </c>
      <c r="E1" s="95" t="s">
        <v>28</v>
      </c>
      <c r="F1" s="95" t="s">
        <v>29</v>
      </c>
      <c r="G1" s="43"/>
      <c r="H1" s="95" t="s">
        <v>30</v>
      </c>
      <c r="I1" s="95" t="s">
        <v>31</v>
      </c>
      <c r="J1" s="95" t="s">
        <v>32</v>
      </c>
      <c r="K1" s="95" t="s">
        <v>33</v>
      </c>
      <c r="L1" s="95" t="s">
        <v>34</v>
      </c>
      <c r="N1" s="59"/>
      <c r="O1">
        <v>0.35288947711269425</v>
      </c>
      <c r="P1">
        <v>0.49553834541374997</v>
      </c>
    </row>
    <row r="2" spans="1:16" s="55" customFormat="1" ht="15.75" customHeight="1">
      <c r="A2" s="43"/>
      <c r="B2" s="95"/>
      <c r="C2" s="95"/>
      <c r="D2" s="95"/>
      <c r="E2" s="95"/>
      <c r="F2" s="95"/>
      <c r="G2" s="43"/>
      <c r="H2" s="96"/>
      <c r="I2" s="43"/>
      <c r="J2" s="43"/>
      <c r="K2" s="96"/>
      <c r="L2" s="43"/>
      <c r="N2" s="59"/>
      <c r="O2" s="55">
        <v>0.64711052288730575</v>
      </c>
      <c r="P2" s="55">
        <v>0.50446165458625003</v>
      </c>
    </row>
    <row r="3" spans="1:16">
      <c r="A3" s="43" t="s">
        <v>68</v>
      </c>
      <c r="B3" s="44">
        <f>SUM(Data!F21:F25)</f>
        <v>0.49553834541374997</v>
      </c>
      <c r="C3" s="44">
        <f>$B$3</f>
        <v>0.49553834541374997</v>
      </c>
      <c r="D3" s="44">
        <f>$B$3</f>
        <v>0.49553834541374997</v>
      </c>
      <c r="E3" s="44">
        <f>$B$3</f>
        <v>0.49553834541374997</v>
      </c>
      <c r="F3" s="44">
        <f>$B$3</f>
        <v>0.49553834541374997</v>
      </c>
      <c r="G3" s="43"/>
      <c r="H3" s="44">
        <f>SUM(Data!F107:F111)</f>
        <v>0.49797283707538076</v>
      </c>
      <c r="I3" s="44">
        <f>+$H$3</f>
        <v>0.49797283707538076</v>
      </c>
      <c r="J3" s="44">
        <f>+$H$3</f>
        <v>0.49797283707538076</v>
      </c>
      <c r="K3" s="44">
        <f>+$H$3</f>
        <v>0.49797283707538076</v>
      </c>
      <c r="L3" s="44">
        <f>+$H$3</f>
        <v>0.49797283707538076</v>
      </c>
      <c r="O3">
        <v>0.64111500863854964</v>
      </c>
      <c r="P3">
        <v>0.8003186166353784</v>
      </c>
    </row>
    <row r="4" spans="1:16">
      <c r="A4" s="43" t="s">
        <v>70</v>
      </c>
      <c r="B4" s="97">
        <f>1-B3</f>
        <v>0.50446165458625003</v>
      </c>
      <c r="C4" s="97">
        <f>1-C3</f>
        <v>0.50446165458625003</v>
      </c>
      <c r="D4" s="97">
        <f>1-D3</f>
        <v>0.50446165458625003</v>
      </c>
      <c r="E4" s="97">
        <f>1-E3</f>
        <v>0.50446165458625003</v>
      </c>
      <c r="F4" s="97">
        <f>1-F3</f>
        <v>0.50446165458625003</v>
      </c>
      <c r="G4" s="43"/>
      <c r="H4" s="44">
        <f>1-H3</f>
        <v>0.50202716292461924</v>
      </c>
      <c r="I4" s="44">
        <f>1-I3</f>
        <v>0.50202716292461924</v>
      </c>
      <c r="J4" s="44">
        <f>1-J3</f>
        <v>0.50202716292461924</v>
      </c>
      <c r="K4" s="44">
        <f>1-K3</f>
        <v>0.50202716292461924</v>
      </c>
      <c r="L4" s="44">
        <f>1-L3</f>
        <v>0.50202716292461924</v>
      </c>
      <c r="O4">
        <v>1</v>
      </c>
      <c r="P4">
        <v>1</v>
      </c>
    </row>
    <row r="5" spans="1:16" s="106" customFormat="1">
      <c r="A5" s="103" t="s">
        <v>72</v>
      </c>
      <c r="B5" s="104">
        <f>SUM(Data!$F35:$F39)</f>
        <v>0.8003186166353784</v>
      </c>
      <c r="C5" s="104">
        <f>SUM(Data!$F49:$F53)</f>
        <v>0.82372188139059299</v>
      </c>
      <c r="D5" s="104">
        <f>SUM(Data!$F63:$F67)</f>
        <v>0.83890383088909615</v>
      </c>
      <c r="E5" s="104">
        <f>SUM(Data!$F77:$F81)</f>
        <v>0.81118122735738596</v>
      </c>
      <c r="F5" s="104">
        <f>SUM(Data!$F91:$F95)</f>
        <v>0.88110405296591221</v>
      </c>
      <c r="G5" s="103"/>
      <c r="H5" s="105">
        <f>SUM(Data!$F121:$F125)</f>
        <v>0.7471107601751491</v>
      </c>
      <c r="I5" s="105">
        <f>SUM(Data!$F135:$F139)</f>
        <v>0.87674758463911684</v>
      </c>
      <c r="J5" s="105">
        <f>SUM(Data!$F149:$F153)</f>
        <v>0.91087240236924005</v>
      </c>
      <c r="K5" s="105">
        <f>SUM(Data!$F163:$F167)</f>
        <v>0.74485423298088194</v>
      </c>
      <c r="L5" s="105">
        <f>SUM(Data!$F177:$F181)</f>
        <v>0.80356819557311998</v>
      </c>
      <c r="O5" s="106">
        <v>0.44956915318192525</v>
      </c>
      <c r="P5" s="106">
        <v>0.38082366808228951</v>
      </c>
    </row>
    <row r="6" spans="1:16">
      <c r="A6" s="43" t="s">
        <v>74</v>
      </c>
      <c r="B6" s="97">
        <v>1</v>
      </c>
      <c r="C6" s="97">
        <v>1</v>
      </c>
      <c r="D6" s="97">
        <v>1</v>
      </c>
      <c r="E6" s="97">
        <v>1</v>
      </c>
      <c r="F6" s="97">
        <v>1</v>
      </c>
      <c r="G6" s="43"/>
      <c r="H6" s="44">
        <v>1</v>
      </c>
      <c r="I6" s="44">
        <v>1</v>
      </c>
      <c r="J6" s="44">
        <v>1</v>
      </c>
      <c r="K6" s="44">
        <v>1</v>
      </c>
      <c r="L6" s="44">
        <v>1</v>
      </c>
      <c r="O6">
        <v>0.55043084681807475</v>
      </c>
      <c r="P6">
        <v>0.61917633191771049</v>
      </c>
    </row>
    <row r="7" spans="1:16">
      <c r="A7" s="43"/>
      <c r="B7" s="43">
        <v>35</v>
      </c>
      <c r="C7" s="43">
        <v>49</v>
      </c>
      <c r="D7" s="43">
        <v>63</v>
      </c>
      <c r="E7" s="43">
        <v>77</v>
      </c>
      <c r="F7" s="43">
        <v>91</v>
      </c>
      <c r="G7" s="43"/>
      <c r="H7" s="43">
        <v>121</v>
      </c>
      <c r="I7" s="43">
        <f>+H7+14</f>
        <v>135</v>
      </c>
      <c r="J7" s="43">
        <f>+I7+14</f>
        <v>149</v>
      </c>
      <c r="K7" s="43">
        <f>+J7+14</f>
        <v>163</v>
      </c>
      <c r="L7" s="43">
        <f>+K7+14</f>
        <v>177</v>
      </c>
      <c r="O7">
        <v>0.44956915318192525</v>
      </c>
      <c r="P7">
        <v>0.38082366808228951</v>
      </c>
    </row>
    <row r="8" spans="1:16">
      <c r="A8" s="43" t="s">
        <v>78</v>
      </c>
      <c r="B8" s="44">
        <f>+(B5-B3)/(B5+B6-1)</f>
        <v>0.38082366808228951</v>
      </c>
      <c r="C8" s="44">
        <f>+(C5-C3)/(C5+C6-1)</f>
        <v>0.39841546448032839</v>
      </c>
      <c r="D8" s="44">
        <f>+(D5-D3)/(D5+D6-1)</f>
        <v>0.40930255987916619</v>
      </c>
      <c r="E8" s="44">
        <f>+(E5-E3)/(E5+E6-1)</f>
        <v>0.38911512162567802</v>
      </c>
      <c r="F8" s="44">
        <f>+(F5-F3)/(F5+F6-1)</f>
        <v>0.43759384178780852</v>
      </c>
      <c r="G8" s="43"/>
      <c r="H8" s="44">
        <f>+(H5-H3)/(H5+H6-1)</f>
        <v>0.33346852485615597</v>
      </c>
      <c r="I8" s="44">
        <f>+(I5-I3)/(I5+I6-1)</f>
        <v>0.43202257320120907</v>
      </c>
      <c r="J8" s="44">
        <f>+(J5-J3)/(J5+J6-1)</f>
        <v>0.45330121345193891</v>
      </c>
      <c r="K8" s="44">
        <f>+(K5-K3)/(K5+K6-1)</f>
        <v>0.33144927554145737</v>
      </c>
      <c r="L8" s="44">
        <f>+(L5-L3)/(L5+L6-1)</f>
        <v>0.38029797617834149</v>
      </c>
      <c r="O8">
        <v>0.99999999999999989</v>
      </c>
      <c r="P8">
        <v>1</v>
      </c>
    </row>
    <row r="9" spans="1:16">
      <c r="A9" s="43" t="s">
        <v>82</v>
      </c>
      <c r="B9" s="97">
        <f>1-B8</f>
        <v>0.61917633191771049</v>
      </c>
      <c r="C9" s="97">
        <f>1-C8</f>
        <v>0.60158453551967161</v>
      </c>
      <c r="D9" s="97">
        <f>1-D8</f>
        <v>0.59069744012083381</v>
      </c>
      <c r="E9" s="97">
        <f>1-E8</f>
        <v>0.61088487837432193</v>
      </c>
      <c r="F9" s="97">
        <f>1-F8</f>
        <v>0.56240615821219153</v>
      </c>
      <c r="G9" s="43"/>
      <c r="H9" s="97">
        <f>1-H8</f>
        <v>0.66653147514384403</v>
      </c>
      <c r="I9" s="97">
        <f>1-I8</f>
        <v>0.56797742679879093</v>
      </c>
      <c r="J9" s="97">
        <f>1-J8</f>
        <v>0.54669878654806103</v>
      </c>
      <c r="K9" s="97">
        <f>1-K8</f>
        <v>0.66855072445854269</v>
      </c>
      <c r="L9" s="97">
        <f>1-L8</f>
        <v>0.61970202382165851</v>
      </c>
      <c r="O9">
        <v>0.8024586302946195</v>
      </c>
      <c r="P9">
        <v>0.87636201349603948</v>
      </c>
    </row>
    <row r="10" spans="1:16">
      <c r="A10" s="43" t="s">
        <v>86</v>
      </c>
      <c r="B10" s="97">
        <f>+B8*B6/B4</f>
        <v>0.75491103163159934</v>
      </c>
      <c r="C10" s="97">
        <f>+C8*C6/C4</f>
        <v>0.78978344708301218</v>
      </c>
      <c r="D10" s="97">
        <f>+D8*D6/D4</f>
        <v>0.81136505848966556</v>
      </c>
      <c r="E10" s="97">
        <f>+E8*E6/E4</f>
        <v>0.77134727305452566</v>
      </c>
      <c r="F10" s="97">
        <f>+F8*F6/F4</f>
        <v>0.86744718416053801</v>
      </c>
      <c r="G10" s="43"/>
      <c r="H10" s="97">
        <f>+H8*H6/H4</f>
        <v>0.66424398814099062</v>
      </c>
      <c r="I10" s="97">
        <f>+I8*I6/I4</f>
        <v>0.86055617127250628</v>
      </c>
      <c r="J10" s="97">
        <f>+J8*J6/J4</f>
        <v>0.90294160740462426</v>
      </c>
      <c r="K10" s="97">
        <f>+K8*K6/K4</f>
        <v>0.6602217967859747</v>
      </c>
      <c r="L10" s="97">
        <f>+L8*L6/L4</f>
        <v>0.75752470038248565</v>
      </c>
    </row>
    <row r="11" spans="1:16">
      <c r="A11" s="43" t="s">
        <v>89</v>
      </c>
      <c r="B11" s="97">
        <f>+B9*B5/B3</f>
        <v>1</v>
      </c>
      <c r="C11" s="97">
        <f>+C9*C5/C3</f>
        <v>0.99999999999999989</v>
      </c>
      <c r="D11" s="97">
        <f>+D9*D5/D3</f>
        <v>1</v>
      </c>
      <c r="E11" s="97">
        <f>+E9*E5/E3</f>
        <v>0.99999999999999989</v>
      </c>
      <c r="F11" s="97">
        <f>+F9*F5/F3</f>
        <v>1.0000000000000002</v>
      </c>
      <c r="G11" s="43"/>
      <c r="H11" s="97">
        <f>+H9*H5/H3</f>
        <v>1.0000000000000002</v>
      </c>
      <c r="I11" s="97">
        <f>+I9*I5/I3</f>
        <v>1</v>
      </c>
      <c r="J11" s="97">
        <f>+J9*J5/J3</f>
        <v>0.99999999999999989</v>
      </c>
      <c r="K11" s="97">
        <f>+K9*K5/K3</f>
        <v>1</v>
      </c>
      <c r="L11" s="97">
        <f>+L9*L5/L3</f>
        <v>1</v>
      </c>
    </row>
    <row r="12" spans="1:16">
      <c r="A12" s="43" t="s">
        <v>92</v>
      </c>
      <c r="B12" s="97">
        <f>B$8*B$6+B$9*B$5</f>
        <v>0.87636201349603948</v>
      </c>
      <c r="C12" s="97">
        <f>C$8*C$6+C$9*C$5</f>
        <v>0.89395380989407824</v>
      </c>
      <c r="D12" s="97">
        <f>D$8*D$6+D$9*D$5</f>
        <v>0.90484090529291616</v>
      </c>
      <c r="E12" s="97">
        <f>E$8*E$6+E$9*E$5</f>
        <v>0.88465346703942793</v>
      </c>
      <c r="F12" s="97">
        <f>F$8*F$6+F$9*F$5</f>
        <v>0.93313218720155855</v>
      </c>
      <c r="G12" s="43"/>
      <c r="H12" s="97">
        <f>H$8*H$6+H$9*H$5</f>
        <v>0.83144136193153684</v>
      </c>
      <c r="I12" s="97">
        <f>I$8*I$6+I$9*I$5</f>
        <v>0.92999541027658983</v>
      </c>
      <c r="J12" s="97">
        <f>J$8*J$6+J$9*J$5</f>
        <v>0.95127405052731961</v>
      </c>
      <c r="K12" s="97">
        <f>K$8*K$6+K$9*K$5</f>
        <v>0.82942211261683818</v>
      </c>
      <c r="L12" s="97">
        <f>L$8*L$6+L$9*L$5</f>
        <v>0.87827081325372225</v>
      </c>
    </row>
    <row r="13" spans="1:16" s="55" customFormat="1">
      <c r="B13" s="58"/>
      <c r="C13" s="58"/>
      <c r="D13" s="58"/>
      <c r="E13" s="58"/>
      <c r="F13" s="58"/>
      <c r="H13" s="58"/>
      <c r="I13" s="58"/>
      <c r="J13" s="58"/>
      <c r="K13" s="58"/>
      <c r="L13" s="58"/>
    </row>
    <row r="14" spans="1:16">
      <c r="A14" s="55" t="s">
        <v>94</v>
      </c>
      <c r="B14" s="49" t="s">
        <v>46</v>
      </c>
      <c r="C14" s="49" t="s">
        <v>47</v>
      </c>
    </row>
    <row r="15" spans="1:16">
      <c r="A15">
        <v>1</v>
      </c>
      <c r="B15" s="46">
        <v>0.87636201349603904</v>
      </c>
      <c r="C15" s="46">
        <v>0.83144136193153684</v>
      </c>
      <c r="F15" s="55"/>
      <c r="G15" s="49"/>
      <c r="H15" s="49"/>
    </row>
    <row r="16" spans="1:16">
      <c r="A16">
        <v>2</v>
      </c>
      <c r="B16" s="46">
        <v>0.89395380989407824</v>
      </c>
      <c r="C16" s="46">
        <v>0.92999541027658983</v>
      </c>
      <c r="F16" s="55"/>
      <c r="G16" s="55"/>
      <c r="H16" s="55"/>
    </row>
    <row r="17" spans="1:8">
      <c r="A17">
        <v>3</v>
      </c>
      <c r="B17" s="46">
        <v>0.90484090529291616</v>
      </c>
      <c r="C17" s="46">
        <v>0.95127405052731961</v>
      </c>
      <c r="F17" s="55"/>
      <c r="G17" s="55"/>
      <c r="H17" s="55"/>
    </row>
    <row r="18" spans="1:8">
      <c r="A18">
        <v>4</v>
      </c>
      <c r="B18" s="46">
        <v>0.88465346703942793</v>
      </c>
      <c r="C18" s="46">
        <v>0.82942211261683818</v>
      </c>
      <c r="F18" s="55"/>
      <c r="G18" s="55"/>
      <c r="H18" s="55"/>
    </row>
    <row r="19" spans="1:8">
      <c r="A19">
        <v>5</v>
      </c>
      <c r="B19" s="46">
        <v>0.93313218720155855</v>
      </c>
      <c r="C19" s="46">
        <v>0.87827081325372225</v>
      </c>
      <c r="F19" s="55"/>
      <c r="G19" s="55"/>
      <c r="H19" s="55"/>
    </row>
    <row r="20" spans="1:8">
      <c r="F20" s="55"/>
      <c r="G20" s="55"/>
      <c r="H20" s="55"/>
    </row>
    <row r="22" spans="1:8">
      <c r="B22" s="22" t="s">
        <v>95</v>
      </c>
      <c r="C22" s="22"/>
      <c r="D22" s="22"/>
    </row>
    <row r="23" spans="1:8" ht="15.75" thickBot="1">
      <c r="B23" s="22"/>
      <c r="C23" s="22"/>
      <c r="D23" s="22"/>
    </row>
    <row r="24" spans="1:8">
      <c r="B24" s="98"/>
      <c r="C24" s="98" t="s">
        <v>46</v>
      </c>
      <c r="D24" s="98" t="s">
        <v>47</v>
      </c>
    </row>
    <row r="25" spans="1:8">
      <c r="B25" s="99" t="s">
        <v>51</v>
      </c>
      <c r="C25" s="99">
        <v>0.89858847658480401</v>
      </c>
      <c r="D25" s="99">
        <v>0.88408074972120132</v>
      </c>
      <c r="E25" s="60">
        <f>D25-C25</f>
        <v>-1.4507726863602688E-2</v>
      </c>
    </row>
    <row r="26" spans="1:8">
      <c r="B26" s="99" t="s">
        <v>52</v>
      </c>
      <c r="C26" s="99">
        <v>4.8551027393104558E-4</v>
      </c>
      <c r="D26" s="99">
        <v>3.1038307114679142E-3</v>
      </c>
    </row>
    <row r="27" spans="1:8">
      <c r="B27" s="99" t="s">
        <v>53</v>
      </c>
      <c r="C27" s="101">
        <v>5</v>
      </c>
      <c r="D27" s="101">
        <v>5</v>
      </c>
    </row>
    <row r="28" spans="1:8">
      <c r="B28" s="99" t="s">
        <v>96</v>
      </c>
      <c r="C28" s="61">
        <v>0.39473771514785094</v>
      </c>
      <c r="D28" s="101"/>
    </row>
    <row r="29" spans="1:8">
      <c r="B29" s="99" t="s">
        <v>54</v>
      </c>
      <c r="C29" s="61">
        <v>0</v>
      </c>
      <c r="D29" s="101"/>
    </row>
    <row r="30" spans="1:8">
      <c r="B30" s="99" t="s">
        <v>55</v>
      </c>
      <c r="C30" s="61">
        <v>4</v>
      </c>
      <c r="D30" s="101"/>
    </row>
    <row r="31" spans="1:8">
      <c r="B31" s="99" t="s">
        <v>56</v>
      </c>
      <c r="C31" s="61">
        <v>0.63374877080000047</v>
      </c>
      <c r="D31" s="101"/>
      <c r="E31" s="55" t="s">
        <v>100</v>
      </c>
    </row>
    <row r="32" spans="1:8">
      <c r="B32" s="99" t="s">
        <v>57</v>
      </c>
      <c r="C32" s="61">
        <v>0.28033705470258335</v>
      </c>
      <c r="D32" s="101"/>
      <c r="E32" s="22">
        <f>1-C32</f>
        <v>0.71966294529741659</v>
      </c>
    </row>
    <row r="33" spans="2:4">
      <c r="B33" s="99" t="s">
        <v>58</v>
      </c>
      <c r="C33" s="61">
        <v>2.1318467819039775</v>
      </c>
      <c r="D33" s="101"/>
    </row>
    <row r="34" spans="2:4">
      <c r="B34" s="99" t="s">
        <v>59</v>
      </c>
      <c r="C34" s="61">
        <v>0.56067410940516671</v>
      </c>
      <c r="D34" s="101"/>
    </row>
    <row r="35" spans="2:4" ht="15.75" thickBot="1">
      <c r="B35" s="100" t="s">
        <v>60</v>
      </c>
      <c r="C35" s="62">
        <v>2.7764451050438028</v>
      </c>
      <c r="D35" s="10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B3" sqref="B3"/>
    </sheetView>
  </sheetViews>
  <sheetFormatPr defaultRowHeight="15"/>
  <cols>
    <col min="1" max="1" width="9.7109375" bestFit="1" customWidth="1"/>
    <col min="2" max="6" width="15" customWidth="1"/>
    <col min="7" max="7" width="15" style="55" customWidth="1"/>
    <col min="8" max="12" width="15" customWidth="1"/>
  </cols>
  <sheetData>
    <row r="1" spans="1:12">
      <c r="B1" s="135" t="s">
        <v>38</v>
      </c>
      <c r="C1" s="136"/>
      <c r="D1" s="136"/>
      <c r="E1" s="136"/>
      <c r="F1" s="137"/>
      <c r="H1" s="135" t="s">
        <v>39</v>
      </c>
      <c r="I1" s="136"/>
      <c r="J1" s="136"/>
      <c r="K1" s="136"/>
      <c r="L1" s="137"/>
    </row>
    <row r="2" spans="1:12">
      <c r="B2" s="43" t="s">
        <v>41</v>
      </c>
      <c r="C2" s="43" t="s">
        <v>42</v>
      </c>
      <c r="D2" s="43" t="s">
        <v>43</v>
      </c>
      <c r="E2" s="43" t="s">
        <v>44</v>
      </c>
      <c r="F2" s="43" t="s">
        <v>45</v>
      </c>
      <c r="H2" s="43" t="s">
        <v>41</v>
      </c>
      <c r="I2" s="43" t="s">
        <v>42</v>
      </c>
      <c r="J2" s="43" t="s">
        <v>43</v>
      </c>
      <c r="K2" s="43" t="s">
        <v>44</v>
      </c>
      <c r="L2" s="43" t="s">
        <v>45</v>
      </c>
    </row>
    <row r="3" spans="1:12">
      <c r="A3" t="s">
        <v>40</v>
      </c>
      <c r="B3" s="69">
        <f>'Derrick cal'!B$12*100</f>
        <v>87.636201349603951</v>
      </c>
      <c r="C3" s="69">
        <f>'Derrick cal'!C$12*100</f>
        <v>89.395380989407826</v>
      </c>
      <c r="D3" s="69">
        <f>'Derrick cal'!D$12*100</f>
        <v>90.48409052929162</v>
      </c>
      <c r="E3" s="69">
        <f>'Derrick cal'!E$12*100</f>
        <v>88.465346703942799</v>
      </c>
      <c r="F3" s="69">
        <f>'Derrick cal'!F$12*100</f>
        <v>93.313218720155859</v>
      </c>
      <c r="H3" s="69">
        <f>'Derrick cal'!H$12*100</f>
        <v>83.144136193153685</v>
      </c>
      <c r="I3" s="69">
        <f>'Derrick cal'!I$12*100</f>
        <v>92.999541027658978</v>
      </c>
      <c r="J3" s="69">
        <f>'Derrick cal'!J$12*100</f>
        <v>95.127405052731959</v>
      </c>
      <c r="K3" s="69">
        <f>'Derrick cal'!K$12*100</f>
        <v>82.942211261683823</v>
      </c>
      <c r="L3" s="69">
        <f>'Derrick cal'!L$12*100</f>
        <v>87.82708132537222</v>
      </c>
    </row>
    <row r="5" spans="1:12">
      <c r="B5" s="49" t="s">
        <v>46</v>
      </c>
      <c r="C5" s="49" t="s">
        <v>47</v>
      </c>
    </row>
    <row r="6" spans="1:12">
      <c r="A6" t="s">
        <v>41</v>
      </c>
      <c r="B6" s="69">
        <f>'Derrick cal'!B$12*100</f>
        <v>87.636201349603951</v>
      </c>
      <c r="C6" s="69">
        <f>'Derrick cal'!H$12*100</f>
        <v>83.144136193153685</v>
      </c>
    </row>
    <row r="7" spans="1:12">
      <c r="A7" t="s">
        <v>42</v>
      </c>
      <c r="B7" s="69">
        <f>'Derrick cal'!C$12*100</f>
        <v>89.395380989407826</v>
      </c>
      <c r="C7" s="69">
        <f>'Derrick cal'!I$12*100</f>
        <v>92.999541027658978</v>
      </c>
    </row>
    <row r="8" spans="1:12">
      <c r="A8" t="s">
        <v>43</v>
      </c>
      <c r="B8" s="69">
        <f>'Derrick cal'!D$12*100</f>
        <v>90.48409052929162</v>
      </c>
      <c r="C8" s="69">
        <f>'Derrick cal'!J$12*100</f>
        <v>95.127405052731959</v>
      </c>
    </row>
    <row r="9" spans="1:12">
      <c r="A9" t="s">
        <v>44</v>
      </c>
      <c r="B9" s="69">
        <f>'Derrick cal'!E$12*100</f>
        <v>88.465346703942799</v>
      </c>
      <c r="C9" s="69">
        <f>'Derrick cal'!K$12*100</f>
        <v>82.942211261683823</v>
      </c>
    </row>
    <row r="10" spans="1:12">
      <c r="A10" t="s">
        <v>45</v>
      </c>
      <c r="B10" s="69">
        <f>'Derrick cal'!F$12*100</f>
        <v>93.313218720155859</v>
      </c>
      <c r="C10" s="69">
        <f>'Derrick cal'!L$12*100</f>
        <v>87.82708132537222</v>
      </c>
    </row>
    <row r="11" spans="1:12">
      <c r="A11" t="s">
        <v>48</v>
      </c>
      <c r="B11" s="32">
        <f>AVERAGE(B6:B10)</f>
        <v>89.858847658480414</v>
      </c>
      <c r="C11" s="32">
        <f>AVERAGE(C6:C10)</f>
        <v>88.408074972120133</v>
      </c>
    </row>
    <row r="12" spans="1:12">
      <c r="A12" t="s">
        <v>49</v>
      </c>
      <c r="B12" s="32">
        <f>STDEV(B6:B10)</f>
        <v>2.2034297672745109</v>
      </c>
      <c r="C12" s="32">
        <f>STDEV(C6:C10)</f>
        <v>5.5712033811986172</v>
      </c>
    </row>
    <row r="14" spans="1:12">
      <c r="A14" t="s">
        <v>63</v>
      </c>
      <c r="B14" s="32">
        <f>B11+B12</f>
        <v>92.062277425754928</v>
      </c>
      <c r="C14" s="32">
        <f>C11+C12</f>
        <v>93.979278353318747</v>
      </c>
    </row>
    <row r="15" spans="1:12">
      <c r="A15" t="s">
        <v>64</v>
      </c>
      <c r="B15" s="32">
        <f>B11-B12</f>
        <v>87.6554178912059</v>
      </c>
      <c r="C15" s="32">
        <f>C11-C12</f>
        <v>82.836871590921518</v>
      </c>
    </row>
    <row r="28" spans="2:5">
      <c r="B28" t="s">
        <v>50</v>
      </c>
    </row>
    <row r="29" spans="2:5" ht="15.75" thickBot="1"/>
    <row r="30" spans="2:5">
      <c r="B30" s="52"/>
      <c r="C30" s="52" t="s">
        <v>46</v>
      </c>
      <c r="D30" s="52" t="s">
        <v>47</v>
      </c>
      <c r="E30" t="s">
        <v>61</v>
      </c>
    </row>
    <row r="31" spans="2:5">
      <c r="B31" s="50" t="s">
        <v>51</v>
      </c>
      <c r="C31" s="53">
        <v>71.962000000000018</v>
      </c>
      <c r="D31" s="53">
        <v>84.666000000000011</v>
      </c>
      <c r="E31" s="32">
        <f>ABS(C31-D31)</f>
        <v>12.703999999999994</v>
      </c>
    </row>
    <row r="32" spans="2:5">
      <c r="B32" s="50" t="s">
        <v>52</v>
      </c>
      <c r="C32" s="53">
        <v>138.05361999999877</v>
      </c>
      <c r="D32" s="53">
        <v>18.831529999997656</v>
      </c>
    </row>
    <row r="33" spans="2:6">
      <c r="B33" s="50" t="s">
        <v>53</v>
      </c>
      <c r="C33" s="53">
        <v>5</v>
      </c>
      <c r="D33" s="53">
        <v>5</v>
      </c>
    </row>
    <row r="34" spans="2:6">
      <c r="B34" s="50" t="s">
        <v>54</v>
      </c>
      <c r="C34" s="53">
        <v>0</v>
      </c>
      <c r="D34" s="53"/>
    </row>
    <row r="35" spans="2:6">
      <c r="B35" s="50" t="s">
        <v>55</v>
      </c>
      <c r="C35" s="53">
        <v>5</v>
      </c>
      <c r="D35" s="53"/>
    </row>
    <row r="36" spans="2:6">
      <c r="B36" s="50" t="s">
        <v>56</v>
      </c>
      <c r="C36" s="53">
        <v>-2.2679557072140222</v>
      </c>
      <c r="D36" s="53"/>
      <c r="E36" t="s">
        <v>65</v>
      </c>
    </row>
    <row r="37" spans="2:6">
      <c r="B37" s="50" t="s">
        <v>57</v>
      </c>
      <c r="C37" s="53">
        <v>3.631221892708407E-2</v>
      </c>
      <c r="D37" s="53"/>
      <c r="E37" s="22">
        <f>1-C37</f>
        <v>0.96368778107291597</v>
      </c>
      <c r="F37" t="s">
        <v>62</v>
      </c>
    </row>
    <row r="38" spans="2:6">
      <c r="B38" s="50" t="s">
        <v>58</v>
      </c>
      <c r="C38" s="53">
        <v>2.0150483720881205</v>
      </c>
      <c r="D38" s="53"/>
    </row>
    <row r="39" spans="2:6">
      <c r="B39" s="50" t="s">
        <v>59</v>
      </c>
      <c r="C39" s="53">
        <v>7.2624437854168139E-2</v>
      </c>
      <c r="D39" s="53"/>
      <c r="E39" s="22"/>
    </row>
    <row r="40" spans="2:6" ht="15.75" thickBot="1">
      <c r="B40" s="51" t="s">
        <v>60</v>
      </c>
      <c r="C40" s="54">
        <v>2.5705818346975402</v>
      </c>
      <c r="D40" s="54"/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4"/>
  <sheetViews>
    <sheetView topLeftCell="A31" workbookViewId="0">
      <selection activeCell="F38" sqref="F38"/>
    </sheetView>
  </sheetViews>
  <sheetFormatPr defaultRowHeight="15"/>
  <cols>
    <col min="1" max="1" width="16.140625" bestFit="1" customWidth="1"/>
    <col min="2" max="2" width="13.7109375" customWidth="1"/>
    <col min="3" max="3" width="11.7109375" customWidth="1"/>
    <col min="8" max="8" width="22.140625" customWidth="1"/>
    <col min="9" max="9" width="14.85546875" customWidth="1"/>
    <col min="10" max="10" width="16.140625" customWidth="1"/>
  </cols>
  <sheetData>
    <row r="1" spans="1:12" ht="30">
      <c r="B1" s="95" t="s">
        <v>25</v>
      </c>
      <c r="C1" s="95" t="s">
        <v>26</v>
      </c>
      <c r="D1" s="95" t="s">
        <v>27</v>
      </c>
      <c r="E1" s="95" t="s">
        <v>28</v>
      </c>
      <c r="F1" s="95" t="s">
        <v>29</v>
      </c>
      <c r="G1" s="43"/>
      <c r="H1" s="95" t="s">
        <v>30</v>
      </c>
      <c r="I1" s="95" t="s">
        <v>31</v>
      </c>
      <c r="J1" s="95" t="s">
        <v>32</v>
      </c>
      <c r="K1" s="95" t="s">
        <v>33</v>
      </c>
      <c r="L1" s="95" t="s">
        <v>34</v>
      </c>
    </row>
    <row r="2" spans="1:12">
      <c r="A2" s="55" t="s">
        <v>108</v>
      </c>
      <c r="B2" s="92">
        <f>Data!W45</f>
        <v>0.46605384642832975</v>
      </c>
      <c r="C2" s="92">
        <f>Data!W59</f>
        <v>0.4781941761952847</v>
      </c>
      <c r="D2" s="92">
        <f>Data!W73</f>
        <v>0.47610172804285444</v>
      </c>
      <c r="E2" s="92">
        <f>Data!W87</f>
        <v>0.47520700487429157</v>
      </c>
      <c r="F2" s="111">
        <f>Data!W101</f>
        <v>0.4896146487330495</v>
      </c>
      <c r="H2" s="92">
        <f>Data!W131</f>
        <v>0.45148133834697041</v>
      </c>
      <c r="I2" s="92">
        <f>Data!W145</f>
        <v>0.493493295012987</v>
      </c>
      <c r="J2" s="111">
        <f>Data!W159</f>
        <v>0.4966902240084744</v>
      </c>
      <c r="K2" s="92">
        <f>Data!W173</f>
        <v>0.44576449832784115</v>
      </c>
      <c r="L2" s="92">
        <f>Data!W187</f>
        <v>0.46975247625979183</v>
      </c>
    </row>
    <row r="4" spans="1:12">
      <c r="A4" s="55" t="s">
        <v>117</v>
      </c>
      <c r="B4" s="93">
        <f>Data!G45</f>
        <v>7.9235320075091806E-2</v>
      </c>
      <c r="C4" s="93">
        <f>Data!G59</f>
        <v>6.3916941953751763E-2</v>
      </c>
      <c r="D4" s="93">
        <f>Data!G73</f>
        <v>6.7084871417452091E-2</v>
      </c>
      <c r="E4" s="93">
        <f>Data!G87</f>
        <v>6.8354171742017633E-2</v>
      </c>
      <c r="F4" s="93">
        <f>Data!G101</f>
        <v>3.6297754316900785E-2</v>
      </c>
      <c r="G4" s="93"/>
      <c r="H4" s="93">
        <f>Data!G131</f>
        <v>9.250352929916493E-2</v>
      </c>
      <c r="I4" s="93">
        <f>Data!G145</f>
        <v>4.6131363156612822E-2</v>
      </c>
      <c r="J4" s="93">
        <f>Data!G159</f>
        <v>3.7686979218953913E-2</v>
      </c>
      <c r="K4" s="93">
        <f>Data!G173</f>
        <v>9.5998132937446898E-2</v>
      </c>
      <c r="L4" s="93">
        <f>Data!G187</f>
        <v>7.8673074038247651E-2</v>
      </c>
    </row>
    <row r="6" spans="1:12">
      <c r="G6" s="36"/>
      <c r="H6" s="36"/>
      <c r="I6" s="36"/>
      <c r="J6" s="36"/>
      <c r="K6" s="36"/>
    </row>
    <row r="7" spans="1:12">
      <c r="G7" s="36"/>
      <c r="H7" s="115" t="s">
        <v>117</v>
      </c>
      <c r="I7" s="115"/>
      <c r="J7" s="115"/>
      <c r="K7" s="36"/>
    </row>
    <row r="8" spans="1:12">
      <c r="A8" s="43" t="s">
        <v>94</v>
      </c>
      <c r="B8" s="112" t="s">
        <v>106</v>
      </c>
      <c r="C8" s="112" t="s">
        <v>107</v>
      </c>
      <c r="G8" s="36"/>
      <c r="H8" s="119" t="s">
        <v>129</v>
      </c>
      <c r="I8" s="119" t="s">
        <v>114</v>
      </c>
      <c r="J8" s="119" t="s">
        <v>116</v>
      </c>
      <c r="K8" s="36"/>
    </row>
    <row r="9" spans="1:12">
      <c r="A9" s="43">
        <v>1</v>
      </c>
      <c r="B9" s="113">
        <v>0.46605384642832975</v>
      </c>
      <c r="C9" s="113">
        <v>0.45148133834697041</v>
      </c>
      <c r="G9" s="36"/>
      <c r="H9" s="117" t="s">
        <v>124</v>
      </c>
      <c r="I9" s="118">
        <v>7.9235320075091806E-2</v>
      </c>
      <c r="J9" s="118">
        <v>9.250352929916493E-2</v>
      </c>
      <c r="K9" s="36"/>
    </row>
    <row r="10" spans="1:12">
      <c r="A10" s="43">
        <v>2</v>
      </c>
      <c r="B10" s="113">
        <v>0.4781941761952847</v>
      </c>
      <c r="C10" s="113">
        <v>0.493493295012987</v>
      </c>
      <c r="G10" s="36"/>
      <c r="H10" s="117" t="s">
        <v>125</v>
      </c>
      <c r="I10" s="118">
        <v>6.3916941953751763E-2</v>
      </c>
      <c r="J10" s="118">
        <v>4.6131363156612822E-2</v>
      </c>
      <c r="K10" s="36"/>
    </row>
    <row r="11" spans="1:12">
      <c r="A11" s="43">
        <v>3</v>
      </c>
      <c r="B11" s="113">
        <v>0.47610172804285444</v>
      </c>
      <c r="C11" s="113">
        <v>0.4966902240084744</v>
      </c>
      <c r="G11" s="36"/>
      <c r="H11" s="117" t="s">
        <v>126</v>
      </c>
      <c r="I11" s="118">
        <v>6.7084871417452091E-2</v>
      </c>
      <c r="J11" s="118">
        <v>3.7686979218953913E-2</v>
      </c>
      <c r="K11" s="36"/>
    </row>
    <row r="12" spans="1:12">
      <c r="A12" s="43">
        <v>4</v>
      </c>
      <c r="B12" s="113">
        <v>0.47520700487429157</v>
      </c>
      <c r="C12" s="113">
        <v>0.44576449832784115</v>
      </c>
      <c r="G12" s="36"/>
      <c r="H12" s="117" t="s">
        <v>127</v>
      </c>
      <c r="I12" s="118">
        <v>6.8354171742017633E-2</v>
      </c>
      <c r="J12" s="118">
        <v>9.5998132937446898E-2</v>
      </c>
      <c r="K12" s="36"/>
    </row>
    <row r="13" spans="1:12">
      <c r="A13" s="43">
        <v>5</v>
      </c>
      <c r="B13" s="113">
        <v>0.4896146487330495</v>
      </c>
      <c r="C13" s="113">
        <v>0.46975247625979183</v>
      </c>
      <c r="G13" s="36"/>
      <c r="H13" s="117" t="s">
        <v>128</v>
      </c>
      <c r="I13" s="118">
        <v>3.6297754316900785E-2</v>
      </c>
      <c r="J13" s="118">
        <v>7.8673074038247651E-2</v>
      </c>
      <c r="K13" s="36"/>
    </row>
    <row r="14" spans="1:12">
      <c r="G14" s="36"/>
      <c r="H14" s="119" t="s">
        <v>130</v>
      </c>
      <c r="I14" s="120">
        <f>AVERAGE(I9:I13)</f>
        <v>6.2977811901042818E-2</v>
      </c>
      <c r="J14" s="120">
        <f>AVERAGE(J9:J13)</f>
        <v>7.0198615730085248E-2</v>
      </c>
      <c r="K14" s="36"/>
    </row>
    <row r="15" spans="1:12">
      <c r="G15" s="36"/>
      <c r="H15" s="36"/>
      <c r="I15" s="36"/>
      <c r="J15" s="36"/>
      <c r="K15" s="36"/>
    </row>
    <row r="16" spans="1:12">
      <c r="B16" s="55" t="s">
        <v>95</v>
      </c>
      <c r="H16" s="55" t="s">
        <v>95</v>
      </c>
      <c r="K16" s="55"/>
    </row>
    <row r="17" spans="2:11" ht="15.75" thickBot="1">
      <c r="K17" s="55"/>
    </row>
    <row r="18" spans="2:11">
      <c r="B18" s="52"/>
      <c r="C18" s="52" t="s">
        <v>106</v>
      </c>
      <c r="D18" s="52" t="s">
        <v>107</v>
      </c>
      <c r="H18" s="52"/>
      <c r="I18" s="114" t="s">
        <v>114</v>
      </c>
      <c r="J18" s="114" t="s">
        <v>116</v>
      </c>
      <c r="K18" s="55"/>
    </row>
    <row r="19" spans="2:11">
      <c r="B19" s="50" t="s">
        <v>51</v>
      </c>
      <c r="C19" s="99">
        <v>0.47703428085476196</v>
      </c>
      <c r="D19" s="99">
        <v>0.47143636639121295</v>
      </c>
      <c r="E19" s="92">
        <f>C19-D19</f>
        <v>5.5979144635490141E-3</v>
      </c>
      <c r="H19" s="50" t="s">
        <v>51</v>
      </c>
      <c r="I19" s="107">
        <v>6.2977811901042818E-2</v>
      </c>
      <c r="J19" s="107">
        <v>7.0198615730085248E-2</v>
      </c>
      <c r="K19" s="93">
        <f>I19-J19</f>
        <v>-7.2208038290424298E-3</v>
      </c>
    </row>
    <row r="20" spans="2:11">
      <c r="B20" s="50" t="s">
        <v>52</v>
      </c>
      <c r="C20" s="99">
        <v>7.109738640074834E-5</v>
      </c>
      <c r="D20" s="99">
        <v>5.4608721621590695E-4</v>
      </c>
      <c r="H20" s="50" t="s">
        <v>52</v>
      </c>
      <c r="I20" s="107">
        <v>2.5569679824731951E-4</v>
      </c>
      <c r="J20" s="107">
        <v>7.1779496403527078E-4</v>
      </c>
      <c r="K20" s="55"/>
    </row>
    <row r="21" spans="2:11">
      <c r="B21" s="50" t="s">
        <v>53</v>
      </c>
      <c r="C21" s="50">
        <v>5</v>
      </c>
      <c r="D21" s="50">
        <v>5</v>
      </c>
      <c r="H21" s="50" t="s">
        <v>53</v>
      </c>
      <c r="I21" s="50">
        <v>5</v>
      </c>
      <c r="J21" s="50">
        <v>5</v>
      </c>
      <c r="K21" s="55"/>
    </row>
    <row r="22" spans="2:11">
      <c r="B22" s="50" t="s">
        <v>96</v>
      </c>
      <c r="C22" s="50">
        <v>0.31322540329140636</v>
      </c>
      <c r="D22" s="50"/>
      <c r="H22" s="50" t="s">
        <v>96</v>
      </c>
      <c r="I22" s="50">
        <v>6.950139467434123E-2</v>
      </c>
      <c r="J22" s="50"/>
      <c r="K22" s="55"/>
    </row>
    <row r="23" spans="2:11">
      <c r="B23" s="50" t="s">
        <v>54</v>
      </c>
      <c r="C23" s="50">
        <v>0</v>
      </c>
      <c r="D23" s="50"/>
      <c r="H23" s="50" t="s">
        <v>54</v>
      </c>
      <c r="I23" s="50">
        <v>0</v>
      </c>
      <c r="J23" s="50"/>
      <c r="K23" s="55"/>
    </row>
    <row r="24" spans="2:11">
      <c r="B24" s="50" t="s">
        <v>55</v>
      </c>
      <c r="C24" s="50">
        <v>4</v>
      </c>
      <c r="D24" s="50"/>
      <c r="H24" s="50" t="s">
        <v>55</v>
      </c>
      <c r="I24" s="50">
        <v>4</v>
      </c>
      <c r="J24" s="50"/>
      <c r="K24" s="55"/>
    </row>
    <row r="25" spans="2:11">
      <c r="B25" s="50" t="s">
        <v>56</v>
      </c>
      <c r="C25" s="50">
        <v>0.56332456503386674</v>
      </c>
      <c r="D25" s="50"/>
      <c r="E25" s="55" t="s">
        <v>109</v>
      </c>
      <c r="H25" s="50" t="s">
        <v>56</v>
      </c>
      <c r="I25" s="50">
        <v>-0.53408629898163829</v>
      </c>
      <c r="J25" s="50"/>
      <c r="K25" s="55" t="s">
        <v>119</v>
      </c>
    </row>
    <row r="26" spans="2:11">
      <c r="B26" s="50" t="s">
        <v>57</v>
      </c>
      <c r="C26" s="50">
        <v>0.30164688983662569</v>
      </c>
      <c r="D26" s="50"/>
      <c r="H26" s="50" t="s">
        <v>57</v>
      </c>
      <c r="I26" s="50">
        <v>0.31079182182058379</v>
      </c>
      <c r="J26" s="50"/>
      <c r="K26" s="55"/>
    </row>
    <row r="27" spans="2:11">
      <c r="B27" s="50" t="s">
        <v>58</v>
      </c>
      <c r="C27" s="50">
        <v>2.1318467819039775</v>
      </c>
      <c r="D27" s="50"/>
      <c r="H27" s="50" t="s">
        <v>58</v>
      </c>
      <c r="I27" s="50">
        <v>2.1318467819039775</v>
      </c>
      <c r="J27" s="50"/>
      <c r="K27" s="55"/>
    </row>
    <row r="28" spans="2:11">
      <c r="B28" s="50" t="s">
        <v>59</v>
      </c>
      <c r="C28" s="50">
        <v>0.60329377967325137</v>
      </c>
      <c r="D28" s="50"/>
      <c r="H28" s="50" t="s">
        <v>59</v>
      </c>
      <c r="I28" s="50">
        <v>0.62158364364116758</v>
      </c>
      <c r="J28" s="50"/>
      <c r="K28" s="55"/>
    </row>
    <row r="29" spans="2:11" ht="15.75" thickBot="1">
      <c r="B29" s="51" t="s">
        <v>60</v>
      </c>
      <c r="C29" s="51">
        <v>2.7764451050438028</v>
      </c>
      <c r="D29" s="51"/>
      <c r="H29" s="51" t="s">
        <v>60</v>
      </c>
      <c r="I29" s="51">
        <v>2.7764451050438028</v>
      </c>
      <c r="J29" s="51"/>
      <c r="K29" s="55"/>
    </row>
    <row r="32" spans="2:11">
      <c r="G32" s="36"/>
      <c r="H32" s="36"/>
      <c r="I32" s="36"/>
      <c r="J32" s="36"/>
      <c r="K32" s="36"/>
    </row>
    <row r="33" spans="7:11">
      <c r="G33" s="36"/>
      <c r="H33" s="115" t="s">
        <v>117</v>
      </c>
      <c r="I33" s="115"/>
      <c r="J33" s="115"/>
      <c r="K33" s="36"/>
    </row>
    <row r="34" spans="7:11">
      <c r="G34" s="36"/>
      <c r="H34" s="119" t="s">
        <v>129</v>
      </c>
      <c r="I34" s="119" t="s">
        <v>114</v>
      </c>
      <c r="J34" s="119" t="s">
        <v>116</v>
      </c>
      <c r="K34" s="36"/>
    </row>
    <row r="35" spans="7:11" s="55" customFormat="1">
      <c r="G35" s="36"/>
      <c r="H35" s="127" t="s">
        <v>101</v>
      </c>
      <c r="I35" s="128">
        <f>Data!G31</f>
        <v>0.17859026190894708</v>
      </c>
      <c r="J35" s="128">
        <f>Data!G117</f>
        <v>0.17580742481501477</v>
      </c>
      <c r="K35" s="36"/>
    </row>
    <row r="36" spans="7:11">
      <c r="G36" s="36"/>
      <c r="H36" s="117" t="s">
        <v>124</v>
      </c>
      <c r="I36" s="118">
        <v>7.9235320075091806E-2</v>
      </c>
      <c r="J36" s="118">
        <v>9.250352929916493E-2</v>
      </c>
      <c r="K36" s="36"/>
    </row>
    <row r="37" spans="7:11">
      <c r="G37" s="36"/>
      <c r="H37" s="117" t="s">
        <v>125</v>
      </c>
      <c r="I37" s="118">
        <v>6.3916941953751763E-2</v>
      </c>
      <c r="J37" s="118">
        <v>4.6131363156612822E-2</v>
      </c>
      <c r="K37" s="36"/>
    </row>
    <row r="38" spans="7:11">
      <c r="G38" s="36"/>
      <c r="H38" s="117" t="s">
        <v>126</v>
      </c>
      <c r="I38" s="118">
        <v>6.7084871417452091E-2</v>
      </c>
      <c r="J38" s="118">
        <v>3.7686979218953913E-2</v>
      </c>
      <c r="K38" s="36"/>
    </row>
    <row r="39" spans="7:11">
      <c r="G39" s="36"/>
      <c r="H39" s="117" t="s">
        <v>127</v>
      </c>
      <c r="I39" s="118">
        <v>6.8354171742017633E-2</v>
      </c>
      <c r="J39" s="118">
        <v>9.5998132937446898E-2</v>
      </c>
      <c r="K39" s="36"/>
    </row>
    <row r="40" spans="7:11">
      <c r="G40" s="36"/>
      <c r="H40" s="117" t="s">
        <v>128</v>
      </c>
      <c r="I40" s="118">
        <v>3.6297754316900785E-2</v>
      </c>
      <c r="J40" s="118">
        <v>7.8673074038247651E-2</v>
      </c>
      <c r="K40" s="36"/>
    </row>
    <row r="41" spans="7:11">
      <c r="G41" s="36"/>
      <c r="H41" s="119" t="s">
        <v>130</v>
      </c>
      <c r="I41" s="120">
        <f>AVERAGE(I36:I40)</f>
        <v>6.2977811901042818E-2</v>
      </c>
      <c r="J41" s="120">
        <f>AVERAGE(J36:J40)</f>
        <v>7.0198615730085248E-2</v>
      </c>
      <c r="K41" s="36"/>
    </row>
    <row r="42" spans="7:11">
      <c r="G42" s="36"/>
      <c r="H42" s="119" t="s">
        <v>131</v>
      </c>
      <c r="I42" s="129">
        <f>STDEV(I36:I40)</f>
        <v>1.5990522138045384E-2</v>
      </c>
      <c r="J42" s="129">
        <f>STDEV(J36:J40)</f>
        <v>2.6791695803649138E-2</v>
      </c>
      <c r="K42" s="36"/>
    </row>
    <row r="43" spans="7:11" s="55" customFormat="1">
      <c r="G43" s="36"/>
      <c r="H43" s="130"/>
      <c r="I43" s="36"/>
      <c r="J43" s="36"/>
      <c r="K43" s="36"/>
    </row>
    <row r="44" spans="7:11">
      <c r="G44" s="36"/>
      <c r="H44" s="119" t="s">
        <v>129</v>
      </c>
      <c r="I44" s="116" t="s">
        <v>115</v>
      </c>
      <c r="J44" s="116" t="s">
        <v>118</v>
      </c>
      <c r="K44" s="36"/>
    </row>
    <row r="45" spans="7:11">
      <c r="G45" s="36"/>
      <c r="H45" s="127" t="s">
        <v>101</v>
      </c>
      <c r="I45" s="128">
        <f>[1]Data!F39</f>
        <v>0.11833802863309115</v>
      </c>
      <c r="J45" s="128">
        <f>[1]Data!F125</f>
        <v>0.10525617136760752</v>
      </c>
      <c r="K45" s="36"/>
    </row>
    <row r="46" spans="7:11">
      <c r="G46" s="36"/>
      <c r="H46" s="117" t="s">
        <v>124</v>
      </c>
      <c r="I46" s="118">
        <v>6.0907098963739102E-2</v>
      </c>
      <c r="J46" s="118">
        <v>6.140148181652811E-2</v>
      </c>
      <c r="K46" s="36"/>
    </row>
    <row r="47" spans="7:11">
      <c r="G47" s="36"/>
      <c r="H47" s="117" t="s">
        <v>125</v>
      </c>
      <c r="I47" s="118">
        <v>3.7053318780823026E-2</v>
      </c>
      <c r="J47" s="118">
        <v>5.9986079064337727E-2</v>
      </c>
      <c r="K47" s="36"/>
    </row>
    <row r="48" spans="7:11">
      <c r="G48" s="36"/>
      <c r="H48" s="117" t="s">
        <v>126</v>
      </c>
      <c r="I48" s="118">
        <v>5.3347133181936922E-2</v>
      </c>
      <c r="J48" s="118">
        <v>2.5045326137369824E-2</v>
      </c>
      <c r="K48" s="36"/>
    </row>
    <row r="49" spans="7:11">
      <c r="G49" s="36"/>
      <c r="H49" s="117" t="s">
        <v>127</v>
      </c>
      <c r="I49" s="118">
        <v>5.4902398713539108E-2</v>
      </c>
      <c r="J49" s="118">
        <v>5.9059554625137324E-2</v>
      </c>
      <c r="K49" s="36"/>
    </row>
    <row r="50" spans="7:11">
      <c r="G50" s="36"/>
      <c r="H50" s="117" t="s">
        <v>128</v>
      </c>
      <c r="I50" s="118">
        <v>2.1621414621069965E-2</v>
      </c>
      <c r="J50" s="118">
        <v>4.6096887960030045E-2</v>
      </c>
      <c r="K50" s="36"/>
    </row>
    <row r="51" spans="7:11">
      <c r="G51" s="36"/>
      <c r="H51" s="119" t="s">
        <v>120</v>
      </c>
      <c r="I51" s="120">
        <f>AVERAGE(I46:I50)</f>
        <v>4.5566272852221625E-2</v>
      </c>
      <c r="J51" s="120">
        <f>AVERAGE(J46:J50)</f>
        <v>5.0317865920680604E-2</v>
      </c>
      <c r="K51" s="36"/>
    </row>
    <row r="52" spans="7:11">
      <c r="G52" s="36"/>
      <c r="H52" s="119" t="s">
        <v>131</v>
      </c>
      <c r="I52" s="129">
        <f>STDEV(I46:I50)</f>
        <v>1.6038022026456447E-2</v>
      </c>
      <c r="J52" s="129">
        <f>STDEV(J46:J50)</f>
        <v>1.5404998621931277E-2</v>
      </c>
      <c r="K52" s="36"/>
    </row>
    <row r="53" spans="7:11">
      <c r="J53" s="36"/>
      <c r="K53" s="36"/>
    </row>
    <row r="54" spans="7:11">
      <c r="J54" s="36"/>
      <c r="K54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S41:AD82"/>
  <sheetViews>
    <sheetView topLeftCell="I56" zoomScale="90" zoomScaleNormal="90" workbookViewId="0">
      <selection activeCell="O60" sqref="O60"/>
    </sheetView>
  </sheetViews>
  <sheetFormatPr defaultRowHeight="15"/>
  <sheetData>
    <row r="41" spans="19:30"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 spans="19:30"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19:30"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</row>
    <row r="44" spans="19:30"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</row>
    <row r="45" spans="19:30"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</row>
    <row r="46" spans="19:30"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</row>
    <row r="47" spans="19:30"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</row>
    <row r="48" spans="19:30"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</row>
    <row r="49" spans="19:30"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 spans="19:30"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</row>
    <row r="51" spans="19:30"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</row>
    <row r="52" spans="19:30"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</row>
    <row r="53" spans="19:30"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 spans="19:30"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</row>
    <row r="55" spans="19:30"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</row>
    <row r="56" spans="19:30"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</row>
    <row r="57" spans="19:30"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  <row r="58" spans="19:30"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 spans="19:30"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spans="19:30"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</row>
    <row r="61" spans="19:30"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 spans="19:30"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</row>
    <row r="63" spans="19:30"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</row>
    <row r="64" spans="19:30"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</row>
    <row r="65" spans="19:30"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</row>
    <row r="66" spans="19:30"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  <row r="67" spans="19:30"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</row>
    <row r="68" spans="19:30"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</row>
    <row r="69" spans="19:30"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</row>
    <row r="70" spans="19:30"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</row>
    <row r="71" spans="19:30"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</row>
    <row r="72" spans="19:30"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</row>
    <row r="73" spans="19:30"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</row>
    <row r="74" spans="19:30"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</row>
    <row r="75" spans="19:30"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</row>
    <row r="76" spans="19:30"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9:30"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19:30"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19:30"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19:30"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19:30"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19:30"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5"/>
  <sheetViews>
    <sheetView workbookViewId="0">
      <selection activeCell="B5" sqref="B5"/>
    </sheetView>
  </sheetViews>
  <sheetFormatPr defaultRowHeight="15"/>
  <sheetData>
    <row r="1" spans="1:15" ht="18.75">
      <c r="A1" s="138" t="s">
        <v>66</v>
      </c>
      <c r="B1" s="138"/>
      <c r="C1" s="138"/>
      <c r="D1" s="138"/>
      <c r="E1" s="138"/>
      <c r="F1" s="138"/>
      <c r="G1" s="138"/>
      <c r="H1" s="55"/>
      <c r="I1" s="55"/>
      <c r="J1" s="55"/>
      <c r="K1" s="55" t="s">
        <v>67</v>
      </c>
      <c r="L1" s="55"/>
      <c r="M1" s="55"/>
      <c r="N1" s="55"/>
      <c r="O1" s="55"/>
    </row>
    <row r="2" spans="1:15">
      <c r="A2" s="55" t="s">
        <v>68</v>
      </c>
      <c r="B2" s="55" t="s">
        <v>69</v>
      </c>
      <c r="C2" s="55"/>
      <c r="D2" s="55"/>
      <c r="E2" s="55"/>
      <c r="F2" s="55"/>
      <c r="G2" s="55"/>
      <c r="H2" s="55"/>
      <c r="I2" s="55"/>
      <c r="J2" s="55"/>
    </row>
    <row r="3" spans="1:15">
      <c r="A3" s="55" t="s">
        <v>70</v>
      </c>
      <c r="B3" s="55" t="s">
        <v>71</v>
      </c>
      <c r="C3" s="55"/>
      <c r="D3" s="55"/>
      <c r="E3" s="55"/>
      <c r="F3" s="55"/>
      <c r="G3" s="55"/>
      <c r="H3" s="55"/>
      <c r="I3" s="55"/>
      <c r="J3" s="55"/>
    </row>
    <row r="4" spans="1:15">
      <c r="A4" s="55" t="s">
        <v>72</v>
      </c>
      <c r="B4" s="55" t="s">
        <v>73</v>
      </c>
      <c r="C4" s="55"/>
      <c r="D4" s="55"/>
      <c r="E4" s="55"/>
      <c r="F4" s="55"/>
      <c r="G4" s="55"/>
      <c r="H4" s="55"/>
      <c r="I4" s="55"/>
      <c r="J4" s="55"/>
    </row>
    <row r="5" spans="1:15">
      <c r="A5" s="55" t="s">
        <v>74</v>
      </c>
      <c r="B5" s="55" t="s">
        <v>75</v>
      </c>
      <c r="C5" s="55"/>
      <c r="D5" s="55"/>
      <c r="E5" s="55"/>
      <c r="F5" s="55"/>
      <c r="G5" s="55"/>
      <c r="H5" s="55"/>
      <c r="I5" s="55"/>
      <c r="J5" s="55"/>
    </row>
    <row r="7" spans="1:15">
      <c r="A7" s="55" t="s">
        <v>76</v>
      </c>
      <c r="B7" s="55"/>
      <c r="C7" s="55"/>
      <c r="D7" s="55"/>
      <c r="E7" s="55"/>
      <c r="F7" s="55"/>
      <c r="G7" s="55"/>
      <c r="H7" s="55"/>
      <c r="I7" s="55"/>
      <c r="J7" s="55"/>
    </row>
    <row r="8" spans="1:15" ht="18.75">
      <c r="A8" s="55"/>
      <c r="B8" s="55"/>
      <c r="C8" s="55"/>
      <c r="D8" s="55"/>
      <c r="E8" s="56"/>
      <c r="F8" s="56" t="s">
        <v>77</v>
      </c>
      <c r="G8" s="56"/>
      <c r="H8" s="55"/>
      <c r="I8" s="55"/>
      <c r="J8" s="55"/>
    </row>
    <row r="9" spans="1:15" ht="18.75">
      <c r="A9" s="55" t="s">
        <v>78</v>
      </c>
      <c r="B9" s="55" t="s">
        <v>79</v>
      </c>
      <c r="C9" s="55"/>
      <c r="D9" s="55"/>
      <c r="E9" s="56" t="s">
        <v>80</v>
      </c>
      <c r="F9" s="56"/>
      <c r="G9" s="56"/>
      <c r="H9" s="55"/>
      <c r="I9" s="55"/>
      <c r="J9" s="55"/>
    </row>
    <row r="10" spans="1:15" ht="18.75">
      <c r="A10" s="55"/>
      <c r="B10" s="55"/>
      <c r="C10" s="55"/>
      <c r="D10" s="55"/>
      <c r="E10" s="56"/>
      <c r="F10" s="56" t="s">
        <v>81</v>
      </c>
      <c r="G10" s="56"/>
      <c r="H10" s="55"/>
      <c r="I10" s="55"/>
      <c r="J10" s="55"/>
    </row>
    <row r="11" spans="1:15" ht="18.75">
      <c r="A11" s="55"/>
      <c r="B11" s="55"/>
      <c r="C11" s="55"/>
      <c r="D11" s="55"/>
      <c r="E11" s="56"/>
      <c r="F11" s="56"/>
      <c r="G11" s="56"/>
      <c r="H11" s="55"/>
      <c r="I11" s="55"/>
      <c r="J11" s="55"/>
    </row>
    <row r="12" spans="1:15" ht="18.75">
      <c r="A12" s="55" t="s">
        <v>82</v>
      </c>
      <c r="B12" s="55" t="s">
        <v>83</v>
      </c>
      <c r="C12" s="55"/>
      <c r="D12" s="55"/>
      <c r="E12" s="56" t="s">
        <v>80</v>
      </c>
      <c r="F12" s="56" t="s">
        <v>84</v>
      </c>
      <c r="G12" s="56"/>
      <c r="H12" s="55"/>
      <c r="I12" s="55"/>
      <c r="J12" s="55"/>
    </row>
    <row r="13" spans="1:15" ht="18.75">
      <c r="A13" s="55"/>
      <c r="B13" s="55"/>
      <c r="C13" s="55"/>
      <c r="D13" s="55"/>
      <c r="E13" s="56"/>
      <c r="F13" s="56"/>
      <c r="G13" s="56"/>
      <c r="H13" s="55"/>
      <c r="I13" s="55"/>
      <c r="J13" s="55"/>
    </row>
    <row r="14" spans="1:15" ht="18.75">
      <c r="A14" s="55"/>
      <c r="B14" s="55"/>
      <c r="C14" s="55"/>
      <c r="D14" s="55"/>
      <c r="E14" s="56"/>
      <c r="F14" s="56" t="s">
        <v>85</v>
      </c>
      <c r="G14" s="56"/>
      <c r="H14" s="55"/>
      <c r="I14" s="55"/>
      <c r="J14" s="55"/>
    </row>
    <row r="15" spans="1:15" ht="18.75">
      <c r="A15" s="55" t="s">
        <v>86</v>
      </c>
      <c r="B15" s="55" t="s">
        <v>87</v>
      </c>
      <c r="C15" s="55"/>
      <c r="D15" s="55"/>
      <c r="E15" s="56" t="s">
        <v>80</v>
      </c>
      <c r="F15" s="56"/>
      <c r="G15" s="56"/>
      <c r="H15" s="55"/>
      <c r="I15" s="55"/>
      <c r="J15" s="55"/>
    </row>
    <row r="16" spans="1:15" ht="18.75">
      <c r="A16" s="55"/>
      <c r="B16" s="55"/>
      <c r="C16" s="55"/>
      <c r="D16" s="55"/>
      <c r="E16" s="56"/>
      <c r="F16" s="56" t="s">
        <v>70</v>
      </c>
      <c r="G16" s="56"/>
      <c r="H16" s="55"/>
      <c r="I16" s="55"/>
      <c r="J16" s="55"/>
    </row>
    <row r="17" spans="1:15" ht="18.75">
      <c r="A17" s="55"/>
      <c r="B17" s="55"/>
      <c r="C17" s="55"/>
      <c r="D17" s="55"/>
      <c r="E17" s="56"/>
      <c r="F17" s="56"/>
      <c r="G17" s="56"/>
      <c r="H17" s="55"/>
      <c r="I17" s="55"/>
      <c r="J17" s="55"/>
    </row>
    <row r="18" spans="1:15" ht="18.75">
      <c r="A18" s="55"/>
      <c r="B18" s="55"/>
      <c r="C18" s="55"/>
      <c r="D18" s="55"/>
      <c r="E18" s="56"/>
      <c r="F18" s="56" t="s">
        <v>88</v>
      </c>
      <c r="G18" s="56"/>
      <c r="H18" s="55"/>
      <c r="I18" s="55"/>
      <c r="J18" s="55"/>
    </row>
    <row r="19" spans="1:15" ht="18.75">
      <c r="A19" s="55" t="s">
        <v>89</v>
      </c>
      <c r="B19" s="55" t="s">
        <v>90</v>
      </c>
      <c r="C19" s="55"/>
      <c r="D19" s="55"/>
      <c r="E19" s="56" t="s">
        <v>80</v>
      </c>
      <c r="F19" s="56"/>
      <c r="G19" s="56"/>
      <c r="H19" s="55"/>
      <c r="I19" s="55"/>
      <c r="J19" s="55"/>
    </row>
    <row r="20" spans="1:15" ht="18.75">
      <c r="A20" s="55"/>
      <c r="B20" s="55"/>
      <c r="C20" s="55"/>
      <c r="D20" s="55"/>
      <c r="E20" s="56"/>
      <c r="F20" s="56" t="s">
        <v>68</v>
      </c>
      <c r="G20" s="56"/>
      <c r="H20" s="55"/>
      <c r="I20" s="55"/>
      <c r="J20" s="55"/>
    </row>
    <row r="21" spans="1:15" ht="18.75">
      <c r="A21" s="55"/>
      <c r="B21" s="55"/>
      <c r="C21" s="55"/>
      <c r="D21" s="55"/>
      <c r="E21" s="56"/>
      <c r="F21" s="56"/>
      <c r="G21" s="56"/>
      <c r="H21" s="55"/>
      <c r="I21" s="55"/>
      <c r="J21" s="55"/>
    </row>
    <row r="22" spans="1:15" ht="18.75">
      <c r="A22" s="55"/>
      <c r="B22" s="55"/>
      <c r="C22" s="55"/>
      <c r="D22" s="55"/>
      <c r="E22" s="56"/>
      <c r="F22" s="56" t="s">
        <v>91</v>
      </c>
      <c r="G22" s="56"/>
      <c r="H22" s="55"/>
      <c r="I22" s="55"/>
      <c r="J22" s="55"/>
    </row>
    <row r="23" spans="1:15" ht="18.75">
      <c r="A23" s="55" t="s">
        <v>92</v>
      </c>
      <c r="B23" s="55" t="s">
        <v>93</v>
      </c>
      <c r="C23" s="55"/>
      <c r="D23" s="55"/>
      <c r="E23" s="56" t="s">
        <v>80</v>
      </c>
      <c r="F23" s="56"/>
      <c r="G23" s="56"/>
      <c r="H23" s="55"/>
      <c r="I23" s="55"/>
      <c r="J23" s="55"/>
    </row>
    <row r="24" spans="1:15" ht="18.75">
      <c r="A24" s="55"/>
      <c r="B24" s="55"/>
      <c r="C24" s="55"/>
      <c r="D24" s="55"/>
      <c r="E24" s="56"/>
      <c r="F24" s="57">
        <v>100</v>
      </c>
      <c r="G24" s="56"/>
      <c r="H24" s="55"/>
      <c r="I24" s="55"/>
      <c r="J24" s="55"/>
      <c r="K24" s="55"/>
      <c r="L24" s="55"/>
      <c r="M24" s="55"/>
      <c r="N24" s="55"/>
      <c r="O24" s="55"/>
    </row>
    <row r="25" spans="1:15" ht="18.75">
      <c r="A25" s="55"/>
      <c r="B25" s="55"/>
      <c r="C25" s="55"/>
      <c r="D25" s="55"/>
      <c r="E25" s="56"/>
      <c r="F25" s="56"/>
      <c r="G25" s="56"/>
      <c r="H25" s="55"/>
      <c r="I25" s="55"/>
      <c r="J25" s="55"/>
      <c r="K25" s="55"/>
      <c r="L25" s="55"/>
      <c r="M25" s="55"/>
      <c r="N25" s="55"/>
      <c r="O25" s="55"/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Derrick cal 212</vt:lpstr>
      <vt:lpstr>Derrick cal</vt:lpstr>
      <vt:lpstr>Efficiency</vt:lpstr>
      <vt:lpstr>Fines recovery</vt:lpstr>
      <vt:lpstr>% commulative passing</vt:lpstr>
      <vt:lpstr>Derrick Fomula</vt:lpstr>
      <vt:lpstr>Data!Print_Area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quyen.nguyen</dc:creator>
  <cp:lastModifiedBy>pocholo.aviso</cp:lastModifiedBy>
  <cp:lastPrinted>2014-10-14T05:58:48Z</cp:lastPrinted>
  <dcterms:created xsi:type="dcterms:W3CDTF">2014-06-01T04:40:25Z</dcterms:created>
  <dcterms:modified xsi:type="dcterms:W3CDTF">2014-11-03T02:48:15Z</dcterms:modified>
</cp:coreProperties>
</file>